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/>
  <bookViews>
    <workbookView xWindow="-525" yWindow="45" windowWidth="15180" windowHeight="6300"/>
  </bookViews>
  <sheets>
    <sheet name="Rate Base" sheetId="28" r:id="rId1"/>
    <sheet name="Capitalization" sheetId="29" r:id="rId2"/>
    <sheet name="Rate Base Detail" sheetId="59" r:id="rId3"/>
    <sheet name="Balance Sheet Detail" sheetId="1" r:id="rId4"/>
    <sheet name="Items Not in Rate Base" sheetId="64" r:id="rId5"/>
    <sheet name="IB-CWIP" sheetId="62" r:id="rId6"/>
    <sheet name=" WC on PP Exp" sheetId="57" r:id="rId7"/>
    <sheet name="Hedge Margin" sheetId="55" r:id="rId8"/>
    <sheet name="EEPS Electric " sheetId="52" r:id="rId9"/>
    <sheet name="EEPS GAS" sheetId="54" r:id="rId10"/>
    <sheet name="NYSEG PSC Assess Liab" sheetId="41" r:id="rId11"/>
    <sheet name="Bonus Depr ADIT" sheetId="58" r:id="rId12"/>
    <sheet name="ZF02 - TME Dec 2014" sheetId="74" r:id="rId13"/>
    <sheet name="Allocators" sheetId="10" r:id="rId14"/>
    <sheet name="Labor" sheetId="36" r:id="rId15"/>
    <sheet name="591040" sheetId="67" r:id="rId16"/>
    <sheet name="591050" sheetId="68" r:id="rId17"/>
    <sheet name="NYSEG MTA EXPENSE" sheetId="37" r:id="rId18"/>
    <sheet name="Categories" sheetId="2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R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12_1_2006">#REF!</definedName>
    <definedName name="_apr06">#REF!</definedName>
    <definedName name="_aug06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6">#REF!</definedName>
    <definedName name="_Feb06">#REF!</definedName>
    <definedName name="_Feb07">#REF!</definedName>
    <definedName name="_Fill" localSheetId="5" hidden="1">#REF!</definedName>
    <definedName name="_Fill" hidden="1">#REF!</definedName>
    <definedName name="_xlnm._FilterDatabase" localSheetId="3" hidden="1">'Balance Sheet Detail'!$A$4:$AT$1555</definedName>
    <definedName name="_xlnm._FilterDatabase" localSheetId="4" hidden="1">'Items Not in Rate Base'!$B$7:$R$1333</definedName>
    <definedName name="_Jan06">#REF!</definedName>
    <definedName name="_Jan07">#REF!</definedName>
    <definedName name="_jul06">#REF!</definedName>
    <definedName name="_jun06">#REF!</definedName>
    <definedName name="_mar06">#REF!</definedName>
    <definedName name="_mar07">#REF!</definedName>
    <definedName name="_may06">#REF!</definedName>
    <definedName name="_nov06">#REF!</definedName>
    <definedName name="_oct06">#REF!</definedName>
    <definedName name="_P">'[1]Close Template'!#REF!</definedName>
    <definedName name="_sep06">#REF!</definedName>
    <definedName name="Acct_Assignments">#REF!</definedName>
    <definedName name="Average_rates">#REF!</definedName>
    <definedName name="Bill_Mit_Rate_Binghamton">#REF!</definedName>
    <definedName name="Bill_Mit_Rate_Champlain">#REF!</definedName>
    <definedName name="Bill_Mit_Rate_Combined">#REF!</definedName>
    <definedName name="Bill_Mit_Rate_Elmira">#REF!</definedName>
    <definedName name="Bill_Mit_Rate_Goshen">#REF!</definedName>
    <definedName name="Bill_Mit_Rate_Lockport">#REF!</definedName>
    <definedName name="Bill_Mit_Rate_Owego">#REF!</definedName>
    <definedName name="CONEXP">#REF!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yCol">#REF!</definedName>
    <definedName name="daytotal">[2]VPOPrices!#REF!</definedName>
    <definedName name="EffectiveDate">[3]Input!$D$7</definedName>
    <definedName name="Electric" localSheetId="5">'[4]17-Rate Base'!#REF!</definedName>
    <definedName name="Electric">#REF!</definedName>
    <definedName name="FPINDEX">'[5]ISS INPUTS'!$H$16</definedName>
    <definedName name="FPYN">'[5]ISS INPUTS'!$H$14</definedName>
    <definedName name="Gas">#REF!</definedName>
    <definedName name="GL" localSheetId="5">'[4]1-GL Input'!$B$2:$Y$2112</definedName>
    <definedName name="GL">#REF!</definedName>
    <definedName name="GSA2_Reliability_Cap_Req_Difference">#REF!</definedName>
    <definedName name="gsc1basis">'[6]Commodity Bill &amp; Unb'!#REF!</definedName>
    <definedName name="header">#REF!</definedName>
    <definedName name="IndexKey">#REF!</definedName>
    <definedName name="Inflators">[7]Inflators!$B$14:$K$18</definedName>
    <definedName name="items">#REF!</definedName>
    <definedName name="May">[8]RevisedData!$H$4:$H$802</definedName>
    <definedName name="Misc20" localSheetId="5">'[4]17-Rate Base'!#REF!</definedName>
    <definedName name="Misc20">#REF!</definedName>
    <definedName name="Misc70" localSheetId="5">'[4]17-Rate Base'!#REF!</definedName>
    <definedName name="Misc70">#REF!</definedName>
    <definedName name="Misc77" localSheetId="5">'[4]17-Rate Base'!#REF!</definedName>
    <definedName name="Misc77">#REF!</definedName>
    <definedName name="Misc81" localSheetId="5">'[4]17-Rate Base'!#REF!</definedName>
    <definedName name="Misc81">#REF!</definedName>
    <definedName name="month" localSheetId="5">[2]VPOPrices!#REF!</definedName>
    <definedName name="month">[2]VPOPrices!#REF!</definedName>
    <definedName name="Nov_Dec">#REF!</definedName>
    <definedName name="NvsASD">"V2003-12-31"</definedName>
    <definedName name="NvsAutoDrillOk">"VN"</definedName>
    <definedName name="NvsElapsedTime">0.0000788194447522983</definedName>
    <definedName name="NvsEndTime">37999.4283290509</definedName>
    <definedName name="NvsInstSpec">"%"</definedName>
    <definedName name="NvsLayoutType">"M3"</definedName>
    <definedName name="NvsPanelEffdt">"V2000-09-30"</definedName>
    <definedName name="NvsPanelSetid">"V11"</definedName>
    <definedName name="NvsReqBU">"V11"</definedName>
    <definedName name="NvsReqBUOnly">"VY"</definedName>
    <definedName name="NvsTransLed">"VN"</definedName>
    <definedName name="NvsTreeASD">"V2003-12-31"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yroll" localSheetId="5">'[4]17-Rate Base'!#REF!</definedName>
    <definedName name="Payroll">#REF!</definedName>
    <definedName name="PerBooks" localSheetId="5">#REF!</definedName>
    <definedName name="PerBooks">#REF!</definedName>
    <definedName name="Plant" localSheetId="5">'[4]17-Rate Base'!#REF!</definedName>
    <definedName name="Plant">#REF!</definedName>
    <definedName name="PrevMthTable" localSheetId="5">#REF!</definedName>
    <definedName name="PrevMthTable">#REF!</definedName>
    <definedName name="price" localSheetId="5">[2]VPOPrices!#REF!</definedName>
    <definedName name="price">[2]VPOPrices!#REF!</definedName>
    <definedName name="Print_1" localSheetId="5">#REF!</definedName>
    <definedName name="Print_1">#REF!</definedName>
    <definedName name="Print_2" localSheetId="5">#REF!</definedName>
    <definedName name="Print_2">#REF!</definedName>
    <definedName name="_xlnm.Print_Area" localSheetId="6">' WC on PP Exp'!$A$1:$F$20</definedName>
    <definedName name="_xlnm.Print_Area" localSheetId="13">Allocators!$A$2:$G$93</definedName>
    <definedName name="_xlnm.Print_Area" localSheetId="3">'Balance Sheet Detail'!$A$1:$AO$1865</definedName>
    <definedName name="_xlnm.Print_Area" localSheetId="11">'Bonus Depr ADIT'!$A$1:$S$141</definedName>
    <definedName name="_xlnm.Print_Area" localSheetId="1">Capitalization!$D$6:$K$157</definedName>
    <definedName name="_xlnm.Print_Area" localSheetId="18">Categories!$A$1:$I$41</definedName>
    <definedName name="_xlnm.Print_Area" localSheetId="8">'EEPS Electric '!$A$1:$N$97</definedName>
    <definedName name="_xlnm.Print_Area" localSheetId="9">'EEPS GAS'!$A$1:$N$77</definedName>
    <definedName name="_xlnm.Print_Area" localSheetId="7">'Hedge Margin'!$A$1:$Q$32</definedName>
    <definedName name="_xlnm.Print_Area" localSheetId="5">'IB-CWIP'!$A$1:$P$50</definedName>
    <definedName name="_xlnm.Print_Area" localSheetId="4">'Items Not in Rate Base'!$A$1:$P$1330</definedName>
    <definedName name="_xlnm.Print_Area" localSheetId="14">Labor!$A$1:$C$199</definedName>
    <definedName name="_xlnm.Print_Area" localSheetId="17">'NYSEG MTA EXPENSE'!#REF!</definedName>
    <definedName name="_xlnm.Print_Area" localSheetId="10">'NYSEG PSC Assess Liab'!$A$1:$T$60</definedName>
    <definedName name="_xlnm.Print_Area" localSheetId="0">'Rate Base'!$A$1:$J$193</definedName>
    <definedName name="_xlnm.Print_Area" localSheetId="2">'Rate Base Detail'!$A$1:$J$559</definedName>
    <definedName name="_xlnm.Print_Area" localSheetId="12">'ZF02 - TME Dec 2014'!$A$1:$O$357</definedName>
    <definedName name="_xlnm.Print_Area">#REF!</definedName>
    <definedName name="_xlnm.Print_Titles" localSheetId="3">'Balance Sheet Detail'!$A:$G,'Balance Sheet Detail'!$1:$6</definedName>
    <definedName name="_xlnm.Print_Titles" localSheetId="1">Capitalization!$1:$7</definedName>
    <definedName name="_xlnm.Print_Titles" localSheetId="4">'Items Not in Rate Base'!$1:$7</definedName>
    <definedName name="_xlnm.Print_Titles" localSheetId="14">Labor!$1:$2</definedName>
    <definedName name="_xlnm.Print_Titles" localSheetId="17">'NYSEG MTA EXPENSE'!$3:$10</definedName>
    <definedName name="_xlnm.Print_Titles" localSheetId="0">'Rate Base'!$2:$9</definedName>
    <definedName name="_xlnm.Print_Titles" localSheetId="12">'ZF02 - TME Dec 2014'!$1:$9</definedName>
    <definedName name="Profile">[2]VPOPrices!#REF!</definedName>
    <definedName name="Ptable" localSheetId="5">#REF!</definedName>
    <definedName name="Ptable">#REF!</definedName>
    <definedName name="Ratios" localSheetId="5">'[4]Allocators - 2011'!$B$8:$F$19</definedName>
    <definedName name="Ratios">#REF!</definedName>
    <definedName name="Recon">#REF!</definedName>
    <definedName name="Reliability_Cap_Req_GSA1_and_2">#REF!</definedName>
    <definedName name="RIS_Rate">[9]Standby!#REF!</definedName>
    <definedName name="SAPBEXrevision" localSheetId="5" hidden="1">17</definedName>
    <definedName name="SAPBEXrevision" hidden="1">7</definedName>
    <definedName name="SAPBEXsysID" hidden="1">"PBW"</definedName>
    <definedName name="SAPBEXwbID" localSheetId="5" hidden="1">"3UU3TFCENPZ5B2MUM8U0OEJHM"</definedName>
    <definedName name="SAPBEXwbID" hidden="1">"45VHZTSTFDGVEP1HZXE57HOP2"</definedName>
    <definedName name="SC_13T_BINGHAMTON_TH">#REF!</definedName>
    <definedName name="SC_13T_CHAMPLAIN_TH">'[9]Bill Mit'!#REF!</definedName>
    <definedName name="SC_13T_COMBINED_TH">'[9]Bill Mit'!#REF!</definedName>
    <definedName name="SC_13T_ELMIRA_TH">'[9]Bill Mit'!#REF!</definedName>
    <definedName name="SC_13T_GOSHEN_TH">'[9]Bill Mit'!#REF!</definedName>
    <definedName name="SC_13T_LOCKPORT_TH">#REF!</definedName>
    <definedName name="SC_13T_OWEGO_TH">#REF!</definedName>
    <definedName name="SC_1S_BINGHAMTON_TH">#REF!</definedName>
    <definedName name="SC_1S_CHAMPLAIN_TH">'[9]Bill Mit'!#REF!</definedName>
    <definedName name="SC_1S_COMBINED_TH">'[9]Bill Mit'!#REF!</definedName>
    <definedName name="SC_1S_ELMIRA_TH">'[9]Bill Mit'!#REF!</definedName>
    <definedName name="SC_1S_GOSHEN_TH">'[9]Bill Mit'!#REF!</definedName>
    <definedName name="SC_1S_LOCKPORT_TH">#REF!</definedName>
    <definedName name="SC_1S_OWEGO_TH">#REF!</definedName>
    <definedName name="SCdate">[10]RGE!$C$21</definedName>
    <definedName name="search">[2]VPOPrices!#REF!</definedName>
    <definedName name="SearchKey">#REF!</definedName>
    <definedName name="SecLoss" localSheetId="5">#REF!</definedName>
    <definedName name="SecLoss">#REF!</definedName>
    <definedName name="Summary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otal">#REF!</definedName>
    <definedName name="Total_Seneca_Capacity">#REF!</definedName>
    <definedName name="TS_Bing_1S_13T">[11]TS!#REF!</definedName>
    <definedName name="TS_Champlain_1S_13T">[12]TS!#REF!</definedName>
    <definedName name="TS_Champlain_1T_5T_14TD">[13]TS!#REF!</definedName>
    <definedName name="TS_Champlain_2S_5S_8S_14TND">[13]TS!#REF!</definedName>
    <definedName name="TS_Combined_1S_13T">[12]TS!#REF!</definedName>
    <definedName name="TS_Elmira_1S_13T">[12]TS!#REF!</definedName>
    <definedName name="TS_Elmira_1T_5T_14TD">[13]TS!#REF!</definedName>
    <definedName name="TS_Elmira_2S_5S_14TND">[13]TS!#REF!</definedName>
    <definedName name="TS_Goshen_1S_13T">[12]TS!#REF!</definedName>
    <definedName name="TS_Goshen_1T_5T_14TD">[13]TS!#REF!</definedName>
    <definedName name="TS_Goshen_2S_5S_14TND">[13]TS!#REF!</definedName>
    <definedName name="TS_Lockport_1S_13T">[14]TS!#REF!</definedName>
    <definedName name="TS_Owego_1S_13T">[11]TS!#REF!</definedName>
    <definedName name="TS_Owego_1T_5T_14TD">[15]TS!#REF!</definedName>
    <definedName name="TUtable" localSheetId="5">#REF!</definedName>
    <definedName name="TUtable">#REF!</definedName>
    <definedName name="wrn.MAIN._.PAGE._.1." localSheetId="5" hidden="1">{#N/A,#N/A,FALSE,"MAIN";#N/A,#N/A,FALSE,"MAIN"}</definedName>
    <definedName name="wrn.MAIN._.PAGE._.1." hidden="1">{#N/A,#N/A,FALSE,"MAIN";#N/A,#N/A,FALSE,"MAIN"}</definedName>
    <definedName name="Z_14ED4094_4B6C_4653_9756_3C80B4F06686_.wvu.Cols" localSheetId="8" hidden="1">'EEPS Electric '!#REF!</definedName>
    <definedName name="Z_14ED4094_4B6C_4653_9756_3C80B4F06686_.wvu.Cols" localSheetId="9" hidden="1">'EEPS GAS'!#REF!</definedName>
    <definedName name="Z_14ED4094_4B6C_4653_9756_3C80B4F06686_.wvu.PrintArea" localSheetId="8" hidden="1">'EEPS Electric '!$A$1:$A$88</definedName>
    <definedName name="Z_14ED4094_4B6C_4653_9756_3C80B4F06686_.wvu.PrintArea" localSheetId="9" hidden="1">'EEPS GAS'!$A$1:$A$78</definedName>
  </definedNames>
  <calcPr calcId="125725"/>
</workbook>
</file>

<file path=xl/calcChain.xml><?xml version="1.0" encoding="utf-8"?>
<calcChain xmlns="http://schemas.openxmlformats.org/spreadsheetml/2006/main">
  <c r="I505" i="59"/>
  <c r="I508" s="1"/>
  <c r="I509" s="1"/>
  <c r="I510" s="1"/>
  <c r="I511" s="1"/>
  <c r="I512" s="1"/>
  <c r="I513" s="1"/>
  <c r="I514" s="1"/>
  <c r="I515" s="1"/>
  <c r="I516" s="1"/>
  <c r="I517" s="1"/>
  <c r="I518" s="1"/>
  <c r="I519" s="1"/>
  <c r="I520" s="1"/>
  <c r="I521" s="1"/>
  <c r="I522" s="1"/>
  <c r="I523" s="1"/>
  <c r="I524" s="1"/>
  <c r="I525" s="1"/>
  <c r="I526" s="1"/>
  <c r="I527" s="1"/>
  <c r="I528" s="1"/>
  <c r="I529" s="1"/>
  <c r="I530" s="1"/>
  <c r="I531" s="1"/>
  <c r="I532" s="1"/>
  <c r="I533" s="1"/>
  <c r="I534" s="1"/>
  <c r="I535" s="1"/>
  <c r="I536" s="1"/>
  <c r="I537" s="1"/>
  <c r="I538" s="1"/>
  <c r="I539" s="1"/>
  <c r="I540" s="1"/>
  <c r="I541" s="1"/>
  <c r="I542" s="1"/>
  <c r="I543" s="1"/>
  <c r="I544" s="1"/>
  <c r="I545" s="1"/>
  <c r="I546" s="1"/>
  <c r="I547" s="1"/>
  <c r="I548" s="1"/>
  <c r="I549" s="1"/>
  <c r="I550" s="1"/>
  <c r="I551" s="1"/>
  <c r="I552" s="1"/>
  <c r="I553" s="1"/>
  <c r="I554" s="1"/>
  <c r="I555" s="1"/>
  <c r="I556" s="1"/>
  <c r="I557" s="1"/>
  <c r="I558" s="1"/>
  <c r="I559" s="1"/>
  <c r="G508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H508"/>
  <c r="H509" s="1"/>
  <c r="H510" s="1"/>
  <c r="H511" s="1"/>
  <c r="H512" s="1"/>
  <c r="H513" s="1"/>
  <c r="H514" s="1"/>
  <c r="H515" s="1"/>
  <c r="H516" s="1"/>
  <c r="H517" s="1"/>
  <c r="H518" s="1"/>
  <c r="H519" s="1"/>
  <c r="H520" s="1"/>
  <c r="H521" s="1"/>
  <c r="H522" s="1"/>
  <c r="H523" s="1"/>
  <c r="H524" s="1"/>
  <c r="H525" s="1"/>
  <c r="H526" s="1"/>
  <c r="H527" s="1"/>
  <c r="H528" s="1"/>
  <c r="H529" s="1"/>
  <c r="H530" s="1"/>
  <c r="H531" s="1"/>
  <c r="H532" s="1"/>
  <c r="H533" s="1"/>
  <c r="H534" s="1"/>
  <c r="H535" s="1"/>
  <c r="H536" s="1"/>
  <c r="H537" s="1"/>
  <c r="H538" s="1"/>
  <c r="H539" s="1"/>
  <c r="H540" s="1"/>
  <c r="H541" s="1"/>
  <c r="H542" s="1"/>
  <c r="H543" s="1"/>
  <c r="H544" s="1"/>
  <c r="H545" s="1"/>
  <c r="H546" s="1"/>
  <c r="H547" s="1"/>
  <c r="H548" s="1"/>
  <c r="H549" s="1"/>
  <c r="H550" s="1"/>
  <c r="H551" s="1"/>
  <c r="H552" s="1"/>
  <c r="H553" s="1"/>
  <c r="H554" s="1"/>
  <c r="H555" s="1"/>
  <c r="H556" s="1"/>
  <c r="H557" s="1"/>
  <c r="H558" s="1"/>
  <c r="H559" s="1"/>
  <c r="D40" i="62" l="1"/>
  <c r="AT1637" i="1"/>
  <c r="AT1638"/>
  <c r="AT1639"/>
  <c r="AT1649"/>
  <c r="AT1650"/>
  <c r="AT1651"/>
  <c r="AT1652"/>
  <c r="AT1653"/>
  <c r="AT1654"/>
  <c r="AT1655"/>
  <c r="AT1656"/>
  <c r="AT1657"/>
  <c r="AT1658"/>
  <c r="AT1659"/>
  <c r="AT1660"/>
  <c r="AT1661"/>
  <c r="AT1662"/>
  <c r="AT1663"/>
  <c r="AT1664"/>
  <c r="AT1665"/>
  <c r="AT1666"/>
  <c r="AT1667"/>
  <c r="AT1668"/>
  <c r="AT1669"/>
  <c r="AT1670"/>
  <c r="AT1671"/>
  <c r="AT1672"/>
  <c r="AT1673"/>
  <c r="AT1674"/>
  <c r="AT1675"/>
  <c r="AT1676"/>
  <c r="AT1677"/>
  <c r="AT1678"/>
  <c r="AT1679"/>
  <c r="AT1680"/>
  <c r="AT1681"/>
  <c r="AT1682"/>
  <c r="AT1683"/>
  <c r="AT1684"/>
  <c r="AT1685"/>
  <c r="AT1686"/>
  <c r="AT1687"/>
  <c r="AT1705"/>
  <c r="AT1706"/>
  <c r="AT1707"/>
  <c r="AT1708"/>
  <c r="AT1709"/>
  <c r="AT1710"/>
  <c r="AT1711"/>
  <c r="AT1712"/>
  <c r="AT1713"/>
  <c r="AT1714"/>
  <c r="AT1715"/>
  <c r="AT1716"/>
  <c r="AT1717"/>
  <c r="AT1718"/>
  <c r="AT1719"/>
  <c r="AT1720"/>
  <c r="AT1721"/>
  <c r="AT1722"/>
  <c r="AT1723"/>
  <c r="AT1724"/>
  <c r="AT1725"/>
  <c r="AT1726"/>
  <c r="AT1727"/>
  <c r="AT1728"/>
  <c r="AT1729"/>
  <c r="AT1730"/>
  <c r="AT1731"/>
  <c r="AT1732"/>
  <c r="AT1733"/>
  <c r="AT1734"/>
  <c r="AT1735"/>
  <c r="AT1736"/>
  <c r="AT1737"/>
  <c r="AT1738"/>
  <c r="AT1739"/>
  <c r="AT1740"/>
  <c r="AT1741"/>
  <c r="AT1742"/>
  <c r="AT1743"/>
  <c r="AT1744"/>
  <c r="AT1745"/>
  <c r="AT1746"/>
  <c r="AT1747"/>
  <c r="AT1748"/>
  <c r="AT1749"/>
  <c r="AT1750"/>
  <c r="AT1751"/>
  <c r="AT1752"/>
  <c r="AT1753"/>
  <c r="AT1754"/>
  <c r="AT1755"/>
  <c r="AT1773"/>
  <c r="AT1774"/>
  <c r="AT1775"/>
  <c r="AT1776"/>
  <c r="AT1777"/>
  <c r="AT1778"/>
  <c r="AT1779"/>
  <c r="AT1780"/>
  <c r="AT1781"/>
  <c r="AT1782"/>
  <c r="AT1783"/>
  <c r="AT1784"/>
  <c r="AT1785"/>
  <c r="AT1786"/>
  <c r="AT1787"/>
  <c r="AT1817"/>
  <c r="AT1818"/>
  <c r="AT1819"/>
  <c r="AT1820"/>
  <c r="AT1821"/>
  <c r="AT1822"/>
  <c r="AT1823"/>
  <c r="AT1824"/>
  <c r="AT1825"/>
  <c r="AT1826"/>
  <c r="AT1827"/>
  <c r="AT1828"/>
  <c r="AT1829"/>
  <c r="AT1830"/>
  <c r="AT1831"/>
  <c r="AT1832"/>
  <c r="AT1833"/>
  <c r="AT1834"/>
  <c r="AT1835"/>
  <c r="AT1836"/>
  <c r="AT1837"/>
  <c r="AT1838"/>
  <c r="AT1839"/>
  <c r="AT1840"/>
  <c r="AT1841"/>
  <c r="AT1842"/>
  <c r="AT1843"/>
  <c r="AT1844"/>
  <c r="AT1845"/>
  <c r="AT1846"/>
  <c r="AT1847"/>
  <c r="AT1848"/>
  <c r="AT1849"/>
  <c r="AT1850"/>
  <c r="AT1851"/>
  <c r="AT1852"/>
  <c r="AT1853"/>
  <c r="AT1854"/>
  <c r="AT1855"/>
  <c r="AT1856"/>
  <c r="AT1857"/>
  <c r="AT1858"/>
  <c r="AT1859"/>
  <c r="AT1860"/>
  <c r="AT1861"/>
  <c r="D81" i="10" l="1"/>
  <c r="AB1507" i="1" l="1"/>
  <c r="AB1474"/>
  <c r="AB1445"/>
  <c r="AB1430"/>
  <c r="AB1427"/>
  <c r="AB1406"/>
  <c r="AB1136"/>
  <c r="AB1098"/>
  <c r="AB1066"/>
  <c r="AB1065"/>
  <c r="AB1019"/>
  <c r="AB1018"/>
  <c r="AB930"/>
  <c r="AB904"/>
  <c r="AB899"/>
  <c r="AB851"/>
  <c r="AB810"/>
  <c r="P107" i="58" l="1"/>
  <c r="N107"/>
  <c r="L107"/>
  <c r="J107"/>
  <c r="H107"/>
  <c r="F107"/>
  <c r="D107"/>
  <c r="P106"/>
  <c r="N106"/>
  <c r="L106"/>
  <c r="J106"/>
  <c r="H106"/>
  <c r="F106"/>
  <c r="D106"/>
  <c r="P105"/>
  <c r="P111" s="1"/>
  <c r="P115" s="1"/>
  <c r="C134" s="1"/>
  <c r="D134" s="1"/>
  <c r="E134" s="1"/>
  <c r="F134" s="1"/>
  <c r="G134" s="1"/>
  <c r="H134" s="1"/>
  <c r="J134" s="1"/>
  <c r="L134" s="1"/>
  <c r="N134" s="1"/>
  <c r="P134" s="1"/>
  <c r="R134" s="1"/>
  <c r="N105"/>
  <c r="N111" s="1"/>
  <c r="N115" s="1"/>
  <c r="L105"/>
  <c r="L111" s="1"/>
  <c r="L115" s="1"/>
  <c r="J105"/>
  <c r="J111" s="1"/>
  <c r="J115" s="1"/>
  <c r="H105"/>
  <c r="H111" s="1"/>
  <c r="H115" s="1"/>
  <c r="F105"/>
  <c r="F111" s="1"/>
  <c r="F115" s="1"/>
  <c r="D105"/>
  <c r="D111" s="1"/>
  <c r="D115" s="1"/>
  <c r="D119" s="1"/>
  <c r="P104"/>
  <c r="P110" s="1"/>
  <c r="P114" s="1"/>
  <c r="C133" s="1"/>
  <c r="D133" s="1"/>
  <c r="E133" s="1"/>
  <c r="F133" s="1"/>
  <c r="G133" s="1"/>
  <c r="H133" s="1"/>
  <c r="J133" s="1"/>
  <c r="L133" s="1"/>
  <c r="N133" s="1"/>
  <c r="P133" s="1"/>
  <c r="R133" s="1"/>
  <c r="N104"/>
  <c r="N110" s="1"/>
  <c r="N114" s="1"/>
  <c r="L104"/>
  <c r="L110" s="1"/>
  <c r="L114" s="1"/>
  <c r="J104"/>
  <c r="J110" s="1"/>
  <c r="J114" s="1"/>
  <c r="H104"/>
  <c r="H110" s="1"/>
  <c r="H114" s="1"/>
  <c r="F104"/>
  <c r="F110" s="1"/>
  <c r="F114" s="1"/>
  <c r="D104"/>
  <c r="D110" s="1"/>
  <c r="D114" s="1"/>
  <c r="D118" s="1"/>
  <c r="D121" l="1"/>
  <c r="F118"/>
  <c r="D122"/>
  <c r="F119"/>
  <c r="F122" l="1"/>
  <c r="H119"/>
  <c r="F121"/>
  <c r="H118"/>
  <c r="H121" l="1"/>
  <c r="J118"/>
  <c r="H122"/>
  <c r="J119"/>
  <c r="L118" l="1"/>
  <c r="J121"/>
  <c r="L119"/>
  <c r="J122"/>
  <c r="L121" l="1"/>
  <c r="N118"/>
  <c r="L122"/>
  <c r="N119"/>
  <c r="N121" l="1"/>
  <c r="P118"/>
  <c r="N122"/>
  <c r="P119"/>
  <c r="P122" l="1"/>
  <c r="P121"/>
  <c r="I170" i="59" l="1"/>
  <c r="H170"/>
  <c r="H168"/>
  <c r="C5" i="68"/>
  <c r="C6" i="67"/>
  <c r="T44" i="41" l="1"/>
  <c r="I169" i="59" s="1"/>
  <c r="T43" i="41"/>
  <c r="H169" i="59" s="1"/>
  <c r="T23" i="41"/>
  <c r="N70" i="54"/>
  <c r="N55"/>
  <c r="N72" i="52"/>
  <c r="N57"/>
  <c r="F11" i="57"/>
  <c r="O354" i="74"/>
  <c r="P24" i="62"/>
  <c r="X1555" i="1"/>
  <c r="X1554"/>
  <c r="X1553"/>
  <c r="X1552"/>
  <c r="X1551"/>
  <c r="X1550"/>
  <c r="X1549"/>
  <c r="X1548"/>
  <c r="X1546"/>
  <c r="X1544"/>
  <c r="X1543"/>
  <c r="X1541"/>
  <c r="X1539"/>
  <c r="X1538"/>
  <c r="X1537"/>
  <c r="X1536"/>
  <c r="X1535"/>
  <c r="X1534"/>
  <c r="X1533"/>
  <c r="X1531"/>
  <c r="X1530"/>
  <c r="X1529"/>
  <c r="X1528"/>
  <c r="X1527"/>
  <c r="X1526"/>
  <c r="X1525"/>
  <c r="X1524"/>
  <c r="X1523"/>
  <c r="X1522"/>
  <c r="X1521"/>
  <c r="X1520"/>
  <c r="X1519"/>
  <c r="X1518"/>
  <c r="X1517"/>
  <c r="X1516"/>
  <c r="X1515"/>
  <c r="X1514"/>
  <c r="X1513"/>
  <c r="X1512"/>
  <c r="X1511"/>
  <c r="X1510"/>
  <c r="X1509"/>
  <c r="X1508"/>
  <c r="X1507"/>
  <c r="X1506"/>
  <c r="X1505"/>
  <c r="X1504"/>
  <c r="X1502"/>
  <c r="X1501"/>
  <c r="X1500"/>
  <c r="X1499"/>
  <c r="X1498"/>
  <c r="X1496"/>
  <c r="X1495"/>
  <c r="X1492"/>
  <c r="X1491"/>
  <c r="X1490"/>
  <c r="X1488"/>
  <c r="X1487"/>
  <c r="X1485"/>
  <c r="X1484"/>
  <c r="X1483"/>
  <c r="X1482"/>
  <c r="X1481"/>
  <c r="X1480"/>
  <c r="X1479"/>
  <c r="X1478"/>
  <c r="X1477"/>
  <c r="X1476"/>
  <c r="X1475"/>
  <c r="X1474"/>
  <c r="X1473"/>
  <c r="X1471"/>
  <c r="X1469"/>
  <c r="X1467"/>
  <c r="X1466"/>
  <c r="X1465"/>
  <c r="X1464"/>
  <c r="X1463"/>
  <c r="X1462"/>
  <c r="X1461"/>
  <c r="X1460"/>
  <c r="X1459"/>
  <c r="X1458"/>
  <c r="X1457"/>
  <c r="X1456"/>
  <c r="X1454"/>
  <c r="X1453"/>
  <c r="X1452"/>
  <c r="X1451"/>
  <c r="X1450"/>
  <c r="X1449"/>
  <c r="X1447"/>
  <c r="X1445"/>
  <c r="X1444"/>
  <c r="X1443"/>
  <c r="X1442"/>
  <c r="X1440"/>
  <c r="X1439"/>
  <c r="X1438"/>
  <c r="X1437"/>
  <c r="X1435"/>
  <c r="X1434"/>
  <c r="X1433"/>
  <c r="X1432"/>
  <c r="X1431"/>
  <c r="X1430"/>
  <c r="X1429"/>
  <c r="X1428"/>
  <c r="X1427"/>
  <c r="X1426"/>
  <c r="X1425"/>
  <c r="X1424"/>
  <c r="X1422"/>
  <c r="X1421"/>
  <c r="X1420"/>
  <c r="X1419"/>
  <c r="X1417"/>
  <c r="X1416"/>
  <c r="X1415"/>
  <c r="X1414"/>
  <c r="X1413"/>
  <c r="X1412"/>
  <c r="X1411"/>
  <c r="X1410"/>
  <c r="X1408"/>
  <c r="X1407"/>
  <c r="X1406"/>
  <c r="X1405"/>
  <c r="X1404"/>
  <c r="X1403"/>
  <c r="X1402"/>
  <c r="X1400"/>
  <c r="X1399"/>
  <c r="X1398"/>
  <c r="X1397"/>
  <c r="X1395"/>
  <c r="X1392"/>
  <c r="X1391"/>
  <c r="X1389"/>
  <c r="X1388"/>
  <c r="X1387"/>
  <c r="X1386"/>
  <c r="X1384"/>
  <c r="X1383"/>
  <c r="X1382"/>
  <c r="X1381"/>
  <c r="X1380"/>
  <c r="X1379"/>
  <c r="X1378"/>
  <c r="X1377"/>
  <c r="X1376"/>
  <c r="X1374"/>
  <c r="X1373"/>
  <c r="X1371"/>
  <c r="X1370"/>
  <c r="X1369"/>
  <c r="X1368"/>
  <c r="X1367"/>
  <c r="X1366"/>
  <c r="X1365"/>
  <c r="X1364"/>
  <c r="X1363"/>
  <c r="X1362"/>
  <c r="X1361"/>
  <c r="X1360"/>
  <c r="X1359"/>
  <c r="X1358"/>
  <c r="X1357"/>
  <c r="X1356"/>
  <c r="X1355"/>
  <c r="X1354"/>
  <c r="X1353"/>
  <c r="X1352"/>
  <c r="X1351"/>
  <c r="X1350"/>
  <c r="X1349"/>
  <c r="X1348"/>
  <c r="X1347"/>
  <c r="X1346"/>
  <c r="X1344"/>
  <c r="X1343"/>
  <c r="X1342"/>
  <c r="X1341"/>
  <c r="X1340"/>
  <c r="X1339"/>
  <c r="X1338"/>
  <c r="X1337"/>
  <c r="X1335"/>
  <c r="X1334"/>
  <c r="X1333"/>
  <c r="X1332"/>
  <c r="X1331"/>
  <c r="X1330"/>
  <c r="X1329"/>
  <c r="X1328"/>
  <c r="X1327"/>
  <c r="X1326"/>
  <c r="X1325"/>
  <c r="X1324"/>
  <c r="X1323"/>
  <c r="X1322"/>
  <c r="X1321"/>
  <c r="X1320"/>
  <c r="X1319"/>
  <c r="X1318"/>
  <c r="X1317"/>
  <c r="X1316"/>
  <c r="X1315"/>
  <c r="X1314"/>
  <c r="X1313"/>
  <c r="X1312"/>
  <c r="X1311"/>
  <c r="X1309"/>
  <c r="X1308"/>
  <c r="X1307"/>
  <c r="X1306"/>
  <c r="X1305"/>
  <c r="X1304"/>
  <c r="X1303"/>
  <c r="X1302"/>
  <c r="X1301"/>
  <c r="X1300"/>
  <c r="X1299"/>
  <c r="X1298"/>
  <c r="X1297"/>
  <c r="X1296"/>
  <c r="X1295"/>
  <c r="X1294"/>
  <c r="X1293"/>
  <c r="X1292"/>
  <c r="X1291"/>
  <c r="X1290"/>
  <c r="X1289"/>
  <c r="X1288"/>
  <c r="X1287"/>
  <c r="X1286"/>
  <c r="X1285"/>
  <c r="X1284"/>
  <c r="X1283"/>
  <c r="X1282"/>
  <c r="X1281"/>
  <c r="X1280"/>
  <c r="X1279"/>
  <c r="X1278"/>
  <c r="X1277"/>
  <c r="X1276"/>
  <c r="X1275"/>
  <c r="X1274"/>
  <c r="X1273"/>
  <c r="X1272"/>
  <c r="X1271"/>
  <c r="X1270"/>
  <c r="X1269"/>
  <c r="X1268"/>
  <c r="X1267"/>
  <c r="X1266"/>
  <c r="X1265"/>
  <c r="X1264"/>
  <c r="X1263"/>
  <c r="X1262"/>
  <c r="X1261"/>
  <c r="X1260"/>
  <c r="X1259"/>
  <c r="X1258"/>
  <c r="X1257"/>
  <c r="X1256"/>
  <c r="X1255"/>
  <c r="X1254"/>
  <c r="X1253"/>
  <c r="X1252"/>
  <c r="X1251"/>
  <c r="X1250"/>
  <c r="X1249"/>
  <c r="X1248"/>
  <c r="X1247"/>
  <c r="X1246"/>
  <c r="X1245"/>
  <c r="X1244"/>
  <c r="X1243"/>
  <c r="X1242"/>
  <c r="X1241"/>
  <c r="X1240"/>
  <c r="X1239"/>
  <c r="X1238"/>
  <c r="X1237"/>
  <c r="X1236"/>
  <c r="X1235"/>
  <c r="X1234"/>
  <c r="X1233"/>
  <c r="X1232"/>
  <c r="X1231"/>
  <c r="X1230"/>
  <c r="X1229"/>
  <c r="X1228"/>
  <c r="X1227"/>
  <c r="X1226"/>
  <c r="X1225"/>
  <c r="X1224"/>
  <c r="X1223"/>
  <c r="X1222"/>
  <c r="X1221"/>
  <c r="X1220"/>
  <c r="X1219"/>
  <c r="X1218"/>
  <c r="X1217"/>
  <c r="X1216"/>
  <c r="X1215"/>
  <c r="X1214"/>
  <c r="X1213"/>
  <c r="X1212"/>
  <c r="X1211"/>
  <c r="X1210"/>
  <c r="X1209"/>
  <c r="X1208"/>
  <c r="X1207"/>
  <c r="X1206"/>
  <c r="X1205"/>
  <c r="X1201"/>
  <c r="X1189"/>
  <c r="X1188"/>
  <c r="X1187"/>
  <c r="X1186"/>
  <c r="X1185"/>
  <c r="X1184"/>
  <c r="X1183"/>
  <c r="X1182"/>
  <c r="X1181"/>
  <c r="X1180"/>
  <c r="X1179"/>
  <c r="X1178"/>
  <c r="X1177"/>
  <c r="X1176"/>
  <c r="X1175"/>
  <c r="X1174"/>
  <c r="X1173"/>
  <c r="X1172"/>
  <c r="X1171"/>
  <c r="X1170"/>
  <c r="X1169"/>
  <c r="X1168"/>
  <c r="X1167"/>
  <c r="X1166"/>
  <c r="X1165"/>
  <c r="X1164"/>
  <c r="X1163"/>
  <c r="X1162"/>
  <c r="X1161"/>
  <c r="X1160"/>
  <c r="X1159"/>
  <c r="X1158"/>
  <c r="X1157"/>
  <c r="X1156"/>
  <c r="X1155"/>
  <c r="X1154"/>
  <c r="X1153"/>
  <c r="X1152"/>
  <c r="X1151"/>
  <c r="X1150"/>
  <c r="X1149"/>
  <c r="X1148"/>
  <c r="X1147"/>
  <c r="X1146"/>
  <c r="X1145"/>
  <c r="X1144"/>
  <c r="X1143"/>
  <c r="X1142"/>
  <c r="X1141"/>
  <c r="X1140"/>
  <c r="X1139"/>
  <c r="X1138"/>
  <c r="X1137"/>
  <c r="X1136"/>
  <c r="X1135"/>
  <c r="X1134"/>
  <c r="X1133"/>
  <c r="X1132"/>
  <c r="X1131"/>
  <c r="X1130"/>
  <c r="X1129"/>
  <c r="X1128"/>
  <c r="X1127"/>
  <c r="X1124"/>
  <c r="X1122"/>
  <c r="X1121"/>
  <c r="X1120"/>
  <c r="X1118"/>
  <c r="X1117"/>
  <c r="X1116"/>
  <c r="X1115"/>
  <c r="X1114"/>
  <c r="X1113"/>
  <c r="X1112"/>
  <c r="X1111"/>
  <c r="X1110"/>
  <c r="X1109"/>
  <c r="X1108"/>
  <c r="X1107"/>
  <c r="X1106"/>
  <c r="X1105"/>
  <c r="X1104"/>
  <c r="X1103"/>
  <c r="X1102"/>
  <c r="X1101"/>
  <c r="X1100"/>
  <c r="X1099"/>
  <c r="X1098"/>
  <c r="X1097"/>
  <c r="X1096"/>
  <c r="X1095"/>
  <c r="X1094"/>
  <c r="X1093"/>
  <c r="X1092"/>
  <c r="X1091"/>
  <c r="X1090"/>
  <c r="X1089"/>
  <c r="X1088"/>
  <c r="X1087"/>
  <c r="X1086"/>
  <c r="X1085"/>
  <c r="X1084"/>
  <c r="X1083"/>
  <c r="X1082"/>
  <c r="X1081"/>
  <c r="X1080"/>
  <c r="X1079"/>
  <c r="X1078"/>
  <c r="X1077"/>
  <c r="X1076"/>
  <c r="X1075"/>
  <c r="X1074"/>
  <c r="X1073"/>
  <c r="X1072"/>
  <c r="X1071"/>
  <c r="X1070"/>
  <c r="X1069"/>
  <c r="X1068"/>
  <c r="X1067"/>
  <c r="X1066"/>
  <c r="X1065"/>
  <c r="X1064"/>
  <c r="X1063"/>
  <c r="X1062"/>
  <c r="X1061"/>
  <c r="X1060"/>
  <c r="X1059"/>
  <c r="X1058"/>
  <c r="X1057"/>
  <c r="X1056"/>
  <c r="X1055"/>
  <c r="X1054"/>
  <c r="X1053"/>
  <c r="X1052"/>
  <c r="X1051"/>
  <c r="X1050"/>
  <c r="X1049"/>
  <c r="X1046"/>
  <c r="X1045"/>
  <c r="X1044"/>
  <c r="X1042"/>
  <c r="X1041"/>
  <c r="X1040"/>
  <c r="X1039"/>
  <c r="X1038"/>
  <c r="X1037"/>
  <c r="X1036"/>
  <c r="X1035"/>
  <c r="X1034"/>
  <c r="X1033"/>
  <c r="X1032"/>
  <c r="X1031"/>
  <c r="X1030"/>
  <c r="X1029"/>
  <c r="X1028"/>
  <c r="X1027"/>
  <c r="X1026"/>
  <c r="X1025"/>
  <c r="X1024"/>
  <c r="X1023"/>
  <c r="X1022"/>
  <c r="X1021"/>
  <c r="X1020"/>
  <c r="X1019"/>
  <c r="X1018"/>
  <c r="X1017"/>
  <c r="X1016"/>
  <c r="X1015"/>
  <c r="X1013"/>
  <c r="X1011"/>
  <c r="X1010"/>
  <c r="X1009"/>
  <c r="X1008"/>
  <c r="X1007"/>
  <c r="X1006"/>
  <c r="X1005"/>
  <c r="X1004"/>
  <c r="X1003"/>
  <c r="X1002"/>
  <c r="X1001"/>
  <c r="X1000"/>
  <c r="X999"/>
  <c r="X998"/>
  <c r="X997"/>
  <c r="X996"/>
  <c r="X995"/>
  <c r="X994"/>
  <c r="X993"/>
  <c r="X992"/>
  <c r="X991"/>
  <c r="X990"/>
  <c r="X988"/>
  <c r="X987"/>
  <c r="X986"/>
  <c r="X985"/>
  <c r="X984"/>
  <c r="X983"/>
  <c r="X982"/>
  <c r="X981"/>
  <c r="X980"/>
  <c r="X979"/>
  <c r="X978"/>
  <c r="X977"/>
  <c r="X976"/>
  <c r="X975"/>
  <c r="X974"/>
  <c r="X973"/>
  <c r="X972"/>
  <c r="X971"/>
  <c r="X970"/>
  <c r="X969"/>
  <c r="X968"/>
  <c r="X967"/>
  <c r="X966"/>
  <c r="X965"/>
  <c r="X964"/>
  <c r="X963"/>
  <c r="X962"/>
  <c r="X961"/>
  <c r="X960"/>
  <c r="X958"/>
  <c r="X957"/>
  <c r="X956"/>
  <c r="X955"/>
  <c r="X953"/>
  <c r="X952"/>
  <c r="X951"/>
  <c r="X949"/>
  <c r="X947"/>
  <c r="X946"/>
  <c r="X945"/>
  <c r="X941"/>
  <c r="X939"/>
  <c r="X937"/>
  <c r="X934"/>
  <c r="X933"/>
  <c r="X932"/>
  <c r="X930"/>
  <c r="X929"/>
  <c r="X928"/>
  <c r="X927"/>
  <c r="X921"/>
  <c r="X919"/>
  <c r="X918"/>
  <c r="X917"/>
  <c r="X916"/>
  <c r="X915"/>
  <c r="X914"/>
  <c r="X913"/>
  <c r="X912"/>
  <c r="X911"/>
  <c r="X910"/>
  <c r="X909"/>
  <c r="X908"/>
  <c r="X907"/>
  <c r="X906"/>
  <c r="X904"/>
  <c r="X903"/>
  <c r="X902"/>
  <c r="X901"/>
  <c r="X900"/>
  <c r="X899"/>
  <c r="X898"/>
  <c r="X897"/>
  <c r="X894"/>
  <c r="X889"/>
  <c r="X888"/>
  <c r="X886"/>
  <c r="X885"/>
  <c r="X882"/>
  <c r="X881"/>
  <c r="X880"/>
  <c r="X879"/>
  <c r="X877"/>
  <c r="X876"/>
  <c r="X875"/>
  <c r="X874"/>
  <c r="X873"/>
  <c r="X872"/>
  <c r="X871"/>
  <c r="X868"/>
  <c r="X866"/>
  <c r="X865"/>
  <c r="X864"/>
  <c r="X863"/>
  <c r="X862"/>
  <c r="X861"/>
  <c r="X859"/>
  <c r="X858"/>
  <c r="X857"/>
  <c r="X855"/>
  <c r="X854"/>
  <c r="X853"/>
  <c r="X851"/>
  <c r="X849"/>
  <c r="X848"/>
  <c r="X847"/>
  <c r="X845"/>
  <c r="X842"/>
  <c r="X841"/>
  <c r="X838"/>
  <c r="X837"/>
  <c r="X836"/>
  <c r="X835"/>
  <c r="X834"/>
  <c r="X832"/>
  <c r="X831"/>
  <c r="X830"/>
  <c r="X829"/>
  <c r="X828"/>
  <c r="X827"/>
  <c r="X825"/>
  <c r="X824"/>
  <c r="X822"/>
  <c r="X821"/>
  <c r="X820"/>
  <c r="X819"/>
  <c r="X818"/>
  <c r="X817"/>
  <c r="X815"/>
  <c r="X813"/>
  <c r="X812"/>
  <c r="X811"/>
  <c r="X810"/>
  <c r="X809"/>
  <c r="X808"/>
  <c r="X807"/>
  <c r="X806"/>
  <c r="X805"/>
  <c r="X803"/>
  <c r="X801"/>
  <c r="X800"/>
  <c r="X799"/>
  <c r="X798"/>
  <c r="X797"/>
  <c r="X796"/>
  <c r="X795"/>
  <c r="X794"/>
  <c r="X793"/>
  <c r="X792"/>
  <c r="X791"/>
  <c r="X790"/>
  <c r="X789"/>
  <c r="X788"/>
  <c r="X787"/>
  <c r="X786"/>
  <c r="X785"/>
  <c r="X784"/>
  <c r="X783"/>
  <c r="X782"/>
  <c r="X781"/>
  <c r="X780"/>
  <c r="X779"/>
  <c r="X778"/>
  <c r="X777"/>
  <c r="X776"/>
  <c r="X775"/>
  <c r="X774"/>
  <c r="X773"/>
  <c r="X772"/>
  <c r="X771"/>
  <c r="X770"/>
  <c r="X769"/>
  <c r="X768"/>
  <c r="X767"/>
  <c r="X766"/>
  <c r="X765"/>
  <c r="X764"/>
  <c r="X763"/>
  <c r="X762"/>
  <c r="X761"/>
  <c r="X760"/>
  <c r="X759"/>
  <c r="X758"/>
  <c r="X757"/>
  <c r="X756"/>
  <c r="X755"/>
  <c r="X754"/>
  <c r="X753"/>
  <c r="X752"/>
  <c r="X751"/>
  <c r="X750"/>
  <c r="X749"/>
  <c r="X748"/>
  <c r="X747"/>
  <c r="X746"/>
  <c r="X745"/>
  <c r="X744"/>
  <c r="X743"/>
  <c r="X742"/>
  <c r="X741"/>
  <c r="X740"/>
  <c r="X739"/>
  <c r="X738"/>
  <c r="X737"/>
  <c r="X736"/>
  <c r="X735"/>
  <c r="X734"/>
  <c r="X733"/>
  <c r="X732"/>
  <c r="X731"/>
  <c r="X730"/>
  <c r="X729"/>
  <c r="X728"/>
  <c r="X727"/>
  <c r="X726"/>
  <c r="X725"/>
  <c r="X724"/>
  <c r="X723"/>
  <c r="X722"/>
  <c r="X721"/>
  <c r="X720"/>
  <c r="X719"/>
  <c r="X718"/>
  <c r="X717"/>
  <c r="X716"/>
  <c r="X715"/>
  <c r="X714"/>
  <c r="X713"/>
  <c r="X712"/>
  <c r="X711"/>
  <c r="X710"/>
  <c r="X709"/>
  <c r="X708"/>
  <c r="X707"/>
  <c r="X706"/>
  <c r="X705"/>
  <c r="X704"/>
  <c r="X703"/>
  <c r="X702"/>
  <c r="X701"/>
  <c r="X700"/>
  <c r="X699"/>
  <c r="X698"/>
  <c r="X697"/>
  <c r="X696"/>
  <c r="X695"/>
  <c r="X694"/>
  <c r="X693"/>
  <c r="X692"/>
  <c r="X691"/>
  <c r="X690"/>
  <c r="X689"/>
  <c r="X688"/>
  <c r="X687"/>
  <c r="X686"/>
  <c r="X685"/>
  <c r="X684"/>
  <c r="X683"/>
  <c r="X682"/>
  <c r="X681"/>
  <c r="X680"/>
  <c r="X679"/>
  <c r="X678"/>
  <c r="X677"/>
  <c r="X676"/>
  <c r="X675"/>
  <c r="X674"/>
  <c r="X673"/>
  <c r="X672"/>
  <c r="X671"/>
  <c r="X670"/>
  <c r="X669"/>
  <c r="X668"/>
  <c r="X667"/>
  <c r="X666"/>
  <c r="X665"/>
  <c r="X664"/>
  <c r="X663"/>
  <c r="X662"/>
  <c r="X661"/>
  <c r="X660"/>
  <c r="X659"/>
  <c r="X658"/>
  <c r="X657"/>
  <c r="X656"/>
  <c r="X655"/>
  <c r="X654"/>
  <c r="X653"/>
  <c r="X652"/>
  <c r="X651"/>
  <c r="X650"/>
  <c r="X649"/>
  <c r="X648"/>
  <c r="X647"/>
  <c r="X646"/>
  <c r="X645"/>
  <c r="X644"/>
  <c r="X643"/>
  <c r="X642"/>
  <c r="X641"/>
  <c r="X640"/>
  <c r="X639"/>
  <c r="X638"/>
  <c r="X637"/>
  <c r="X636"/>
  <c r="X635"/>
  <c r="X634"/>
  <c r="X633"/>
  <c r="X632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10"/>
  <c r="X609"/>
  <c r="X608"/>
  <c r="X607"/>
  <c r="X606"/>
  <c r="X605"/>
  <c r="X604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81"/>
  <c r="X580"/>
  <c r="X579"/>
  <c r="X578"/>
  <c r="X577"/>
  <c r="X576"/>
  <c r="X575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AB1555"/>
  <c r="AB1554"/>
  <c r="AB1553"/>
  <c r="AB1552"/>
  <c r="AB1551"/>
  <c r="AB1550"/>
  <c r="AB1549"/>
  <c r="AB1548"/>
  <c r="AB1547"/>
  <c r="AB1546"/>
  <c r="AB1545"/>
  <c r="AB1544"/>
  <c r="AB1543"/>
  <c r="AB1542"/>
  <c r="AB1541"/>
  <c r="AB1540"/>
  <c r="AB1539"/>
  <c r="AB1538"/>
  <c r="AB1537"/>
  <c r="AB1536"/>
  <c r="AB1535"/>
  <c r="AB1534"/>
  <c r="AB1533"/>
  <c r="AB1532"/>
  <c r="AB1531"/>
  <c r="AB1530"/>
  <c r="AB1529"/>
  <c r="AB1528"/>
  <c r="AB1527"/>
  <c r="AB1526"/>
  <c r="AB1525"/>
  <c r="AB1524"/>
  <c r="AB1523"/>
  <c r="AB1522"/>
  <c r="AB1521"/>
  <c r="AB1520"/>
  <c r="AB1519"/>
  <c r="AB1518"/>
  <c r="AB1517"/>
  <c r="AB1516"/>
  <c r="AB1515"/>
  <c r="AB1514"/>
  <c r="AB1513"/>
  <c r="AB1512"/>
  <c r="AB1511"/>
  <c r="AB1510"/>
  <c r="AB1509"/>
  <c r="AB1508"/>
  <c r="AB1506"/>
  <c r="AB1505"/>
  <c r="AB1504"/>
  <c r="AB1503"/>
  <c r="AB1502"/>
  <c r="AB1501"/>
  <c r="AB1500"/>
  <c r="AB1499"/>
  <c r="AB1498"/>
  <c r="AB1497"/>
  <c r="AB1496"/>
  <c r="AB1495"/>
  <c r="AB1494"/>
  <c r="AB1493"/>
  <c r="AB1492"/>
  <c r="AB1491"/>
  <c r="AB1490"/>
  <c r="AB1489"/>
  <c r="AB1488"/>
  <c r="AB1487"/>
  <c r="AB1486"/>
  <c r="AB1485"/>
  <c r="AB1484"/>
  <c r="AB1483"/>
  <c r="AB1482"/>
  <c r="AB1481"/>
  <c r="AB1480"/>
  <c r="AB1479"/>
  <c r="AB1478"/>
  <c r="AB1477"/>
  <c r="AB1476"/>
  <c r="AB1475"/>
  <c r="AB1473"/>
  <c r="AB1472"/>
  <c r="AB1471"/>
  <c r="AB1470"/>
  <c r="AB1469"/>
  <c r="AB1468"/>
  <c r="AB1467"/>
  <c r="AB1466"/>
  <c r="AB1465"/>
  <c r="AB1464"/>
  <c r="AB1463"/>
  <c r="AB1462"/>
  <c r="AB1461"/>
  <c r="AB1460"/>
  <c r="AB1459"/>
  <c r="AB1458"/>
  <c r="AB1457"/>
  <c r="AB1456"/>
  <c r="AB1455"/>
  <c r="AB1454"/>
  <c r="AB1453"/>
  <c r="AB1452"/>
  <c r="AB1451"/>
  <c r="AB1450"/>
  <c r="AB1449"/>
  <c r="AB1448"/>
  <c r="AB1447"/>
  <c r="AB1446"/>
  <c r="AB1444"/>
  <c r="AB1443"/>
  <c r="AB1442"/>
  <c r="AB1441"/>
  <c r="AB1440"/>
  <c r="AB1439"/>
  <c r="AB1438"/>
  <c r="AB1437"/>
  <c r="AB1436"/>
  <c r="AB1435"/>
  <c r="AB1434"/>
  <c r="AB1433"/>
  <c r="AB1432"/>
  <c r="AB1431"/>
  <c r="AB1429"/>
  <c r="AB1428"/>
  <c r="AB1426"/>
  <c r="AB1425"/>
  <c r="AB1424"/>
  <c r="AB1422"/>
  <c r="AB1421"/>
  <c r="AB1420"/>
  <c r="AB1419"/>
  <c r="AB1418"/>
  <c r="AB1417"/>
  <c r="AB1416"/>
  <c r="AB1415"/>
  <c r="AB1414"/>
  <c r="AB1413"/>
  <c r="AB1412"/>
  <c r="AB1411"/>
  <c r="AB1410"/>
  <c r="AB1409"/>
  <c r="AB1408"/>
  <c r="AB1407"/>
  <c r="AB1405"/>
  <c r="AB1404"/>
  <c r="AB1403"/>
  <c r="AB1402"/>
  <c r="AB1401"/>
  <c r="AB1400"/>
  <c r="AB1399"/>
  <c r="AB1398"/>
  <c r="AB1397"/>
  <c r="AB1396"/>
  <c r="AB1395"/>
  <c r="AB1394"/>
  <c r="AB1393"/>
  <c r="AB1392"/>
  <c r="AB1391"/>
  <c r="AB1390"/>
  <c r="AB1389"/>
  <c r="AB1388"/>
  <c r="AB1387"/>
  <c r="AB1386"/>
  <c r="AB1385"/>
  <c r="AB1384"/>
  <c r="AB1383"/>
  <c r="AB1382"/>
  <c r="AB1381"/>
  <c r="AB1380"/>
  <c r="AB1379"/>
  <c r="AB1378"/>
  <c r="AB1377"/>
  <c r="AB1376"/>
  <c r="AB1375"/>
  <c r="AB1374"/>
  <c r="AB1373"/>
  <c r="AB1372"/>
  <c r="AB1371"/>
  <c r="AB1370"/>
  <c r="AB1369"/>
  <c r="AB1368"/>
  <c r="AB1367"/>
  <c r="AB1366"/>
  <c r="AB1365"/>
  <c r="AB1364"/>
  <c r="AB1363"/>
  <c r="AB1362"/>
  <c r="AB1361"/>
  <c r="AB1360"/>
  <c r="AB1359"/>
  <c r="AB1358"/>
  <c r="AB1357"/>
  <c r="AB1356"/>
  <c r="AB1355"/>
  <c r="AB1354"/>
  <c r="AB1353"/>
  <c r="AB1352"/>
  <c r="AB1351"/>
  <c r="AB1350"/>
  <c r="AB1349"/>
  <c r="AB1348"/>
  <c r="AB1347"/>
  <c r="AB1346"/>
  <c r="AB1345"/>
  <c r="AB1344"/>
  <c r="AB1343"/>
  <c r="AB1342"/>
  <c r="AB1341"/>
  <c r="AB1340"/>
  <c r="AB1339"/>
  <c r="AB1338"/>
  <c r="AB1337"/>
  <c r="AB1336"/>
  <c r="AB1335"/>
  <c r="AB1334"/>
  <c r="AB1333"/>
  <c r="AB1332"/>
  <c r="AB1331"/>
  <c r="AB1330"/>
  <c r="AB1329"/>
  <c r="AB1328"/>
  <c r="AB1327"/>
  <c r="AB1326"/>
  <c r="AB1325"/>
  <c r="AB1324"/>
  <c r="AB1323"/>
  <c r="AB1322"/>
  <c r="AB1321"/>
  <c r="AB1320"/>
  <c r="AB1319"/>
  <c r="AB1318"/>
  <c r="AB1317"/>
  <c r="AB1316"/>
  <c r="AB1315"/>
  <c r="AB1314"/>
  <c r="AB1313"/>
  <c r="AB1312"/>
  <c r="AB1311"/>
  <c r="AB1310"/>
  <c r="AB1309"/>
  <c r="AB1308"/>
  <c r="AB1307"/>
  <c r="AB1306"/>
  <c r="AB1305"/>
  <c r="AB1304"/>
  <c r="AB1303"/>
  <c r="AB1302"/>
  <c r="AB1301"/>
  <c r="AB1300"/>
  <c r="AB1299"/>
  <c r="AB1298"/>
  <c r="AB1297"/>
  <c r="AB1296"/>
  <c r="AB1295"/>
  <c r="AB1294"/>
  <c r="AB1293"/>
  <c r="AB1292"/>
  <c r="AB1291"/>
  <c r="AB1290"/>
  <c r="AB1289"/>
  <c r="AB1288"/>
  <c r="AB1287"/>
  <c r="AB1286"/>
  <c r="AB1285"/>
  <c r="AB1284"/>
  <c r="AB1283"/>
  <c r="AB1282"/>
  <c r="AB1281"/>
  <c r="AB1280"/>
  <c r="AB1279"/>
  <c r="AB1278"/>
  <c r="AB1277"/>
  <c r="AB1276"/>
  <c r="AB1275"/>
  <c r="AB1274"/>
  <c r="AB1273"/>
  <c r="AB1272"/>
  <c r="AB1271"/>
  <c r="AB1270"/>
  <c r="AB1269"/>
  <c r="AB1268"/>
  <c r="AB1267"/>
  <c r="AB1266"/>
  <c r="AB1265"/>
  <c r="AB1264"/>
  <c r="AB1263"/>
  <c r="AB1262"/>
  <c r="AB1261"/>
  <c r="AB1260"/>
  <c r="AB1259"/>
  <c r="AB1258"/>
  <c r="AB1257"/>
  <c r="AB1256"/>
  <c r="AB1255"/>
  <c r="AB1254"/>
  <c r="AB1253"/>
  <c r="AB1252"/>
  <c r="AB1251"/>
  <c r="AB1250"/>
  <c r="AB1249"/>
  <c r="AB1248"/>
  <c r="AB1247"/>
  <c r="AB1246"/>
  <c r="AB1245"/>
  <c r="AB1244"/>
  <c r="AB1243"/>
  <c r="AB1242"/>
  <c r="AB1241"/>
  <c r="AB1240"/>
  <c r="AB1239"/>
  <c r="AB1238"/>
  <c r="AB1237"/>
  <c r="AB1236"/>
  <c r="AB1235"/>
  <c r="AB1234"/>
  <c r="AB1233"/>
  <c r="AB1232"/>
  <c r="AB1231"/>
  <c r="AB1230"/>
  <c r="AB1229"/>
  <c r="AB1228"/>
  <c r="AB1227"/>
  <c r="AB1226"/>
  <c r="AB1225"/>
  <c r="AB1224"/>
  <c r="AB1223"/>
  <c r="AB1222"/>
  <c r="AB1221"/>
  <c r="AB1220"/>
  <c r="AB1219"/>
  <c r="AB1218"/>
  <c r="AB1217"/>
  <c r="AB1216"/>
  <c r="AB1215"/>
  <c r="AB1214"/>
  <c r="AB1213"/>
  <c r="AB1212"/>
  <c r="AB1211"/>
  <c r="AB1210"/>
  <c r="AB1209"/>
  <c r="AB1208"/>
  <c r="AB1207"/>
  <c r="AB1206"/>
  <c r="AB1205"/>
  <c r="AB1204"/>
  <c r="AB1203"/>
  <c r="AB1202"/>
  <c r="AB1201"/>
  <c r="AB1200"/>
  <c r="AB1199"/>
  <c r="AB1198"/>
  <c r="AB1196"/>
  <c r="AB1195"/>
  <c r="AB1194"/>
  <c r="AB1192"/>
  <c r="AB1191"/>
  <c r="AB1190"/>
  <c r="AB1189"/>
  <c r="AB1188"/>
  <c r="AB1187"/>
  <c r="AB1186"/>
  <c r="AB1185"/>
  <c r="AB1184"/>
  <c r="AB1183"/>
  <c r="AB1182"/>
  <c r="AB1181"/>
  <c r="AB1180"/>
  <c r="AB1179"/>
  <c r="AB1178"/>
  <c r="AB1177"/>
  <c r="AB1176"/>
  <c r="AB1175"/>
  <c r="AB1174"/>
  <c r="AB1173"/>
  <c r="AB1172"/>
  <c r="AB1171"/>
  <c r="AB1170"/>
  <c r="AB1169"/>
  <c r="AB1168"/>
  <c r="AB1167"/>
  <c r="AB1166"/>
  <c r="AB1165"/>
  <c r="AB1164"/>
  <c r="AB1163"/>
  <c r="AB1162"/>
  <c r="AB1161"/>
  <c r="AB1160"/>
  <c r="AB1159"/>
  <c r="AB1158"/>
  <c r="AB1157"/>
  <c r="AB1156"/>
  <c r="AB1155"/>
  <c r="AB1154"/>
  <c r="AB1153"/>
  <c r="AB1152"/>
  <c r="AB1151"/>
  <c r="AB1150"/>
  <c r="AB1149"/>
  <c r="AB1148"/>
  <c r="AB1147"/>
  <c r="AB1146"/>
  <c r="AB1145"/>
  <c r="AB1144"/>
  <c r="AB1143"/>
  <c r="AB1142"/>
  <c r="AB1141"/>
  <c r="AB1140"/>
  <c r="AB1139"/>
  <c r="AB1138"/>
  <c r="AB1137"/>
  <c r="AB1135"/>
  <c r="AB1134"/>
  <c r="AB1133"/>
  <c r="AB1132"/>
  <c r="AB1131"/>
  <c r="AB1130"/>
  <c r="AB1129"/>
  <c r="AB1128"/>
  <c r="AB1127"/>
  <c r="AB1126"/>
  <c r="AB1125"/>
  <c r="AB1124"/>
  <c r="AB1123"/>
  <c r="AB1122"/>
  <c r="AB1121"/>
  <c r="AB1120"/>
  <c r="AB1119"/>
  <c r="AB1118"/>
  <c r="AB1117"/>
  <c r="AB1116"/>
  <c r="AB1115"/>
  <c r="AB1114"/>
  <c r="AB1113"/>
  <c r="AB1112"/>
  <c r="AB1111"/>
  <c r="AB1110"/>
  <c r="AB1109"/>
  <c r="AB1108"/>
  <c r="AB1107"/>
  <c r="AB1106"/>
  <c r="AB1105"/>
  <c r="AB1104"/>
  <c r="AB1103"/>
  <c r="AB1102"/>
  <c r="AB1101"/>
  <c r="AB1100"/>
  <c r="AB1099"/>
  <c r="AB1097"/>
  <c r="AB1096"/>
  <c r="AB1095"/>
  <c r="AB1094"/>
  <c r="AB1093"/>
  <c r="AB1092"/>
  <c r="AB1091"/>
  <c r="AB1090"/>
  <c r="AB1089"/>
  <c r="AB1088"/>
  <c r="AB1087"/>
  <c r="AB1086"/>
  <c r="AB1085"/>
  <c r="AB1084"/>
  <c r="AB1083"/>
  <c r="AB1082"/>
  <c r="AB1081"/>
  <c r="AB1080"/>
  <c r="AB1079"/>
  <c r="AB1078"/>
  <c r="AB1077"/>
  <c r="AB1076"/>
  <c r="AB1075"/>
  <c r="AB1074"/>
  <c r="AB1073"/>
  <c r="AB1072"/>
  <c r="AB1071"/>
  <c r="AB1070"/>
  <c r="AB1069"/>
  <c r="AB1068"/>
  <c r="AB1067"/>
  <c r="AB1064"/>
  <c r="AB1063"/>
  <c r="AB1062"/>
  <c r="AB1061"/>
  <c r="AB1060"/>
  <c r="AB1059"/>
  <c r="AB1058"/>
  <c r="AB1057"/>
  <c r="AB1056"/>
  <c r="AB1055"/>
  <c r="AB1054"/>
  <c r="AB1053"/>
  <c r="AB1052"/>
  <c r="AB1051"/>
  <c r="AB1050"/>
  <c r="AB1049"/>
  <c r="AB1048"/>
  <c r="AB1047"/>
  <c r="AB1046"/>
  <c r="AB1045"/>
  <c r="AB1044"/>
  <c r="AB1043"/>
  <c r="AB1042"/>
  <c r="AB1041"/>
  <c r="AB1040"/>
  <c r="AB1039"/>
  <c r="AB1038"/>
  <c r="AB1037"/>
  <c r="AB1036"/>
  <c r="AB1035"/>
  <c r="AB1034"/>
  <c r="AB1033"/>
  <c r="AB1032"/>
  <c r="AB1031"/>
  <c r="AB1030"/>
  <c r="AB1029"/>
  <c r="AB1028"/>
  <c r="AB1027"/>
  <c r="AB1026"/>
  <c r="AB1025"/>
  <c r="AB1024"/>
  <c r="AB1023"/>
  <c r="AB1022"/>
  <c r="AB1021"/>
  <c r="AB1020"/>
  <c r="AB1017"/>
  <c r="AB1016"/>
  <c r="AB1015"/>
  <c r="AB1014"/>
  <c r="AB1013"/>
  <c r="AB1012"/>
  <c r="AB1011"/>
  <c r="AB1010"/>
  <c r="AB1009"/>
  <c r="AB1008"/>
  <c r="AB1007"/>
  <c r="AB1006"/>
  <c r="AB1005"/>
  <c r="AB1004"/>
  <c r="AB1003"/>
  <c r="AB1002"/>
  <c r="AB1001"/>
  <c r="AB1000"/>
  <c r="AB999"/>
  <c r="AB998"/>
  <c r="AB997"/>
  <c r="AB996"/>
  <c r="AB995"/>
  <c r="AB994"/>
  <c r="AB993"/>
  <c r="AB992"/>
  <c r="AB991"/>
  <c r="AB990"/>
  <c r="AB989"/>
  <c r="AB988"/>
  <c r="AB987"/>
  <c r="AB986"/>
  <c r="AB985"/>
  <c r="AB984"/>
  <c r="AB983"/>
  <c r="AB982"/>
  <c r="AB981"/>
  <c r="AB980"/>
  <c r="AB979"/>
  <c r="AB978"/>
  <c r="AB977"/>
  <c r="AB976"/>
  <c r="AB975"/>
  <c r="AB974"/>
  <c r="AB973"/>
  <c r="AB972"/>
  <c r="AB971"/>
  <c r="AB970"/>
  <c r="AB969"/>
  <c r="AB968"/>
  <c r="AB967"/>
  <c r="AB966"/>
  <c r="AB965"/>
  <c r="AB964"/>
  <c r="AB963"/>
  <c r="AB962"/>
  <c r="AB961"/>
  <c r="AB960"/>
  <c r="AB959"/>
  <c r="AB958"/>
  <c r="AB957"/>
  <c r="AB956"/>
  <c r="AB955"/>
  <c r="AB954"/>
  <c r="AB953"/>
  <c r="AB952"/>
  <c r="AB951"/>
  <c r="AB949"/>
  <c r="AB948"/>
  <c r="AB947"/>
  <c r="AB946"/>
  <c r="AB945"/>
  <c r="AB944"/>
  <c r="AB943"/>
  <c r="AB942"/>
  <c r="AB941"/>
  <c r="AB940"/>
  <c r="AB939"/>
  <c r="AB938"/>
  <c r="AB937"/>
  <c r="AB936"/>
  <c r="AB935"/>
  <c r="AB934"/>
  <c r="AB933"/>
  <c r="AB932"/>
  <c r="AB931"/>
  <c r="AB929"/>
  <c r="AB928"/>
  <c r="AB927"/>
  <c r="AB926"/>
  <c r="AB925"/>
  <c r="AB924"/>
  <c r="AB923"/>
  <c r="AB922"/>
  <c r="AB921"/>
  <c r="AB920"/>
  <c r="AB919"/>
  <c r="AB918"/>
  <c r="AB917"/>
  <c r="AB916"/>
  <c r="AB915"/>
  <c r="AB914"/>
  <c r="AB913"/>
  <c r="AB912"/>
  <c r="AB911"/>
  <c r="AB910"/>
  <c r="AB909"/>
  <c r="AB908"/>
  <c r="AB907"/>
  <c r="AB906"/>
  <c r="AB905"/>
  <c r="AB903"/>
  <c r="AB902"/>
  <c r="AB901"/>
  <c r="AB900"/>
  <c r="AB898"/>
  <c r="AB897"/>
  <c r="AB896"/>
  <c r="AB895"/>
  <c r="AB894"/>
  <c r="AB893"/>
  <c r="AB892"/>
  <c r="AB891"/>
  <c r="AB890"/>
  <c r="AB889"/>
  <c r="AB888"/>
  <c r="AB887"/>
  <c r="AB886"/>
  <c r="AB885"/>
  <c r="AB884"/>
  <c r="AB883"/>
  <c r="AB882"/>
  <c r="AB881"/>
  <c r="AB880"/>
  <c r="AB879"/>
  <c r="AB878"/>
  <c r="AB877"/>
  <c r="AB876"/>
  <c r="AB875"/>
  <c r="AB874"/>
  <c r="AB873"/>
  <c r="AB872"/>
  <c r="AB871"/>
  <c r="AB870"/>
  <c r="AB869"/>
  <c r="AB868"/>
  <c r="AB867"/>
  <c r="AB866"/>
  <c r="AB865"/>
  <c r="AB864"/>
  <c r="AB863"/>
  <c r="AB862"/>
  <c r="AB861"/>
  <c r="AB860"/>
  <c r="AB859"/>
  <c r="AB858"/>
  <c r="AB857"/>
  <c r="AB856"/>
  <c r="AB855"/>
  <c r="AB854"/>
  <c r="AB853"/>
  <c r="AB852"/>
  <c r="AB850"/>
  <c r="AB849"/>
  <c r="AB848"/>
  <c r="AB847"/>
  <c r="AB846"/>
  <c r="AB845"/>
  <c r="AB844"/>
  <c r="AB843"/>
  <c r="AB842"/>
  <c r="AB841"/>
  <c r="AB840"/>
  <c r="AB839"/>
  <c r="AB838"/>
  <c r="AB837"/>
  <c r="AB836"/>
  <c r="AB835"/>
  <c r="AB834"/>
  <c r="AB833"/>
  <c r="AB832"/>
  <c r="AB831"/>
  <c r="AB830"/>
  <c r="AB829"/>
  <c r="AB828"/>
  <c r="AB827"/>
  <c r="AB826"/>
  <c r="AB825"/>
  <c r="AB824"/>
  <c r="AB823"/>
  <c r="AB822"/>
  <c r="AB821"/>
  <c r="AB820"/>
  <c r="AB819"/>
  <c r="AB818"/>
  <c r="AB817"/>
  <c r="AB816"/>
  <c r="AB815"/>
  <c r="AB814"/>
  <c r="AB813"/>
  <c r="AB812"/>
  <c r="AB811"/>
  <c r="AB809"/>
  <c r="AB808"/>
  <c r="AB807"/>
  <c r="AB806"/>
  <c r="AB805"/>
  <c r="AB804"/>
  <c r="AB803"/>
  <c r="AB802"/>
  <c r="AB801"/>
  <c r="AB800"/>
  <c r="AB799"/>
  <c r="AB798"/>
  <c r="AB797"/>
  <c r="AB796"/>
  <c r="AB795"/>
  <c r="AB794"/>
  <c r="AB793"/>
  <c r="AB792"/>
  <c r="AB791"/>
  <c r="AB790"/>
  <c r="AB789"/>
  <c r="AB788"/>
  <c r="AB787"/>
  <c r="AB786"/>
  <c r="AB785"/>
  <c r="AB784"/>
  <c r="AB783"/>
  <c r="AB782"/>
  <c r="AB781"/>
  <c r="AB780"/>
  <c r="AB779"/>
  <c r="AB778"/>
  <c r="AB777"/>
  <c r="AB776"/>
  <c r="AB775"/>
  <c r="AB774"/>
  <c r="AB773"/>
  <c r="AB772"/>
  <c r="AB771"/>
  <c r="AB770"/>
  <c r="AB769"/>
  <c r="AB768"/>
  <c r="AB767"/>
  <c r="AB766"/>
  <c r="AB765"/>
  <c r="AB764"/>
  <c r="AB763"/>
  <c r="AB762"/>
  <c r="AB761"/>
  <c r="AB760"/>
  <c r="AB759"/>
  <c r="AB758"/>
  <c r="AB757"/>
  <c r="AB756"/>
  <c r="AB755"/>
  <c r="AB754"/>
  <c r="AB753"/>
  <c r="AB752"/>
  <c r="AB751"/>
  <c r="AB750"/>
  <c r="AB749"/>
  <c r="AB748"/>
  <c r="AB747"/>
  <c r="AB746"/>
  <c r="AB745"/>
  <c r="AB744"/>
  <c r="AB743"/>
  <c r="AB742"/>
  <c r="AB741"/>
  <c r="AB740"/>
  <c r="AB739"/>
  <c r="AB738"/>
  <c r="AB737"/>
  <c r="AB736"/>
  <c r="AB735"/>
  <c r="AB734"/>
  <c r="AB733"/>
  <c r="AB732"/>
  <c r="AB731"/>
  <c r="AB730"/>
  <c r="AB729"/>
  <c r="AB728"/>
  <c r="AB727"/>
  <c r="AB726"/>
  <c r="AB725"/>
  <c r="AB724"/>
  <c r="AB723"/>
  <c r="AB722"/>
  <c r="AB721"/>
  <c r="AB720"/>
  <c r="AB719"/>
  <c r="AB718"/>
  <c r="AB717"/>
  <c r="AB716"/>
  <c r="AB715"/>
  <c r="AB714"/>
  <c r="AB713"/>
  <c r="AB712"/>
  <c r="AB711"/>
  <c r="AB710"/>
  <c r="AB709"/>
  <c r="AB708"/>
  <c r="AB707"/>
  <c r="AB706"/>
  <c r="AB705"/>
  <c r="AB704"/>
  <c r="AB703"/>
  <c r="AB702"/>
  <c r="AB701"/>
  <c r="AB700"/>
  <c r="AB699"/>
  <c r="AB698"/>
  <c r="AB697"/>
  <c r="AB696"/>
  <c r="AB695"/>
  <c r="AB694"/>
  <c r="AB693"/>
  <c r="AB692"/>
  <c r="AB691"/>
  <c r="AB690"/>
  <c r="AB689"/>
  <c r="AB688"/>
  <c r="AB687"/>
  <c r="AB686"/>
  <c r="AB685"/>
  <c r="AB684"/>
  <c r="AB683"/>
  <c r="AB682"/>
  <c r="AB681"/>
  <c r="AB680"/>
  <c r="AB679"/>
  <c r="AB678"/>
  <c r="AB677"/>
  <c r="AB676"/>
  <c r="AB675"/>
  <c r="AB674"/>
  <c r="AB673"/>
  <c r="AB672"/>
  <c r="AB671"/>
  <c r="AB670"/>
  <c r="AB669"/>
  <c r="AB668"/>
  <c r="AB667"/>
  <c r="AB666"/>
  <c r="AB665"/>
  <c r="AB664"/>
  <c r="AB663"/>
  <c r="AB662"/>
  <c r="AB661"/>
  <c r="AB660"/>
  <c r="AB659"/>
  <c r="AB658"/>
  <c r="AB657"/>
  <c r="AB656"/>
  <c r="AB655"/>
  <c r="AB654"/>
  <c r="AB653"/>
  <c r="AB652"/>
  <c r="AB651"/>
  <c r="AB650"/>
  <c r="AB649"/>
  <c r="AB648"/>
  <c r="AB647"/>
  <c r="AB646"/>
  <c r="AB645"/>
  <c r="AB644"/>
  <c r="AB643"/>
  <c r="AB642"/>
  <c r="AB641"/>
  <c r="AB640"/>
  <c r="AB639"/>
  <c r="AB638"/>
  <c r="AB637"/>
  <c r="AB636"/>
  <c r="AB635"/>
  <c r="AB634"/>
  <c r="AB633"/>
  <c r="AB632"/>
  <c r="AB631"/>
  <c r="AB630"/>
  <c r="AB629"/>
  <c r="AB628"/>
  <c r="AB627"/>
  <c r="AB626"/>
  <c r="AB625"/>
  <c r="AB624"/>
  <c r="AB623"/>
  <c r="AB622"/>
  <c r="AB621"/>
  <c r="AB620"/>
  <c r="AB619"/>
  <c r="AB618"/>
  <c r="AB617"/>
  <c r="AB616"/>
  <c r="AB615"/>
  <c r="AB614"/>
  <c r="AB613"/>
  <c r="AB612"/>
  <c r="AB611"/>
  <c r="AB610"/>
  <c r="AB609"/>
  <c r="AB608"/>
  <c r="AB607"/>
  <c r="AB606"/>
  <c r="AB605"/>
  <c r="AB604"/>
  <c r="AB603"/>
  <c r="AB602"/>
  <c r="AB601"/>
  <c r="AB600"/>
  <c r="AB599"/>
  <c r="AB598"/>
  <c r="AB597"/>
  <c r="AB596"/>
  <c r="AB595"/>
  <c r="AB594"/>
  <c r="AB593"/>
  <c r="AB592"/>
  <c r="AB591"/>
  <c r="AB590"/>
  <c r="AB589"/>
  <c r="AB588"/>
  <c r="AB587"/>
  <c r="AB586"/>
  <c r="AB585"/>
  <c r="AB584"/>
  <c r="AB583"/>
  <c r="AB582"/>
  <c r="AB581"/>
  <c r="AB580"/>
  <c r="AB579"/>
  <c r="AB578"/>
  <c r="AB577"/>
  <c r="AB576"/>
  <c r="AB575"/>
  <c r="AB574"/>
  <c r="AB573"/>
  <c r="AB572"/>
  <c r="AB571"/>
  <c r="AB570"/>
  <c r="AB569"/>
  <c r="AB568"/>
  <c r="AB567"/>
  <c r="AB566"/>
  <c r="AB565"/>
  <c r="AB564"/>
  <c r="AB563"/>
  <c r="AB562"/>
  <c r="AB561"/>
  <c r="AB560"/>
  <c r="AB559"/>
  <c r="AB558"/>
  <c r="AB557"/>
  <c r="AB556"/>
  <c r="AB555"/>
  <c r="AB554"/>
  <c r="AB553"/>
  <c r="AB552"/>
  <c r="AB551"/>
  <c r="AB550"/>
  <c r="AB549"/>
  <c r="AB548"/>
  <c r="AB547"/>
  <c r="AB546"/>
  <c r="AB545"/>
  <c r="AB544"/>
  <c r="AB543"/>
  <c r="AB542"/>
  <c r="AB541"/>
  <c r="AB540"/>
  <c r="AB539"/>
  <c r="AB538"/>
  <c r="AB537"/>
  <c r="AB536"/>
  <c r="AB535"/>
  <c r="AB534"/>
  <c r="AB533"/>
  <c r="AB532"/>
  <c r="AB531"/>
  <c r="AB530"/>
  <c r="AB529"/>
  <c r="AB528"/>
  <c r="AB527"/>
  <c r="AB526"/>
  <c r="AB525"/>
  <c r="AB524"/>
  <c r="AB523"/>
  <c r="AB522"/>
  <c r="AB521"/>
  <c r="AB520"/>
  <c r="AB519"/>
  <c r="AB518"/>
  <c r="AB517"/>
  <c r="AB516"/>
  <c r="AB515"/>
  <c r="AB514"/>
  <c r="AB513"/>
  <c r="AB512"/>
  <c r="AB511"/>
  <c r="AB510"/>
  <c r="AB509"/>
  <c r="AB508"/>
  <c r="AB507"/>
  <c r="AB506"/>
  <c r="AB505"/>
  <c r="AB504"/>
  <c r="AB503"/>
  <c r="AB502"/>
  <c r="AB501"/>
  <c r="AB500"/>
  <c r="AB499"/>
  <c r="AB498"/>
  <c r="AB497"/>
  <c r="AB496"/>
  <c r="AB495"/>
  <c r="AB494"/>
  <c r="AB493"/>
  <c r="AB492"/>
  <c r="AB491"/>
  <c r="AB490"/>
  <c r="AB489"/>
  <c r="AB488"/>
  <c r="AB487"/>
  <c r="AB486"/>
  <c r="AB485"/>
  <c r="AB484"/>
  <c r="AB483"/>
  <c r="AB482"/>
  <c r="AB481"/>
  <c r="AB480"/>
  <c r="AB479"/>
  <c r="AB478"/>
  <c r="AB477"/>
  <c r="AB476"/>
  <c r="AB475"/>
  <c r="AB474"/>
  <c r="AB473"/>
  <c r="AB472"/>
  <c r="AB471"/>
  <c r="AB470"/>
  <c r="AB469"/>
  <c r="AB468"/>
  <c r="AB467"/>
  <c r="AB466"/>
  <c r="AB465"/>
  <c r="AB464"/>
  <c r="AB463"/>
  <c r="AB462"/>
  <c r="AB461"/>
  <c r="AB460"/>
  <c r="AB459"/>
  <c r="AB458"/>
  <c r="AB457"/>
  <c r="AB456"/>
  <c r="AB455"/>
  <c r="AB454"/>
  <c r="AB453"/>
  <c r="AB452"/>
  <c r="AB451"/>
  <c r="AB450"/>
  <c r="AB449"/>
  <c r="AB448"/>
  <c r="AB447"/>
  <c r="AB446"/>
  <c r="AB445"/>
  <c r="AB444"/>
  <c r="AB443"/>
  <c r="AB442"/>
  <c r="AB441"/>
  <c r="AB440"/>
  <c r="AB439"/>
  <c r="AB438"/>
  <c r="AB437"/>
  <c r="AB436"/>
  <c r="AB435"/>
  <c r="AB434"/>
  <c r="AB433"/>
  <c r="AB432"/>
  <c r="AB431"/>
  <c r="AB430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97"/>
  <c r="AB396"/>
  <c r="AB395"/>
  <c r="AB394"/>
  <c r="AB393"/>
  <c r="AB392"/>
  <c r="AB391"/>
  <c r="AB390"/>
  <c r="AB389"/>
  <c r="AB388"/>
  <c r="AB387"/>
  <c r="AB386"/>
  <c r="AB385"/>
  <c r="AB384"/>
  <c r="AB383"/>
  <c r="AB382"/>
  <c r="AB381"/>
  <c r="AB380"/>
  <c r="AB379"/>
  <c r="AB378"/>
  <c r="AB377"/>
  <c r="AB376"/>
  <c r="AB375"/>
  <c r="AB374"/>
  <c r="AB373"/>
  <c r="AB372"/>
  <c r="AB371"/>
  <c r="AB370"/>
  <c r="AB369"/>
  <c r="AB368"/>
  <c r="AB367"/>
  <c r="AB366"/>
  <c r="AB365"/>
  <c r="AB364"/>
  <c r="AB363"/>
  <c r="AB362"/>
  <c r="AB361"/>
  <c r="AB360"/>
  <c r="AB359"/>
  <c r="AB358"/>
  <c r="AB357"/>
  <c r="AB356"/>
  <c r="AB355"/>
  <c r="AB354"/>
  <c r="AB353"/>
  <c r="AB352"/>
  <c r="AB351"/>
  <c r="AB350"/>
  <c r="AB349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1"/>
  <c r="AB330"/>
  <c r="AB329"/>
  <c r="AB328"/>
  <c r="AB327"/>
  <c r="AB326"/>
  <c r="AB325"/>
  <c r="AB324"/>
  <c r="AB323"/>
  <c r="AB322"/>
  <c r="AB321"/>
  <c r="AB320"/>
  <c r="AB319"/>
  <c r="AB318"/>
  <c r="AB317"/>
  <c r="AB316"/>
  <c r="AB315"/>
  <c r="AB314"/>
  <c r="AB313"/>
  <c r="AB312"/>
  <c r="AB311"/>
  <c r="AB310"/>
  <c r="AB309"/>
  <c r="AB308"/>
  <c r="AB307"/>
  <c r="AB306"/>
  <c r="AB305"/>
  <c r="AB304"/>
  <c r="AB303"/>
  <c r="AB302"/>
  <c r="AB301"/>
  <c r="AB300"/>
  <c r="AB299"/>
  <c r="AB298"/>
  <c r="AB297"/>
  <c r="AB296"/>
  <c r="AB295"/>
  <c r="AB294"/>
  <c r="AB293"/>
  <c r="AB292"/>
  <c r="AB291"/>
  <c r="AB290"/>
  <c r="AB289"/>
  <c r="AB288"/>
  <c r="AB287"/>
  <c r="AB286"/>
  <c r="AB285"/>
  <c r="AB284"/>
  <c r="AB283"/>
  <c r="AB282"/>
  <c r="AB281"/>
  <c r="AB280"/>
  <c r="AB279"/>
  <c r="AB278"/>
  <c r="AB277"/>
  <c r="AB276"/>
  <c r="AB275"/>
  <c r="AB274"/>
  <c r="AB273"/>
  <c r="AB272"/>
  <c r="AB271"/>
  <c r="AB270"/>
  <c r="AB269"/>
  <c r="AB268"/>
  <c r="AB267"/>
  <c r="AB266"/>
  <c r="AB265"/>
  <c r="AB264"/>
  <c r="AB263"/>
  <c r="AB262"/>
  <c r="AB261"/>
  <c r="AB260"/>
  <c r="AB259"/>
  <c r="AB258"/>
  <c r="AB257"/>
  <c r="AB256"/>
  <c r="AB255"/>
  <c r="AB254"/>
  <c r="AB253"/>
  <c r="AB252"/>
  <c r="AB251"/>
  <c r="AB250"/>
  <c r="AB249"/>
  <c r="AB248"/>
  <c r="AB247"/>
  <c r="AB246"/>
  <c r="AB245"/>
  <c r="AB244"/>
  <c r="AB243"/>
  <c r="AB242"/>
  <c r="AB241"/>
  <c r="AB240"/>
  <c r="AB239"/>
  <c r="AB238"/>
  <c r="AB237"/>
  <c r="AB236"/>
  <c r="AB235"/>
  <c r="AB234"/>
  <c r="AB233"/>
  <c r="AB232"/>
  <c r="AB231"/>
  <c r="AB230"/>
  <c r="AB229"/>
  <c r="AB228"/>
  <c r="AB227"/>
  <c r="AB226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B195"/>
  <c r="AB194"/>
  <c r="AB193"/>
  <c r="AB192"/>
  <c r="AB191"/>
  <c r="AB190"/>
  <c r="AB189"/>
  <c r="AB188"/>
  <c r="AB187"/>
  <c r="AB186"/>
  <c r="AB185"/>
  <c r="AB184"/>
  <c r="AB183"/>
  <c r="AB182"/>
  <c r="AB181"/>
  <c r="AB180"/>
  <c r="AB179"/>
  <c r="AB178"/>
  <c r="AB177"/>
  <c r="AB176"/>
  <c r="AB175"/>
  <c r="AB174"/>
  <c r="AB173"/>
  <c r="AB172"/>
  <c r="AB171"/>
  <c r="AB170"/>
  <c r="AB169"/>
  <c r="AB168"/>
  <c r="AB167"/>
  <c r="AB166"/>
  <c r="AB165"/>
  <c r="AB164"/>
  <c r="AB163"/>
  <c r="AB162"/>
  <c r="AB161"/>
  <c r="AB160"/>
  <c r="AB159"/>
  <c r="AB158"/>
  <c r="AB157"/>
  <c r="AB15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X1423"/>
  <c r="X1197"/>
  <c r="X1193"/>
  <c r="X950"/>
  <c r="I189" i="28" l="1"/>
  <c r="AB1193" i="1"/>
  <c r="AB1423"/>
  <c r="AB950"/>
  <c r="AB1197"/>
  <c r="M1437"/>
  <c r="AP1437" s="1"/>
  <c r="B1437"/>
  <c r="O1504"/>
  <c r="B1504"/>
  <c r="AQ1437" l="1"/>
  <c r="K1437"/>
  <c r="O1437"/>
  <c r="N1504"/>
  <c r="N1437"/>
  <c r="AS1437"/>
  <c r="AA1437"/>
  <c r="Z1437"/>
  <c r="M1504"/>
  <c r="AP1504" s="1"/>
  <c r="AQ1504" s="1"/>
  <c r="AS1504"/>
  <c r="AA1504"/>
  <c r="V1504"/>
  <c r="K1504"/>
  <c r="Z1504" l="1"/>
  <c r="Y1504"/>
  <c r="U1504"/>
  <c r="Y1437"/>
  <c r="U1437"/>
  <c r="W1504"/>
  <c r="V1437"/>
  <c r="W1437"/>
  <c r="B551" l="1"/>
  <c r="V551" l="1"/>
  <c r="AS551"/>
  <c r="Z551"/>
  <c r="K551"/>
  <c r="O551"/>
  <c r="N551"/>
  <c r="Y551"/>
  <c r="M551"/>
  <c r="AP551" s="1"/>
  <c r="AQ551" s="1"/>
  <c r="AA551" l="1"/>
  <c r="W551"/>
  <c r="U551"/>
  <c r="M54"/>
  <c r="AP54" s="1"/>
  <c r="B54"/>
  <c r="AQ54" l="1"/>
  <c r="O54"/>
  <c r="AS54"/>
  <c r="K54"/>
  <c r="N54"/>
  <c r="AA54"/>
  <c r="W54" l="1"/>
  <c r="M70" i="54" l="1"/>
  <c r="M72" i="52"/>
  <c r="S23" i="41"/>
  <c r="M654" i="1"/>
  <c r="AP654" s="1"/>
  <c r="B654"/>
  <c r="AQ654" l="1"/>
  <c r="V654"/>
  <c r="Z654"/>
  <c r="Y654"/>
  <c r="AS654"/>
  <c r="O654"/>
  <c r="N654"/>
  <c r="E69" i="10"/>
  <c r="D69"/>
  <c r="AA312" i="1"/>
  <c r="M313"/>
  <c r="AP313" s="1"/>
  <c r="M312"/>
  <c r="AP312" s="1"/>
  <c r="B313"/>
  <c r="B312"/>
  <c r="W312" l="1"/>
  <c r="U654"/>
  <c r="AA654"/>
  <c r="W654"/>
  <c r="AS312"/>
  <c r="Y312"/>
  <c r="Z312"/>
  <c r="AS313"/>
  <c r="AQ313"/>
  <c r="AQ312"/>
  <c r="AA313"/>
  <c r="Z313"/>
  <c r="K313"/>
  <c r="O312"/>
  <c r="O313"/>
  <c r="N312"/>
  <c r="N313"/>
  <c r="K312"/>
  <c r="V313" l="1"/>
  <c r="W313"/>
  <c r="U312"/>
  <c r="V312"/>
  <c r="Y313"/>
  <c r="U313"/>
  <c r="N24" i="62"/>
  <c r="L70" i="54" l="1"/>
  <c r="L72" i="52"/>
  <c r="R23" i="41"/>
  <c r="H38" i="58"/>
  <c r="O357" i="74" l="1"/>
  <c r="I167" i="59" s="1"/>
  <c r="O356" i="74"/>
  <c r="H167" i="59" s="1"/>
  <c r="O355" i="74"/>
  <c r="N357"/>
  <c r="M357"/>
  <c r="L357"/>
  <c r="K357"/>
  <c r="J357"/>
  <c r="I357"/>
  <c r="H357"/>
  <c r="G357"/>
  <c r="F357"/>
  <c r="E357"/>
  <c r="D357"/>
  <c r="N356"/>
  <c r="M356"/>
  <c r="L356"/>
  <c r="K356"/>
  <c r="J356"/>
  <c r="I356"/>
  <c r="H356"/>
  <c r="G356"/>
  <c r="F356"/>
  <c r="E356"/>
  <c r="D356"/>
  <c r="N355"/>
  <c r="M355"/>
  <c r="L355"/>
  <c r="K355"/>
  <c r="J355"/>
  <c r="I355"/>
  <c r="H355"/>
  <c r="G355"/>
  <c r="F355"/>
  <c r="E355"/>
  <c r="D355"/>
  <c r="N354"/>
  <c r="M354"/>
  <c r="L354"/>
  <c r="K354"/>
  <c r="J354"/>
  <c r="I354"/>
  <c r="H354"/>
  <c r="G354"/>
  <c r="F354"/>
  <c r="E354"/>
  <c r="D354"/>
  <c r="C357"/>
  <c r="C356"/>
  <c r="C355"/>
  <c r="C354"/>
  <c r="K70" i="54"/>
  <c r="K72" i="52"/>
  <c r="Q22" i="41"/>
  <c r="Q23" s="1"/>
  <c r="D24" i="37" l="1"/>
  <c r="C24"/>
  <c r="B24"/>
  <c r="C23"/>
  <c r="B23"/>
  <c r="C22"/>
  <c r="B22"/>
  <c r="B21"/>
  <c r="C20"/>
  <c r="B20"/>
  <c r="C19"/>
  <c r="B19"/>
  <c r="C18"/>
  <c r="C17"/>
  <c r="B17"/>
  <c r="C16"/>
  <c r="B16"/>
  <c r="C15"/>
  <c r="B15"/>
  <c r="C14"/>
  <c r="B14"/>
  <c r="C13"/>
  <c r="B13"/>
  <c r="C12"/>
  <c r="B12"/>
  <c r="C182" i="36"/>
  <c r="C178"/>
  <c r="C174"/>
  <c r="C170"/>
  <c r="C160"/>
  <c r="C151"/>
  <c r="E90" i="10" l="1"/>
  <c r="D90" s="1"/>
  <c r="G89" l="1"/>
  <c r="E82" s="1"/>
  <c r="D82" l="1"/>
  <c r="G81" s="1"/>
  <c r="E81"/>
  <c r="G79"/>
  <c r="G78"/>
  <c r="G69" l="1"/>
  <c r="E71" l="1"/>
  <c r="D71"/>
  <c r="G58"/>
  <c r="E57" l="1"/>
  <c r="G56"/>
  <c r="D55"/>
  <c r="D60" s="1"/>
  <c r="E60" l="1"/>
  <c r="G57"/>
  <c r="G55"/>
  <c r="E26"/>
  <c r="D26" s="1"/>
  <c r="G24" s="1"/>
  <c r="E24"/>
  <c r="D24"/>
  <c r="G60" l="1"/>
  <c r="D62" s="1"/>
  <c r="G22"/>
  <c r="G21"/>
  <c r="E14"/>
  <c r="D14"/>
  <c r="E13"/>
  <c r="D13"/>
  <c r="E12"/>
  <c r="D12"/>
  <c r="E11"/>
  <c r="D11"/>
  <c r="E10"/>
  <c r="D10"/>
  <c r="E8"/>
  <c r="D8"/>
  <c r="E5"/>
  <c r="D5"/>
  <c r="E62" l="1"/>
  <c r="V54" i="1"/>
  <c r="Z54"/>
  <c r="U54"/>
  <c r="Y54"/>
  <c r="F293" i="59"/>
  <c r="P41" i="58" l="1"/>
  <c r="N41"/>
  <c r="L41"/>
  <c r="J41"/>
  <c r="H41"/>
  <c r="F41"/>
  <c r="D41"/>
  <c r="P40"/>
  <c r="N40"/>
  <c r="L40"/>
  <c r="J40"/>
  <c r="H40"/>
  <c r="F40"/>
  <c r="D40"/>
  <c r="P39"/>
  <c r="N39"/>
  <c r="L39"/>
  <c r="J39"/>
  <c r="J45" s="1"/>
  <c r="H39"/>
  <c r="F39"/>
  <c r="D39"/>
  <c r="D45" s="1"/>
  <c r="P38"/>
  <c r="P44" s="1"/>
  <c r="N38"/>
  <c r="L38"/>
  <c r="J38"/>
  <c r="H44"/>
  <c r="F38"/>
  <c r="D38"/>
  <c r="F44" l="1"/>
  <c r="D44" s="1"/>
  <c r="H45"/>
  <c r="F45" s="1"/>
  <c r="N44"/>
  <c r="L44" s="1"/>
  <c r="J44" s="1"/>
  <c r="H59" i="41" l="1"/>
  <c r="I58" l="1"/>
  <c r="I60" s="1"/>
  <c r="H60" s="1"/>
  <c r="J57"/>
  <c r="K57" s="1"/>
  <c r="L57" s="1"/>
  <c r="M57" s="1"/>
  <c r="N57" s="1"/>
  <c r="O57" s="1"/>
  <c r="I57"/>
  <c r="I56"/>
  <c r="J56" s="1"/>
  <c r="K56" s="1"/>
  <c r="J58" l="1"/>
  <c r="K58" s="1"/>
  <c r="L58" s="1"/>
  <c r="L60" s="1"/>
  <c r="K60" s="1"/>
  <c r="J60" s="1"/>
  <c r="I59"/>
  <c r="J59"/>
  <c r="L56"/>
  <c r="I52"/>
  <c r="I54" s="1"/>
  <c r="H54" s="1"/>
  <c r="K59" l="1"/>
  <c r="M58"/>
  <c r="M60" s="1"/>
  <c r="L59"/>
  <c r="M56"/>
  <c r="J52"/>
  <c r="J51"/>
  <c r="K51" s="1"/>
  <c r="L51" s="1"/>
  <c r="M51" s="1"/>
  <c r="N51" s="1"/>
  <c r="O51" s="1"/>
  <c r="I51"/>
  <c r="I50"/>
  <c r="J50" s="1"/>
  <c r="J53" s="1"/>
  <c r="I53" s="1"/>
  <c r="H53" s="1"/>
  <c r="N58" l="1"/>
  <c r="O58" s="1"/>
  <c r="K50"/>
  <c r="L50" s="1"/>
  <c r="M50" s="1"/>
  <c r="N50" s="1"/>
  <c r="O50" s="1"/>
  <c r="M59"/>
  <c r="N56"/>
  <c r="J54"/>
  <c r="K52"/>
  <c r="L52" s="1"/>
  <c r="N59" l="1"/>
  <c r="O56"/>
  <c r="O59" s="1"/>
  <c r="L54"/>
  <c r="K54" s="1"/>
  <c r="M52"/>
  <c r="K53"/>
  <c r="L53"/>
  <c r="M54" l="1"/>
  <c r="N52"/>
  <c r="O52" s="1"/>
  <c r="O54" l="1"/>
  <c r="N54" s="1"/>
  <c r="O53"/>
  <c r="N53" s="1"/>
  <c r="M53" s="1"/>
  <c r="F29"/>
  <c r="H364" i="59" l="1"/>
  <c r="F28" i="41" l="1"/>
  <c r="P23" l="1"/>
  <c r="O23"/>
  <c r="N23"/>
  <c r="M23"/>
  <c r="L23"/>
  <c r="J23"/>
  <c r="I23"/>
  <c r="H23"/>
  <c r="K22" l="1"/>
  <c r="K23" s="1"/>
  <c r="B12" l="1"/>
  <c r="E12" s="1"/>
  <c r="F10"/>
  <c r="E10"/>
  <c r="E13" l="1"/>
  <c r="E14"/>
  <c r="J70" i="54" l="1"/>
  <c r="I70"/>
  <c r="H70"/>
  <c r="G70" l="1"/>
  <c r="F70"/>
  <c r="E70" l="1"/>
  <c r="D70"/>
  <c r="C70"/>
  <c r="B70"/>
  <c r="J72" i="52" l="1"/>
  <c r="I72"/>
  <c r="H72"/>
  <c r="G72"/>
  <c r="F72" l="1"/>
  <c r="E72"/>
  <c r="D72"/>
  <c r="C72"/>
  <c r="B72"/>
  <c r="Q28" i="55" l="1"/>
  <c r="P28"/>
  <c r="O28"/>
  <c r="N28"/>
  <c r="M28"/>
  <c r="L28"/>
  <c r="K28"/>
  <c r="J28"/>
  <c r="I28"/>
  <c r="H28"/>
  <c r="G28"/>
  <c r="F28"/>
  <c r="E28" l="1"/>
  <c r="Q27" l="1"/>
  <c r="Q30" s="1"/>
  <c r="P27"/>
  <c r="P30" s="1"/>
  <c r="O27"/>
  <c r="O30" s="1"/>
  <c r="N27"/>
  <c r="N30" s="1"/>
  <c r="M27"/>
  <c r="L27"/>
  <c r="K27"/>
  <c r="J27"/>
  <c r="I27"/>
  <c r="H27"/>
  <c r="G27"/>
  <c r="F27"/>
  <c r="E27"/>
  <c r="M30" l="1"/>
  <c r="Q22"/>
  <c r="P22"/>
  <c r="O22"/>
  <c r="N22"/>
  <c r="M22"/>
  <c r="L22"/>
  <c r="K22"/>
  <c r="J22"/>
  <c r="I22"/>
  <c r="H22"/>
  <c r="G22"/>
  <c r="F22"/>
  <c r="E22"/>
  <c r="Q14"/>
  <c r="P14"/>
  <c r="O14"/>
  <c r="N14"/>
  <c r="M14"/>
  <c r="L14"/>
  <c r="K14"/>
  <c r="J14"/>
  <c r="I14"/>
  <c r="H14"/>
  <c r="G14"/>
  <c r="F14"/>
  <c r="E14"/>
  <c r="F15" i="57"/>
  <c r="L30" i="55" l="1"/>
  <c r="Q23"/>
  <c r="I221" i="59" s="1"/>
  <c r="Q15" i="55"/>
  <c r="H221" i="59" s="1"/>
  <c r="K30" i="55" l="1"/>
  <c r="D39" i="62"/>
  <c r="E39" s="1"/>
  <c r="F39" s="1"/>
  <c r="G39" s="1"/>
  <c r="H39" s="1"/>
  <c r="I39" s="1"/>
  <c r="J39" s="1"/>
  <c r="K39" s="1"/>
  <c r="L39" s="1"/>
  <c r="M39" s="1"/>
  <c r="N39" s="1"/>
  <c r="O39" s="1"/>
  <c r="P39" s="1"/>
  <c r="J30" i="55" l="1"/>
  <c r="I30" l="1"/>
  <c r="H30" l="1"/>
  <c r="D29" i="62"/>
  <c r="D28"/>
  <c r="D27"/>
  <c r="O24"/>
  <c r="D30" l="1"/>
  <c r="G30" i="55"/>
  <c r="F30" l="1"/>
  <c r="E30" l="1"/>
  <c r="Q31" l="1"/>
  <c r="E24" i="62" l="1"/>
  <c r="D24"/>
  <c r="M24" l="1"/>
  <c r="L24"/>
  <c r="K24"/>
  <c r="J24"/>
  <c r="I24"/>
  <c r="H24"/>
  <c r="G24"/>
  <c r="F24"/>
  <c r="D18" l="1"/>
  <c r="P11" l="1"/>
  <c r="O11" l="1"/>
  <c r="N11"/>
  <c r="M11" l="1"/>
  <c r="L11"/>
  <c r="K11"/>
  <c r="J11"/>
  <c r="I11"/>
  <c r="H11"/>
  <c r="G11"/>
  <c r="F11"/>
  <c r="E11"/>
  <c r="D11"/>
  <c r="P10"/>
  <c r="O10"/>
  <c r="N10"/>
  <c r="M10"/>
  <c r="L10"/>
  <c r="K10"/>
  <c r="J10"/>
  <c r="I10"/>
  <c r="H10"/>
  <c r="G10"/>
  <c r="F10"/>
  <c r="E10"/>
  <c r="D10"/>
  <c r="P9"/>
  <c r="O9"/>
  <c r="N9"/>
  <c r="M9"/>
  <c r="L9"/>
  <c r="K9"/>
  <c r="J9"/>
  <c r="I9"/>
  <c r="H9"/>
  <c r="G9"/>
  <c r="F9"/>
  <c r="E9"/>
  <c r="D9"/>
  <c r="N12" l="1"/>
  <c r="G12"/>
  <c r="K12"/>
  <c r="O12"/>
  <c r="F12"/>
  <c r="J12"/>
  <c r="E12"/>
  <c r="I12"/>
  <c r="D33"/>
  <c r="D12"/>
  <c r="H12"/>
  <c r="P12"/>
  <c r="L12"/>
  <c r="M12"/>
  <c r="D34" l="1"/>
  <c r="P6" i="64" l="1"/>
  <c r="AM1764" i="1" l="1"/>
  <c r="AL1764"/>
  <c r="AI1764"/>
  <c r="AH1764" l="1"/>
  <c r="AG1764"/>
  <c r="AF1764"/>
  <c r="AE1764"/>
  <c r="AD1764"/>
  <c r="AC1764"/>
  <c r="AS1758"/>
  <c r="AS1757"/>
  <c r="AS1756"/>
  <c r="AS1755"/>
  <c r="AS1752"/>
  <c r="AS1745"/>
  <c r="AS1744"/>
  <c r="AS1743"/>
  <c r="AS1735"/>
  <c r="AS1733"/>
  <c r="AS1729"/>
  <c r="AS1728"/>
  <c r="AS1727"/>
  <c r="AS1726"/>
  <c r="AS1725"/>
  <c r="AS1724"/>
  <c r="AS1723"/>
  <c r="AS1722"/>
  <c r="AS1721"/>
  <c r="AS1720"/>
  <c r="AS1719"/>
  <c r="AS1718"/>
  <c r="AS1717"/>
  <c r="AS1715"/>
  <c r="AS1709" l="1"/>
  <c r="AS1708"/>
  <c r="AS1707"/>
  <c r="AS1706"/>
  <c r="AS1705" l="1"/>
  <c r="AS1704"/>
  <c r="AS1703"/>
  <c r="AS1702"/>
  <c r="AS1701"/>
  <c r="AS1700"/>
  <c r="AO1696"/>
  <c r="AM1696"/>
  <c r="AL1696"/>
  <c r="AK1696"/>
  <c r="AJ1696"/>
  <c r="AI1696"/>
  <c r="AH1696"/>
  <c r="AG1696"/>
  <c r="AF1696" l="1"/>
  <c r="AE1696"/>
  <c r="AD1696"/>
  <c r="AC1696"/>
  <c r="AS1565" l="1"/>
  <c r="AF1557" l="1"/>
  <c r="AE1557"/>
  <c r="AE1559" s="1"/>
  <c r="AD1557"/>
  <c r="AC1557" l="1"/>
  <c r="AC1559" l="1"/>
  <c r="M1555"/>
  <c r="AP1555" s="1"/>
  <c r="B1555"/>
  <c r="N1554"/>
  <c r="B1554"/>
  <c r="K1553"/>
  <c r="B1553"/>
  <c r="N1552"/>
  <c r="B1552"/>
  <c r="N1551"/>
  <c r="B1551"/>
  <c r="M1550"/>
  <c r="B1550"/>
  <c r="W1549"/>
  <c r="M1549"/>
  <c r="B1549"/>
  <c r="B1548"/>
  <c r="AS1548" l="1"/>
  <c r="N1553"/>
  <c r="M1554"/>
  <c r="M1551"/>
  <c r="AS1553"/>
  <c r="N1550"/>
  <c r="K1548"/>
  <c r="K1549"/>
  <c r="O1549"/>
  <c r="V1549"/>
  <c r="AS1552"/>
  <c r="AS1549"/>
  <c r="N1549"/>
  <c r="AS1550"/>
  <c r="K1550"/>
  <c r="O1550"/>
  <c r="M1552"/>
  <c r="O1553"/>
  <c r="W1550"/>
  <c r="AS1554"/>
  <c r="K1555"/>
  <c r="O1555"/>
  <c r="O1548"/>
  <c r="AA1549"/>
  <c r="AA1550"/>
  <c r="N1548"/>
  <c r="M1548" s="1"/>
  <c r="K1551"/>
  <c r="O1551"/>
  <c r="AS1551"/>
  <c r="K1552"/>
  <c r="O1552"/>
  <c r="Z1552"/>
  <c r="M1553"/>
  <c r="K1554"/>
  <c r="O1554"/>
  <c r="N1555"/>
  <c r="AS1555"/>
  <c r="AQ1555" s="1"/>
  <c r="U1549"/>
  <c r="U1551"/>
  <c r="U1552"/>
  <c r="Y1552"/>
  <c r="W1553"/>
  <c r="AA1553"/>
  <c r="Y1551"/>
  <c r="Y1554"/>
  <c r="U1550" l="1"/>
  <c r="Y1550"/>
  <c r="W1555"/>
  <c r="Y1553"/>
  <c r="AA1552"/>
  <c r="Y1549"/>
  <c r="Z1553"/>
  <c r="V1552"/>
  <c r="Z1551"/>
  <c r="V1551"/>
  <c r="W1554"/>
  <c r="W1552"/>
  <c r="W1548"/>
  <c r="AA1555"/>
  <c r="AA1554"/>
  <c r="AA1548"/>
  <c r="Z1555"/>
  <c r="Z1548"/>
  <c r="V1548"/>
  <c r="V1550"/>
  <c r="Z1550"/>
  <c r="Z1549"/>
  <c r="V1555"/>
  <c r="V1554"/>
  <c r="U1554" s="1"/>
  <c r="W1551"/>
  <c r="U1555"/>
  <c r="Y1548"/>
  <c r="Y1555"/>
  <c r="AA1551"/>
  <c r="U1548"/>
  <c r="Z1554"/>
  <c r="V1553"/>
  <c r="U1553" s="1"/>
  <c r="AJ1547"/>
  <c r="AA1547"/>
  <c r="Z1547"/>
  <c r="Y1547"/>
  <c r="N1547"/>
  <c r="B1547"/>
  <c r="N1546"/>
  <c r="B1546"/>
  <c r="AJ1545"/>
  <c r="AA1545"/>
  <c r="Y1545"/>
  <c r="O1545"/>
  <c r="B1545"/>
  <c r="B1544"/>
  <c r="O1543"/>
  <c r="B1543"/>
  <c r="AJ1542"/>
  <c r="AA1542"/>
  <c r="N1542"/>
  <c r="B1542"/>
  <c r="M1541"/>
  <c r="B1541"/>
  <c r="AJ1540"/>
  <c r="Z1540"/>
  <c r="M1540"/>
  <c r="B1540"/>
  <c r="O1539"/>
  <c r="B1539"/>
  <c r="M1538"/>
  <c r="B1538"/>
  <c r="U1537"/>
  <c r="B1537"/>
  <c r="N1536"/>
  <c r="B1536"/>
  <c r="O1535"/>
  <c r="B1535"/>
  <c r="N1534"/>
  <c r="M1534" s="1"/>
  <c r="B1534"/>
  <c r="B1533"/>
  <c r="X1542" l="1"/>
  <c r="V1542" s="1"/>
  <c r="X1547"/>
  <c r="W1547" s="1"/>
  <c r="X1540"/>
  <c r="V1540" s="1"/>
  <c r="U1540" s="1"/>
  <c r="X1545"/>
  <c r="U1545" s="1"/>
  <c r="M1536"/>
  <c r="N1535"/>
  <c r="M1535"/>
  <c r="AS1537"/>
  <c r="AS1544"/>
  <c r="U1543"/>
  <c r="AS1545"/>
  <c r="M1539"/>
  <c r="AS1543"/>
  <c r="K1544"/>
  <c r="AS1533"/>
  <c r="AS1534"/>
  <c r="N1538"/>
  <c r="K1541"/>
  <c r="N1543"/>
  <c r="M1543"/>
  <c r="AS1539"/>
  <c r="Y1538"/>
  <c r="AS1541"/>
  <c r="O1541"/>
  <c r="K1540"/>
  <c r="O1534"/>
  <c r="AS1538"/>
  <c r="N1539"/>
  <c r="O1540"/>
  <c r="N1541"/>
  <c r="K1543"/>
  <c r="V1543"/>
  <c r="O1544"/>
  <c r="M1545"/>
  <c r="U1544"/>
  <c r="Y1546"/>
  <c r="U1536"/>
  <c r="Z1538"/>
  <c r="V1535"/>
  <c r="Y1544"/>
  <c r="M1537"/>
  <c r="Y1540"/>
  <c r="AS1540"/>
  <c r="M1542"/>
  <c r="Z1542"/>
  <c r="Y1542" s="1"/>
  <c r="AS1542"/>
  <c r="N1545"/>
  <c r="M1546"/>
  <c r="U1546"/>
  <c r="M1547"/>
  <c r="AA1534"/>
  <c r="W1544"/>
  <c r="AS1547"/>
  <c r="W1536"/>
  <c r="V1534"/>
  <c r="AA1535"/>
  <c r="AS1535"/>
  <c r="O1536"/>
  <c r="AS1536"/>
  <c r="K1537"/>
  <c r="N1540"/>
  <c r="K1542"/>
  <c r="O1542"/>
  <c r="Z1544"/>
  <c r="K1546"/>
  <c r="O1546"/>
  <c r="AS1546"/>
  <c r="K1547"/>
  <c r="O1547"/>
  <c r="K1533"/>
  <c r="O1533"/>
  <c r="Z1533"/>
  <c r="N1533"/>
  <c r="Y1533"/>
  <c r="K1536"/>
  <c r="V1536"/>
  <c r="O1537"/>
  <c r="AA1540"/>
  <c r="M1533"/>
  <c r="K1534"/>
  <c r="K1535"/>
  <c r="N1537"/>
  <c r="V1537"/>
  <c r="K1538"/>
  <c r="O1538"/>
  <c r="K1539"/>
  <c r="N1544"/>
  <c r="M1544" s="1"/>
  <c r="K1545"/>
  <c r="Z1535"/>
  <c r="Z1534"/>
  <c r="V1539"/>
  <c r="Z1539"/>
  <c r="Z1545"/>
  <c r="W1534"/>
  <c r="V1538"/>
  <c r="W1543"/>
  <c r="AA1543"/>
  <c r="AJ1532"/>
  <c r="AA1532"/>
  <c r="Z1532"/>
  <c r="Y1532" s="1"/>
  <c r="K1532"/>
  <c r="B1532"/>
  <c r="M1531"/>
  <c r="B1531"/>
  <c r="K1530"/>
  <c r="B1530"/>
  <c r="N1529"/>
  <c r="B1529"/>
  <c r="K1528"/>
  <c r="B1528"/>
  <c r="M1527"/>
  <c r="B1527"/>
  <c r="N1526"/>
  <c r="B1526"/>
  <c r="AA1525"/>
  <c r="M1525"/>
  <c r="B1525"/>
  <c r="M1524"/>
  <c r="B1524"/>
  <c r="AA1523"/>
  <c r="N1523"/>
  <c r="B1523"/>
  <c r="N1522"/>
  <c r="B1522"/>
  <c r="B1521"/>
  <c r="M1520"/>
  <c r="B1520"/>
  <c r="M1519"/>
  <c r="B1519"/>
  <c r="Z1518"/>
  <c r="O1518"/>
  <c r="B1518"/>
  <c r="O1517"/>
  <c r="B1517"/>
  <c r="W1542" l="1"/>
  <c r="U1542"/>
  <c r="X1532"/>
  <c r="U1532" s="1"/>
  <c r="W1540"/>
  <c r="W1545"/>
  <c r="V1545"/>
  <c r="V1547"/>
  <c r="U1547" s="1"/>
  <c r="AA1539"/>
  <c r="U1538"/>
  <c r="U1539"/>
  <c r="Y1534"/>
  <c r="V1541"/>
  <c r="Y1543"/>
  <c r="Y1539"/>
  <c r="Z1541"/>
  <c r="Z1543"/>
  <c r="W1533"/>
  <c r="U1535"/>
  <c r="Y1535"/>
  <c r="AA1541"/>
  <c r="AA1544"/>
  <c r="U1533"/>
  <c r="W1535"/>
  <c r="U1534"/>
  <c r="Y1541"/>
  <c r="K1531"/>
  <c r="W1537"/>
  <c r="W1539"/>
  <c r="AA1533"/>
  <c r="V1544"/>
  <c r="M1518"/>
  <c r="AA1538"/>
  <c r="N1518"/>
  <c r="V1531"/>
  <c r="O1532"/>
  <c r="N1532"/>
  <c r="M1532" s="1"/>
  <c r="U1518"/>
  <c r="O1523"/>
  <c r="K1517"/>
  <c r="K1523"/>
  <c r="AS1524"/>
  <c r="O1524"/>
  <c r="W1541"/>
  <c r="N1524"/>
  <c r="O1527"/>
  <c r="O1529"/>
  <c r="O1531"/>
  <c r="AA1536"/>
  <c r="K1524"/>
  <c r="K1527"/>
  <c r="K1529"/>
  <c r="M1522"/>
  <c r="V1523"/>
  <c r="M1526"/>
  <c r="N1527"/>
  <c r="Z1527"/>
  <c r="O1530"/>
  <c r="AS1531"/>
  <c r="N1531"/>
  <c r="AS1517"/>
  <c r="AS1521"/>
  <c r="AS1523"/>
  <c r="Y1523"/>
  <c r="AS1527"/>
  <c r="AS1529"/>
  <c r="N1530"/>
  <c r="U1541"/>
  <c r="V1546"/>
  <c r="V1533"/>
  <c r="AA1537"/>
  <c r="W1517"/>
  <c r="Z1546"/>
  <c r="W1538"/>
  <c r="AA1517"/>
  <c r="Y1522"/>
  <c r="AA1524"/>
  <c r="W1525"/>
  <c r="W1523"/>
  <c r="W1524"/>
  <c r="W1527"/>
  <c r="AA1528"/>
  <c r="W1528"/>
  <c r="AA1529"/>
  <c r="AA1546"/>
  <c r="W1518"/>
  <c r="AS1518"/>
  <c r="O1519"/>
  <c r="AS1519"/>
  <c r="O1520"/>
  <c r="V1520"/>
  <c r="AS1520"/>
  <c r="W1522"/>
  <c r="K1525"/>
  <c r="O1525"/>
  <c r="AS1526"/>
  <c r="O1528"/>
  <c r="N1517"/>
  <c r="K1519"/>
  <c r="Z1519"/>
  <c r="K1520"/>
  <c r="K1521"/>
  <c r="O1521"/>
  <c r="M1517"/>
  <c r="K1518"/>
  <c r="N1519"/>
  <c r="N1520"/>
  <c r="U1520"/>
  <c r="N1521"/>
  <c r="K1522"/>
  <c r="O1522"/>
  <c r="Z1522"/>
  <c r="AS1522"/>
  <c r="M1523"/>
  <c r="N1525"/>
  <c r="U1525"/>
  <c r="AS1525"/>
  <c r="K1526"/>
  <c r="O1526"/>
  <c r="N1528"/>
  <c r="M1529"/>
  <c r="W1529"/>
  <c r="M1530"/>
  <c r="AS1532"/>
  <c r="Z1536"/>
  <c r="Y1536" s="1"/>
  <c r="W1546"/>
  <c r="M1521"/>
  <c r="AA1527"/>
  <c r="M1528"/>
  <c r="AS1530"/>
  <c r="AS1528"/>
  <c r="W1521"/>
  <c r="AA1521"/>
  <c r="U1526"/>
  <c r="Z1537"/>
  <c r="Y1537" s="1"/>
  <c r="V1518"/>
  <c r="W1530"/>
  <c r="AA1530"/>
  <c r="Y1526"/>
  <c r="W1532"/>
  <c r="Z1516"/>
  <c r="B1516"/>
  <c r="B1515"/>
  <c r="M1514"/>
  <c r="B1514"/>
  <c r="Y1513"/>
  <c r="N1513"/>
  <c r="B1513"/>
  <c r="O1512"/>
  <c r="B1512"/>
  <c r="B1511"/>
  <c r="N1510"/>
  <c r="B1510"/>
  <c r="M1509"/>
  <c r="B1509"/>
  <c r="U1508"/>
  <c r="N1508"/>
  <c r="B1508"/>
  <c r="M1507"/>
  <c r="B1507"/>
  <c r="M1506"/>
  <c r="B1506"/>
  <c r="M1505"/>
  <c r="B1505"/>
  <c r="AJ1503"/>
  <c r="AA1503"/>
  <c r="Z1503" s="1"/>
  <c r="N1503"/>
  <c r="B1503"/>
  <c r="K1502"/>
  <c r="B1502"/>
  <c r="U1501"/>
  <c r="K1501"/>
  <c r="B1501"/>
  <c r="V1532" l="1"/>
  <c r="X1503"/>
  <c r="Z1529"/>
  <c r="Z1523"/>
  <c r="U1523"/>
  <c r="V1529"/>
  <c r="U1531"/>
  <c r="W1531" s="1"/>
  <c r="U1524"/>
  <c r="V1524"/>
  <c r="Y1524"/>
  <c r="Z1524"/>
  <c r="Y1518"/>
  <c r="U1529"/>
  <c r="Z1531"/>
  <c r="Y1531" s="1"/>
  <c r="Z1517"/>
  <c r="V1525"/>
  <c r="Z1525"/>
  <c r="AA1518"/>
  <c r="Y1529"/>
  <c r="AA1519"/>
  <c r="V1517"/>
  <c r="U1527"/>
  <c r="Y1527"/>
  <c r="V1528"/>
  <c r="AA1522"/>
  <c r="Y1517"/>
  <c r="U1517"/>
  <c r="W1520"/>
  <c r="AA1520"/>
  <c r="V1521"/>
  <c r="N1501"/>
  <c r="O1502"/>
  <c r="Y1525"/>
  <c r="V1527"/>
  <c r="V1530"/>
  <c r="U1530" s="1"/>
  <c r="Z1528"/>
  <c r="Z1521"/>
  <c r="Z1530"/>
  <c r="Z1526"/>
  <c r="U1521"/>
  <c r="Y1521"/>
  <c r="V1519"/>
  <c r="W1519"/>
  <c r="O1513"/>
  <c r="AS1515"/>
  <c r="V1522"/>
  <c r="U1522" s="1"/>
  <c r="Y1528"/>
  <c r="U1528"/>
  <c r="AS1501"/>
  <c r="AS1511"/>
  <c r="M1501"/>
  <c r="V1505"/>
  <c r="Y1506"/>
  <c r="V1508"/>
  <c r="U1519"/>
  <c r="Y1505"/>
  <c r="N1507"/>
  <c r="N1509"/>
  <c r="K1514"/>
  <c r="AS1502"/>
  <c r="V1501"/>
  <c r="K1508"/>
  <c r="AS1514"/>
  <c r="Y1530"/>
  <c r="O1514"/>
  <c r="N1502"/>
  <c r="M1502" s="1"/>
  <c r="W1502"/>
  <c r="K1507"/>
  <c r="O1508"/>
  <c r="V1509"/>
  <c r="K1513"/>
  <c r="N1514"/>
  <c r="V1526"/>
  <c r="U1502"/>
  <c r="N1505"/>
  <c r="AS1507"/>
  <c r="O1507"/>
  <c r="M1510"/>
  <c r="AS1506"/>
  <c r="AS1505"/>
  <c r="K1506"/>
  <c r="K1511"/>
  <c r="K1505"/>
  <c r="O1506"/>
  <c r="Z1507"/>
  <c r="K1509"/>
  <c r="K1510"/>
  <c r="O1510"/>
  <c r="V1510"/>
  <c r="O1511"/>
  <c r="O1501"/>
  <c r="O1505"/>
  <c r="N1506"/>
  <c r="Z1506"/>
  <c r="O1509"/>
  <c r="AS1510"/>
  <c r="U1510"/>
  <c r="N1511"/>
  <c r="U1514"/>
  <c r="AS1516"/>
  <c r="V1515"/>
  <c r="Z1512"/>
  <c r="V1512"/>
  <c r="U1513"/>
  <c r="Z1515"/>
  <c r="V1503"/>
  <c r="Y1520"/>
  <c r="K1503"/>
  <c r="O1503"/>
  <c r="Y1503"/>
  <c r="M1503"/>
  <c r="M1508"/>
  <c r="W1509"/>
  <c r="AS1509"/>
  <c r="N1512"/>
  <c r="M1513"/>
  <c r="N1515"/>
  <c r="N1516"/>
  <c r="Z1520"/>
  <c r="AA1508"/>
  <c r="AS1508"/>
  <c r="M1512"/>
  <c r="AS1513"/>
  <c r="M1515"/>
  <c r="M1516"/>
  <c r="W1526"/>
  <c r="AS1512"/>
  <c r="AA1516"/>
  <c r="AA1526"/>
  <c r="Y1519"/>
  <c r="AS1503"/>
  <c r="M1511"/>
  <c r="K1512"/>
  <c r="K1515"/>
  <c r="O1515"/>
  <c r="K1516"/>
  <c r="O1516"/>
  <c r="AA1510"/>
  <c r="W1510"/>
  <c r="V1516"/>
  <c r="N1500"/>
  <c r="M1500" s="1"/>
  <c r="B1500"/>
  <c r="K1499"/>
  <c r="B1499"/>
  <c r="B1498"/>
  <c r="AJ1497"/>
  <c r="AA1497"/>
  <c r="Y1497"/>
  <c r="K1497"/>
  <c r="B1497"/>
  <c r="K1496"/>
  <c r="B1496"/>
  <c r="M1495"/>
  <c r="B1495"/>
  <c r="AJ1494"/>
  <c r="Y1494"/>
  <c r="AA1494"/>
  <c r="Z1494" s="1"/>
  <c r="M1494"/>
  <c r="B1494"/>
  <c r="AJ1493"/>
  <c r="Y1493"/>
  <c r="AA1493"/>
  <c r="M1493"/>
  <c r="B1493"/>
  <c r="K1492"/>
  <c r="B1492"/>
  <c r="M1491"/>
  <c r="B1491"/>
  <c r="M1490"/>
  <c r="B1490"/>
  <c r="AJ1489"/>
  <c r="Y1489"/>
  <c r="AA1489"/>
  <c r="M1489"/>
  <c r="B1489"/>
  <c r="B1488"/>
  <c r="M1487"/>
  <c r="B1487"/>
  <c r="AJ1486"/>
  <c r="AA1486"/>
  <c r="Z1486"/>
  <c r="Y1486"/>
  <c r="M1486"/>
  <c r="B1486"/>
  <c r="M1485"/>
  <c r="B1485"/>
  <c r="M1484"/>
  <c r="B1484"/>
  <c r="M1483"/>
  <c r="B1483"/>
  <c r="M1482"/>
  <c r="B1482"/>
  <c r="M1481"/>
  <c r="B1481"/>
  <c r="AA1480"/>
  <c r="M1480"/>
  <c r="B1480"/>
  <c r="B1479"/>
  <c r="M1478"/>
  <c r="B1478"/>
  <c r="X1494" l="1"/>
  <c r="U1494" s="1"/>
  <c r="X1486"/>
  <c r="X1493"/>
  <c r="W1493" s="1"/>
  <c r="X1497"/>
  <c r="V1497" s="1"/>
  <c r="U1497" s="1"/>
  <c r="X1489"/>
  <c r="V1489" s="1"/>
  <c r="AA1531"/>
  <c r="AA1505"/>
  <c r="Z1501"/>
  <c r="Y1501" s="1"/>
  <c r="Y1509"/>
  <c r="Z1502"/>
  <c r="Y1502" s="1"/>
  <c r="V1502"/>
  <c r="Z1509"/>
  <c r="V1507"/>
  <c r="AA1502"/>
  <c r="Z1513"/>
  <c r="Z1508"/>
  <c r="Y1508" s="1"/>
  <c r="AA1507"/>
  <c r="Y1511"/>
  <c r="V1514"/>
  <c r="U1511"/>
  <c r="W1501"/>
  <c r="AA1501"/>
  <c r="Z1505"/>
  <c r="AA1506"/>
  <c r="V1506"/>
  <c r="U1506" s="1"/>
  <c r="W1507"/>
  <c r="U1505"/>
  <c r="O1478"/>
  <c r="Z1511"/>
  <c r="U1509"/>
  <c r="AA1515"/>
  <c r="V1511"/>
  <c r="W1505"/>
  <c r="AS1478"/>
  <c r="K1484"/>
  <c r="W1506"/>
  <c r="AS1493"/>
  <c r="AS1485"/>
  <c r="K1494"/>
  <c r="O1493"/>
  <c r="AA1514"/>
  <c r="AA1512"/>
  <c r="W1508"/>
  <c r="W1512"/>
  <c r="O1485"/>
  <c r="O1486"/>
  <c r="K1490"/>
  <c r="Y1507"/>
  <c r="N1495"/>
  <c r="AS1488"/>
  <c r="O1500"/>
  <c r="K1480"/>
  <c r="O1480"/>
  <c r="N1478"/>
  <c r="V1478"/>
  <c r="AS1480"/>
  <c r="N1480"/>
  <c r="O1484"/>
  <c r="K1486"/>
  <c r="N1493"/>
  <c r="O1494"/>
  <c r="K1500"/>
  <c r="U1507"/>
  <c r="AS1486"/>
  <c r="V1487"/>
  <c r="AS1492"/>
  <c r="AS1484"/>
  <c r="N1484"/>
  <c r="K1487"/>
  <c r="K1489"/>
  <c r="AS1490"/>
  <c r="O1490"/>
  <c r="AS1494"/>
  <c r="N1494"/>
  <c r="AS1495"/>
  <c r="AS1496"/>
  <c r="O1496"/>
  <c r="K1478"/>
  <c r="AS1479"/>
  <c r="K1485"/>
  <c r="AS1489"/>
  <c r="O1489"/>
  <c r="N1490"/>
  <c r="O1492"/>
  <c r="K1493"/>
  <c r="K1495"/>
  <c r="O1495"/>
  <c r="N1496"/>
  <c r="Y1496"/>
  <c r="O1497"/>
  <c r="AS1498"/>
  <c r="O1499"/>
  <c r="V1486"/>
  <c r="O1487"/>
  <c r="N1489"/>
  <c r="M1496"/>
  <c r="W1515"/>
  <c r="AA1513"/>
  <c r="W1516"/>
  <c r="W1513"/>
  <c r="W1485"/>
  <c r="AA1485"/>
  <c r="AA1490"/>
  <c r="W1490"/>
  <c r="AA1478"/>
  <c r="AA1492"/>
  <c r="W1511"/>
  <c r="U1503"/>
  <c r="O1481"/>
  <c r="Z1481"/>
  <c r="AS1481"/>
  <c r="O1482"/>
  <c r="AA1483"/>
  <c r="AA1491"/>
  <c r="AS1491"/>
  <c r="U1515"/>
  <c r="AA1509"/>
  <c r="W1503"/>
  <c r="W1479"/>
  <c r="K1481"/>
  <c r="N1479"/>
  <c r="U1479"/>
  <c r="N1481"/>
  <c r="N1482"/>
  <c r="AS1482"/>
  <c r="K1483"/>
  <c r="O1483"/>
  <c r="N1485"/>
  <c r="N1486"/>
  <c r="U1486"/>
  <c r="N1487"/>
  <c r="AS1487"/>
  <c r="K1488"/>
  <c r="O1488"/>
  <c r="Z1489"/>
  <c r="K1491"/>
  <c r="O1491"/>
  <c r="N1492"/>
  <c r="U1492"/>
  <c r="U1493"/>
  <c r="Z1493"/>
  <c r="N1497"/>
  <c r="AS1497"/>
  <c r="K1498"/>
  <c r="O1498"/>
  <c r="V1498"/>
  <c r="N1499"/>
  <c r="Y1500"/>
  <c r="W1514"/>
  <c r="U1512"/>
  <c r="K1479"/>
  <c r="O1479"/>
  <c r="V1479"/>
  <c r="K1482"/>
  <c r="Z1482"/>
  <c r="M1479"/>
  <c r="N1483"/>
  <c r="AS1483"/>
  <c r="N1488"/>
  <c r="N1491"/>
  <c r="M1492"/>
  <c r="M1497"/>
  <c r="N1498"/>
  <c r="M1499"/>
  <c r="AS1500"/>
  <c r="Y1515"/>
  <c r="Y1516"/>
  <c r="U1516"/>
  <c r="M1488"/>
  <c r="M1498"/>
  <c r="AS1499"/>
  <c r="Y1512"/>
  <c r="AA1511"/>
  <c r="V1513"/>
  <c r="Z1510"/>
  <c r="Y1510" s="1"/>
  <c r="AA1487"/>
  <c r="AA1496"/>
  <c r="Z1497"/>
  <c r="Z1514"/>
  <c r="Y1514" s="1"/>
  <c r="W1478"/>
  <c r="W1481"/>
  <c r="AA1481"/>
  <c r="W1482"/>
  <c r="AA1482"/>
  <c r="W1487"/>
  <c r="W1495"/>
  <c r="AA1495"/>
  <c r="W1496"/>
  <c r="W1484"/>
  <c r="AA1484"/>
  <c r="W1480"/>
  <c r="W1486"/>
  <c r="W1492"/>
  <c r="W1499"/>
  <c r="AA1499"/>
  <c r="K1477"/>
  <c r="B1477"/>
  <c r="M1476"/>
  <c r="B1476"/>
  <c r="O1475"/>
  <c r="B1475"/>
  <c r="B1474"/>
  <c r="U1473"/>
  <c r="N1473"/>
  <c r="B1473"/>
  <c r="AJ1472"/>
  <c r="AA1472"/>
  <c r="Z1472" s="1"/>
  <c r="Y1472"/>
  <c r="O1472"/>
  <c r="B1472"/>
  <c r="AA1471"/>
  <c r="O1471"/>
  <c r="B1471"/>
  <c r="AJ1470"/>
  <c r="X1470" s="1"/>
  <c r="V1494" l="1"/>
  <c r="W1494"/>
  <c r="X1472"/>
  <c r="W1472" s="1"/>
  <c r="U1489"/>
  <c r="W1497"/>
  <c r="W1489"/>
  <c r="V1493"/>
  <c r="V1481"/>
  <c r="V1482"/>
  <c r="V1499"/>
  <c r="U1500"/>
  <c r="Z1484"/>
  <c r="V1496"/>
  <c r="V1495"/>
  <c r="Y1480"/>
  <c r="Z1483"/>
  <c r="V1484"/>
  <c r="Z1499"/>
  <c r="U1480"/>
  <c r="U1484"/>
  <c r="Z1491"/>
  <c r="U1478"/>
  <c r="Y1478"/>
  <c r="Y1484"/>
  <c r="Z1485"/>
  <c r="V1483"/>
  <c r="V1480"/>
  <c r="V1485"/>
  <c r="Z1480"/>
  <c r="Z1490"/>
  <c r="Y1492"/>
  <c r="Y1490"/>
  <c r="Y1495"/>
  <c r="U1485"/>
  <c r="W1500"/>
  <c r="U1495"/>
  <c r="AA1500"/>
  <c r="V1491"/>
  <c r="AA1479"/>
  <c r="Z1495"/>
  <c r="Z1488"/>
  <c r="W1483"/>
  <c r="Y1485"/>
  <c r="Z1478"/>
  <c r="V1492"/>
  <c r="Z1492"/>
  <c r="AA1488"/>
  <c r="U1490"/>
  <c r="W1488"/>
  <c r="V1488"/>
  <c r="M1473"/>
  <c r="Z1500"/>
  <c r="V1500"/>
  <c r="Y1488"/>
  <c r="Z1498"/>
  <c r="U1488"/>
  <c r="U1475"/>
  <c r="N1477"/>
  <c r="M1477" s="1"/>
  <c r="M1471"/>
  <c r="M1472"/>
  <c r="U1483"/>
  <c r="AS1476"/>
  <c r="U1496"/>
  <c r="AS1472"/>
  <c r="N1472"/>
  <c r="AS1474"/>
  <c r="M1475"/>
  <c r="N1471"/>
  <c r="AS1471"/>
  <c r="K1472"/>
  <c r="V1472"/>
  <c r="N1475"/>
  <c r="N1476"/>
  <c r="O1477"/>
  <c r="V1490"/>
  <c r="K1471"/>
  <c r="Z1471"/>
  <c r="AS1475"/>
  <c r="K1476"/>
  <c r="O1476"/>
  <c r="Y1491"/>
  <c r="U1491"/>
  <c r="Z1475"/>
  <c r="Y1477"/>
  <c r="U1477"/>
  <c r="Y1499"/>
  <c r="U1482"/>
  <c r="AA1473"/>
  <c r="O1473"/>
  <c r="N1474"/>
  <c r="W1475"/>
  <c r="AS1477"/>
  <c r="Z1479"/>
  <c r="Y1479" s="1"/>
  <c r="U1498"/>
  <c r="Y1498"/>
  <c r="U1481"/>
  <c r="AS1473"/>
  <c r="K1474"/>
  <c r="O1474"/>
  <c r="V1474"/>
  <c r="K1473"/>
  <c r="M1474"/>
  <c r="W1474"/>
  <c r="K1475"/>
  <c r="Y1482"/>
  <c r="Y1483"/>
  <c r="Y1487"/>
  <c r="Y1481"/>
  <c r="W1498"/>
  <c r="AA1498"/>
  <c r="W1491"/>
  <c r="U1487"/>
  <c r="U1499"/>
  <c r="V1475"/>
  <c r="Y1473"/>
  <c r="AA1474"/>
  <c r="Z1496"/>
  <c r="Z1487"/>
  <c r="W1471"/>
  <c r="W1476"/>
  <c r="AA1476"/>
  <c r="AA1470"/>
  <c r="Y1470"/>
  <c r="V1470"/>
  <c r="N1470"/>
  <c r="B1470"/>
  <c r="W1477" l="1"/>
  <c r="AA1477"/>
  <c r="Z1477" s="1"/>
  <c r="U1472"/>
  <c r="Z1476"/>
  <c r="V1471"/>
  <c r="V1477"/>
  <c r="Y1475"/>
  <c r="V1473"/>
  <c r="Z1473"/>
  <c r="AA1475"/>
  <c r="U1471"/>
  <c r="Y1476"/>
  <c r="U1474"/>
  <c r="Y1471"/>
  <c r="V1476"/>
  <c r="U1476" s="1"/>
  <c r="U1470"/>
  <c r="M1470"/>
  <c r="Z1474"/>
  <c r="Y1474"/>
  <c r="W1473"/>
  <c r="AS1470"/>
  <c r="W1470"/>
  <c r="K1470"/>
  <c r="O1470"/>
  <c r="Z1470"/>
  <c r="U1469" l="1"/>
  <c r="B1469"/>
  <c r="AJ1468"/>
  <c r="AA1468"/>
  <c r="Z1468" s="1"/>
  <c r="Y1468"/>
  <c r="N1468"/>
  <c r="M1468" s="1"/>
  <c r="B1468"/>
  <c r="W1467"/>
  <c r="O1467"/>
  <c r="B1467"/>
  <c r="M1466"/>
  <c r="B1466"/>
  <c r="O1465"/>
  <c r="B1465"/>
  <c r="K1464"/>
  <c r="B1464"/>
  <c r="N1463"/>
  <c r="B1463"/>
  <c r="M1462"/>
  <c r="B1462"/>
  <c r="N1461"/>
  <c r="B1461"/>
  <c r="O1460"/>
  <c r="B1460"/>
  <c r="M1459"/>
  <c r="B1459"/>
  <c r="O1458"/>
  <c r="B1458"/>
  <c r="M1457"/>
  <c r="B1457"/>
  <c r="N1456"/>
  <c r="B1456"/>
  <c r="AJ1455"/>
  <c r="N1455"/>
  <c r="B1455"/>
  <c r="B1454"/>
  <c r="O1453"/>
  <c r="B1453"/>
  <c r="O1452"/>
  <c r="B1452"/>
  <c r="B1451"/>
  <c r="N1450"/>
  <c r="B1450"/>
  <c r="Y1449"/>
  <c r="N1449"/>
  <c r="B1449"/>
  <c r="AJ1448"/>
  <c r="N1448"/>
  <c r="B1448"/>
  <c r="M1447"/>
  <c r="B1447"/>
  <c r="AJ1446"/>
  <c r="O1446"/>
  <c r="B1446"/>
  <c r="B1445"/>
  <c r="M1444"/>
  <c r="B1444"/>
  <c r="U1443"/>
  <c r="N1443"/>
  <c r="B1443"/>
  <c r="M1442"/>
  <c r="B1442"/>
  <c r="AJ1441"/>
  <c r="AA1441"/>
  <c r="Z1441"/>
  <c r="Y1441" s="1"/>
  <c r="O1441"/>
  <c r="B1441"/>
  <c r="O1440"/>
  <c r="B1440"/>
  <c r="K1439"/>
  <c r="B1439"/>
  <c r="M1438"/>
  <c r="B1438"/>
  <c r="AJ1436"/>
  <c r="AA1436"/>
  <c r="Z1436"/>
  <c r="Y1436"/>
  <c r="O1436"/>
  <c r="B1436"/>
  <c r="X1436" l="1"/>
  <c r="V1436" s="1"/>
  <c r="X1441"/>
  <c r="X1448"/>
  <c r="W1448" s="1"/>
  <c r="X1468"/>
  <c r="X1446"/>
  <c r="W1446" s="1"/>
  <c r="AK1455"/>
  <c r="X1455" s="1"/>
  <c r="W1455" s="1"/>
  <c r="AS1469"/>
  <c r="M1469"/>
  <c r="M1449"/>
  <c r="Y1452"/>
  <c r="M1455"/>
  <c r="M1443"/>
  <c r="Y1460"/>
  <c r="AS1438"/>
  <c r="N1440"/>
  <c r="M1440" s="1"/>
  <c r="AS1451"/>
  <c r="M1452"/>
  <c r="M1463"/>
  <c r="AS1441"/>
  <c r="N1441"/>
  <c r="N1453"/>
  <c r="AS1455"/>
  <c r="AS1458"/>
  <c r="N1458"/>
  <c r="U1458"/>
  <c r="N1467"/>
  <c r="M1467" s="1"/>
  <c r="N1436"/>
  <c r="M1436" s="1"/>
  <c r="AS1440"/>
  <c r="M1441"/>
  <c r="M1450"/>
  <c r="N1452"/>
  <c r="M1453"/>
  <c r="AS1454"/>
  <c r="M1458"/>
  <c r="M1460"/>
  <c r="K1441"/>
  <c r="V1441"/>
  <c r="K1458"/>
  <c r="V1458"/>
  <c r="K1448"/>
  <c r="AS1436"/>
  <c r="N1438"/>
  <c r="M1439"/>
  <c r="AS1445"/>
  <c r="M1446"/>
  <c r="M1448"/>
  <c r="M1454"/>
  <c r="M1456"/>
  <c r="N1460"/>
  <c r="M1461"/>
  <c r="AS1463"/>
  <c r="M1465"/>
  <c r="Y1465"/>
  <c r="AS1446"/>
  <c r="O1448"/>
  <c r="K1461"/>
  <c r="O1461"/>
  <c r="AS1465"/>
  <c r="AS1439"/>
  <c r="O1439"/>
  <c r="V1439"/>
  <c r="K1438"/>
  <c r="O1438"/>
  <c r="V1438"/>
  <c r="N1439"/>
  <c r="N1446"/>
  <c r="AS1448"/>
  <c r="U1448"/>
  <c r="AS1456"/>
  <c r="AS1460"/>
  <c r="AS1461"/>
  <c r="U1461"/>
  <c r="N1465"/>
  <c r="V1452"/>
  <c r="V1465"/>
  <c r="Y1443"/>
  <c r="V1453"/>
  <c r="U1449"/>
  <c r="Z1440"/>
  <c r="Z1453"/>
  <c r="AA1461"/>
  <c r="W1441"/>
  <c r="AA1448"/>
  <c r="U1450"/>
  <c r="W1461"/>
  <c r="W1439"/>
  <c r="V1440"/>
  <c r="V1460"/>
  <c r="Y1454"/>
  <c r="U1454"/>
  <c r="W1445"/>
  <c r="AA1447"/>
  <c r="AS1447"/>
  <c r="AS1457"/>
  <c r="O1442"/>
  <c r="K1444"/>
  <c r="O1444"/>
  <c r="AS1444"/>
  <c r="K1445"/>
  <c r="O1445"/>
  <c r="K1447"/>
  <c r="V1447"/>
  <c r="K1457"/>
  <c r="O1457"/>
  <c r="K1459"/>
  <c r="O1459"/>
  <c r="Z1459"/>
  <c r="AS1459"/>
  <c r="K1462"/>
  <c r="O1462"/>
  <c r="AA1463"/>
  <c r="O1464"/>
  <c r="K1466"/>
  <c r="O1466"/>
  <c r="Z1466"/>
  <c r="AS1467"/>
  <c r="K1468"/>
  <c r="K1442"/>
  <c r="Z1442"/>
  <c r="AS1443"/>
  <c r="O1447"/>
  <c r="AA1454"/>
  <c r="K1436"/>
  <c r="AA1440"/>
  <c r="N1442"/>
  <c r="AS1442"/>
  <c r="K1443"/>
  <c r="O1443"/>
  <c r="N1444"/>
  <c r="N1445"/>
  <c r="Z1446"/>
  <c r="N1447"/>
  <c r="K1449"/>
  <c r="O1449"/>
  <c r="AS1449"/>
  <c r="K1450"/>
  <c r="O1450"/>
  <c r="V1450"/>
  <c r="N1451"/>
  <c r="U1451"/>
  <c r="Z1452"/>
  <c r="AS1452"/>
  <c r="AS1453"/>
  <c r="K1454"/>
  <c r="O1454"/>
  <c r="Z1454"/>
  <c r="K1455"/>
  <c r="O1455"/>
  <c r="K1456"/>
  <c r="O1456"/>
  <c r="N1457"/>
  <c r="N1459"/>
  <c r="N1462"/>
  <c r="Y1462"/>
  <c r="AS1462"/>
  <c r="K1463"/>
  <c r="O1463"/>
  <c r="V1463"/>
  <c r="N1464"/>
  <c r="Z1465"/>
  <c r="N1466"/>
  <c r="U1466"/>
  <c r="AS1466"/>
  <c r="K1467"/>
  <c r="O1468"/>
  <c r="W1468"/>
  <c r="AS1468"/>
  <c r="K1469"/>
  <c r="O1469"/>
  <c r="W1462"/>
  <c r="W1466"/>
  <c r="W1450"/>
  <c r="AS1450"/>
  <c r="K1451"/>
  <c r="O1451"/>
  <c r="K1440"/>
  <c r="M1445"/>
  <c r="K1446"/>
  <c r="M1451"/>
  <c r="K1452"/>
  <c r="K1453"/>
  <c r="N1454"/>
  <c r="K1460"/>
  <c r="M1464"/>
  <c r="AS1464"/>
  <c r="K1465"/>
  <c r="N1469"/>
  <c r="Y1446"/>
  <c r="AA1438"/>
  <c r="AA1439"/>
  <c r="Y1456"/>
  <c r="V1468"/>
  <c r="Y1469"/>
  <c r="Z1448"/>
  <c r="Y1448" s="1"/>
  <c r="AA1458"/>
  <c r="U1468"/>
  <c r="W1438"/>
  <c r="W1458"/>
  <c r="U1463"/>
  <c r="Y1463"/>
  <c r="AA1467"/>
  <c r="B1435"/>
  <c r="W1436" l="1"/>
  <c r="V1446"/>
  <c r="V1448"/>
  <c r="U1436"/>
  <c r="Y1440"/>
  <c r="U1440"/>
  <c r="Y1461"/>
  <c r="V1444"/>
  <c r="W1442"/>
  <c r="U1467"/>
  <c r="U1460"/>
  <c r="AA1469"/>
  <c r="U1452"/>
  <c r="Z1464"/>
  <c r="W1440"/>
  <c r="Y1445"/>
  <c r="Y1458"/>
  <c r="W1469"/>
  <c r="W1463"/>
  <c r="U1445"/>
  <c r="V1457"/>
  <c r="U1446"/>
  <c r="V1456"/>
  <c r="U1456" s="1"/>
  <c r="Z1457"/>
  <c r="Z1447"/>
  <c r="U1441"/>
  <c r="AA1442"/>
  <c r="U1465"/>
  <c r="W1447"/>
  <c r="Z1467"/>
  <c r="AA1459"/>
  <c r="V1461"/>
  <c r="V1464"/>
  <c r="Y1453"/>
  <c r="Y1467"/>
  <c r="V1467"/>
  <c r="W1459"/>
  <c r="V1459" s="1"/>
  <c r="U1453"/>
  <c r="W1453"/>
  <c r="AA1460"/>
  <c r="Z1460" s="1"/>
  <c r="V1442"/>
  <c r="U1442" s="1"/>
  <c r="U1438"/>
  <c r="AA1443"/>
  <c r="Y1438"/>
  <c r="AA1451"/>
  <c r="Z1439"/>
  <c r="Y1439" s="1"/>
  <c r="V1445"/>
  <c r="Z1445"/>
  <c r="N1435"/>
  <c r="M1435" s="1"/>
  <c r="AP1435" s="1"/>
  <c r="AQ1435" s="1"/>
  <c r="AS1435"/>
  <c r="U1457"/>
  <c r="Z1443"/>
  <c r="W1443"/>
  <c r="Z1461"/>
  <c r="W1452"/>
  <c r="U1462"/>
  <c r="Z1456"/>
  <c r="V1454"/>
  <c r="AA1452"/>
  <c r="Z1444"/>
  <c r="Y1444" s="1"/>
  <c r="U1439"/>
  <c r="Z1438"/>
  <c r="U1435"/>
  <c r="AA1449"/>
  <c r="W1449"/>
  <c r="V1455"/>
  <c r="U1455"/>
  <c r="K1435"/>
  <c r="O1435"/>
  <c r="V1435"/>
  <c r="Z1469"/>
  <c r="W1465"/>
  <c r="Y1464"/>
  <c r="Y1466"/>
  <c r="Y1457"/>
  <c r="U1464"/>
  <c r="AA1450"/>
  <c r="AA1445"/>
  <c r="V1469"/>
  <c r="AA1466"/>
  <c r="V1449"/>
  <c r="W1456"/>
  <c r="AA1465"/>
  <c r="AA1464"/>
  <c r="W1454"/>
  <c r="U1447"/>
  <c r="W1464"/>
  <c r="Y1447"/>
  <c r="W1457"/>
  <c r="V1466"/>
  <c r="Y1442"/>
  <c r="Z1455"/>
  <c r="AA1455"/>
  <c r="Y1455"/>
  <c r="Y1451"/>
  <c r="W1451"/>
  <c r="AA1453"/>
  <c r="AA1462"/>
  <c r="Z1462" s="1"/>
  <c r="U1459"/>
  <c r="AA1457"/>
  <c r="Z1463"/>
  <c r="Z1451"/>
  <c r="W1444"/>
  <c r="AA1444"/>
  <c r="U1444"/>
  <c r="V1451"/>
  <c r="W1460"/>
  <c r="Y1459"/>
  <c r="AA1446"/>
  <c r="V1462"/>
  <c r="AA1456"/>
  <c r="Z1458"/>
  <c r="Z1450"/>
  <c r="Y1450" s="1"/>
  <c r="V1443"/>
  <c r="Z1449"/>
  <c r="AA1435" l="1"/>
  <c r="Z1435" s="1"/>
  <c r="Y1435" s="1"/>
  <c r="W1435"/>
  <c r="N1434"/>
  <c r="B1434"/>
  <c r="O1433"/>
  <c r="N1433" s="1"/>
  <c r="B1433"/>
  <c r="N1432"/>
  <c r="B1432"/>
  <c r="N1431"/>
  <c r="B1431"/>
  <c r="U1430"/>
  <c r="N1430"/>
  <c r="B1430"/>
  <c r="K1429"/>
  <c r="B1429"/>
  <c r="K1428"/>
  <c r="B1428"/>
  <c r="N1427"/>
  <c r="B1427"/>
  <c r="N1426"/>
  <c r="B1426"/>
  <c r="B1425"/>
  <c r="AA1424"/>
  <c r="N1424"/>
  <c r="B1424"/>
  <c r="N1423"/>
  <c r="B1423"/>
  <c r="B1422"/>
  <c r="AA1421"/>
  <c r="O1421"/>
  <c r="B1421"/>
  <c r="B1420"/>
  <c r="B1419"/>
  <c r="AJ1418"/>
  <c r="Z1418"/>
  <c r="N1418"/>
  <c r="B1418"/>
  <c r="O1417"/>
  <c r="B1417"/>
  <c r="N1416"/>
  <c r="B1416"/>
  <c r="B1415"/>
  <c r="N1414"/>
  <c r="B1414"/>
  <c r="N1413"/>
  <c r="B1413"/>
  <c r="O1412"/>
  <c r="B1412"/>
  <c r="O1411"/>
  <c r="B1411"/>
  <c r="B1410"/>
  <c r="AJ1409"/>
  <c r="AA1409"/>
  <c r="Z1409" s="1"/>
  <c r="Y1409"/>
  <c r="O1409"/>
  <c r="B1409"/>
  <c r="M1408"/>
  <c r="B1408"/>
  <c r="O1407"/>
  <c r="B1407"/>
  <c r="O1406"/>
  <c r="B1406"/>
  <c r="W1405"/>
  <c r="N1405"/>
  <c r="B1405"/>
  <c r="B1404"/>
  <c r="AA1403"/>
  <c r="B1403"/>
  <c r="X1418" l="1"/>
  <c r="W1418" s="1"/>
  <c r="X1409"/>
  <c r="V1409" s="1"/>
  <c r="Y1407"/>
  <c r="K1413"/>
  <c r="AS1429"/>
  <c r="N1408"/>
  <c r="O1429"/>
  <c r="N1421"/>
  <c r="M1421" s="1"/>
  <c r="V1429"/>
  <c r="AS1415"/>
  <c r="N1429"/>
  <c r="Y1429"/>
  <c r="AS1404"/>
  <c r="N1407"/>
  <c r="AS1420"/>
  <c r="AS1422"/>
  <c r="AS1425"/>
  <c r="M1429"/>
  <c r="AS1403"/>
  <c r="M1407"/>
  <c r="AS1410"/>
  <c r="AS1411"/>
  <c r="K1415"/>
  <c r="AS1417"/>
  <c r="K1427"/>
  <c r="N1403"/>
  <c r="U1405"/>
  <c r="K1411"/>
  <c r="K1417"/>
  <c r="V1417"/>
  <c r="AS1427"/>
  <c r="O1427"/>
  <c r="K1434"/>
  <c r="M1403"/>
  <c r="U1408"/>
  <c r="O1415"/>
  <c r="U1423"/>
  <c r="M1427"/>
  <c r="K1403"/>
  <c r="O1403"/>
  <c r="V1403"/>
  <c r="N1404"/>
  <c r="AS1405"/>
  <c r="K1407"/>
  <c r="M1411"/>
  <c r="N1412"/>
  <c r="Y1412"/>
  <c r="M1413"/>
  <c r="O1414"/>
  <c r="M1415"/>
  <c r="O1416"/>
  <c r="M1417"/>
  <c r="AS1418"/>
  <c r="O1420"/>
  <c r="K1421"/>
  <c r="N1422"/>
  <c r="Y1422"/>
  <c r="O1426"/>
  <c r="AS1426"/>
  <c r="M1434"/>
  <c r="M1412"/>
  <c r="M1414"/>
  <c r="M1416"/>
  <c r="AS1419"/>
  <c r="M1420"/>
  <c r="M1422"/>
  <c r="AS1423"/>
  <c r="M1426"/>
  <c r="AS1433"/>
  <c r="AS1412"/>
  <c r="AS1416"/>
  <c r="AS1414"/>
  <c r="AS1407"/>
  <c r="AS1408"/>
  <c r="N1411"/>
  <c r="Y1411"/>
  <c r="K1412"/>
  <c r="O1413"/>
  <c r="AS1413"/>
  <c r="K1414"/>
  <c r="N1415"/>
  <c r="K1416"/>
  <c r="N1417"/>
  <c r="K1420"/>
  <c r="AS1421"/>
  <c r="K1422"/>
  <c r="O1422"/>
  <c r="Z1422"/>
  <c r="AS1424"/>
  <c r="K1426"/>
  <c r="O1434"/>
  <c r="Y1410"/>
  <c r="W1421"/>
  <c r="U1425"/>
  <c r="Y1430"/>
  <c r="U1431"/>
  <c r="AA1414"/>
  <c r="W1414"/>
  <c r="Y1431"/>
  <c r="AA1417"/>
  <c r="U1428"/>
  <c r="W1417"/>
  <c r="U1419"/>
  <c r="Y1419"/>
  <c r="Y1428"/>
  <c r="W1413"/>
  <c r="AA1413"/>
  <c r="Z1406"/>
  <c r="W1408"/>
  <c r="Y1425"/>
  <c r="U1432"/>
  <c r="AS1406"/>
  <c r="N1406"/>
  <c r="Y1406"/>
  <c r="N1409"/>
  <c r="N1410"/>
  <c r="K1404"/>
  <c r="O1404"/>
  <c r="K1405"/>
  <c r="O1405"/>
  <c r="M1406"/>
  <c r="K1408"/>
  <c r="O1408"/>
  <c r="AA1408"/>
  <c r="M1409"/>
  <c r="U1409"/>
  <c r="M1410"/>
  <c r="Y1413"/>
  <c r="K1418"/>
  <c r="O1418"/>
  <c r="Y1418"/>
  <c r="M1419"/>
  <c r="N1420"/>
  <c r="Y1420"/>
  <c r="K1423"/>
  <c r="O1423"/>
  <c r="Z1423"/>
  <c r="K1424"/>
  <c r="O1424"/>
  <c r="Z1424"/>
  <c r="M1425"/>
  <c r="W1426"/>
  <c r="Y1427"/>
  <c r="M1428"/>
  <c r="AS1428"/>
  <c r="M1430"/>
  <c r="M1431"/>
  <c r="M1432"/>
  <c r="AS1432"/>
  <c r="K1433"/>
  <c r="AA1419"/>
  <c r="W1431"/>
  <c r="AS1409"/>
  <c r="M1404"/>
  <c r="M1405"/>
  <c r="K1406"/>
  <c r="K1409"/>
  <c r="K1410"/>
  <c r="O1410"/>
  <c r="Z1410"/>
  <c r="M1418"/>
  <c r="AA1418"/>
  <c r="K1419"/>
  <c r="O1419"/>
  <c r="V1419"/>
  <c r="M1423"/>
  <c r="M1424"/>
  <c r="K1425"/>
  <c r="O1425"/>
  <c r="O1428"/>
  <c r="K1430"/>
  <c r="O1430"/>
  <c r="AS1430"/>
  <c r="K1431"/>
  <c r="O1431"/>
  <c r="AS1431"/>
  <c r="K1432"/>
  <c r="O1432"/>
  <c r="V1432"/>
  <c r="M1433"/>
  <c r="AA1433"/>
  <c r="AS1434"/>
  <c r="N1419"/>
  <c r="N1425"/>
  <c r="N1428"/>
  <c r="W1407"/>
  <c r="W1423"/>
  <c r="W1427"/>
  <c r="AA1427"/>
  <c r="W1429"/>
  <c r="AA1429"/>
  <c r="U1434"/>
  <c r="W1411"/>
  <c r="AA1411"/>
  <c r="W1412"/>
  <c r="W1416"/>
  <c r="W1415"/>
  <c r="AA1415"/>
  <c r="V1416"/>
  <c r="W1422"/>
  <c r="AA1423"/>
  <c r="AA1407"/>
  <c r="AA1412"/>
  <c r="W1403"/>
  <c r="AA1405"/>
  <c r="W1420"/>
  <c r="AA1420"/>
  <c r="AA1422"/>
  <c r="W1424"/>
  <c r="AA1426"/>
  <c r="Y1432"/>
  <c r="U1433"/>
  <c r="Y1433"/>
  <c r="AA1416"/>
  <c r="Z1416"/>
  <c r="V1402"/>
  <c r="K1402"/>
  <c r="B1402"/>
  <c r="AJ1401"/>
  <c r="AA1401"/>
  <c r="Z1401"/>
  <c r="Y1401" s="1"/>
  <c r="K1401"/>
  <c r="B1401"/>
  <c r="K1400"/>
  <c r="B1400"/>
  <c r="U1399"/>
  <c r="W1399"/>
  <c r="V1399"/>
  <c r="K1399"/>
  <c r="B1399"/>
  <c r="X1401" l="1"/>
  <c r="V1401" s="1"/>
  <c r="U1407"/>
  <c r="U1421"/>
  <c r="Z1429"/>
  <c r="Z1411"/>
  <c r="Z1413"/>
  <c r="V1413"/>
  <c r="Y1421"/>
  <c r="V1411"/>
  <c r="Z1417"/>
  <c r="W1433"/>
  <c r="W1409"/>
  <c r="U1411"/>
  <c r="AA1406"/>
  <c r="W1406"/>
  <c r="V1406" s="1"/>
  <c r="U1417"/>
  <c r="U1416"/>
  <c r="W1425"/>
  <c r="V1410"/>
  <c r="U1410" s="1"/>
  <c r="W1419"/>
  <c r="Z1427"/>
  <c r="U1427"/>
  <c r="Z1403"/>
  <c r="U1429"/>
  <c r="Y1416"/>
  <c r="Z1408"/>
  <c r="Y1408" s="1"/>
  <c r="AA1410"/>
  <c r="W1410"/>
  <c r="V1408"/>
  <c r="Z1430"/>
  <c r="U1403"/>
  <c r="V1407"/>
  <c r="V1414"/>
  <c r="U1413"/>
  <c r="W1404"/>
  <c r="Z1433"/>
  <c r="Z1426"/>
  <c r="Y1417"/>
  <c r="Y1404"/>
  <c r="U1412"/>
  <c r="W1430"/>
  <c r="Y1424"/>
  <c r="V1426"/>
  <c r="AA1430"/>
  <c r="U1422"/>
  <c r="V1427"/>
  <c r="Z1407"/>
  <c r="V1412"/>
  <c r="U1414"/>
  <c r="U1424"/>
  <c r="V1415"/>
  <c r="Z1414"/>
  <c r="Z1434"/>
  <c r="Y1434" s="1"/>
  <c r="Y1403"/>
  <c r="Y1423"/>
  <c r="Z1415"/>
  <c r="AA1404"/>
  <c r="Z1420"/>
  <c r="Y1405"/>
  <c r="V1428"/>
  <c r="AA1432"/>
  <c r="O1400"/>
  <c r="AA1434"/>
  <c r="V1433"/>
  <c r="Z1428"/>
  <c r="Y1414"/>
  <c r="V1434"/>
  <c r="W1434"/>
  <c r="Z1419"/>
  <c r="U1415"/>
  <c r="W1432"/>
  <c r="Z1431"/>
  <c r="O1401"/>
  <c r="AA1402"/>
  <c r="Z1425"/>
  <c r="V1431"/>
  <c r="Y1415"/>
  <c r="U1418"/>
  <c r="AS1399"/>
  <c r="N1399"/>
  <c r="O1399"/>
  <c r="AS1400"/>
  <c r="AS1401"/>
  <c r="O1402"/>
  <c r="N1402" s="1"/>
  <c r="M1402"/>
  <c r="AA1425"/>
  <c r="AA1399"/>
  <c r="Z1399" s="1"/>
  <c r="Y1399" s="1"/>
  <c r="M1400"/>
  <c r="M1401"/>
  <c r="AS1402"/>
  <c r="AA1431"/>
  <c r="U1406"/>
  <c r="U1420"/>
  <c r="V1404"/>
  <c r="U1404" s="1"/>
  <c r="V1424"/>
  <c r="V1430"/>
  <c r="V1421"/>
  <c r="W1428"/>
  <c r="V1418"/>
  <c r="Z1421"/>
  <c r="Z1432"/>
  <c r="Y1426"/>
  <c r="U1426"/>
  <c r="V1405"/>
  <c r="Z1402"/>
  <c r="M1399"/>
  <c r="N1400"/>
  <c r="N1401"/>
  <c r="V1423"/>
  <c r="AA1428"/>
  <c r="Z1404"/>
  <c r="V1425"/>
  <c r="V1420"/>
  <c r="Z1405"/>
  <c r="Z1412"/>
  <c r="U1400"/>
  <c r="Y1400"/>
  <c r="V1422"/>
  <c r="U1398"/>
  <c r="B1398"/>
  <c r="O1397"/>
  <c r="B1397"/>
  <c r="AJ1396"/>
  <c r="Y1396"/>
  <c r="O1396"/>
  <c r="B1396"/>
  <c r="AA1395"/>
  <c r="K1395"/>
  <c r="B1395"/>
  <c r="U1401" l="1"/>
  <c r="W1401"/>
  <c r="X1396"/>
  <c r="U1396" s="1"/>
  <c r="Y1402"/>
  <c r="Z1400"/>
  <c r="AS1398"/>
  <c r="W1402"/>
  <c r="Y1395"/>
  <c r="M1396"/>
  <c r="AS1396"/>
  <c r="N1397"/>
  <c r="O1395"/>
  <c r="N1395"/>
  <c r="N1396"/>
  <c r="M1397"/>
  <c r="Y1397"/>
  <c r="Z1398"/>
  <c r="K1396"/>
  <c r="K1397"/>
  <c r="AS1395"/>
  <c r="AS1397"/>
  <c r="U1402"/>
  <c r="U1397"/>
  <c r="V1398"/>
  <c r="W1398"/>
  <c r="AA1397"/>
  <c r="W1397"/>
  <c r="AA1400"/>
  <c r="W1400"/>
  <c r="V1400" s="1"/>
  <c r="M1395"/>
  <c r="AA1396"/>
  <c r="K1398"/>
  <c r="AA1398"/>
  <c r="Z1396"/>
  <c r="O1398"/>
  <c r="N1398"/>
  <c r="M1398" s="1"/>
  <c r="Y1398"/>
  <c r="W1395"/>
  <c r="V1397"/>
  <c r="Z1397"/>
  <c r="AJ1394"/>
  <c r="Y1394"/>
  <c r="B1394"/>
  <c r="AJ1393"/>
  <c r="Z1393"/>
  <c r="AA1393"/>
  <c r="Y1393"/>
  <c r="O1393"/>
  <c r="B1393"/>
  <c r="M1392"/>
  <c r="B1392"/>
  <c r="N1391"/>
  <c r="B1391"/>
  <c r="AJ1390"/>
  <c r="M1390"/>
  <c r="B1390"/>
  <c r="AA1389"/>
  <c r="B1389"/>
  <c r="AA1388"/>
  <c r="O1388"/>
  <c r="B1388"/>
  <c r="N1387"/>
  <c r="B1387"/>
  <c r="N1386"/>
  <c r="B1386"/>
  <c r="AJ1385"/>
  <c r="AA1385"/>
  <c r="Z1385" s="1"/>
  <c r="Y1385" s="1"/>
  <c r="N1385"/>
  <c r="B1385"/>
  <c r="N1384"/>
  <c r="B1384"/>
  <c r="AA1383"/>
  <c r="B1383"/>
  <c r="N1382"/>
  <c r="B1382"/>
  <c r="W1381"/>
  <c r="O1381"/>
  <c r="B1381"/>
  <c r="O1380"/>
  <c r="B1380"/>
  <c r="N1379"/>
  <c r="B1379"/>
  <c r="M1378"/>
  <c r="B1378"/>
  <c r="U1377"/>
  <c r="B1377"/>
  <c r="N1376"/>
  <c r="B1376"/>
  <c r="AJ1375"/>
  <c r="N1375"/>
  <c r="B1375"/>
  <c r="M1374"/>
  <c r="B1374"/>
  <c r="O1373"/>
  <c r="B1373"/>
  <c r="AJ1372"/>
  <c r="AA1372"/>
  <c r="Z1372"/>
  <c r="Y1372"/>
  <c r="N1372"/>
  <c r="B1372"/>
  <c r="N1371"/>
  <c r="B1371"/>
  <c r="Y1370"/>
  <c r="N1370"/>
  <c r="B1370"/>
  <c r="M1369"/>
  <c r="B1369"/>
  <c r="B1368"/>
  <c r="M1367"/>
  <c r="B1367"/>
  <c r="M1366"/>
  <c r="B1366"/>
  <c r="O1365"/>
  <c r="B1365"/>
  <c r="O1364"/>
  <c r="B1364"/>
  <c r="Y1363"/>
  <c r="N1363"/>
  <c r="B1363"/>
  <c r="V1362"/>
  <c r="K1362"/>
  <c r="B1362"/>
  <c r="M1361"/>
  <c r="B1361"/>
  <c r="O1360"/>
  <c r="B1360"/>
  <c r="M1359"/>
  <c r="B1359"/>
  <c r="K1358"/>
  <c r="B1358"/>
  <c r="B1357"/>
  <c r="N1356"/>
  <c r="B1356"/>
  <c r="B1355"/>
  <c r="N1354"/>
  <c r="B1354"/>
  <c r="N1353"/>
  <c r="B1353"/>
  <c r="M1352"/>
  <c r="B1352"/>
  <c r="W1396" l="1"/>
  <c r="V1396" s="1"/>
  <c r="X1372"/>
  <c r="X1394"/>
  <c r="X1385"/>
  <c r="W1385" s="1"/>
  <c r="X1393"/>
  <c r="W1393" s="1"/>
  <c r="AK1375"/>
  <c r="X1375" s="1"/>
  <c r="V1395"/>
  <c r="U1395"/>
  <c r="AS1355"/>
  <c r="O1356"/>
  <c r="AS1387"/>
  <c r="O1387"/>
  <c r="M1387"/>
  <c r="N1365"/>
  <c r="N1388"/>
  <c r="AS1388"/>
  <c r="M1354"/>
  <c r="K1372"/>
  <c r="AS1381"/>
  <c r="N1358"/>
  <c r="M1358" s="1"/>
  <c r="M1360"/>
  <c r="K1361"/>
  <c r="AS1365"/>
  <c r="K1367"/>
  <c r="M1384"/>
  <c r="AS1384"/>
  <c r="K1385"/>
  <c r="M1388"/>
  <c r="Y1388"/>
  <c r="N1393"/>
  <c r="Z1395"/>
  <c r="K1356"/>
  <c r="Y1360"/>
  <c r="AS1361"/>
  <c r="AS1383"/>
  <c r="M1393"/>
  <c r="U1358"/>
  <c r="O1361"/>
  <c r="O1367"/>
  <c r="M1370"/>
  <c r="U1379"/>
  <c r="K1393"/>
  <c r="K1378"/>
  <c r="O1378"/>
  <c r="N1381"/>
  <c r="K1383"/>
  <c r="O1383"/>
  <c r="AS1385"/>
  <c r="O1385"/>
  <c r="K1392"/>
  <c r="W1394"/>
  <c r="M1353"/>
  <c r="AS1353"/>
  <c r="K1354"/>
  <c r="O1354"/>
  <c r="AS1358"/>
  <c r="AS1360"/>
  <c r="N1361"/>
  <c r="AA1362"/>
  <c r="Z1362" s="1"/>
  <c r="M1365"/>
  <c r="U1365"/>
  <c r="N1378"/>
  <c r="M1381"/>
  <c r="Y1381"/>
  <c r="N1383"/>
  <c r="M1385"/>
  <c r="K1387"/>
  <c r="K1388"/>
  <c r="V1388"/>
  <c r="AS1389"/>
  <c r="M1391"/>
  <c r="O1392"/>
  <c r="AS1394"/>
  <c r="M1355"/>
  <c r="O1358"/>
  <c r="N1360"/>
  <c r="Y1374"/>
  <c r="M1383"/>
  <c r="AS1364"/>
  <c r="N1364"/>
  <c r="U1364"/>
  <c r="AS1366"/>
  <c r="O1366"/>
  <c r="AA1367"/>
  <c r="K1369"/>
  <c r="K1370"/>
  <c r="AS1373"/>
  <c r="N1373"/>
  <c r="N1380"/>
  <c r="Y1380"/>
  <c r="O1382"/>
  <c r="K1384"/>
  <c r="O1384"/>
  <c r="V1385"/>
  <c r="O1386"/>
  <c r="K1390"/>
  <c r="O1390"/>
  <c r="AS1390"/>
  <c r="K1391"/>
  <c r="V1394"/>
  <c r="AK1390"/>
  <c r="X1390" s="1"/>
  <c r="AS1354"/>
  <c r="AS1356"/>
  <c r="AS1357"/>
  <c r="K1360"/>
  <c r="AA1363"/>
  <c r="M1364"/>
  <c r="K1365"/>
  <c r="Z1365"/>
  <c r="N1366"/>
  <c r="V1367"/>
  <c r="AA1368"/>
  <c r="O1370"/>
  <c r="M1373"/>
  <c r="AS1378"/>
  <c r="M1380"/>
  <c r="AS1380"/>
  <c r="K1381"/>
  <c r="M1382"/>
  <c r="Z1382"/>
  <c r="M1386"/>
  <c r="N1390"/>
  <c r="O1391"/>
  <c r="AS1392"/>
  <c r="AS1393"/>
  <c r="U1394"/>
  <c r="AS1382"/>
  <c r="AS1386"/>
  <c r="AS1391"/>
  <c r="K1364"/>
  <c r="V1364"/>
  <c r="K1366"/>
  <c r="K1373"/>
  <c r="Z1373"/>
  <c r="K1380"/>
  <c r="K1382"/>
  <c r="K1386"/>
  <c r="AA1381"/>
  <c r="U1353"/>
  <c r="Y1353"/>
  <c r="U1355"/>
  <c r="AA1356"/>
  <c r="AA1354"/>
  <c r="AA1359"/>
  <c r="W1354"/>
  <c r="AA1358"/>
  <c r="AS1368"/>
  <c r="M1368"/>
  <c r="M1377"/>
  <c r="O1377"/>
  <c r="K1377"/>
  <c r="O1357"/>
  <c r="W1358"/>
  <c r="K1359"/>
  <c r="O1359"/>
  <c r="AS1371"/>
  <c r="U1376"/>
  <c r="AS1367"/>
  <c r="N1367"/>
  <c r="O1376"/>
  <c r="K1376"/>
  <c r="AS1376"/>
  <c r="M1376"/>
  <c r="Z1379"/>
  <c r="AA1352"/>
  <c r="K1352"/>
  <c r="O1352"/>
  <c r="K1357"/>
  <c r="V1357"/>
  <c r="AS1359"/>
  <c r="N1352"/>
  <c r="K1353"/>
  <c r="O1353"/>
  <c r="Z1353"/>
  <c r="K1355"/>
  <c r="O1355"/>
  <c r="M1356"/>
  <c r="N1357"/>
  <c r="N1359"/>
  <c r="W1359"/>
  <c r="AA1361"/>
  <c r="AS1362"/>
  <c r="K1363"/>
  <c r="U1363"/>
  <c r="W1365"/>
  <c r="K1368"/>
  <c r="O1369"/>
  <c r="W1369"/>
  <c r="AS1370"/>
  <c r="K1371"/>
  <c r="O1372"/>
  <c r="K1374"/>
  <c r="AA1376"/>
  <c r="Y1377"/>
  <c r="AS1379"/>
  <c r="Z1377"/>
  <c r="AA1386"/>
  <c r="W1392"/>
  <c r="AS1352"/>
  <c r="AA1355"/>
  <c r="N1355"/>
  <c r="M1357"/>
  <c r="N1362"/>
  <c r="O1363"/>
  <c r="O1368"/>
  <c r="O1371"/>
  <c r="M1372"/>
  <c r="AS1372"/>
  <c r="O1374"/>
  <c r="AA1382"/>
  <c r="AS1369"/>
  <c r="N1369"/>
  <c r="AS1375"/>
  <c r="M1375"/>
  <c r="O1375"/>
  <c r="K1375"/>
  <c r="Z1376"/>
  <c r="M1379"/>
  <c r="O1379"/>
  <c r="K1379"/>
  <c r="AA1387"/>
  <c r="Z1358"/>
  <c r="M1362"/>
  <c r="M1363"/>
  <c r="AS1363"/>
  <c r="N1368"/>
  <c r="M1371"/>
  <c r="N1374"/>
  <c r="AS1374"/>
  <c r="N1377"/>
  <c r="AS1377"/>
  <c r="W1378"/>
  <c r="W1383"/>
  <c r="O1362"/>
  <c r="W1382"/>
  <c r="U1385"/>
  <c r="Y1386"/>
  <c r="W1386"/>
  <c r="Y1387"/>
  <c r="W1387"/>
  <c r="K1389"/>
  <c r="O1389"/>
  <c r="N1392"/>
  <c r="Y1392"/>
  <c r="K1394"/>
  <c r="AA1394"/>
  <c r="U1384"/>
  <c r="N1389"/>
  <c r="AA1390"/>
  <c r="Z1390" s="1"/>
  <c r="Y1390" s="1"/>
  <c r="O1394"/>
  <c r="Z1394"/>
  <c r="M1389"/>
  <c r="N1394"/>
  <c r="M1394" s="1"/>
  <c r="AA1392"/>
  <c r="W1389"/>
  <c r="W1364"/>
  <c r="AA1365"/>
  <c r="U1369"/>
  <c r="Y1369"/>
  <c r="AA1378"/>
  <c r="W1379"/>
  <c r="W1380"/>
  <c r="AA1380"/>
  <c r="AA1353"/>
  <c r="Y1355"/>
  <c r="W1360"/>
  <c r="U1367"/>
  <c r="Y1367"/>
  <c r="W1356"/>
  <c r="Y1358"/>
  <c r="AA1360"/>
  <c r="W1361"/>
  <c r="AA1364"/>
  <c r="U1370"/>
  <c r="U1371"/>
  <c r="U1372"/>
  <c r="W1373"/>
  <c r="AA1373"/>
  <c r="Y1376"/>
  <c r="AA1379"/>
  <c r="W1388"/>
  <c r="W1391"/>
  <c r="AA1391"/>
  <c r="Y1371"/>
  <c r="V1393" l="1"/>
  <c r="U1393"/>
  <c r="Y1359"/>
  <c r="U1383"/>
  <c r="U1362"/>
  <c r="W1362"/>
  <c r="W1371"/>
  <c r="W1390"/>
  <c r="V1378"/>
  <c r="U1378"/>
  <c r="Y1378"/>
  <c r="Y1379"/>
  <c r="Z1378"/>
  <c r="Y1368"/>
  <c r="U1368"/>
  <c r="W1377"/>
  <c r="AA1377"/>
  <c r="Z1356"/>
  <c r="V1356"/>
  <c r="U1361"/>
  <c r="W1367"/>
  <c r="Z1391"/>
  <c r="W1352"/>
  <c r="Y1354"/>
  <c r="V1386"/>
  <c r="Y1362"/>
  <c r="V1358"/>
  <c r="W1376"/>
  <c r="V1376" s="1"/>
  <c r="Z1383"/>
  <c r="U1374"/>
  <c r="Z1363"/>
  <c r="V1368"/>
  <c r="Z1354"/>
  <c r="Z1368"/>
  <c r="Y1365"/>
  <c r="V1381"/>
  <c r="U1381" s="1"/>
  <c r="V1379"/>
  <c r="Z1386"/>
  <c r="Z1381"/>
  <c r="Z1388"/>
  <c r="Z1387"/>
  <c r="V1360"/>
  <c r="V1387"/>
  <c r="AA1371"/>
  <c r="Z1371"/>
  <c r="Z1360"/>
  <c r="V1371"/>
  <c r="V1391"/>
  <c r="Z1367"/>
  <c r="W1370"/>
  <c r="V1382"/>
  <c r="U1360"/>
  <c r="V1383"/>
  <c r="Z1370"/>
  <c r="V1370"/>
  <c r="AA1374"/>
  <c r="W1374"/>
  <c r="AA1370"/>
  <c r="Y1364"/>
  <c r="U1373"/>
  <c r="AA1357"/>
  <c r="V1380"/>
  <c r="W1353"/>
  <c r="Z1380"/>
  <c r="W1357"/>
  <c r="U1366"/>
  <c r="Y1366"/>
  <c r="U1359"/>
  <c r="V1354"/>
  <c r="V1365"/>
  <c r="Z1361"/>
  <c r="W1363"/>
  <c r="W1368"/>
  <c r="Z1392"/>
  <c r="V1392"/>
  <c r="V1361"/>
  <c r="V1363"/>
  <c r="U1388"/>
  <c r="W1355"/>
  <c r="Z1364"/>
  <c r="Y1382"/>
  <c r="U1382"/>
  <c r="V1372"/>
  <c r="U1386"/>
  <c r="U1387"/>
  <c r="Y1356"/>
  <c r="V1353"/>
  <c r="U1352"/>
  <c r="Y1383"/>
  <c r="U1392"/>
  <c r="Z1357"/>
  <c r="Y1361"/>
  <c r="U1354"/>
  <c r="Y1352"/>
  <c r="Y1373"/>
  <c r="W1366"/>
  <c r="V1374"/>
  <c r="V1366"/>
  <c r="U1380"/>
  <c r="Z1374"/>
  <c r="Z1366"/>
  <c r="U1356"/>
  <c r="U1390"/>
  <c r="AA1366"/>
  <c r="U1375"/>
  <c r="W1375"/>
  <c r="V1375" s="1"/>
  <c r="V1390"/>
  <c r="W1384"/>
  <c r="Y1389"/>
  <c r="V1389"/>
  <c r="Z1369"/>
  <c r="V1369"/>
  <c r="AA1369"/>
  <c r="Z1359"/>
  <c r="U1357"/>
  <c r="Y1357"/>
  <c r="V1352"/>
  <c r="Z1352"/>
  <c r="Z1389"/>
  <c r="W1372"/>
  <c r="Y1391"/>
  <c r="V1359"/>
  <c r="V1377"/>
  <c r="V1355"/>
  <c r="Z1355"/>
  <c r="Z1375"/>
  <c r="Y1375"/>
  <c r="AA1375"/>
  <c r="AA1384"/>
  <c r="U1389"/>
  <c r="U1391"/>
  <c r="V1373"/>
  <c r="B1351"/>
  <c r="B1350"/>
  <c r="M1349"/>
  <c r="B1349"/>
  <c r="Y1348"/>
  <c r="M1348"/>
  <c r="B1348"/>
  <c r="M1347"/>
  <c r="B1347"/>
  <c r="AA1346"/>
  <c r="M1346"/>
  <c r="B1346"/>
  <c r="AJ1345"/>
  <c r="M1345"/>
  <c r="B1345"/>
  <c r="W1344"/>
  <c r="N1344"/>
  <c r="B1344"/>
  <c r="B1343"/>
  <c r="Z1342"/>
  <c r="M1342"/>
  <c r="B1342"/>
  <c r="AA1341"/>
  <c r="M1341"/>
  <c r="B1341"/>
  <c r="M1340"/>
  <c r="B1340"/>
  <c r="Y1339"/>
  <c r="O1339"/>
  <c r="B1339"/>
  <c r="M1338"/>
  <c r="B1338"/>
  <c r="M1337"/>
  <c r="B1337"/>
  <c r="AJ1336"/>
  <c r="M1336"/>
  <c r="B1336"/>
  <c r="M1335"/>
  <c r="B1335"/>
  <c r="O1334"/>
  <c r="B1334"/>
  <c r="AA1333"/>
  <c r="O1333"/>
  <c r="B1333"/>
  <c r="V1332"/>
  <c r="O1332"/>
  <c r="B1332"/>
  <c r="O1331"/>
  <c r="B1331"/>
  <c r="O1330"/>
  <c r="B1330"/>
  <c r="M1329"/>
  <c r="B1329"/>
  <c r="Y1328"/>
  <c r="M1328"/>
  <c r="B1328"/>
  <c r="N1327"/>
  <c r="B1327"/>
  <c r="N1326"/>
  <c r="B1326"/>
  <c r="M1325"/>
  <c r="B1325"/>
  <c r="Y1324"/>
  <c r="N1324"/>
  <c r="B1324"/>
  <c r="O1323"/>
  <c r="B1323"/>
  <c r="N1322"/>
  <c r="B1322"/>
  <c r="B1321"/>
  <c r="U1320"/>
  <c r="N1320"/>
  <c r="B1320"/>
  <c r="O1319"/>
  <c r="B1319"/>
  <c r="M1326" l="1"/>
  <c r="AS1351"/>
  <c r="N1338"/>
  <c r="AS1324"/>
  <c r="K1342"/>
  <c r="M1320"/>
  <c r="M1324"/>
  <c r="Y1334"/>
  <c r="M1339"/>
  <c r="M1344"/>
  <c r="AS1342"/>
  <c r="O1342"/>
  <c r="K1344"/>
  <c r="O1344"/>
  <c r="V1344"/>
  <c r="N1349"/>
  <c r="N1334"/>
  <c r="U1339"/>
  <c r="N1342"/>
  <c r="AS1344"/>
  <c r="Y1344"/>
  <c r="N1345"/>
  <c r="M1319"/>
  <c r="AS1321"/>
  <c r="M1322"/>
  <c r="M1327"/>
  <c r="O1329"/>
  <c r="M1334"/>
  <c r="K1329"/>
  <c r="AS1333"/>
  <c r="AS1339"/>
  <c r="V1342"/>
  <c r="K1345"/>
  <c r="K1349"/>
  <c r="N1319"/>
  <c r="AS1320"/>
  <c r="U1330"/>
  <c r="K1333"/>
  <c r="Z1333"/>
  <c r="O1336"/>
  <c r="N1339"/>
  <c r="O1340"/>
  <c r="AS1343"/>
  <c r="AS1345"/>
  <c r="O1345"/>
  <c r="O1349"/>
  <c r="K1336"/>
  <c r="K1340"/>
  <c r="K1322"/>
  <c r="O1322"/>
  <c r="V1322"/>
  <c r="N1323"/>
  <c r="AS1329"/>
  <c r="N1329"/>
  <c r="Y1329"/>
  <c r="N1331"/>
  <c r="N1333"/>
  <c r="AS1336"/>
  <c r="N1336"/>
  <c r="U1338"/>
  <c r="AS1340"/>
  <c r="N1340"/>
  <c r="AS1350"/>
  <c r="K1351"/>
  <c r="AK1336"/>
  <c r="X1336" s="1"/>
  <c r="AS1322"/>
  <c r="M1323"/>
  <c r="U1323"/>
  <c r="N1330"/>
  <c r="M1331"/>
  <c r="N1332"/>
  <c r="M1333"/>
  <c r="AS1338"/>
  <c r="AS1349"/>
  <c r="AK1345"/>
  <c r="X1345" s="1"/>
  <c r="AS1328"/>
  <c r="M1330"/>
  <c r="M1332"/>
  <c r="AS1348"/>
  <c r="AS1332"/>
  <c r="Z1384"/>
  <c r="Y1384" s="1"/>
  <c r="V1384"/>
  <c r="V1340"/>
  <c r="V1338"/>
  <c r="Y1327"/>
  <c r="Z1339"/>
  <c r="V1339"/>
  <c r="W1333"/>
  <c r="AA1335"/>
  <c r="AA1343"/>
  <c r="AA1350"/>
  <c r="V1319"/>
  <c r="U1324"/>
  <c r="U1328"/>
  <c r="AA1329"/>
  <c r="AA1322"/>
  <c r="Z1330"/>
  <c r="AA1337"/>
  <c r="AA1344"/>
  <c r="W1342"/>
  <c r="W1347"/>
  <c r="W1325"/>
  <c r="AS1325"/>
  <c r="AA1324"/>
  <c r="AS1327"/>
  <c r="Z1319"/>
  <c r="AS1319"/>
  <c r="AS1323"/>
  <c r="K1324"/>
  <c r="O1324"/>
  <c r="V1324"/>
  <c r="N1325"/>
  <c r="Y1325"/>
  <c r="K1326"/>
  <c r="O1326"/>
  <c r="K1327"/>
  <c r="O1327"/>
  <c r="K1328"/>
  <c r="O1328"/>
  <c r="Z1328"/>
  <c r="W1330"/>
  <c r="AS1330"/>
  <c r="AS1331"/>
  <c r="Z1332"/>
  <c r="AA1334"/>
  <c r="AS1334"/>
  <c r="K1335"/>
  <c r="O1335"/>
  <c r="Z1335"/>
  <c r="AS1335"/>
  <c r="K1337"/>
  <c r="O1337"/>
  <c r="Z1337"/>
  <c r="AS1337"/>
  <c r="AA1339"/>
  <c r="K1341"/>
  <c r="O1341"/>
  <c r="AS1341"/>
  <c r="AA1342"/>
  <c r="K1343"/>
  <c r="O1343"/>
  <c r="K1346"/>
  <c r="O1346"/>
  <c r="AS1346"/>
  <c r="K1347"/>
  <c r="O1347"/>
  <c r="AA1347"/>
  <c r="K1350"/>
  <c r="O1350"/>
  <c r="K1321"/>
  <c r="O1321"/>
  <c r="K1325"/>
  <c r="O1325"/>
  <c r="W1326"/>
  <c r="AS1326"/>
  <c r="K1320"/>
  <c r="O1320"/>
  <c r="Z1320"/>
  <c r="Y1320" s="1"/>
  <c r="N1321"/>
  <c r="W1322"/>
  <c r="W1323"/>
  <c r="K1319"/>
  <c r="M1321"/>
  <c r="K1323"/>
  <c r="N1328"/>
  <c r="K1330"/>
  <c r="K1331"/>
  <c r="K1332"/>
  <c r="K1334"/>
  <c r="N1335"/>
  <c r="U1335"/>
  <c r="W1335"/>
  <c r="N1337"/>
  <c r="U1337"/>
  <c r="W1337"/>
  <c r="K1338"/>
  <c r="O1338"/>
  <c r="K1339"/>
  <c r="N1341"/>
  <c r="N1343"/>
  <c r="U1343"/>
  <c r="W1343"/>
  <c r="N1346"/>
  <c r="Y1346"/>
  <c r="W1346"/>
  <c r="N1347"/>
  <c r="AS1347"/>
  <c r="K1348"/>
  <c r="O1348"/>
  <c r="V1348"/>
  <c r="N1350"/>
  <c r="U1350"/>
  <c r="W1350"/>
  <c r="O1351"/>
  <c r="N1351" s="1"/>
  <c r="W1351"/>
  <c r="M1343"/>
  <c r="N1348"/>
  <c r="M1350"/>
  <c r="M1351"/>
  <c r="Y1351"/>
  <c r="V1330"/>
  <c r="AA1321"/>
  <c r="V1323"/>
  <c r="U1326"/>
  <c r="Y1326"/>
  <c r="W1329"/>
  <c r="Z1331"/>
  <c r="W1340"/>
  <c r="U1348"/>
  <c r="AA1349"/>
  <c r="AA1340"/>
  <c r="W1321"/>
  <c r="Z1351"/>
  <c r="V1334"/>
  <c r="Z1334"/>
  <c r="Z1338"/>
  <c r="W1341"/>
  <c r="Y1342"/>
  <c r="W1349"/>
  <c r="M1318"/>
  <c r="Y1331" l="1"/>
  <c r="V1333"/>
  <c r="V1349"/>
  <c r="Z1349"/>
  <c r="Z1344"/>
  <c r="U1319"/>
  <c r="Y1319"/>
  <c r="U1334"/>
  <c r="Z1340"/>
  <c r="U1329"/>
  <c r="Y1322"/>
  <c r="Z1329"/>
  <c r="V1341"/>
  <c r="Z1341"/>
  <c r="U1331"/>
  <c r="V1327"/>
  <c r="U1327" s="1"/>
  <c r="Z1350"/>
  <c r="Y1337"/>
  <c r="AA1323"/>
  <c r="V1321"/>
  <c r="Y1349"/>
  <c r="U1344"/>
  <c r="Y1333"/>
  <c r="Y1350"/>
  <c r="U1325"/>
  <c r="U1349"/>
  <c r="V1328"/>
  <c r="V1326"/>
  <c r="V1329"/>
  <c r="U1322"/>
  <c r="Y1330"/>
  <c r="W1327"/>
  <c r="U1346"/>
  <c r="V1347"/>
  <c r="Z1326"/>
  <c r="Z1325"/>
  <c r="Z1347"/>
  <c r="Y1338"/>
  <c r="W1320"/>
  <c r="AA1328"/>
  <c r="W1324"/>
  <c r="Y1340"/>
  <c r="U1333"/>
  <c r="Z1327"/>
  <c r="Z1321"/>
  <c r="U1342"/>
  <c r="W1328"/>
  <c r="W1338"/>
  <c r="U1340"/>
  <c r="AA1351"/>
  <c r="Y1343"/>
  <c r="W1332"/>
  <c r="U1332"/>
  <c r="AA1332"/>
  <c r="W1331"/>
  <c r="V1331" s="1"/>
  <c r="W1339"/>
  <c r="Z1322"/>
  <c r="AA1331"/>
  <c r="Y1335"/>
  <c r="Y1332"/>
  <c r="U1347"/>
  <c r="O1318"/>
  <c r="W1345"/>
  <c r="V1345"/>
  <c r="U1345" s="1"/>
  <c r="K1318"/>
  <c r="U1351"/>
  <c r="N1318"/>
  <c r="U1336"/>
  <c r="V1336"/>
  <c r="W1336"/>
  <c r="AA1320"/>
  <c r="Y1347"/>
  <c r="AA1327"/>
  <c r="V1350"/>
  <c r="V1337"/>
  <c r="W1319"/>
  <c r="AA1330"/>
  <c r="Y1321"/>
  <c r="AA1338"/>
  <c r="U1341"/>
  <c r="U1321"/>
  <c r="AA1319"/>
  <c r="V1325"/>
  <c r="Y1341"/>
  <c r="Z1336"/>
  <c r="AA1336"/>
  <c r="Y1336"/>
  <c r="Y1345"/>
  <c r="Z1345"/>
  <c r="AA1345"/>
  <c r="V1320"/>
  <c r="AA1348"/>
  <c r="W1348"/>
  <c r="Z1343"/>
  <c r="V1343"/>
  <c r="V1335"/>
  <c r="W1334"/>
  <c r="U1318"/>
  <c r="V1351"/>
  <c r="Z1348"/>
  <c r="Z1346"/>
  <c r="AA1326"/>
  <c r="AA1325"/>
  <c r="AS1318"/>
  <c r="Z1324"/>
  <c r="V1346"/>
  <c r="Z1323"/>
  <c r="Y1323" s="1"/>
  <c r="B1318"/>
  <c r="M1317"/>
  <c r="B1317"/>
  <c r="O1316"/>
  <c r="B1316"/>
  <c r="W1315"/>
  <c r="O1315"/>
  <c r="B1315"/>
  <c r="Y1314"/>
  <c r="N1314"/>
  <c r="B1314"/>
  <c r="O1313"/>
  <c r="B1313"/>
  <c r="N1312"/>
  <c r="B1312"/>
  <c r="W1311"/>
  <c r="M1311"/>
  <c r="B1311"/>
  <c r="AJ1310"/>
  <c r="Y1310"/>
  <c r="Z1310"/>
  <c r="O1310"/>
  <c r="B1310"/>
  <c r="O1309"/>
  <c r="B1309"/>
  <c r="O1308"/>
  <c r="B1308"/>
  <c r="B1307"/>
  <c r="N1306"/>
  <c r="B1306"/>
  <c r="O1305"/>
  <c r="B1305"/>
  <c r="M1304"/>
  <c r="B1304"/>
  <c r="N1303"/>
  <c r="B1303"/>
  <c r="M1302"/>
  <c r="B1302"/>
  <c r="Z1301"/>
  <c r="M1301"/>
  <c r="B1301"/>
  <c r="O1300"/>
  <c r="B1300"/>
  <c r="O1299"/>
  <c r="B1299"/>
  <c r="N1298"/>
  <c r="B1298"/>
  <c r="N1297"/>
  <c r="M1297" s="1"/>
  <c r="B1297"/>
  <c r="M1296"/>
  <c r="B1296"/>
  <c r="M1295"/>
  <c r="B1295"/>
  <c r="Z1294"/>
  <c r="O1294"/>
  <c r="B1294"/>
  <c r="M1293"/>
  <c r="B1293"/>
  <c r="O1292"/>
  <c r="B1292"/>
  <c r="B1291"/>
  <c r="O1290"/>
  <c r="B1290"/>
  <c r="N1289"/>
  <c r="B1289"/>
  <c r="O1288"/>
  <c r="B1288"/>
  <c r="N1287"/>
  <c r="M1287" s="1"/>
  <c r="B1287"/>
  <c r="Y1286"/>
  <c r="K1286"/>
  <c r="B1286"/>
  <c r="B1285"/>
  <c r="K1284"/>
  <c r="B1284"/>
  <c r="B1283"/>
  <c r="N1282"/>
  <c r="M1282" s="1"/>
  <c r="B1282"/>
  <c r="O1281"/>
  <c r="B1281"/>
  <c r="U1280"/>
  <c r="N1280"/>
  <c r="M1280" s="1"/>
  <c r="B1280"/>
  <c r="M1279"/>
  <c r="B1279"/>
  <c r="M1278"/>
  <c r="B1278"/>
  <c r="Z1277"/>
  <c r="O1277"/>
  <c r="B1277"/>
  <c r="B1276"/>
  <c r="Y1275"/>
  <c r="B1275"/>
  <c r="B1274"/>
  <c r="M1273"/>
  <c r="X1310" l="1"/>
  <c r="W1310" s="1"/>
  <c r="M1306"/>
  <c r="N1273"/>
  <c r="AS1291"/>
  <c r="K1281"/>
  <c r="AS1286"/>
  <c r="AS1281"/>
  <c r="N1286"/>
  <c r="N1311"/>
  <c r="M1286"/>
  <c r="K1297"/>
  <c r="Z1311"/>
  <c r="U1311"/>
  <c r="AS1285"/>
  <c r="AS1293"/>
  <c r="N1296"/>
  <c r="M1298"/>
  <c r="N1299"/>
  <c r="M1299" s="1"/>
  <c r="AS1311"/>
  <c r="O1311"/>
  <c r="Z1314"/>
  <c r="K1296"/>
  <c r="Y1274"/>
  <c r="AS1296"/>
  <c r="O1296"/>
  <c r="N1302"/>
  <c r="K1311"/>
  <c r="AS1274"/>
  <c r="Y1279"/>
  <c r="N1281"/>
  <c r="M1281" s="1"/>
  <c r="N1285"/>
  <c r="Y1295"/>
  <c r="O1297"/>
  <c r="AS1297"/>
  <c r="K1298"/>
  <c r="N1301"/>
  <c r="O1303"/>
  <c r="M1314"/>
  <c r="O1280"/>
  <c r="AS1282"/>
  <c r="AS1283"/>
  <c r="M1285"/>
  <c r="AS1289"/>
  <c r="N1291"/>
  <c r="AS1298"/>
  <c r="O1298"/>
  <c r="N1300"/>
  <c r="M1300" s="1"/>
  <c r="M1303"/>
  <c r="N1304"/>
  <c r="AS1307"/>
  <c r="M1312"/>
  <c r="N1295"/>
  <c r="AS1275"/>
  <c r="AS1276"/>
  <c r="K1278"/>
  <c r="O1278"/>
  <c r="AS1278"/>
  <c r="K1279"/>
  <c r="AS1287"/>
  <c r="Z1275"/>
  <c r="N1278"/>
  <c r="AS1279"/>
  <c r="O1279"/>
  <c r="N1279" s="1"/>
  <c r="K1282"/>
  <c r="Y1283"/>
  <c r="Y1284"/>
  <c r="K1293"/>
  <c r="O1293"/>
  <c r="K1299"/>
  <c r="AS1299"/>
  <c r="K1300"/>
  <c r="AS1302"/>
  <c r="N1305"/>
  <c r="AS1305"/>
  <c r="K1306"/>
  <c r="N1307"/>
  <c r="K1312"/>
  <c r="N1313"/>
  <c r="AS1313"/>
  <c r="K1314"/>
  <c r="N1315"/>
  <c r="U1315"/>
  <c r="Z1318"/>
  <c r="W1318"/>
  <c r="Z1283"/>
  <c r="Z1284"/>
  <c r="Z1273"/>
  <c r="N1274"/>
  <c r="AS1280"/>
  <c r="K1285"/>
  <c r="O1285"/>
  <c r="O1286"/>
  <c r="O1287"/>
  <c r="N1288"/>
  <c r="M1288" s="1"/>
  <c r="N1293"/>
  <c r="Y1293"/>
  <c r="AS1300"/>
  <c r="K1303"/>
  <c r="M1305"/>
  <c r="O1306"/>
  <c r="M1307"/>
  <c r="O1312"/>
  <c r="M1313"/>
  <c r="O1314"/>
  <c r="M1315"/>
  <c r="AS1315"/>
  <c r="N1317"/>
  <c r="AA1318"/>
  <c r="K1288"/>
  <c r="K1305"/>
  <c r="AS1306"/>
  <c r="K1307"/>
  <c r="O1307"/>
  <c r="AS1312"/>
  <c r="K1313"/>
  <c r="AS1314"/>
  <c r="K1315"/>
  <c r="AS1317"/>
  <c r="V1318"/>
  <c r="AA1301"/>
  <c r="Y1318"/>
  <c r="V1294"/>
  <c r="Z1288"/>
  <c r="AA1288"/>
  <c r="AA1278"/>
  <c r="Z1287"/>
  <c r="W1293"/>
  <c r="AA1307"/>
  <c r="Z1309"/>
  <c r="AA1282"/>
  <c r="Z1292"/>
  <c r="Y1299"/>
  <c r="U1299"/>
  <c r="V1308"/>
  <c r="V1309"/>
  <c r="Z1316"/>
  <c r="Z1281"/>
  <c r="V1281"/>
  <c r="W1281"/>
  <c r="V1316"/>
  <c r="AS1273"/>
  <c r="N1277"/>
  <c r="AS1277"/>
  <c r="N1284"/>
  <c r="AS1284"/>
  <c r="U1288"/>
  <c r="N1290"/>
  <c r="U1290"/>
  <c r="N1292"/>
  <c r="Y1292"/>
  <c r="AS1292"/>
  <c r="N1294"/>
  <c r="W1295"/>
  <c r="AS1295"/>
  <c r="W1301"/>
  <c r="Y1303"/>
  <c r="AS1304"/>
  <c r="N1308"/>
  <c r="N1309"/>
  <c r="Y1309"/>
  <c r="N1310"/>
  <c r="AS1310"/>
  <c r="N1316"/>
  <c r="Y1316"/>
  <c r="W1317"/>
  <c r="O1275"/>
  <c r="N1276"/>
  <c r="O1283"/>
  <c r="K1273"/>
  <c r="O1273"/>
  <c r="AA1273"/>
  <c r="K1274"/>
  <c r="O1274"/>
  <c r="N1275"/>
  <c r="M1275" s="1"/>
  <c r="M1276"/>
  <c r="M1277"/>
  <c r="K1280"/>
  <c r="AA1281"/>
  <c r="N1283"/>
  <c r="M1283" s="1"/>
  <c r="M1284"/>
  <c r="K1287"/>
  <c r="AS1288"/>
  <c r="K1289"/>
  <c r="O1289"/>
  <c r="Z1289"/>
  <c r="M1290"/>
  <c r="AS1290"/>
  <c r="K1291"/>
  <c r="O1291"/>
  <c r="M1292"/>
  <c r="M1294"/>
  <c r="AS1294"/>
  <c r="K1295"/>
  <c r="O1295"/>
  <c r="W1296"/>
  <c r="AA1297"/>
  <c r="AA1300"/>
  <c r="K1301"/>
  <c r="O1301"/>
  <c r="V1301"/>
  <c r="AS1301"/>
  <c r="K1302"/>
  <c r="O1302"/>
  <c r="AS1303"/>
  <c r="K1304"/>
  <c r="O1304"/>
  <c r="W1307"/>
  <c r="M1308"/>
  <c r="M1309"/>
  <c r="M1310"/>
  <c r="AA1310"/>
  <c r="W1314"/>
  <c r="M1316"/>
  <c r="AS1316"/>
  <c r="K1317"/>
  <c r="O1317"/>
  <c r="V1317"/>
  <c r="W1278"/>
  <c r="W1308"/>
  <c r="AS1308"/>
  <c r="AA1309"/>
  <c r="AS1309"/>
  <c r="AA1316"/>
  <c r="AA1276"/>
  <c r="AA1293"/>
  <c r="Y1273"/>
  <c r="M1274"/>
  <c r="K1275"/>
  <c r="K1276"/>
  <c r="O1276"/>
  <c r="K1277"/>
  <c r="O1282"/>
  <c r="K1283"/>
  <c r="O1284"/>
  <c r="M1289"/>
  <c r="K1290"/>
  <c r="M1291"/>
  <c r="K1292"/>
  <c r="K1294"/>
  <c r="K1308"/>
  <c r="K1309"/>
  <c r="K1310"/>
  <c r="AA1311"/>
  <c r="K1316"/>
  <c r="V1276"/>
  <c r="V1277"/>
  <c r="U1285"/>
  <c r="Y1306"/>
  <c r="AA1313"/>
  <c r="Z1276"/>
  <c r="W1282"/>
  <c r="Y1285"/>
  <c r="W1288"/>
  <c r="V1290"/>
  <c r="Z1290"/>
  <c r="V1292"/>
  <c r="AA1305"/>
  <c r="U1312"/>
  <c r="Y1312"/>
  <c r="AA1315"/>
  <c r="U1300"/>
  <c r="Y1300"/>
  <c r="W1305"/>
  <c r="Z1308"/>
  <c r="W1313"/>
  <c r="B1273"/>
  <c r="M1272"/>
  <c r="B1272"/>
  <c r="N1271"/>
  <c r="B1271"/>
  <c r="O1270"/>
  <c r="B1270"/>
  <c r="N1269"/>
  <c r="B1269"/>
  <c r="N1268"/>
  <c r="B1268"/>
  <c r="B1267"/>
  <c r="N1266"/>
  <c r="B1266"/>
  <c r="N1265"/>
  <c r="M1265" s="1"/>
  <c r="B1265"/>
  <c r="K1264"/>
  <c r="B1264"/>
  <c r="O1263"/>
  <c r="B1263"/>
  <c r="M1262"/>
  <c r="B1262"/>
  <c r="K1261"/>
  <c r="B1261"/>
  <c r="Y1260"/>
  <c r="B1260"/>
  <c r="M1259"/>
  <c r="B1259"/>
  <c r="K1258"/>
  <c r="B1258"/>
  <c r="B1257"/>
  <c r="O1256"/>
  <c r="B1256"/>
  <c r="M1255"/>
  <c r="B1255"/>
  <c r="K1254"/>
  <c r="B1254"/>
  <c r="B1253"/>
  <c r="O1252"/>
  <c r="B1252"/>
  <c r="O1251"/>
  <c r="B1251"/>
  <c r="O1250"/>
  <c r="B1250"/>
  <c r="O1249"/>
  <c r="B1249"/>
  <c r="B1248"/>
  <c r="U1310" l="1"/>
  <c r="V1314"/>
  <c r="U1314" s="1"/>
  <c r="U1295"/>
  <c r="V1311"/>
  <c r="V1310"/>
  <c r="Y1317"/>
  <c r="AA1274"/>
  <c r="Y1311"/>
  <c r="W1275"/>
  <c r="U1274"/>
  <c r="V1299"/>
  <c r="W1287"/>
  <c r="V1287" s="1"/>
  <c r="U1284"/>
  <c r="V1312"/>
  <c r="Y1297"/>
  <c r="V1297"/>
  <c r="AA1287"/>
  <c r="V1283"/>
  <c r="Z1286"/>
  <c r="Z1297"/>
  <c r="Y1291"/>
  <c r="AA1283"/>
  <c r="U1297"/>
  <c r="Z1293"/>
  <c r="Z1312"/>
  <c r="V1293"/>
  <c r="W1283"/>
  <c r="AA1275"/>
  <c r="Y1313"/>
  <c r="V1275"/>
  <c r="U1275" s="1"/>
  <c r="U1317"/>
  <c r="W1274"/>
  <c r="W1289"/>
  <c r="U1294"/>
  <c r="V1278"/>
  <c r="U1278" s="1"/>
  <c r="Y1304"/>
  <c r="AA1289"/>
  <c r="Y1294"/>
  <c r="Y1289"/>
  <c r="Z1291"/>
  <c r="AA1306"/>
  <c r="Z1300"/>
  <c r="W1304"/>
  <c r="AA1312"/>
  <c r="AA1304"/>
  <c r="W1286"/>
  <c r="V1300"/>
  <c r="V1284"/>
  <c r="V1279"/>
  <c r="Y1296"/>
  <c r="U1289"/>
  <c r="U1304"/>
  <c r="U1305"/>
  <c r="Z1280"/>
  <c r="Y1280" s="1"/>
  <c r="U1279"/>
  <c r="Z1302"/>
  <c r="Y1276"/>
  <c r="U1296"/>
  <c r="W1290"/>
  <c r="U1316"/>
  <c r="AA1295"/>
  <c r="V1273"/>
  <c r="W1273"/>
  <c r="Y1287"/>
  <c r="U1287"/>
  <c r="AA1286"/>
  <c r="W1284"/>
  <c r="W1312"/>
  <c r="V1307"/>
  <c r="W1280"/>
  <c r="AA1291"/>
  <c r="U1309"/>
  <c r="Z1306"/>
  <c r="Z1313"/>
  <c r="Z1305"/>
  <c r="AA1279"/>
  <c r="W1279"/>
  <c r="Z1278"/>
  <c r="W1299"/>
  <c r="Y1277"/>
  <c r="W1297"/>
  <c r="U1273"/>
  <c r="U1277"/>
  <c r="V1280"/>
  <c r="Z1279"/>
  <c r="W1291"/>
  <c r="V1291" s="1"/>
  <c r="U1291" s="1"/>
  <c r="V1274"/>
  <c r="Y1307"/>
  <c r="Z1274"/>
  <c r="U1283"/>
  <c r="Y1305"/>
  <c r="K1252"/>
  <c r="W1306"/>
  <c r="V1306" s="1"/>
  <c r="U1306" s="1"/>
  <c r="V1286"/>
  <c r="U1286" s="1"/>
  <c r="Z1317"/>
  <c r="W1298"/>
  <c r="AA1284"/>
  <c r="K1259"/>
  <c r="Y1301"/>
  <c r="AS1250"/>
  <c r="K1251"/>
  <c r="W1294"/>
  <c r="AA1280"/>
  <c r="Z1298"/>
  <c r="Y1298" s="1"/>
  <c r="AA1290"/>
  <c r="W1316"/>
  <c r="AA1298"/>
  <c r="U1293"/>
  <c r="U1307"/>
  <c r="K1256"/>
  <c r="AS1260"/>
  <c r="W1254"/>
  <c r="Z1267"/>
  <c r="V1303"/>
  <c r="N1270"/>
  <c r="AS1267"/>
  <c r="AA1294"/>
  <c r="N1250"/>
  <c r="M1250" s="1"/>
  <c r="AS1253"/>
  <c r="AS1257"/>
  <c r="V1261"/>
  <c r="M1266"/>
  <c r="M1271"/>
  <c r="V1305"/>
  <c r="K1250"/>
  <c r="AS1251"/>
  <c r="Y1252"/>
  <c r="AS1258"/>
  <c r="K1262"/>
  <c r="K1266"/>
  <c r="K1271"/>
  <c r="O1266"/>
  <c r="N1251"/>
  <c r="M1251" s="1"/>
  <c r="AS1252"/>
  <c r="K1253"/>
  <c r="Y1253"/>
  <c r="AS1256"/>
  <c r="K1257"/>
  <c r="O1259"/>
  <c r="N1259" s="1"/>
  <c r="AS1259"/>
  <c r="K1260"/>
  <c r="AS1263"/>
  <c r="Y1263"/>
  <c r="N1264"/>
  <c r="V1264"/>
  <c r="AS1266"/>
  <c r="K1267"/>
  <c r="AS1268"/>
  <c r="O1271"/>
  <c r="AA1303"/>
  <c r="Z1303" s="1"/>
  <c r="V1315"/>
  <c r="AS1248"/>
  <c r="N1249"/>
  <c r="U1250"/>
  <c r="N1252"/>
  <c r="M1252" s="1"/>
  <c r="O1254"/>
  <c r="N1256"/>
  <c r="M1256" s="1"/>
  <c r="N1258"/>
  <c r="O1260"/>
  <c r="N1261"/>
  <c r="AS1262"/>
  <c r="O1267"/>
  <c r="AS1269"/>
  <c r="Y1251"/>
  <c r="M1253"/>
  <c r="M1257"/>
  <c r="M1260"/>
  <c r="U1262"/>
  <c r="M1267"/>
  <c r="Z1307"/>
  <c r="Y1278"/>
  <c r="W1292"/>
  <c r="V1254"/>
  <c r="V1288"/>
  <c r="U1301"/>
  <c r="AA1292"/>
  <c r="V1282"/>
  <c r="Z1254"/>
  <c r="Y1258"/>
  <c r="Z1265"/>
  <c r="Y1266"/>
  <c r="Y1267"/>
  <c r="AA1257"/>
  <c r="V1265"/>
  <c r="Z1268"/>
  <c r="V1269"/>
  <c r="Z1270"/>
  <c r="AA1256"/>
  <c r="V1268"/>
  <c r="V1270"/>
  <c r="U1302"/>
  <c r="Y1302"/>
  <c r="W1309"/>
  <c r="V1295"/>
  <c r="Z1295"/>
  <c r="U1298"/>
  <c r="U1266"/>
  <c r="U1267"/>
  <c r="W1272"/>
  <c r="AA1299"/>
  <c r="Z1299" s="1"/>
  <c r="U1308"/>
  <c r="Y1288"/>
  <c r="Y1308"/>
  <c r="U1292"/>
  <c r="AA1317"/>
  <c r="K1248"/>
  <c r="O1248"/>
  <c r="M1249"/>
  <c r="N1254"/>
  <c r="M1254" s="1"/>
  <c r="AS1254"/>
  <c r="K1255"/>
  <c r="O1255"/>
  <c r="M1258"/>
  <c r="M1261"/>
  <c r="N1263"/>
  <c r="M1263" s="1"/>
  <c r="M1264"/>
  <c r="AS1264"/>
  <c r="K1265"/>
  <c r="W1266"/>
  <c r="M1268"/>
  <c r="M1269"/>
  <c r="M1270"/>
  <c r="AS1271"/>
  <c r="K1272"/>
  <c r="O1272"/>
  <c r="W1276"/>
  <c r="W1303"/>
  <c r="U1281"/>
  <c r="Y1281"/>
  <c r="Y1290"/>
  <c r="AA1308"/>
  <c r="V1304"/>
  <c r="Z1304"/>
  <c r="W1300"/>
  <c r="AA1296"/>
  <c r="U1282"/>
  <c r="U1276"/>
  <c r="N1255"/>
  <c r="W1256"/>
  <c r="AS1261"/>
  <c r="AS1265"/>
  <c r="AA1268"/>
  <c r="W1269"/>
  <c r="AS1270"/>
  <c r="N1272"/>
  <c r="AS1272"/>
  <c r="V1289"/>
  <c r="Z1282"/>
  <c r="Y1282" s="1"/>
  <c r="AA1285"/>
  <c r="U1303"/>
  <c r="W1248"/>
  <c r="N1248"/>
  <c r="Y1248"/>
  <c r="AS1249"/>
  <c r="AS1255"/>
  <c r="W1257"/>
  <c r="O1265"/>
  <c r="M1248"/>
  <c r="K1249"/>
  <c r="O1253"/>
  <c r="N1253" s="1"/>
  <c r="O1257"/>
  <c r="N1257" s="1"/>
  <c r="O1258"/>
  <c r="N1260"/>
  <c r="Z1260"/>
  <c r="O1261"/>
  <c r="O1262"/>
  <c r="N1262" s="1"/>
  <c r="K1263"/>
  <c r="O1264"/>
  <c r="N1267"/>
  <c r="K1268"/>
  <c r="O1268"/>
  <c r="K1269"/>
  <c r="O1269"/>
  <c r="K1270"/>
  <c r="V1298"/>
  <c r="AA1314"/>
  <c r="W1277"/>
  <c r="AA1277"/>
  <c r="W1285"/>
  <c r="V1313"/>
  <c r="U1313" s="1"/>
  <c r="Z1315"/>
  <c r="Y1315" s="1"/>
  <c r="V1249"/>
  <c r="W1250"/>
  <c r="U1271"/>
  <c r="W1262"/>
  <c r="AA1250"/>
  <c r="W1251"/>
  <c r="AA1251"/>
  <c r="AA1262"/>
  <c r="Z1249"/>
  <c r="W1252"/>
  <c r="AA1252"/>
  <c r="V1251"/>
  <c r="Z1251"/>
  <c r="V1252"/>
  <c r="Z1252"/>
  <c r="V1253"/>
  <c r="Z1253"/>
  <c r="Y1271"/>
  <c r="V1247"/>
  <c r="O1247"/>
  <c r="B1247"/>
  <c r="AA1246"/>
  <c r="B1246"/>
  <c r="AA1245"/>
  <c r="M1245"/>
  <c r="B1245"/>
  <c r="O1244"/>
  <c r="B1244"/>
  <c r="O1243"/>
  <c r="B1243"/>
  <c r="N1242"/>
  <c r="B1242"/>
  <c r="V1267" l="1"/>
  <c r="Z1258"/>
  <c r="AA1258"/>
  <c r="Y1257"/>
  <c r="AA1263"/>
  <c r="U1265"/>
  <c r="U1253"/>
  <c r="W1253" s="1"/>
  <c r="Z1266"/>
  <c r="Z1257"/>
  <c r="W1264"/>
  <c r="Y1269"/>
  <c r="Y1249"/>
  <c r="V1272"/>
  <c r="Y1272"/>
  <c r="W1261"/>
  <c r="W1267"/>
  <c r="U1270"/>
  <c r="W1271"/>
  <c r="AA1261"/>
  <c r="U1251"/>
  <c r="W1263"/>
  <c r="V1258"/>
  <c r="U1258" s="1"/>
  <c r="W1258"/>
  <c r="U1264"/>
  <c r="AA1255"/>
  <c r="Z1263"/>
  <c r="V1263"/>
  <c r="U1263" s="1"/>
  <c r="Z1271"/>
  <c r="W1265"/>
  <c r="Y1256"/>
  <c r="Z1256"/>
  <c r="V1250"/>
  <c r="Y1254"/>
  <c r="V1256"/>
  <c r="U1254"/>
  <c r="Y1250"/>
  <c r="AA1265"/>
  <c r="AA1254"/>
  <c r="Z1250"/>
  <c r="U1256"/>
  <c r="W1268"/>
  <c r="Y1261"/>
  <c r="U1261"/>
  <c r="U1257"/>
  <c r="U1248"/>
  <c r="Z1261"/>
  <c r="V1266"/>
  <c r="AA1270"/>
  <c r="AA1264"/>
  <c r="U1252"/>
  <c r="V1248"/>
  <c r="V1257"/>
  <c r="Y1270"/>
  <c r="Z1272"/>
  <c r="U1269"/>
  <c r="K1245"/>
  <c r="O1245"/>
  <c r="Y1264"/>
  <c r="Z1264"/>
  <c r="W1270"/>
  <c r="U1249"/>
  <c r="Y1268"/>
  <c r="N1245"/>
  <c r="V1245"/>
  <c r="Z1248"/>
  <c r="V1255"/>
  <c r="W1255"/>
  <c r="Y1245"/>
  <c r="Y1247"/>
  <c r="Z1262"/>
  <c r="Y1265"/>
  <c r="V1262"/>
  <c r="U1268"/>
  <c r="Z1255"/>
  <c r="AS1246"/>
  <c r="AS1244"/>
  <c r="N1244"/>
  <c r="M1244"/>
  <c r="M1243"/>
  <c r="AS1245"/>
  <c r="M1246"/>
  <c r="M1242"/>
  <c r="N1243"/>
  <c r="Y1243"/>
  <c r="AS1243"/>
  <c r="K1244"/>
  <c r="Z1244"/>
  <c r="N1246"/>
  <c r="Y1246"/>
  <c r="U1272"/>
  <c r="Y1262"/>
  <c r="V1271"/>
  <c r="AS1242"/>
  <c r="K1243"/>
  <c r="V1243"/>
  <c r="K1246"/>
  <c r="O1246"/>
  <c r="Z1247"/>
  <c r="W1244"/>
  <c r="W1246"/>
  <c r="AA1243"/>
  <c r="Z1285"/>
  <c r="V1285"/>
  <c r="U1259"/>
  <c r="V1259"/>
  <c r="Z1259"/>
  <c r="Y1259" s="1"/>
  <c r="W1302"/>
  <c r="V1302" s="1"/>
  <c r="AA1302"/>
  <c r="W1243"/>
  <c r="AS1247"/>
  <c r="AA1269"/>
  <c r="Z1269" s="1"/>
  <c r="AA1272"/>
  <c r="V1260"/>
  <c r="U1260" s="1"/>
  <c r="Y1255"/>
  <c r="AA1248"/>
  <c r="K1242"/>
  <c r="O1242"/>
  <c r="AA1244"/>
  <c r="K1247"/>
  <c r="AA1267"/>
  <c r="W1260"/>
  <c r="W1249"/>
  <c r="Z1296"/>
  <c r="V1296"/>
  <c r="AA1266"/>
  <c r="W1245"/>
  <c r="N1247"/>
  <c r="M1247" s="1"/>
  <c r="AA1271"/>
  <c r="AA1260"/>
  <c r="U1255"/>
  <c r="AA1249"/>
  <c r="AA1253"/>
  <c r="U1242"/>
  <c r="Y1242"/>
  <c r="N1241"/>
  <c r="M1241" s="1"/>
  <c r="B1241"/>
  <c r="B1240"/>
  <c r="AA1239"/>
  <c r="O1239"/>
  <c r="B1239"/>
  <c r="N1238"/>
  <c r="M1238" s="1"/>
  <c r="AP1238" s="1"/>
  <c r="B1238"/>
  <c r="O1237"/>
  <c r="B1237"/>
  <c r="K1236"/>
  <c r="B1236"/>
  <c r="B1235"/>
  <c r="N1234"/>
  <c r="M1234" s="1"/>
  <c r="B1234"/>
  <c r="Y1233"/>
  <c r="B1233"/>
  <c r="M1232"/>
  <c r="B1232"/>
  <c r="M1231"/>
  <c r="B1231"/>
  <c r="M1230"/>
  <c r="B1230"/>
  <c r="M1229"/>
  <c r="B1229"/>
  <c r="O1228"/>
  <c r="B1228"/>
  <c r="Z1243" l="1"/>
  <c r="V1246"/>
  <c r="U1245"/>
  <c r="U1243"/>
  <c r="Z1245"/>
  <c r="Z1242"/>
  <c r="U1244"/>
  <c r="U1246"/>
  <c r="W1242"/>
  <c r="U1247"/>
  <c r="W1247" s="1"/>
  <c r="V1244"/>
  <c r="K1232"/>
  <c r="N1228"/>
  <c r="M1228" s="1"/>
  <c r="N1229"/>
  <c r="AS1229"/>
  <c r="AS1235"/>
  <c r="N1239"/>
  <c r="M1239"/>
  <c r="AS1240"/>
  <c r="K1239"/>
  <c r="Z1239"/>
  <c r="N1237"/>
  <c r="M1237" s="1"/>
  <c r="N1231"/>
  <c r="AS1231"/>
  <c r="AS1233"/>
  <c r="K1230"/>
  <c r="K1241"/>
  <c r="O1233"/>
  <c r="Y1244"/>
  <c r="K1234"/>
  <c r="AS1228"/>
  <c r="K1229"/>
  <c r="O1230"/>
  <c r="N1230" s="1"/>
  <c r="AS1230"/>
  <c r="K1231"/>
  <c r="O1232"/>
  <c r="N1232" s="1"/>
  <c r="AS1232"/>
  <c r="K1233"/>
  <c r="AS1234"/>
  <c r="O1234"/>
  <c r="N1236"/>
  <c r="Y1236"/>
  <c r="AS1238"/>
  <c r="AS1239"/>
  <c r="O1241"/>
  <c r="Z1246"/>
  <c r="O1229"/>
  <c r="O1231"/>
  <c r="O1235"/>
  <c r="M1236"/>
  <c r="M1240"/>
  <c r="K1235"/>
  <c r="O1236"/>
  <c r="AQ1238"/>
  <c r="Y1235"/>
  <c r="U1233"/>
  <c r="AA1259"/>
  <c r="W1259"/>
  <c r="AA1232"/>
  <c r="K1228"/>
  <c r="N1233"/>
  <c r="M1233" s="1"/>
  <c r="N1235"/>
  <c r="M1235" s="1"/>
  <c r="AS1236"/>
  <c r="K1237"/>
  <c r="AS1237"/>
  <c r="K1238"/>
  <c r="K1240"/>
  <c r="O1240"/>
  <c r="V1241"/>
  <c r="AA1242"/>
  <c r="V1236"/>
  <c r="O1238"/>
  <c r="N1240"/>
  <c r="AS1241"/>
  <c r="V1242"/>
  <c r="W1238"/>
  <c r="AA1238"/>
  <c r="U1240"/>
  <c r="U1228"/>
  <c r="U1235"/>
  <c r="Y1240"/>
  <c r="Y1228"/>
  <c r="W1239"/>
  <c r="U1241"/>
  <c r="Y1241"/>
  <c r="N1227"/>
  <c r="M1227" s="1"/>
  <c r="B1227"/>
  <c r="N1226"/>
  <c r="M1226" s="1"/>
  <c r="B1226"/>
  <c r="N1225"/>
  <c r="M1225" s="1"/>
  <c r="B1225"/>
  <c r="AA1241" l="1"/>
  <c r="U1237"/>
  <c r="Y1239"/>
  <c r="V1229"/>
  <c r="U1229" s="1"/>
  <c r="U1239"/>
  <c r="Y1238"/>
  <c r="Z1238"/>
  <c r="U1238"/>
  <c r="V1238"/>
  <c r="AA1237"/>
  <c r="V1237"/>
  <c r="Z1237"/>
  <c r="Y1237" s="1"/>
  <c r="V1228"/>
  <c r="Z1228"/>
  <c r="W1241"/>
  <c r="Y1234"/>
  <c r="W1230"/>
  <c r="W1240"/>
  <c r="AA1230"/>
  <c r="AA1240"/>
  <c r="AA1229"/>
  <c r="Z1235"/>
  <c r="Y1232"/>
  <c r="Z1229"/>
  <c r="W1233"/>
  <c r="V1233" s="1"/>
  <c r="W1229"/>
  <c r="AA1233"/>
  <c r="AA1235"/>
  <c r="V1234"/>
  <c r="U1234" s="1"/>
  <c r="W1234" s="1"/>
  <c r="V1239"/>
  <c r="AA1247"/>
  <c r="Y1229"/>
  <c r="W1237"/>
  <c r="U1236"/>
  <c r="O1225"/>
  <c r="O1227"/>
  <c r="Y1231"/>
  <c r="W1235"/>
  <c r="Z1233"/>
  <c r="W1228"/>
  <c r="AA1228"/>
  <c r="O1226"/>
  <c r="V1235"/>
  <c r="Y1225"/>
  <c r="Y1227"/>
  <c r="U1226"/>
  <c r="Y1226"/>
  <c r="V1240"/>
  <c r="Z1230"/>
  <c r="V1230"/>
  <c r="K1225"/>
  <c r="AS1225"/>
  <c r="K1226"/>
  <c r="AS1226"/>
  <c r="K1227"/>
  <c r="Z1240"/>
  <c r="W1232"/>
  <c r="AA1231"/>
  <c r="W1231"/>
  <c r="AS1227"/>
  <c r="Z1226"/>
  <c r="Z1241"/>
  <c r="V1226"/>
  <c r="K1224"/>
  <c r="B1224"/>
  <c r="M1223"/>
  <c r="B1223"/>
  <c r="O1222"/>
  <c r="B1222"/>
  <c r="O1221"/>
  <c r="B1221"/>
  <c r="O1220"/>
  <c r="B1220"/>
  <c r="M1219"/>
  <c r="B1219"/>
  <c r="N1218"/>
  <c r="M1218" s="1"/>
  <c r="B1218"/>
  <c r="O1217"/>
  <c r="B1217"/>
  <c r="O1216"/>
  <c r="B1216"/>
  <c r="B1215"/>
  <c r="O1214"/>
  <c r="B1214"/>
  <c r="B1213"/>
  <c r="M1212"/>
  <c r="B1212"/>
  <c r="N1211"/>
  <c r="B1211"/>
  <c r="B1210"/>
  <c r="M1209"/>
  <c r="B1209"/>
  <c r="B1208"/>
  <c r="B1207"/>
  <c r="M1206"/>
  <c r="B1206"/>
  <c r="N1205"/>
  <c r="B1205"/>
  <c r="AJ1204"/>
  <c r="Y1204"/>
  <c r="M1204"/>
  <c r="B1204"/>
  <c r="AJ1203"/>
  <c r="Y1203"/>
  <c r="N1203"/>
  <c r="B1203"/>
  <c r="AJ1202"/>
  <c r="Z1202"/>
  <c r="Y1202"/>
  <c r="N1202"/>
  <c r="B1202"/>
  <c r="M1201"/>
  <c r="B1201"/>
  <c r="AJ1200"/>
  <c r="Y1200"/>
  <c r="AA1200"/>
  <c r="Z1200"/>
  <c r="N1200"/>
  <c r="B1200"/>
  <c r="AJ1199"/>
  <c r="Y1199"/>
  <c r="M1199"/>
  <c r="B1199"/>
  <c r="AJ1198"/>
  <c r="Z1198"/>
  <c r="Y1198"/>
  <c r="M1198"/>
  <c r="B1198"/>
  <c r="N1197"/>
  <c r="B1197"/>
  <c r="AJ1196"/>
  <c r="Z1196"/>
  <c r="Y1196"/>
  <c r="N1196"/>
  <c r="B1196"/>
  <c r="AJ1195"/>
  <c r="Y1195"/>
  <c r="B1195"/>
  <c r="AJ1194"/>
  <c r="AA1194"/>
  <c r="M1194"/>
  <c r="B1194"/>
  <c r="B1193"/>
  <c r="AJ1192"/>
  <c r="AA1192"/>
  <c r="M1192"/>
  <c r="B1192"/>
  <c r="AJ1191"/>
  <c r="AA1191"/>
  <c r="Z1191"/>
  <c r="Y1191"/>
  <c r="M1191"/>
  <c r="B1191"/>
  <c r="AJ1190"/>
  <c r="AA1190"/>
  <c r="Z1190"/>
  <c r="Y1190"/>
  <c r="M1190"/>
  <c r="B1190"/>
  <c r="M1189"/>
  <c r="B1189"/>
  <c r="M1188"/>
  <c r="B1188"/>
  <c r="M1187"/>
  <c r="B1187"/>
  <c r="N1186"/>
  <c r="B1186"/>
  <c r="M1185"/>
  <c r="B1185"/>
  <c r="B1184"/>
  <c r="M1183"/>
  <c r="B1183"/>
  <c r="W1182"/>
  <c r="M1182"/>
  <c r="B1182"/>
  <c r="U1181"/>
  <c r="M1181"/>
  <c r="B1181"/>
  <c r="B1180"/>
  <c r="M1179"/>
  <c r="B1179"/>
  <c r="M1178"/>
  <c r="B1178"/>
  <c r="AA1177"/>
  <c r="M1177"/>
  <c r="B1177"/>
  <c r="AA1176"/>
  <c r="B1176"/>
  <c r="M1175"/>
  <c r="B1175"/>
  <c r="N1174"/>
  <c r="B1174"/>
  <c r="M1173"/>
  <c r="B1173"/>
  <c r="M1172"/>
  <c r="B1172"/>
  <c r="O1171"/>
  <c r="B1171"/>
  <c r="B1170"/>
  <c r="M1169"/>
  <c r="B1169"/>
  <c r="O1168"/>
  <c r="B1168"/>
  <c r="M1167"/>
  <c r="B1167"/>
  <c r="M1166"/>
  <c r="B1166"/>
  <c r="O1165"/>
  <c r="B1165"/>
  <c r="X1200" l="1"/>
  <c r="X1203"/>
  <c r="X1191"/>
  <c r="V1191" s="1"/>
  <c r="X1195"/>
  <c r="V1195" s="1"/>
  <c r="X1199"/>
  <c r="U1199" s="1"/>
  <c r="X1194"/>
  <c r="U1194" s="1"/>
  <c r="X1198"/>
  <c r="W1198" s="1"/>
  <c r="X1204"/>
  <c r="U1204" s="1"/>
  <c r="X1196"/>
  <c r="V1196" s="1"/>
  <c r="X1190"/>
  <c r="V1190" s="1"/>
  <c r="X1192"/>
  <c r="W1192" s="1"/>
  <c r="X1202"/>
  <c r="U1202" s="1"/>
  <c r="AA1226"/>
  <c r="AA1234"/>
  <c r="Z1234" s="1"/>
  <c r="W1226"/>
  <c r="AS1176"/>
  <c r="AS1180"/>
  <c r="N1212"/>
  <c r="AS1213"/>
  <c r="N1214"/>
  <c r="U1171"/>
  <c r="M1196"/>
  <c r="AS1214"/>
  <c r="K1191"/>
  <c r="W1227"/>
  <c r="AS1191"/>
  <c r="AS1193"/>
  <c r="O1191"/>
  <c r="AS1183"/>
  <c r="U1188"/>
  <c r="N1191"/>
  <c r="M1202"/>
  <c r="O1183"/>
  <c r="M1186"/>
  <c r="M1205"/>
  <c r="Z1225"/>
  <c r="K1183"/>
  <c r="U1190"/>
  <c r="AS1194"/>
  <c r="O1194"/>
  <c r="AS1223"/>
  <c r="AA1227"/>
  <c r="W1225"/>
  <c r="AS1171"/>
  <c r="N1171"/>
  <c r="N1192"/>
  <c r="N1194"/>
  <c r="AS1195"/>
  <c r="AS1205"/>
  <c r="AS1207"/>
  <c r="N1221"/>
  <c r="M1221" s="1"/>
  <c r="AA1225"/>
  <c r="V1225"/>
  <c r="U1225" s="1"/>
  <c r="AS1170"/>
  <c r="M1171"/>
  <c r="K1192"/>
  <c r="K1194"/>
  <c r="K1223"/>
  <c r="W1236"/>
  <c r="AA1236"/>
  <c r="Z1236" s="1"/>
  <c r="K1178"/>
  <c r="O1178"/>
  <c r="U1180"/>
  <c r="N1183"/>
  <c r="K1185"/>
  <c r="AS1187"/>
  <c r="K1188"/>
  <c r="AS1192"/>
  <c r="O1192"/>
  <c r="N1195"/>
  <c r="AS1197"/>
  <c r="M1200"/>
  <c r="M1203"/>
  <c r="AS1208"/>
  <c r="AS1210"/>
  <c r="M1211"/>
  <c r="K1212"/>
  <c r="N1216"/>
  <c r="K1221"/>
  <c r="M1174"/>
  <c r="AS1178"/>
  <c r="N1178"/>
  <c r="V1183"/>
  <c r="O1185"/>
  <c r="AS1188"/>
  <c r="O1188"/>
  <c r="M1216"/>
  <c r="N1180"/>
  <c r="N1185"/>
  <c r="N1188"/>
  <c r="M1197"/>
  <c r="AS1211"/>
  <c r="K1166"/>
  <c r="K1216"/>
  <c r="V1216"/>
  <c r="K1176"/>
  <c r="K1177"/>
  <c r="O1177"/>
  <c r="K1182"/>
  <c r="O1182"/>
  <c r="V1182"/>
  <c r="K1190"/>
  <c r="O1190"/>
  <c r="K1193"/>
  <c r="K1198"/>
  <c r="M1207"/>
  <c r="K1208"/>
  <c r="O1208"/>
  <c r="K1210"/>
  <c r="O1210"/>
  <c r="M1214"/>
  <c r="AS1215"/>
  <c r="AS1216"/>
  <c r="K1219"/>
  <c r="AS1221"/>
  <c r="N1222"/>
  <c r="M1222" s="1"/>
  <c r="N1223"/>
  <c r="AS1224"/>
  <c r="AS1165"/>
  <c r="N1168"/>
  <c r="N1165"/>
  <c r="O1166"/>
  <c r="M1168"/>
  <c r="K1171"/>
  <c r="V1171"/>
  <c r="O1176"/>
  <c r="AS1177"/>
  <c r="N1177"/>
  <c r="Y1177"/>
  <c r="K1180"/>
  <c r="AS1181"/>
  <c r="AS1182"/>
  <c r="N1182"/>
  <c r="Y1183"/>
  <c r="AS1190"/>
  <c r="N1190"/>
  <c r="W1190"/>
  <c r="O1193"/>
  <c r="K1195"/>
  <c r="AS1198"/>
  <c r="O1198"/>
  <c r="N1208"/>
  <c r="N1210"/>
  <c r="O1219"/>
  <c r="AS1220"/>
  <c r="M1165"/>
  <c r="N1176"/>
  <c r="O1180"/>
  <c r="AS1184"/>
  <c r="AS1185"/>
  <c r="N1193"/>
  <c r="O1195"/>
  <c r="N1198"/>
  <c r="M1208"/>
  <c r="AS1209"/>
  <c r="M1210"/>
  <c r="AS1212"/>
  <c r="O1212"/>
  <c r="K1214"/>
  <c r="N1217"/>
  <c r="M1217" s="1"/>
  <c r="N1219"/>
  <c r="AS1219"/>
  <c r="K1220"/>
  <c r="O1223"/>
  <c r="Z1217"/>
  <c r="V1217"/>
  <c r="W1183"/>
  <c r="Y1174"/>
  <c r="AA1193"/>
  <c r="Y1209"/>
  <c r="AA1178"/>
  <c r="Y1197"/>
  <c r="W1214"/>
  <c r="W1176"/>
  <c r="W1188"/>
  <c r="U1174"/>
  <c r="W1185"/>
  <c r="Y1207"/>
  <c r="Y1230"/>
  <c r="U1230"/>
  <c r="W1201"/>
  <c r="AS1218"/>
  <c r="AS1222"/>
  <c r="V1231"/>
  <c r="U1231" s="1"/>
  <c r="Z1231"/>
  <c r="V1232"/>
  <c r="U1232" s="1"/>
  <c r="Z1232"/>
  <c r="AS1179"/>
  <c r="K1167"/>
  <c r="O1167"/>
  <c r="W1167"/>
  <c r="K1169"/>
  <c r="AS1169"/>
  <c r="O1170"/>
  <c r="K1172"/>
  <c r="AA1174"/>
  <c r="K1175"/>
  <c r="Z1175"/>
  <c r="K1179"/>
  <c r="K1184"/>
  <c r="O1184"/>
  <c r="AA1186"/>
  <c r="K1189"/>
  <c r="O1189"/>
  <c r="AS1189"/>
  <c r="W1193"/>
  <c r="Z1194"/>
  <c r="AA1195"/>
  <c r="K1199"/>
  <c r="O1199"/>
  <c r="AA1199"/>
  <c r="AS1200"/>
  <c r="K1201"/>
  <c r="O1201"/>
  <c r="AS1201"/>
  <c r="AA1203"/>
  <c r="AS1203"/>
  <c r="K1204"/>
  <c r="O1204"/>
  <c r="AA1204"/>
  <c r="K1206"/>
  <c r="O1206"/>
  <c r="W1212"/>
  <c r="K1213"/>
  <c r="O1213"/>
  <c r="AA1214"/>
  <c r="K1215"/>
  <c r="O1215"/>
  <c r="V1215"/>
  <c r="W1217"/>
  <c r="AS1217"/>
  <c r="K1218"/>
  <c r="AA1189"/>
  <c r="N1166"/>
  <c r="V1166"/>
  <c r="AS1166"/>
  <c r="AS1168"/>
  <c r="O1169"/>
  <c r="K1170"/>
  <c r="O1172"/>
  <c r="AS1172"/>
  <c r="K1173"/>
  <c r="O1173"/>
  <c r="AS1174"/>
  <c r="O1175"/>
  <c r="O1179"/>
  <c r="AA1185"/>
  <c r="Z1192"/>
  <c r="K1165"/>
  <c r="Y1166"/>
  <c r="N1167"/>
  <c r="V1167"/>
  <c r="U1167" s="1"/>
  <c r="AS1167"/>
  <c r="K1168"/>
  <c r="N1169"/>
  <c r="U1169"/>
  <c r="N1170"/>
  <c r="N1172"/>
  <c r="U1172"/>
  <c r="N1173"/>
  <c r="U1173"/>
  <c r="AS1173"/>
  <c r="K1174"/>
  <c r="O1174"/>
  <c r="N1175"/>
  <c r="M1176"/>
  <c r="N1179"/>
  <c r="M1180"/>
  <c r="K1181"/>
  <c r="O1181"/>
  <c r="Z1181"/>
  <c r="Y1181" s="1"/>
  <c r="N1184"/>
  <c r="K1186"/>
  <c r="O1186"/>
  <c r="V1186"/>
  <c r="AS1186"/>
  <c r="K1187"/>
  <c r="O1187"/>
  <c r="N1189"/>
  <c r="U1189"/>
  <c r="Y1192"/>
  <c r="M1193"/>
  <c r="Y1194"/>
  <c r="M1195"/>
  <c r="K1196"/>
  <c r="O1196"/>
  <c r="AA1196"/>
  <c r="AS1196"/>
  <c r="K1197"/>
  <c r="O1197"/>
  <c r="AA1198"/>
  <c r="N1199"/>
  <c r="Z1199"/>
  <c r="AS1199"/>
  <c r="K1200"/>
  <c r="O1200"/>
  <c r="N1201"/>
  <c r="K1202"/>
  <c r="O1202"/>
  <c r="AA1202"/>
  <c r="AS1202"/>
  <c r="K1203"/>
  <c r="O1203"/>
  <c r="Z1203"/>
  <c r="N1204"/>
  <c r="Z1204"/>
  <c r="AS1204"/>
  <c r="K1205"/>
  <c r="O1205"/>
  <c r="N1206"/>
  <c r="AS1206"/>
  <c r="K1207"/>
  <c r="O1207"/>
  <c r="V1207"/>
  <c r="U1207" s="1"/>
  <c r="K1209"/>
  <c r="O1209"/>
  <c r="K1211"/>
  <c r="O1211"/>
  <c r="N1213"/>
  <c r="N1215"/>
  <c r="K1217"/>
  <c r="AA1217"/>
  <c r="O1218"/>
  <c r="N1220"/>
  <c r="M1220" s="1"/>
  <c r="K1222"/>
  <c r="O1224"/>
  <c r="V1224"/>
  <c r="U1224" s="1"/>
  <c r="AS1175"/>
  <c r="M1170"/>
  <c r="N1181"/>
  <c r="M1184"/>
  <c r="N1187"/>
  <c r="AA1188"/>
  <c r="N1207"/>
  <c r="N1209"/>
  <c r="M1213"/>
  <c r="M1215"/>
  <c r="N1224"/>
  <c r="M1224" s="1"/>
  <c r="Z1195"/>
  <c r="Y1224"/>
  <c r="V1168"/>
  <c r="Z1168"/>
  <c r="W1171"/>
  <c r="W1180"/>
  <c r="AA1180"/>
  <c r="U1186"/>
  <c r="U1187"/>
  <c r="W1177"/>
  <c r="V1194"/>
  <c r="V1165"/>
  <c r="Z1165"/>
  <c r="Y1186"/>
  <c r="AA1208"/>
  <c r="AA1171"/>
  <c r="W1178"/>
  <c r="AA1182"/>
  <c r="AA1183"/>
  <c r="U1205"/>
  <c r="Y1205"/>
  <c r="AA1210"/>
  <c r="AA1212"/>
  <c r="W1216"/>
  <c r="Y1218"/>
  <c r="U1222"/>
  <c r="Z1227"/>
  <c r="V1227"/>
  <c r="AA1216"/>
  <c r="U1197"/>
  <c r="U1200"/>
  <c r="W1208"/>
  <c r="W1210"/>
  <c r="Y1211"/>
  <c r="N1164"/>
  <c r="M1164" s="1"/>
  <c r="B1164"/>
  <c r="O1163"/>
  <c r="B1163"/>
  <c r="B1162"/>
  <c r="B1161"/>
  <c r="M1160"/>
  <c r="B1160"/>
  <c r="M1159"/>
  <c r="B1159"/>
  <c r="N1158"/>
  <c r="B1158"/>
  <c r="M1157"/>
  <c r="B1157"/>
  <c r="Z1156"/>
  <c r="O1156"/>
  <c r="B1156"/>
  <c r="B1155"/>
  <c r="V1154"/>
  <c r="O1154"/>
  <c r="B1154"/>
  <c r="Z1153"/>
  <c r="M1153"/>
  <c r="B1153"/>
  <c r="O1152"/>
  <c r="B1152"/>
  <c r="N1151"/>
  <c r="B1151"/>
  <c r="M1150"/>
  <c r="B1150"/>
  <c r="O1149"/>
  <c r="B1149"/>
  <c r="B1148"/>
  <c r="N1147"/>
  <c r="B1147"/>
  <c r="M1146"/>
  <c r="B1146"/>
  <c r="M1145"/>
  <c r="B1145"/>
  <c r="N1144"/>
  <c r="B1144"/>
  <c r="B1143"/>
  <c r="N1142"/>
  <c r="M1142" s="1"/>
  <c r="B1142"/>
  <c r="O1141"/>
  <c r="B1141"/>
  <c r="N1140"/>
  <c r="B1140"/>
  <c r="O1139"/>
  <c r="B1139"/>
  <c r="M1138"/>
  <c r="B1138"/>
  <c r="N1137"/>
  <c r="B1137"/>
  <c r="N1136"/>
  <c r="B1136"/>
  <c r="M1135"/>
  <c r="B1135"/>
  <c r="N1134"/>
  <c r="B1134"/>
  <c r="N1133"/>
  <c r="B1133"/>
  <c r="M1132"/>
  <c r="B1132"/>
  <c r="M1131"/>
  <c r="B1131"/>
  <c r="K1130"/>
  <c r="B1130"/>
  <c r="M1129"/>
  <c r="W1202" l="1"/>
  <c r="V1198"/>
  <c r="U1198" s="1"/>
  <c r="W1191"/>
  <c r="U1191"/>
  <c r="V1192"/>
  <c r="U1196"/>
  <c r="Z1210"/>
  <c r="V1204"/>
  <c r="W1199"/>
  <c r="V1199"/>
  <c r="W1204"/>
  <c r="Z1185"/>
  <c r="AA1206"/>
  <c r="V1202"/>
  <c r="W1194"/>
  <c r="W1196"/>
  <c r="W1195"/>
  <c r="U1195"/>
  <c r="U1192"/>
  <c r="Z1177"/>
  <c r="V1177"/>
  <c r="U1210"/>
  <c r="U1193"/>
  <c r="V1188"/>
  <c r="Y1193"/>
  <c r="U1168"/>
  <c r="Z1188"/>
  <c r="U1177"/>
  <c r="Y1168"/>
  <c r="Z1221"/>
  <c r="Z1170"/>
  <c r="W1165"/>
  <c r="V1210"/>
  <c r="V1185"/>
  <c r="AA1165"/>
  <c r="W1206"/>
  <c r="Y1221"/>
  <c r="V1193"/>
  <c r="AA1213"/>
  <c r="Z1214"/>
  <c r="V1212"/>
  <c r="Z1183"/>
  <c r="U1185"/>
  <c r="V1176"/>
  <c r="Z1176"/>
  <c r="U1223"/>
  <c r="W1213"/>
  <c r="V1172"/>
  <c r="AA1209"/>
  <c r="W1209"/>
  <c r="Y1178"/>
  <c r="W1184"/>
  <c r="V1178"/>
  <c r="Z1180"/>
  <c r="AA1172"/>
  <c r="Y1188"/>
  <c r="V1203"/>
  <c r="U1203" s="1"/>
  <c r="U1212"/>
  <c r="W1205"/>
  <c r="Z1208"/>
  <c r="AA1184"/>
  <c r="AA1181"/>
  <c r="W1181"/>
  <c r="W1172"/>
  <c r="W1222"/>
  <c r="Y1206"/>
  <c r="Y1208"/>
  <c r="Z1222"/>
  <c r="Y1222" s="1"/>
  <c r="W1174"/>
  <c r="AA1167"/>
  <c r="W1207"/>
  <c r="AA1222"/>
  <c r="V1222"/>
  <c r="W1187"/>
  <c r="U1214"/>
  <c r="W1169"/>
  <c r="Y1214"/>
  <c r="AA1197"/>
  <c r="W1221"/>
  <c r="V1206"/>
  <c r="W1197"/>
  <c r="V1221"/>
  <c r="W1215"/>
  <c r="AA1211"/>
  <c r="AA1187"/>
  <c r="AA1215"/>
  <c r="V1180"/>
  <c r="AA1170"/>
  <c r="W1179"/>
  <c r="Z1172"/>
  <c r="V1214"/>
  <c r="U1165"/>
  <c r="V1169"/>
  <c r="Z1169"/>
  <c r="Z1178"/>
  <c r="Y1216"/>
  <c r="Y1182"/>
  <c r="U1178"/>
  <c r="Y1217"/>
  <c r="V1201"/>
  <c r="AA1179"/>
  <c r="Y1165"/>
  <c r="W1170"/>
  <c r="Y1212"/>
  <c r="U1217"/>
  <c r="U1216"/>
  <c r="U1129"/>
  <c r="AA1129" s="1"/>
  <c r="M1130"/>
  <c r="Y1175"/>
  <c r="Y1213"/>
  <c r="Z1209"/>
  <c r="U1175"/>
  <c r="V1181"/>
  <c r="U1182"/>
  <c r="Z1193"/>
  <c r="Z1216"/>
  <c r="Y1220"/>
  <c r="W1200"/>
  <c r="Y1180"/>
  <c r="AA1166"/>
  <c r="Z1189"/>
  <c r="Y1176"/>
  <c r="Y1184"/>
  <c r="AA1207"/>
  <c r="Z1207" s="1"/>
  <c r="Y1210"/>
  <c r="U1213"/>
  <c r="AA1175"/>
  <c r="Y1185"/>
  <c r="Z1182"/>
  <c r="U1183"/>
  <c r="AA1205"/>
  <c r="U1221"/>
  <c r="Z1201"/>
  <c r="W1166"/>
  <c r="V1189"/>
  <c r="U1176"/>
  <c r="U1184"/>
  <c r="AA1169"/>
  <c r="N1154"/>
  <c r="AS1149"/>
  <c r="AA1221"/>
  <c r="W1173"/>
  <c r="V1173" s="1"/>
  <c r="AS1145"/>
  <c r="K1160"/>
  <c r="Z1160"/>
  <c r="N1145"/>
  <c r="N1141"/>
  <c r="M1141" s="1"/>
  <c r="O1160"/>
  <c r="AS1161"/>
  <c r="AS1143"/>
  <c r="M1147"/>
  <c r="AS1155"/>
  <c r="M1158"/>
  <c r="N1132"/>
  <c r="M1133"/>
  <c r="M1139"/>
  <c r="U1146"/>
  <c r="K1158"/>
  <c r="Y1162"/>
  <c r="AS1144"/>
  <c r="N1149"/>
  <c r="N1153"/>
  <c r="O1158"/>
  <c r="AS1159"/>
  <c r="N1146"/>
  <c r="K1147"/>
  <c r="AS1148"/>
  <c r="M1149"/>
  <c r="N1156"/>
  <c r="Z1158"/>
  <c r="Y1163"/>
  <c r="AS1130"/>
  <c r="AS1132"/>
  <c r="M1134"/>
  <c r="M1137"/>
  <c r="M1144"/>
  <c r="O1147"/>
  <c r="U1149"/>
  <c r="M1156"/>
  <c r="N1159"/>
  <c r="AS1162"/>
  <c r="Z1130"/>
  <c r="W1130"/>
  <c r="U1130"/>
  <c r="K1132"/>
  <c r="O1132"/>
  <c r="Z1132"/>
  <c r="M1136"/>
  <c r="M1140"/>
  <c r="M1143"/>
  <c r="K1145"/>
  <c r="O1145"/>
  <c r="K1152"/>
  <c r="O1157"/>
  <c r="K1159"/>
  <c r="O1159"/>
  <c r="Z1159"/>
  <c r="M1161"/>
  <c r="M1162"/>
  <c r="M1163"/>
  <c r="O1164"/>
  <c r="O1130"/>
  <c r="N1130" s="1"/>
  <c r="AS1134"/>
  <c r="K1136"/>
  <c r="O1136"/>
  <c r="N1139"/>
  <c r="K1143"/>
  <c r="O1143"/>
  <c r="AS1146"/>
  <c r="AS1147"/>
  <c r="M1148"/>
  <c r="AS1153"/>
  <c r="M1154"/>
  <c r="Y1154"/>
  <c r="AS1156"/>
  <c r="K1157"/>
  <c r="AS1158"/>
  <c r="Y1158"/>
  <c r="K1161"/>
  <c r="O1161"/>
  <c r="AS1163"/>
  <c r="K1164"/>
  <c r="AA1164"/>
  <c r="AS1136"/>
  <c r="U1139"/>
  <c r="N1143"/>
  <c r="AS1152"/>
  <c r="N1161"/>
  <c r="U1161"/>
  <c r="N1162"/>
  <c r="N1163"/>
  <c r="AA1224"/>
  <c r="W1141"/>
  <c r="W1224"/>
  <c r="U1166"/>
  <c r="Y1219"/>
  <c r="U1133"/>
  <c r="AA1161"/>
  <c r="W1161"/>
  <c r="U1144"/>
  <c r="Y1148"/>
  <c r="V1163"/>
  <c r="W1132"/>
  <c r="Y1133"/>
  <c r="Y1134"/>
  <c r="AA1141"/>
  <c r="Y1140"/>
  <c r="Y1144"/>
  <c r="Y1215"/>
  <c r="Y1201"/>
  <c r="Y1189"/>
  <c r="U1170"/>
  <c r="V1179"/>
  <c r="Z1179"/>
  <c r="W1168"/>
  <c r="W1189"/>
  <c r="W1223"/>
  <c r="V1213"/>
  <c r="AS1131"/>
  <c r="AA1132"/>
  <c r="W1150"/>
  <c r="M1151"/>
  <c r="W1152"/>
  <c r="M1155"/>
  <c r="AA1157"/>
  <c r="AS1157"/>
  <c r="AS1160"/>
  <c r="Y1170"/>
  <c r="W1218"/>
  <c r="U1179"/>
  <c r="Y1179"/>
  <c r="Y1172"/>
  <c r="W1220"/>
  <c r="Z1215"/>
  <c r="V1184"/>
  <c r="AS1142"/>
  <c r="O1131"/>
  <c r="O1135"/>
  <c r="W1136"/>
  <c r="K1142"/>
  <c r="AA1155"/>
  <c r="Z1174"/>
  <c r="W1203"/>
  <c r="AA1220"/>
  <c r="Z1213"/>
  <c r="Z1186"/>
  <c r="W1175"/>
  <c r="V1211"/>
  <c r="U1211" s="1"/>
  <c r="Z1211"/>
  <c r="V1209"/>
  <c r="U1209" s="1"/>
  <c r="V1200"/>
  <c r="V1187"/>
  <c r="Y1169"/>
  <c r="AA1135"/>
  <c r="AS1135"/>
  <c r="AA1138"/>
  <c r="K1135"/>
  <c r="W1137"/>
  <c r="AS1137"/>
  <c r="K1138"/>
  <c r="O1138"/>
  <c r="V1138"/>
  <c r="AS1138"/>
  <c r="AS1141"/>
  <c r="AA1151"/>
  <c r="AS1151"/>
  <c r="K1133"/>
  <c r="Z1133"/>
  <c r="AS1133"/>
  <c r="K1134"/>
  <c r="O1134"/>
  <c r="V1134"/>
  <c r="U1134" s="1"/>
  <c r="N1135"/>
  <c r="K1137"/>
  <c r="O1137"/>
  <c r="Z1137"/>
  <c r="N1138"/>
  <c r="W1139"/>
  <c r="AS1139"/>
  <c r="K1140"/>
  <c r="O1140"/>
  <c r="Z1140"/>
  <c r="AS1140"/>
  <c r="K1141"/>
  <c r="O1142"/>
  <c r="K1144"/>
  <c r="O1144"/>
  <c r="W1145"/>
  <c r="K1148"/>
  <c r="O1148"/>
  <c r="AA1149"/>
  <c r="N1150"/>
  <c r="AS1150"/>
  <c r="K1151"/>
  <c r="O1151"/>
  <c r="N1152"/>
  <c r="AS1154"/>
  <c r="K1155"/>
  <c r="O1155"/>
  <c r="W1156"/>
  <c r="N1157"/>
  <c r="N1160"/>
  <c r="Y1160"/>
  <c r="W1163"/>
  <c r="U1164"/>
  <c r="AA1173"/>
  <c r="Z1166"/>
  <c r="AA1218"/>
  <c r="Z1206"/>
  <c r="Z1184"/>
  <c r="U1215"/>
  <c r="Z1173"/>
  <c r="Y1173" s="1"/>
  <c r="AA1168"/>
  <c r="V1205"/>
  <c r="V1197"/>
  <c r="W1219"/>
  <c r="AA1219"/>
  <c r="W1186"/>
  <c r="V1175"/>
  <c r="AA1201"/>
  <c r="K1131"/>
  <c r="K1150"/>
  <c r="O1150"/>
  <c r="N1131"/>
  <c r="Y1131"/>
  <c r="O1133"/>
  <c r="O1129"/>
  <c r="N1129" s="1"/>
  <c r="AA1136"/>
  <c r="K1139"/>
  <c r="K1146"/>
  <c r="O1146"/>
  <c r="N1148"/>
  <c r="K1149"/>
  <c r="M1152"/>
  <c r="K1153"/>
  <c r="O1153"/>
  <c r="K1154"/>
  <c r="N1155"/>
  <c r="K1156"/>
  <c r="K1162"/>
  <c r="O1162"/>
  <c r="K1163"/>
  <c r="AS1164"/>
  <c r="W1211"/>
  <c r="U1201"/>
  <c r="AA1223"/>
  <c r="Z1205"/>
  <c r="Y1223"/>
  <c r="Z1163"/>
  <c r="V1208"/>
  <c r="U1208" s="1"/>
  <c r="Z1212"/>
  <c r="Z1171"/>
  <c r="Y1171" s="1"/>
  <c r="Z1224"/>
  <c r="U1137"/>
  <c r="Y1137"/>
  <c r="V1139"/>
  <c r="Z1139"/>
  <c r="AA1145"/>
  <c r="V1146"/>
  <c r="V1149"/>
  <c r="V1156"/>
  <c r="W1158"/>
  <c r="AA1158"/>
  <c r="V1162"/>
  <c r="Z1162"/>
  <c r="Z1197"/>
  <c r="U1227"/>
  <c r="U1206"/>
  <c r="V1174"/>
  <c r="Z1167"/>
  <c r="Y1167" s="1"/>
  <c r="Z1187"/>
  <c r="Y1187" s="1"/>
  <c r="Y1142"/>
  <c r="W1143"/>
  <c r="AA1143"/>
  <c r="W1147"/>
  <c r="Z1149"/>
  <c r="Y1151"/>
  <c r="V1170"/>
  <c r="Z1129"/>
  <c r="AA1130"/>
  <c r="AA1147"/>
  <c r="U1148"/>
  <c r="V1153"/>
  <c r="Z1154"/>
  <c r="Y1155"/>
  <c r="W1159"/>
  <c r="AA1159"/>
  <c r="K1129"/>
  <c r="AS1129"/>
  <c r="B1129"/>
  <c r="B1128"/>
  <c r="W1135" l="1"/>
  <c r="Y1146"/>
  <c r="U1158"/>
  <c r="W1155"/>
  <c r="Z1152"/>
  <c r="Y1145"/>
  <c r="Y1149"/>
  <c r="Y1132"/>
  <c r="V1132"/>
  <c r="U1132" s="1"/>
  <c r="U1163"/>
  <c r="AA1160"/>
  <c r="Y1139"/>
  <c r="U1147"/>
  <c r="V1152"/>
  <c r="V1159"/>
  <c r="Z1157"/>
  <c r="V1157"/>
  <c r="W1144"/>
  <c r="Z1135"/>
  <c r="AA1144"/>
  <c r="V1137"/>
  <c r="W1160"/>
  <c r="V1133"/>
  <c r="W1164"/>
  <c r="V1160"/>
  <c r="Y1141"/>
  <c r="U1162"/>
  <c r="W1148"/>
  <c r="AA1148"/>
  <c r="V1130"/>
  <c r="U1135"/>
  <c r="V1161"/>
  <c r="V1142"/>
  <c r="U1142" s="1"/>
  <c r="W1140"/>
  <c r="AA1131"/>
  <c r="U1136"/>
  <c r="Y1156"/>
  <c r="Y1153"/>
  <c r="U1153"/>
  <c r="Y1129"/>
  <c r="Y1157"/>
  <c r="V1140"/>
  <c r="U1140" s="1"/>
  <c r="Y1135"/>
  <c r="Y1159"/>
  <c r="Z1142"/>
  <c r="V1141"/>
  <c r="U1141" s="1"/>
  <c r="Y1136"/>
  <c r="W1129"/>
  <c r="V1129" s="1"/>
  <c r="U1156"/>
  <c r="V1147"/>
  <c r="U1159"/>
  <c r="Z1145"/>
  <c r="AA1140"/>
  <c r="Y1150"/>
  <c r="V1145"/>
  <c r="U1145" s="1"/>
  <c r="Z1141"/>
  <c r="Z1136"/>
  <c r="W1131"/>
  <c r="V1136"/>
  <c r="V1144"/>
  <c r="W1157"/>
  <c r="U1143"/>
  <c r="Z1144"/>
  <c r="U1152"/>
  <c r="U1138"/>
  <c r="V1155"/>
  <c r="U1155" s="1"/>
  <c r="Y1152"/>
  <c r="Y1138"/>
  <c r="V1158"/>
  <c r="AA1134"/>
  <c r="AA1133"/>
  <c r="Y1130"/>
  <c r="Z1150"/>
  <c r="Z1161"/>
  <c r="U1160"/>
  <c r="U1150"/>
  <c r="W1138"/>
  <c r="Z1143"/>
  <c r="Y1143"/>
  <c r="W1133"/>
  <c r="AA1163"/>
  <c r="Y1147"/>
  <c r="AS1128"/>
  <c r="K1128"/>
  <c r="U1154"/>
  <c r="Y1161"/>
  <c r="O1128"/>
  <c r="N1128" s="1"/>
  <c r="V1131"/>
  <c r="W1134"/>
  <c r="W1151"/>
  <c r="V1223"/>
  <c r="Z1223"/>
  <c r="U1157"/>
  <c r="AA1139"/>
  <c r="U1131"/>
  <c r="Z1219"/>
  <c r="V1219"/>
  <c r="U1219" s="1"/>
  <c r="AA1162"/>
  <c r="W1162"/>
  <c r="W1153"/>
  <c r="AA1146"/>
  <c r="Z1146" s="1"/>
  <c r="W1146"/>
  <c r="Z1134"/>
  <c r="V1218"/>
  <c r="U1218" s="1"/>
  <c r="Z1218"/>
  <c r="AA1156"/>
  <c r="V1151"/>
  <c r="U1151" s="1"/>
  <c r="V1148"/>
  <c r="V1220"/>
  <c r="U1220" s="1"/>
  <c r="Z1220"/>
  <c r="AA1152"/>
  <c r="M1128"/>
  <c r="V1128"/>
  <c r="U1128" s="1"/>
  <c r="AA1153"/>
  <c r="AA1137"/>
  <c r="V1135"/>
  <c r="V1150"/>
  <c r="W1142"/>
  <c r="AA1150"/>
  <c r="AA1142"/>
  <c r="W1154"/>
  <c r="W1149"/>
  <c r="Z1138"/>
  <c r="AA1154"/>
  <c r="Z1155"/>
  <c r="Z1148"/>
  <c r="V1143"/>
  <c r="Z1151"/>
  <c r="Z1131"/>
  <c r="Z1147"/>
  <c r="Z1164"/>
  <c r="Y1164" s="1"/>
  <c r="V1164"/>
  <c r="Z1127"/>
  <c r="B1127"/>
  <c r="AJ1126"/>
  <c r="AA1126"/>
  <c r="O1126"/>
  <c r="B1126"/>
  <c r="AJ1125"/>
  <c r="Z1125"/>
  <c r="N1125"/>
  <c r="B1125"/>
  <c r="U1124"/>
  <c r="K1124"/>
  <c r="B1124"/>
  <c r="AJ1123"/>
  <c r="X1123" l="1"/>
  <c r="X1125"/>
  <c r="V1125" s="1"/>
  <c r="U1125" s="1"/>
  <c r="X1126"/>
  <c r="W1126" s="1"/>
  <c r="AS1124"/>
  <c r="K1125"/>
  <c r="N1124"/>
  <c r="O1125"/>
  <c r="M1124"/>
  <c r="AP1124" s="1"/>
  <c r="AQ1124" s="1"/>
  <c r="V1124"/>
  <c r="AS1127"/>
  <c r="O1124"/>
  <c r="AS1125"/>
  <c r="K1127"/>
  <c r="AA1128"/>
  <c r="W1128"/>
  <c r="Y1125"/>
  <c r="N1126"/>
  <c r="Z1126"/>
  <c r="M1127"/>
  <c r="Y1127"/>
  <c r="M1126"/>
  <c r="Y1126"/>
  <c r="AS1126"/>
  <c r="AA1125"/>
  <c r="M1125"/>
  <c r="K1126"/>
  <c r="O1127"/>
  <c r="N1127" s="1"/>
  <c r="Z1128"/>
  <c r="Y1128" s="1"/>
  <c r="Y1124"/>
  <c r="V1127"/>
  <c r="W1127"/>
  <c r="AA1127"/>
  <c r="AA1123"/>
  <c r="Z1123" s="1"/>
  <c r="N1123"/>
  <c r="M1123" s="1"/>
  <c r="B1123"/>
  <c r="U1122"/>
  <c r="K1122"/>
  <c r="B1122"/>
  <c r="W1125" l="1"/>
  <c r="V1126"/>
  <c r="U1126"/>
  <c r="Z1124"/>
  <c r="O1123"/>
  <c r="U1127"/>
  <c r="K1123"/>
  <c r="M1122"/>
  <c r="AS1122"/>
  <c r="O1122"/>
  <c r="N1122"/>
  <c r="AA1124"/>
  <c r="U1123"/>
  <c r="W1123"/>
  <c r="W1124"/>
  <c r="V1123"/>
  <c r="Y1123"/>
  <c r="AS1123"/>
  <c r="N1121"/>
  <c r="M1121" s="1"/>
  <c r="AP1121" s="1"/>
  <c r="B1121"/>
  <c r="O1120"/>
  <c r="B1120"/>
  <c r="AJ1119"/>
  <c r="AA1119"/>
  <c r="Z1119"/>
  <c r="Y1119"/>
  <c r="O1119"/>
  <c r="N1119"/>
  <c r="M1119"/>
  <c r="K1119"/>
  <c r="B1119"/>
  <c r="B1118"/>
  <c r="M1117"/>
  <c r="B1117"/>
  <c r="M1116"/>
  <c r="B1116"/>
  <c r="O1115"/>
  <c r="B1115"/>
  <c r="AA1114"/>
  <c r="B1114"/>
  <c r="O1113"/>
  <c r="B1113"/>
  <c r="AA1112"/>
  <c r="M1112"/>
  <c r="B1112"/>
  <c r="O1111"/>
  <c r="B1111"/>
  <c r="B1110"/>
  <c r="O1109"/>
  <c r="B1109"/>
  <c r="AA1108"/>
  <c r="B1108"/>
  <c r="Z1107"/>
  <c r="O1107"/>
  <c r="B1107"/>
  <c r="M1106"/>
  <c r="B1106"/>
  <c r="M1105"/>
  <c r="B1105"/>
  <c r="O1104"/>
  <c r="B1104"/>
  <c r="B1103"/>
  <c r="B1102"/>
  <c r="B1101"/>
  <c r="M1100"/>
  <c r="B1100"/>
  <c r="B1099"/>
  <c r="N1098"/>
  <c r="B1098"/>
  <c r="N1097"/>
  <c r="B1097"/>
  <c r="M1096"/>
  <c r="B1096"/>
  <c r="B1095"/>
  <c r="K1094"/>
  <c r="B1094"/>
  <c r="O1093"/>
  <c r="B1093"/>
  <c r="O1092"/>
  <c r="B1092"/>
  <c r="U1091"/>
  <c r="B1091"/>
  <c r="W1090"/>
  <c r="M1090"/>
  <c r="B1090"/>
  <c r="Z1089"/>
  <c r="O1089"/>
  <c r="B1089"/>
  <c r="Y1088"/>
  <c r="M1088"/>
  <c r="B1088"/>
  <c r="N1087"/>
  <c r="B1087"/>
  <c r="N1086"/>
  <c r="B1086"/>
  <c r="AA1085"/>
  <c r="B1085"/>
  <c r="N1084"/>
  <c r="B1084"/>
  <c r="V1083"/>
  <c r="O1083"/>
  <c r="B1083"/>
  <c r="K1082"/>
  <c r="B1082"/>
  <c r="B1081"/>
  <c r="N1080"/>
  <c r="B1080"/>
  <c r="AA1079"/>
  <c r="O1079"/>
  <c r="B1079"/>
  <c r="Z1078"/>
  <c r="O1078"/>
  <c r="B1078"/>
  <c r="U1077"/>
  <c r="M1077"/>
  <c r="B1077"/>
  <c r="M1076"/>
  <c r="B1076"/>
  <c r="O1075"/>
  <c r="B1075"/>
  <c r="O1074"/>
  <c r="B1074"/>
  <c r="M1073"/>
  <c r="B1073"/>
  <c r="M1072"/>
  <c r="B1072"/>
  <c r="O1071"/>
  <c r="B1071"/>
  <c r="M1070"/>
  <c r="B1070"/>
  <c r="O1069"/>
  <c r="B1069"/>
  <c r="M1068"/>
  <c r="B1068"/>
  <c r="Z1067"/>
  <c r="O1067"/>
  <c r="B1067"/>
  <c r="O1066"/>
  <c r="B1066"/>
  <c r="M1065"/>
  <c r="B1065"/>
  <c r="O1064"/>
  <c r="B1064"/>
  <c r="M1063"/>
  <c r="B1063"/>
  <c r="O1062"/>
  <c r="B1062"/>
  <c r="M1061"/>
  <c r="B1061"/>
  <c r="V1060"/>
  <c r="O1060"/>
  <c r="B1060"/>
  <c r="B1059"/>
  <c r="V1058"/>
  <c r="O1058"/>
  <c r="B1058"/>
  <c r="M1057"/>
  <c r="B1057"/>
  <c r="M1056"/>
  <c r="B1056"/>
  <c r="V1055"/>
  <c r="O1055"/>
  <c r="B1055"/>
  <c r="O1054"/>
  <c r="B1054"/>
  <c r="B1053"/>
  <c r="K1052"/>
  <c r="B1052"/>
  <c r="O1051"/>
  <c r="B1051"/>
  <c r="Z1050"/>
  <c r="K1050"/>
  <c r="B1050"/>
  <c r="Z1049"/>
  <c r="B1049"/>
  <c r="AJ1048"/>
  <c r="AA1048"/>
  <c r="Z1048" s="1"/>
  <c r="Y1048" s="1"/>
  <c r="O1048"/>
  <c r="B1048"/>
  <c r="AJ1047"/>
  <c r="AA1047"/>
  <c r="Z1047"/>
  <c r="Y1047"/>
  <c r="O1047"/>
  <c r="B1047"/>
  <c r="O1046"/>
  <c r="B1046"/>
  <c r="B1045"/>
  <c r="M1044"/>
  <c r="B1044"/>
  <c r="AJ1043"/>
  <c r="M1043"/>
  <c r="B1043"/>
  <c r="M1042"/>
  <c r="B1042"/>
  <c r="M1041"/>
  <c r="B1041"/>
  <c r="B1040"/>
  <c r="M1039"/>
  <c r="B1039"/>
  <c r="Z1038"/>
  <c r="M1038"/>
  <c r="B1038"/>
  <c r="M1037"/>
  <c r="B1037"/>
  <c r="M1036"/>
  <c r="B1036"/>
  <c r="M1035"/>
  <c r="B1035"/>
  <c r="U1034"/>
  <c r="N1034"/>
  <c r="B1034"/>
  <c r="M1033"/>
  <c r="B1033"/>
  <c r="U1032"/>
  <c r="N1032"/>
  <c r="M1032" s="1"/>
  <c r="B1032"/>
  <c r="N1031"/>
  <c r="B1031"/>
  <c r="M1030"/>
  <c r="B1030"/>
  <c r="N1029"/>
  <c r="B1029"/>
  <c r="B1028"/>
  <c r="O1027"/>
  <c r="B1027"/>
  <c r="N1026"/>
  <c r="B1026"/>
  <c r="N1025"/>
  <c r="B1025"/>
  <c r="M1024"/>
  <c r="B1024"/>
  <c r="N1023"/>
  <c r="B1023"/>
  <c r="K1022"/>
  <c r="B1022"/>
  <c r="O1021"/>
  <c r="B1021"/>
  <c r="AA1020"/>
  <c r="K1020"/>
  <c r="B1020"/>
  <c r="AA1019"/>
  <c r="B1019"/>
  <c r="V1018"/>
  <c r="O1018"/>
  <c r="B1018"/>
  <c r="AK1043" l="1"/>
  <c r="X1043" s="1"/>
  <c r="X1048"/>
  <c r="W1048" s="1"/>
  <c r="X1047"/>
  <c r="W1047" s="1"/>
  <c r="X1119"/>
  <c r="W1119" s="1"/>
  <c r="O1086"/>
  <c r="M1079"/>
  <c r="M1080"/>
  <c r="Z1082"/>
  <c r="K1051"/>
  <c r="M1022"/>
  <c r="N1024"/>
  <c r="Y1069"/>
  <c r="N1074"/>
  <c r="AS1080"/>
  <c r="M1018"/>
  <c r="M1074"/>
  <c r="Y1074"/>
  <c r="N1112"/>
  <c r="K1086"/>
  <c r="Y1092"/>
  <c r="AS1103"/>
  <c r="Z1106"/>
  <c r="N1038"/>
  <c r="V1040"/>
  <c r="AS1045"/>
  <c r="U1050"/>
  <c r="N1051"/>
  <c r="M1051" s="1"/>
  <c r="Z1054"/>
  <c r="N1057"/>
  <c r="AA1075"/>
  <c r="M1086"/>
  <c r="K1096"/>
  <c r="AS1102"/>
  <c r="AS1108"/>
  <c r="AS1118"/>
  <c r="AA1122"/>
  <c r="N1035"/>
  <c r="N1089"/>
  <c r="AS1115"/>
  <c r="AS1019"/>
  <c r="M1027"/>
  <c r="O1030"/>
  <c r="K1037"/>
  <c r="AS1041"/>
  <c r="AS1051"/>
  <c r="AS1086"/>
  <c r="Y1086"/>
  <c r="V1122"/>
  <c r="N1018"/>
  <c r="N1027"/>
  <c r="AS1040"/>
  <c r="U1042"/>
  <c r="V1047"/>
  <c r="AS1049"/>
  <c r="Y1058"/>
  <c r="N1069"/>
  <c r="O1076"/>
  <c r="M1078"/>
  <c r="U1078"/>
  <c r="N1079"/>
  <c r="AS1081"/>
  <c r="N1082"/>
  <c r="M1082" s="1"/>
  <c r="AS1089"/>
  <c r="M1104"/>
  <c r="Y1109"/>
  <c r="N1111"/>
  <c r="M1069"/>
  <c r="M1111"/>
  <c r="K1054"/>
  <c r="K1076"/>
  <c r="M1089"/>
  <c r="N1093"/>
  <c r="M1093" s="1"/>
  <c r="AS1027"/>
  <c r="N1030"/>
  <c r="O1037"/>
  <c r="AA1039"/>
  <c r="M1045"/>
  <c r="K1046"/>
  <c r="AS1054"/>
  <c r="N1078"/>
  <c r="AS1079"/>
  <c r="O1082"/>
  <c r="N1104"/>
  <c r="N1120"/>
  <c r="K1036"/>
  <c r="N1037"/>
  <c r="K1040"/>
  <c r="N1041"/>
  <c r="AS1047"/>
  <c r="K1049"/>
  <c r="K1055"/>
  <c r="AA1055"/>
  <c r="K1056"/>
  <c r="O1056"/>
  <c r="V1056"/>
  <c r="Y1057"/>
  <c r="N1065"/>
  <c r="K1081"/>
  <c r="N1083"/>
  <c r="K1090"/>
  <c r="O1090"/>
  <c r="V1090"/>
  <c r="AS1094"/>
  <c r="K1106"/>
  <c r="Y1112"/>
  <c r="K1121"/>
  <c r="M1026"/>
  <c r="AS1030"/>
  <c r="AS1035"/>
  <c r="AA1038"/>
  <c r="O1050"/>
  <c r="AS1053"/>
  <c r="AS1056"/>
  <c r="N1056"/>
  <c r="AS1059"/>
  <c r="Y1065"/>
  <c r="AS1074"/>
  <c r="M1083"/>
  <c r="AS1090"/>
  <c r="N1090"/>
  <c r="N1092"/>
  <c r="O1094"/>
  <c r="AS1095"/>
  <c r="O1096"/>
  <c r="AS1101"/>
  <c r="N1103"/>
  <c r="AS1104"/>
  <c r="Y1107"/>
  <c r="AS1110"/>
  <c r="AS1114"/>
  <c r="AS1120"/>
  <c r="AS1121"/>
  <c r="Z1122"/>
  <c r="Y1122" s="1"/>
  <c r="M1025"/>
  <c r="AS1028"/>
  <c r="O1040"/>
  <c r="N1050"/>
  <c r="M1050" s="1"/>
  <c r="AS1050"/>
  <c r="AS1091"/>
  <c r="M1092"/>
  <c r="N1094"/>
  <c r="M1094" s="1"/>
  <c r="M1103"/>
  <c r="O1106"/>
  <c r="O1121"/>
  <c r="O1031"/>
  <c r="K1033"/>
  <c r="O1033"/>
  <c r="O1036"/>
  <c r="N1040"/>
  <c r="Y1040"/>
  <c r="N1047"/>
  <c r="O1049"/>
  <c r="AS1057"/>
  <c r="AS1058"/>
  <c r="K1059"/>
  <c r="O1059"/>
  <c r="Z1059"/>
  <c r="N1064"/>
  <c r="AS1065"/>
  <c r="AS1069"/>
  <c r="K1070"/>
  <c r="O1070"/>
  <c r="N1071"/>
  <c r="AS1076"/>
  <c r="N1076"/>
  <c r="U1076"/>
  <c r="O1081"/>
  <c r="U1083"/>
  <c r="Y1089"/>
  <c r="AS1096"/>
  <c r="N1096"/>
  <c r="N1100"/>
  <c r="AS1106"/>
  <c r="N1106"/>
  <c r="Y1106"/>
  <c r="AS1107"/>
  <c r="K1108"/>
  <c r="O1108"/>
  <c r="V1108"/>
  <c r="AS1109"/>
  <c r="AS1112"/>
  <c r="AS1113"/>
  <c r="K1114"/>
  <c r="O1114"/>
  <c r="N1115"/>
  <c r="M1120"/>
  <c r="W1122"/>
  <c r="AS1039"/>
  <c r="AS1021"/>
  <c r="N1021"/>
  <c r="U1024"/>
  <c r="M1019"/>
  <c r="M1021"/>
  <c r="AS1024"/>
  <c r="AS1026"/>
  <c r="K1027"/>
  <c r="M1028"/>
  <c r="K1030"/>
  <c r="M1031"/>
  <c r="Z1031"/>
  <c r="AS1031"/>
  <c r="AS1033"/>
  <c r="N1033"/>
  <c r="U1033"/>
  <c r="AA1035"/>
  <c r="AS1037"/>
  <c r="N1039"/>
  <c r="M1040"/>
  <c r="AA1041"/>
  <c r="K1043"/>
  <c r="M1047"/>
  <c r="N1049"/>
  <c r="M1049" s="1"/>
  <c r="K1057"/>
  <c r="O1057"/>
  <c r="N1058"/>
  <c r="N1059"/>
  <c r="Y1059"/>
  <c r="N1060"/>
  <c r="M1064"/>
  <c r="K1065"/>
  <c r="O1065"/>
  <c r="N1066"/>
  <c r="N1070"/>
  <c r="M1071"/>
  <c r="Y1071"/>
  <c r="K1074"/>
  <c r="AS1077"/>
  <c r="AS1078"/>
  <c r="K1079"/>
  <c r="N1081"/>
  <c r="M1081" s="1"/>
  <c r="M1084"/>
  <c r="Y1093"/>
  <c r="AS1093"/>
  <c r="AS1097"/>
  <c r="M1098"/>
  <c r="AS1099"/>
  <c r="O1101"/>
  <c r="N1102"/>
  <c r="N1107"/>
  <c r="N1108"/>
  <c r="N1109"/>
  <c r="AS1111"/>
  <c r="K1112"/>
  <c r="O1112"/>
  <c r="N1113"/>
  <c r="N1114"/>
  <c r="M1115"/>
  <c r="M1118"/>
  <c r="M1053"/>
  <c r="M1058"/>
  <c r="M1059"/>
  <c r="M1060"/>
  <c r="AS1064"/>
  <c r="M1066"/>
  <c r="M1087"/>
  <c r="AS1088"/>
  <c r="M1097"/>
  <c r="AS1100"/>
  <c r="N1101"/>
  <c r="M1101" s="1"/>
  <c r="M1102"/>
  <c r="M1107"/>
  <c r="M1108"/>
  <c r="M1109"/>
  <c r="M1113"/>
  <c r="M1114"/>
  <c r="K1021"/>
  <c r="Z1021"/>
  <c r="AS1066"/>
  <c r="AQ1121"/>
  <c r="Z1055"/>
  <c r="AA1070"/>
  <c r="Z1042"/>
  <c r="W1040"/>
  <c r="Y1032"/>
  <c r="W1033"/>
  <c r="W1019"/>
  <c r="W1037"/>
  <c r="Z1041"/>
  <c r="V1093"/>
  <c r="Z1032"/>
  <c r="AA1040"/>
  <c r="AA1057"/>
  <c r="Y1078"/>
  <c r="V1022"/>
  <c r="W1026"/>
  <c r="AA1021"/>
  <c r="W1024"/>
  <c r="W1028"/>
  <c r="AA1037"/>
  <c r="O1035"/>
  <c r="K1035"/>
  <c r="AS1036"/>
  <c r="N1036"/>
  <c r="AS1038"/>
  <c r="O1038"/>
  <c r="K1038"/>
  <c r="O1039"/>
  <c r="K1039"/>
  <c r="O1041"/>
  <c r="K1041"/>
  <c r="N1045"/>
  <c r="O1045"/>
  <c r="K1045"/>
  <c r="AS1046"/>
  <c r="M1046"/>
  <c r="N1046"/>
  <c r="W1050"/>
  <c r="V1050"/>
  <c r="N1053"/>
  <c r="O1053"/>
  <c r="K1053"/>
  <c r="Y1061"/>
  <c r="Z1061"/>
  <c r="N1068"/>
  <c r="AS1068"/>
  <c r="O1068"/>
  <c r="K1068"/>
  <c r="Y1080"/>
  <c r="AA1026"/>
  <c r="AS1022"/>
  <c r="K1023"/>
  <c r="O1023"/>
  <c r="Z1023"/>
  <c r="AA1024"/>
  <c r="AA1025"/>
  <c r="K1032"/>
  <c r="Z1018"/>
  <c r="AS1018"/>
  <c r="K1019"/>
  <c r="O1019"/>
  <c r="V1019"/>
  <c r="N1020"/>
  <c r="U1020"/>
  <c r="W1020"/>
  <c r="O1022"/>
  <c r="K1025"/>
  <c r="O1025"/>
  <c r="AS1025"/>
  <c r="K1026"/>
  <c r="O1026"/>
  <c r="Z1026"/>
  <c r="AA1027"/>
  <c r="K1028"/>
  <c r="O1028"/>
  <c r="V1028"/>
  <c r="K1018"/>
  <c r="N1019"/>
  <c r="M1020"/>
  <c r="N1022"/>
  <c r="M1023"/>
  <c r="AS1023"/>
  <c r="K1024"/>
  <c r="O1024"/>
  <c r="Y1026"/>
  <c r="N1028"/>
  <c r="M1029"/>
  <c r="Y1029"/>
  <c r="K1031"/>
  <c r="O1032"/>
  <c r="M1034"/>
  <c r="AS1034"/>
  <c r="O1042"/>
  <c r="N1043"/>
  <c r="AA1045"/>
  <c r="U1056"/>
  <c r="AS1070"/>
  <c r="W1070"/>
  <c r="Y1087"/>
  <c r="AA1096"/>
  <c r="N1044"/>
  <c r="AS1044"/>
  <c r="O1044"/>
  <c r="K1044"/>
  <c r="M1054"/>
  <c r="N1054"/>
  <c r="M1055"/>
  <c r="N1055"/>
  <c r="M1062"/>
  <c r="AS1062"/>
  <c r="N1062"/>
  <c r="U1063"/>
  <c r="Z1063"/>
  <c r="M1067"/>
  <c r="AS1067"/>
  <c r="N1067"/>
  <c r="N1073"/>
  <c r="O1073"/>
  <c r="K1073"/>
  <c r="W1081"/>
  <c r="Z1085"/>
  <c r="AS1032"/>
  <c r="V1035"/>
  <c r="N1042"/>
  <c r="AS1043"/>
  <c r="AA1054"/>
  <c r="AS1073"/>
  <c r="W1114"/>
  <c r="Y1046"/>
  <c r="M1048"/>
  <c r="N1048"/>
  <c r="Y1049"/>
  <c r="U1051"/>
  <c r="U1052"/>
  <c r="AA1052"/>
  <c r="Z1060"/>
  <c r="N1061"/>
  <c r="O1061"/>
  <c r="K1061"/>
  <c r="N1072"/>
  <c r="AS1072"/>
  <c r="O1072"/>
  <c r="K1072"/>
  <c r="AS1075"/>
  <c r="M1075"/>
  <c r="N1075"/>
  <c r="Z1083"/>
  <c r="M1085"/>
  <c r="N1085"/>
  <c r="O1085"/>
  <c r="K1085"/>
  <c r="U1097"/>
  <c r="AA1028"/>
  <c r="AS1029"/>
  <c r="O1020"/>
  <c r="V1020"/>
  <c r="W1022"/>
  <c r="AS1042"/>
  <c r="AS1048"/>
  <c r="W1057"/>
  <c r="AS1061"/>
  <c r="K1062"/>
  <c r="W1065"/>
  <c r="K1067"/>
  <c r="AS1085"/>
  <c r="W1112"/>
  <c r="N1052"/>
  <c r="M1052" s="1"/>
  <c r="AS1052"/>
  <c r="O1052"/>
  <c r="Y1054"/>
  <c r="AA1056"/>
  <c r="Y1062"/>
  <c r="AS1063"/>
  <c r="N1063"/>
  <c r="O1063"/>
  <c r="K1063"/>
  <c r="Z1064"/>
  <c r="U1073"/>
  <c r="Z1073"/>
  <c r="U1087"/>
  <c r="V1103"/>
  <c r="AS1020"/>
  <c r="W1027"/>
  <c r="K1029"/>
  <c r="U1029"/>
  <c r="K1034"/>
  <c r="O1029"/>
  <c r="AA1029"/>
  <c r="V1032"/>
  <c r="O1034"/>
  <c r="Z1035"/>
  <c r="Z1036"/>
  <c r="Y1041"/>
  <c r="K1042"/>
  <c r="O1043"/>
  <c r="K1048"/>
  <c r="AA1050"/>
  <c r="AS1055"/>
  <c r="AA1063"/>
  <c r="K1075"/>
  <c r="Y1077"/>
  <c r="U1084"/>
  <c r="AA1105"/>
  <c r="AS1105"/>
  <c r="AA1116"/>
  <c r="AS1084"/>
  <c r="K1091"/>
  <c r="W1093"/>
  <c r="AA1093"/>
  <c r="W1094"/>
  <c r="K1095"/>
  <c r="O1095"/>
  <c r="W1096"/>
  <c r="AA1097"/>
  <c r="AS1098"/>
  <c r="K1099"/>
  <c r="O1099"/>
  <c r="V1102"/>
  <c r="K1105"/>
  <c r="O1105"/>
  <c r="W1106"/>
  <c r="K1110"/>
  <c r="O1110"/>
  <c r="V1113"/>
  <c r="K1116"/>
  <c r="O1116"/>
  <c r="AS1116"/>
  <c r="K1117"/>
  <c r="O1117"/>
  <c r="W1118"/>
  <c r="AS1119"/>
  <c r="W1121"/>
  <c r="AS1060"/>
  <c r="AA1064"/>
  <c r="AS1071"/>
  <c r="K1077"/>
  <c r="O1077"/>
  <c r="Z1077"/>
  <c r="K1080"/>
  <c r="O1080"/>
  <c r="V1080"/>
  <c r="U1080" s="1"/>
  <c r="AS1083"/>
  <c r="K1084"/>
  <c r="O1084"/>
  <c r="Z1084"/>
  <c r="Y1084" s="1"/>
  <c r="K1087"/>
  <c r="O1087"/>
  <c r="V1087"/>
  <c r="AS1087"/>
  <c r="K1088"/>
  <c r="O1088"/>
  <c r="Z1088"/>
  <c r="O1091"/>
  <c r="Z1091"/>
  <c r="AS1092"/>
  <c r="K1093"/>
  <c r="Z1093"/>
  <c r="V1094"/>
  <c r="U1094" s="1"/>
  <c r="N1095"/>
  <c r="K1097"/>
  <c r="O1097"/>
  <c r="Z1097"/>
  <c r="K1098"/>
  <c r="O1098"/>
  <c r="N1099"/>
  <c r="N1105"/>
  <c r="U1105"/>
  <c r="AA1106"/>
  <c r="N1110"/>
  <c r="N1116"/>
  <c r="N1117"/>
  <c r="AS1117"/>
  <c r="K1118"/>
  <c r="O1118"/>
  <c r="K1047"/>
  <c r="K1058"/>
  <c r="K1060"/>
  <c r="K1064"/>
  <c r="K1066"/>
  <c r="K1069"/>
  <c r="K1071"/>
  <c r="V1075"/>
  <c r="N1077"/>
  <c r="K1078"/>
  <c r="K1083"/>
  <c r="N1088"/>
  <c r="K1089"/>
  <c r="N1091"/>
  <c r="M1091" s="1"/>
  <c r="K1092"/>
  <c r="M1095"/>
  <c r="M1099"/>
  <c r="K1100"/>
  <c r="O1100"/>
  <c r="K1101"/>
  <c r="K1102"/>
  <c r="O1102"/>
  <c r="K1103"/>
  <c r="O1103"/>
  <c r="K1104"/>
  <c r="K1107"/>
  <c r="K1109"/>
  <c r="M1110"/>
  <c r="K1111"/>
  <c r="K1113"/>
  <c r="K1115"/>
  <c r="N1118"/>
  <c r="K1120"/>
  <c r="Z1051"/>
  <c r="Y1091"/>
  <c r="V1100"/>
  <c r="V1104"/>
  <c r="Z1046"/>
  <c r="Z1022"/>
  <c r="U1023"/>
  <c r="U1025"/>
  <c r="Y1025"/>
  <c r="Y1027"/>
  <c r="U1031"/>
  <c r="AA1033"/>
  <c r="U1036"/>
  <c r="V1039"/>
  <c r="Z1039"/>
  <c r="V1046"/>
  <c r="W1049"/>
  <c r="AA1049"/>
  <c r="W1054"/>
  <c r="W1055"/>
  <c r="Y1056"/>
  <c r="W1059"/>
  <c r="W1062"/>
  <c r="AA1062"/>
  <c r="AA1065"/>
  <c r="Z1066"/>
  <c r="W1068"/>
  <c r="W1076"/>
  <c r="V1078"/>
  <c r="V1092"/>
  <c r="Y1097"/>
  <c r="Z1100"/>
  <c r="U1102"/>
  <c r="Z1102"/>
  <c r="Z1104"/>
  <c r="W1108"/>
  <c r="V1111"/>
  <c r="Z1111"/>
  <c r="U1118"/>
  <c r="V1120"/>
  <c r="Z1120"/>
  <c r="Y1023"/>
  <c r="Y1031"/>
  <c r="Y1036"/>
  <c r="V1038"/>
  <c r="V1049"/>
  <c r="W1056"/>
  <c r="U1057"/>
  <c r="AA1068"/>
  <c r="V1069"/>
  <c r="Z1069"/>
  <c r="V1071"/>
  <c r="W1074"/>
  <c r="Z1075"/>
  <c r="W1079"/>
  <c r="W1085"/>
  <c r="W1086"/>
  <c r="AA1086"/>
  <c r="U1088"/>
  <c r="V1089"/>
  <c r="U1092"/>
  <c r="U1098"/>
  <c r="Y1098"/>
  <c r="W1101"/>
  <c r="AA1101"/>
  <c r="Y1102"/>
  <c r="V1107"/>
  <c r="V1109"/>
  <c r="Z1109"/>
  <c r="Z1115"/>
  <c r="V1051"/>
  <c r="V1067"/>
  <c r="W1021"/>
  <c r="Y1034"/>
  <c r="V1041"/>
  <c r="AA1059"/>
  <c r="Z1071"/>
  <c r="AA1074"/>
  <c r="AA1076"/>
  <c r="AA1090"/>
  <c r="V1101"/>
  <c r="U1101" s="1"/>
  <c r="Z1101"/>
  <c r="Y1118"/>
  <c r="AA1017"/>
  <c r="M1017"/>
  <c r="B1017"/>
  <c r="M1016"/>
  <c r="B1016"/>
  <c r="M1015"/>
  <c r="B1015"/>
  <c r="AJ1014"/>
  <c r="AA1014"/>
  <c r="Z1014"/>
  <c r="Y1014"/>
  <c r="M1014"/>
  <c r="B1014"/>
  <c r="M1013"/>
  <c r="B1013"/>
  <c r="AJ1012"/>
  <c r="Y1012"/>
  <c r="AA1012"/>
  <c r="Z1012" s="1"/>
  <c r="M1012"/>
  <c r="B1012"/>
  <c r="O1011"/>
  <c r="B1011"/>
  <c r="B1010"/>
  <c r="O1009"/>
  <c r="B1009"/>
  <c r="Y1008"/>
  <c r="K1008"/>
  <c r="B1008"/>
  <c r="Z1007"/>
  <c r="M1007"/>
  <c r="B1007"/>
  <c r="K1006"/>
  <c r="B1006"/>
  <c r="O1005"/>
  <c r="B1005"/>
  <c r="AA1004"/>
  <c r="M1004"/>
  <c r="B1004"/>
  <c r="M1003"/>
  <c r="B1003"/>
  <c r="M1002"/>
  <c r="B1002"/>
  <c r="Y1001"/>
  <c r="N1001"/>
  <c r="B1001"/>
  <c r="Y1000"/>
  <c r="N1000"/>
  <c r="B1000"/>
  <c r="K999"/>
  <c r="B999"/>
  <c r="M998"/>
  <c r="B998"/>
  <c r="Z997"/>
  <c r="N997"/>
  <c r="M997" s="1"/>
  <c r="B997"/>
  <c r="B996"/>
  <c r="M995"/>
  <c r="B995"/>
  <c r="O994"/>
  <c r="B994"/>
  <c r="N993"/>
  <c r="B993"/>
  <c r="Y992"/>
  <c r="N992"/>
  <c r="B992"/>
  <c r="N991"/>
  <c r="M991" s="1"/>
  <c r="B991"/>
  <c r="U1047" l="1"/>
  <c r="W1044"/>
  <c r="U1066"/>
  <c r="U1086"/>
  <c r="AA1044"/>
  <c r="Z1037"/>
  <c r="Y1066"/>
  <c r="U1069"/>
  <c r="X1014"/>
  <c r="V1106"/>
  <c r="U1079"/>
  <c r="Y1101"/>
  <c r="W1042"/>
  <c r="U1112"/>
  <c r="Y1079"/>
  <c r="Z1056"/>
  <c r="V1042"/>
  <c r="U1048"/>
  <c r="V1048"/>
  <c r="Y1033"/>
  <c r="W1075"/>
  <c r="V1119"/>
  <c r="V1065"/>
  <c r="U1119"/>
  <c r="W1053"/>
  <c r="V1037"/>
  <c r="V1086"/>
  <c r="V1054"/>
  <c r="Z1086"/>
  <c r="AA1053"/>
  <c r="U1115"/>
  <c r="V1059"/>
  <c r="U1109"/>
  <c r="U1040"/>
  <c r="Y1115"/>
  <c r="Z1079"/>
  <c r="U1027"/>
  <c r="U1106"/>
  <c r="X1012"/>
  <c r="W1012" s="1"/>
  <c r="Y1100"/>
  <c r="Y1096"/>
  <c r="U1100"/>
  <c r="W1025"/>
  <c r="Z1065"/>
  <c r="V1031"/>
  <c r="W1036"/>
  <c r="V1027"/>
  <c r="U1071"/>
  <c r="U1096"/>
  <c r="AA1036"/>
  <c r="Z1027"/>
  <c r="U1093"/>
  <c r="Z1114"/>
  <c r="Z1070"/>
  <c r="Z1076"/>
  <c r="Y1076" s="1"/>
  <c r="AA1031"/>
  <c r="V1114"/>
  <c r="W1031"/>
  <c r="V1070"/>
  <c r="Y1083"/>
  <c r="Y1044"/>
  <c r="W1046"/>
  <c r="W1041"/>
  <c r="U1090"/>
  <c r="AA1088"/>
  <c r="V1097"/>
  <c r="V1088"/>
  <c r="W1117"/>
  <c r="AA1117"/>
  <c r="Z1117" s="1"/>
  <c r="AA1080"/>
  <c r="W1080"/>
  <c r="W1087"/>
  <c r="V1077"/>
  <c r="AA1087"/>
  <c r="V1085"/>
  <c r="Z1072"/>
  <c r="Z1057"/>
  <c r="U1030"/>
  <c r="V1096"/>
  <c r="U1049"/>
  <c r="U1095"/>
  <c r="Y1030"/>
  <c r="Y1081"/>
  <c r="AA1073"/>
  <c r="U1081"/>
  <c r="U1046"/>
  <c r="Y1028"/>
  <c r="AA1094"/>
  <c r="W1105"/>
  <c r="U1099"/>
  <c r="V1072"/>
  <c r="Y1022"/>
  <c r="AA1109"/>
  <c r="Z1112"/>
  <c r="U1022"/>
  <c r="Z1028"/>
  <c r="Y1111"/>
  <c r="Y1021"/>
  <c r="Y1103"/>
  <c r="W1038"/>
  <c r="AA1082"/>
  <c r="AA1083"/>
  <c r="U1107"/>
  <c r="U1059"/>
  <c r="AA1034"/>
  <c r="Z1019"/>
  <c r="AA1110"/>
  <c r="W1083"/>
  <c r="Z1099"/>
  <c r="Y1099" s="1"/>
  <c r="U1075"/>
  <c r="Z1024"/>
  <c r="Y1018"/>
  <c r="AA1111"/>
  <c r="W1039"/>
  <c r="Z1040"/>
  <c r="AA1078"/>
  <c r="U1058"/>
  <c r="AA1091"/>
  <c r="W1069"/>
  <c r="W1034"/>
  <c r="AA1060"/>
  <c r="AA1042"/>
  <c r="Y1104"/>
  <c r="U1082"/>
  <c r="AA1069"/>
  <c r="W1060"/>
  <c r="V1024"/>
  <c r="W1110"/>
  <c r="Y1113"/>
  <c r="W1064"/>
  <c r="V1064" s="1"/>
  <c r="U1038"/>
  <c r="U1104"/>
  <c r="AA1092"/>
  <c r="V1057"/>
  <c r="V1112"/>
  <c r="Z1020"/>
  <c r="Y1020" s="1"/>
  <c r="U1085"/>
  <c r="Z1074"/>
  <c r="AA1067"/>
  <c r="V1074"/>
  <c r="U1074" s="1"/>
  <c r="U1070"/>
  <c r="U1065"/>
  <c r="Y1082"/>
  <c r="Y1067"/>
  <c r="V1045"/>
  <c r="U1113"/>
  <c r="W1067"/>
  <c r="Y1037"/>
  <c r="Z1116"/>
  <c r="Y1070"/>
  <c r="V1061"/>
  <c r="Z1045"/>
  <c r="Z1033"/>
  <c r="W1107"/>
  <c r="AA1113"/>
  <c r="Z1113" s="1"/>
  <c r="AA1107"/>
  <c r="W1099"/>
  <c r="V1091"/>
  <c r="V1105"/>
  <c r="AA1077"/>
  <c r="Z1053"/>
  <c r="Z1029"/>
  <c r="U1045"/>
  <c r="W1071"/>
  <c r="V1063"/>
  <c r="Y1051"/>
  <c r="Y1024"/>
  <c r="V1033"/>
  <c r="Y1075"/>
  <c r="AA1071"/>
  <c r="V1053"/>
  <c r="U1053" s="1"/>
  <c r="Y1045"/>
  <c r="W1095"/>
  <c r="U1037"/>
  <c r="U1018"/>
  <c r="Y1116"/>
  <c r="Y1095"/>
  <c r="AA1046"/>
  <c r="Z1118"/>
  <c r="Y1042"/>
  <c r="U1120"/>
  <c r="AA1072"/>
  <c r="Z1062"/>
  <c r="AA1032"/>
  <c r="Z1098"/>
  <c r="W1061"/>
  <c r="AA1058"/>
  <c r="Z1058" s="1"/>
  <c r="U1035"/>
  <c r="W1032"/>
  <c r="Z1108"/>
  <c r="Y1108" s="1"/>
  <c r="U1108"/>
  <c r="V1082"/>
  <c r="U1064"/>
  <c r="Y1120"/>
  <c r="U1114"/>
  <c r="V1110"/>
  <c r="AA1061"/>
  <c r="V1044"/>
  <c r="U1044" s="1"/>
  <c r="Y1035"/>
  <c r="W1082"/>
  <c r="Y1064"/>
  <c r="Y1050"/>
  <c r="U1089"/>
  <c r="W1035"/>
  <c r="Y1114"/>
  <c r="U1111"/>
  <c r="W1073"/>
  <c r="V1073" s="1"/>
  <c r="U1103"/>
  <c r="W1077"/>
  <c r="V1062"/>
  <c r="Z1044"/>
  <c r="U1021"/>
  <c r="Z1096"/>
  <c r="Y1060"/>
  <c r="W1072"/>
  <c r="U1060"/>
  <c r="AA1089"/>
  <c r="O999"/>
  <c r="N999" s="1"/>
  <c r="Y1117"/>
  <c r="W1109"/>
  <c r="V1098"/>
  <c r="W1089"/>
  <c r="AS993"/>
  <c r="M999"/>
  <c r="AS1001"/>
  <c r="M1001"/>
  <c r="M1005"/>
  <c r="M1009"/>
  <c r="N1009"/>
  <c r="M993"/>
  <c r="M1000"/>
  <c r="N1005"/>
  <c r="AS1010"/>
  <c r="O1016"/>
  <c r="K1002"/>
  <c r="O1002"/>
  <c r="O1004"/>
  <c r="K1015"/>
  <c r="AS1002"/>
  <c r="N1002"/>
  <c r="AS999"/>
  <c r="AS1003"/>
  <c r="K1004"/>
  <c r="AS1009"/>
  <c r="O1015"/>
  <c r="V1021"/>
  <c r="V1043"/>
  <c r="W1043"/>
  <c r="U1043"/>
  <c r="AS994"/>
  <c r="N994"/>
  <c r="AS1004"/>
  <c r="N1004"/>
  <c r="AS1005"/>
  <c r="N1006"/>
  <c r="Z1006"/>
  <c r="K1010"/>
  <c r="N1011"/>
  <c r="N1017"/>
  <c r="U991"/>
  <c r="M992"/>
  <c r="M994"/>
  <c r="AS995"/>
  <c r="AS996"/>
  <c r="M1006"/>
  <c r="U1006"/>
  <c r="U1007"/>
  <c r="AS1008"/>
  <c r="K1009"/>
  <c r="Z1009"/>
  <c r="M1011"/>
  <c r="Y1011"/>
  <c r="AS1015"/>
  <c r="K1016"/>
  <c r="V1016"/>
  <c r="O1010"/>
  <c r="K994"/>
  <c r="W1052"/>
  <c r="AA1051"/>
  <c r="W1051"/>
  <c r="W1120"/>
  <c r="Y1053"/>
  <c r="U1116"/>
  <c r="AA1120"/>
  <c r="U1110"/>
  <c r="V1118"/>
  <c r="AA1115"/>
  <c r="W1111"/>
  <c r="V1117"/>
  <c r="U1001"/>
  <c r="W1004"/>
  <c r="AA994"/>
  <c r="AA1009"/>
  <c r="V1011"/>
  <c r="W994"/>
  <c r="U992"/>
  <c r="U1008"/>
  <c r="AA1016"/>
  <c r="W1017"/>
  <c r="Z1095"/>
  <c r="U1041"/>
  <c r="Y1038"/>
  <c r="V1068"/>
  <c r="AA1081"/>
  <c r="V1034"/>
  <c r="K996"/>
  <c r="O996"/>
  <c r="O998"/>
  <c r="AA998"/>
  <c r="W1003"/>
  <c r="AS1013"/>
  <c r="W1014"/>
  <c r="AS1014"/>
  <c r="AA1121"/>
  <c r="AA1118"/>
  <c r="V1099"/>
  <c r="AA1095"/>
  <c r="AA1066"/>
  <c r="W1029"/>
  <c r="Z1105"/>
  <c r="Y1073"/>
  <c r="W1116"/>
  <c r="V1116" s="1"/>
  <c r="Z1080"/>
  <c r="W1066"/>
  <c r="V1066" s="1"/>
  <c r="W1058"/>
  <c r="K1017"/>
  <c r="AS1017"/>
  <c r="Y1105"/>
  <c r="W1103"/>
  <c r="Z1087"/>
  <c r="AA1099"/>
  <c r="W1063"/>
  <c r="Y1039"/>
  <c r="U1039"/>
  <c r="U1062"/>
  <c r="V1029"/>
  <c r="V1025"/>
  <c r="W1018"/>
  <c r="U1072"/>
  <c r="U1061"/>
  <c r="AS998"/>
  <c r="K991"/>
  <c r="W993"/>
  <c r="AA995"/>
  <c r="K997"/>
  <c r="AS997"/>
  <c r="K998"/>
  <c r="W1000"/>
  <c r="AA1001"/>
  <c r="AS991"/>
  <c r="O992"/>
  <c r="K993"/>
  <c r="O993"/>
  <c r="K995"/>
  <c r="O995"/>
  <c r="N996"/>
  <c r="O997"/>
  <c r="N998"/>
  <c r="Z998"/>
  <c r="Y999"/>
  <c r="K1000"/>
  <c r="O1000"/>
  <c r="Z1000"/>
  <c r="AS1000"/>
  <c r="K1001"/>
  <c r="O1001"/>
  <c r="K1003"/>
  <c r="O1003"/>
  <c r="AS1006"/>
  <c r="K1007"/>
  <c r="W1007"/>
  <c r="O1008"/>
  <c r="W1008"/>
  <c r="N1010"/>
  <c r="AS1011"/>
  <c r="K1012"/>
  <c r="AS1012"/>
  <c r="K1013"/>
  <c r="O1013"/>
  <c r="Z1013"/>
  <c r="K1014"/>
  <c r="O1014"/>
  <c r="N1015"/>
  <c r="V1015"/>
  <c r="N1016"/>
  <c r="AS1016"/>
  <c r="Z1121"/>
  <c r="Y1121" s="1"/>
  <c r="W1091"/>
  <c r="Z1068"/>
  <c r="Y1068" s="1"/>
  <c r="V1036"/>
  <c r="Y1063"/>
  <c r="AA1100"/>
  <c r="W1097"/>
  <c r="U1054"/>
  <c r="AA1022"/>
  <c r="Y1043"/>
  <c r="Z1043"/>
  <c r="AA1043"/>
  <c r="W1098"/>
  <c r="W1084"/>
  <c r="AA1084"/>
  <c r="Y1085"/>
  <c r="V1026"/>
  <c r="U1026" s="1"/>
  <c r="W999"/>
  <c r="AS1007"/>
  <c r="K992"/>
  <c r="AS992"/>
  <c r="N995"/>
  <c r="M996"/>
  <c r="U998"/>
  <c r="N1003"/>
  <c r="K1005"/>
  <c r="O1006"/>
  <c r="AA1006"/>
  <c r="O1007"/>
  <c r="N1007" s="1"/>
  <c r="N1008"/>
  <c r="M1008" s="1"/>
  <c r="V1008"/>
  <c r="M1010"/>
  <c r="K1011"/>
  <c r="O1012"/>
  <c r="N1012" s="1"/>
  <c r="N1013"/>
  <c r="N1014"/>
  <c r="Y1015"/>
  <c r="O1017"/>
  <c r="AA1103"/>
  <c r="Z1103" s="1"/>
  <c r="W1102"/>
  <c r="V1084"/>
  <c r="Y1110"/>
  <c r="W1100"/>
  <c r="AA1102"/>
  <c r="U1055"/>
  <c r="Y1055"/>
  <c r="W1023"/>
  <c r="V1023" s="1"/>
  <c r="AA1023"/>
  <c r="U1121"/>
  <c r="W1088"/>
  <c r="AA1030"/>
  <c r="U1068"/>
  <c r="W1045"/>
  <c r="U1028"/>
  <c r="Y1019"/>
  <c r="U1019"/>
  <c r="V1030"/>
  <c r="Z1030"/>
  <c r="W1078"/>
  <c r="W1113"/>
  <c r="U1117"/>
  <c r="W1104"/>
  <c r="V1095"/>
  <c r="W1030"/>
  <c r="AA1104"/>
  <c r="AA1098"/>
  <c r="W1092"/>
  <c r="V1121"/>
  <c r="W1115"/>
  <c r="V1115" s="1"/>
  <c r="U1067"/>
  <c r="Z1025"/>
  <c r="Z1034"/>
  <c r="AA1018"/>
  <c r="Z1090"/>
  <c r="Y1090" s="1"/>
  <c r="Z1094"/>
  <c r="Y1094" s="1"/>
  <c r="W1016"/>
  <c r="Y1072"/>
  <c r="Z1110"/>
  <c r="V1079"/>
  <c r="Z1092"/>
  <c r="W991"/>
  <c r="V997"/>
  <c r="U1000"/>
  <c r="V991"/>
  <c r="AA991"/>
  <c r="W1002"/>
  <c r="AA1002"/>
  <c r="U1003"/>
  <c r="Y1003"/>
  <c r="Z991"/>
  <c r="U993"/>
  <c r="Y993"/>
  <c r="Y995"/>
  <c r="V1005"/>
  <c r="Z1005"/>
  <c r="V1007"/>
  <c r="W1009"/>
  <c r="W1010"/>
  <c r="AA1010"/>
  <c r="V1076"/>
  <c r="B990"/>
  <c r="AJ989"/>
  <c r="AA989"/>
  <c r="Z989" s="1"/>
  <c r="Y989" s="1"/>
  <c r="B989"/>
  <c r="K988"/>
  <c r="B988"/>
  <c r="O987"/>
  <c r="B987"/>
  <c r="B986"/>
  <c r="W985"/>
  <c r="B985"/>
  <c r="B984"/>
  <c r="K983"/>
  <c r="B983"/>
  <c r="W982"/>
  <c r="O982"/>
  <c r="B982"/>
  <c r="Y981"/>
  <c r="K981"/>
  <c r="B981"/>
  <c r="N980"/>
  <c r="B980"/>
  <c r="N979"/>
  <c r="B979"/>
  <c r="AA978"/>
  <c r="M978"/>
  <c r="B978"/>
  <c r="N977"/>
  <c r="B977"/>
  <c r="O976"/>
  <c r="B976"/>
  <c r="B975"/>
  <c r="M974"/>
  <c r="B974"/>
  <c r="W973"/>
  <c r="N973"/>
  <c r="M973" s="1"/>
  <c r="B973"/>
  <c r="K972"/>
  <c r="B972"/>
  <c r="K971"/>
  <c r="B971"/>
  <c r="W970"/>
  <c r="M970"/>
  <c r="B970"/>
  <c r="N969"/>
  <c r="B969"/>
  <c r="AA968"/>
  <c r="N968"/>
  <c r="B968"/>
  <c r="O967"/>
  <c r="B967"/>
  <c r="B966"/>
  <c r="O965"/>
  <c r="B965"/>
  <c r="M964"/>
  <c r="B964"/>
  <c r="K963"/>
  <c r="B963"/>
  <c r="K962"/>
  <c r="B962"/>
  <c r="B961"/>
  <c r="W960"/>
  <c r="M960"/>
  <c r="B960"/>
  <c r="AJ959"/>
  <c r="O959"/>
  <c r="B959"/>
  <c r="AA958"/>
  <c r="N958"/>
  <c r="B958"/>
  <c r="B957"/>
  <c r="Y956"/>
  <c r="N956"/>
  <c r="B956"/>
  <c r="N955"/>
  <c r="B955"/>
  <c r="AJ954"/>
  <c r="O954"/>
  <c r="B954"/>
  <c r="V953"/>
  <c r="B953"/>
  <c r="AA952"/>
  <c r="B952"/>
  <c r="U951"/>
  <c r="B951"/>
  <c r="B950"/>
  <c r="M949"/>
  <c r="B949"/>
  <c r="AJ948"/>
  <c r="O948"/>
  <c r="B948"/>
  <c r="O947"/>
  <c r="B947"/>
  <c r="O946"/>
  <c r="B946"/>
  <c r="AA945"/>
  <c r="M945"/>
  <c r="B945"/>
  <c r="AK944"/>
  <c r="X944" l="1"/>
  <c r="V1012"/>
  <c r="U1012" s="1"/>
  <c r="AK959"/>
  <c r="X959" s="1"/>
  <c r="X989"/>
  <c r="U989" s="1"/>
  <c r="AA1013"/>
  <c r="V1006"/>
  <c r="U1005"/>
  <c r="V1013"/>
  <c r="Z1003"/>
  <c r="AA1007"/>
  <c r="Z995"/>
  <c r="Y1017"/>
  <c r="W998"/>
  <c r="W1005"/>
  <c r="V998"/>
  <c r="V995"/>
  <c r="U995" s="1"/>
  <c r="Z1016"/>
  <c r="AA1005"/>
  <c r="V1004"/>
  <c r="V1003"/>
  <c r="V993"/>
  <c r="Z1004"/>
  <c r="Z993"/>
  <c r="Z1010"/>
  <c r="V1002"/>
  <c r="U994"/>
  <c r="U1009"/>
  <c r="Z1002"/>
  <c r="Y991"/>
  <c r="Y994"/>
  <c r="Y1009"/>
  <c r="V999"/>
  <c r="V1010"/>
  <c r="W1011"/>
  <c r="U1017"/>
  <c r="W1013"/>
  <c r="W1001"/>
  <c r="AA992"/>
  <c r="AA1011"/>
  <c r="AA1008"/>
  <c r="W992"/>
  <c r="U1011"/>
  <c r="U1010"/>
  <c r="V994"/>
  <c r="Z994"/>
  <c r="V996"/>
  <c r="AA999"/>
  <c r="V1009"/>
  <c r="AS950"/>
  <c r="V1014"/>
  <c r="Z999"/>
  <c r="Z996"/>
  <c r="W996"/>
  <c r="Y1010"/>
  <c r="V992"/>
  <c r="AA996"/>
  <c r="W1006"/>
  <c r="Y1004"/>
  <c r="Y1006"/>
  <c r="U997"/>
  <c r="AA993"/>
  <c r="Y1002"/>
  <c r="Y1005"/>
  <c r="V1001"/>
  <c r="U1004"/>
  <c r="Y997"/>
  <c r="U1002"/>
  <c r="AA997"/>
  <c r="M963"/>
  <c r="M956"/>
  <c r="AS957"/>
  <c r="AS967"/>
  <c r="M979"/>
  <c r="AS985"/>
  <c r="Y1007"/>
  <c r="AS963"/>
  <c r="AS966"/>
  <c r="M967"/>
  <c r="O980"/>
  <c r="K982"/>
  <c r="AS961"/>
  <c r="N963"/>
  <c r="M980"/>
  <c r="N946"/>
  <c r="N948"/>
  <c r="N945"/>
  <c r="M946"/>
  <c r="M948"/>
  <c r="M968"/>
  <c r="Z971"/>
  <c r="K980"/>
  <c r="AS948"/>
  <c r="AS951"/>
  <c r="AS952"/>
  <c r="AS953"/>
  <c r="AS947"/>
  <c r="K960"/>
  <c r="O960"/>
  <c r="N964"/>
  <c r="O971"/>
  <c r="O973"/>
  <c r="O974"/>
  <c r="N974" s="1"/>
  <c r="N947"/>
  <c r="AS960"/>
  <c r="N960"/>
  <c r="AS945"/>
  <c r="Y945"/>
  <c r="M947"/>
  <c r="K948"/>
  <c r="M954"/>
  <c r="AS964"/>
  <c r="AS974"/>
  <c r="Y980"/>
  <c r="N981"/>
  <c r="V981"/>
  <c r="N982"/>
  <c r="M982" s="1"/>
  <c r="AS984"/>
  <c r="K945"/>
  <c r="O945"/>
  <c r="V945"/>
  <c r="AK948"/>
  <c r="X948" s="1"/>
  <c r="M950"/>
  <c r="M951"/>
  <c r="M952"/>
  <c r="M953"/>
  <c r="U953"/>
  <c r="N954"/>
  <c r="M955"/>
  <c r="M958"/>
  <c r="M961"/>
  <c r="K964"/>
  <c r="O964"/>
  <c r="Z964"/>
  <c r="N967"/>
  <c r="AS968"/>
  <c r="M969"/>
  <c r="AS970"/>
  <c r="AS971"/>
  <c r="K973"/>
  <c r="AS973"/>
  <c r="K974"/>
  <c r="AS975"/>
  <c r="M977"/>
  <c r="AS978"/>
  <c r="AS980"/>
  <c r="AS981"/>
  <c r="AS982"/>
  <c r="M984"/>
  <c r="M985"/>
  <c r="AS986"/>
  <c r="AK954"/>
  <c r="K952"/>
  <c r="O952"/>
  <c r="K958"/>
  <c r="O958"/>
  <c r="V963"/>
  <c r="M966"/>
  <c r="N971"/>
  <c r="M971" s="1"/>
  <c r="K977"/>
  <c r="O977"/>
  <c r="AS979"/>
  <c r="M981"/>
  <c r="M988"/>
  <c r="AS989"/>
  <c r="AS990"/>
  <c r="U947"/>
  <c r="N952"/>
  <c r="Y952"/>
  <c r="N953"/>
  <c r="AS958"/>
  <c r="Y958"/>
  <c r="AS977"/>
  <c r="Y977"/>
  <c r="U990"/>
  <c r="U971"/>
  <c r="Z1052"/>
  <c r="Y1052" s="1"/>
  <c r="V1052"/>
  <c r="W961"/>
  <c r="AA966"/>
  <c r="V967"/>
  <c r="AA974"/>
  <c r="Y971"/>
  <c r="Y955"/>
  <c r="U955"/>
  <c r="W958"/>
  <c r="W974"/>
  <c r="Z975"/>
  <c r="V976"/>
  <c r="W977"/>
  <c r="W990"/>
  <c r="U956"/>
  <c r="V974"/>
  <c r="V987"/>
  <c r="Z987"/>
  <c r="Z946"/>
  <c r="Z953"/>
  <c r="W968"/>
  <c r="W969"/>
  <c r="V962"/>
  <c r="Z965"/>
  <c r="V979"/>
  <c r="Z986"/>
  <c r="Y988"/>
  <c r="U988"/>
  <c r="V947"/>
  <c r="AA969"/>
  <c r="AA990"/>
  <c r="AA1000"/>
  <c r="O949"/>
  <c r="AA951"/>
  <c r="AA955"/>
  <c r="AS946"/>
  <c r="N949"/>
  <c r="U949"/>
  <c r="AS949"/>
  <c r="O950"/>
  <c r="K951"/>
  <c r="O951"/>
  <c r="Z951"/>
  <c r="AA953"/>
  <c r="AS954"/>
  <c r="K955"/>
  <c r="O955"/>
  <c r="AS955"/>
  <c r="K956"/>
  <c r="O956"/>
  <c r="V956"/>
  <c r="N957"/>
  <c r="N959"/>
  <c r="K961"/>
  <c r="O961"/>
  <c r="O962"/>
  <c r="W962"/>
  <c r="N965"/>
  <c r="V965"/>
  <c r="AS965"/>
  <c r="K966"/>
  <c r="O966"/>
  <c r="W966"/>
  <c r="Z967"/>
  <c r="K968"/>
  <c r="O968"/>
  <c r="V968"/>
  <c r="K969"/>
  <c r="O969"/>
  <c r="AS969"/>
  <c r="K970"/>
  <c r="O970"/>
  <c r="O972"/>
  <c r="W972"/>
  <c r="AA972"/>
  <c r="V973"/>
  <c r="U974"/>
  <c r="N975"/>
  <c r="V975"/>
  <c r="N976"/>
  <c r="Y976"/>
  <c r="AA977"/>
  <c r="K978"/>
  <c r="O978"/>
  <c r="AA979"/>
  <c r="U981"/>
  <c r="Z982"/>
  <c r="N983"/>
  <c r="V983"/>
  <c r="AS983"/>
  <c r="K984"/>
  <c r="O984"/>
  <c r="V984"/>
  <c r="K985"/>
  <c r="O985"/>
  <c r="N986"/>
  <c r="Y986"/>
  <c r="N987"/>
  <c r="Y987"/>
  <c r="O988"/>
  <c r="N989"/>
  <c r="V1000"/>
  <c r="K949"/>
  <c r="W950"/>
  <c r="W956"/>
  <c r="AS956"/>
  <c r="K957"/>
  <c r="O957"/>
  <c r="W949"/>
  <c r="K950"/>
  <c r="K946"/>
  <c r="K947"/>
  <c r="N950"/>
  <c r="N951"/>
  <c r="K953"/>
  <c r="O953"/>
  <c r="K954"/>
  <c r="M957"/>
  <c r="M959"/>
  <c r="AS959"/>
  <c r="N961"/>
  <c r="Y961"/>
  <c r="N962"/>
  <c r="M962" s="1"/>
  <c r="AS962"/>
  <c r="O963"/>
  <c r="M965"/>
  <c r="N966"/>
  <c r="K967"/>
  <c r="N970"/>
  <c r="N972"/>
  <c r="M972" s="1"/>
  <c r="M975"/>
  <c r="M976"/>
  <c r="N978"/>
  <c r="U978"/>
  <c r="K979"/>
  <c r="O979"/>
  <c r="O981"/>
  <c r="AA981"/>
  <c r="M983"/>
  <c r="N984"/>
  <c r="N985"/>
  <c r="M986"/>
  <c r="M987"/>
  <c r="N988"/>
  <c r="M989"/>
  <c r="N990"/>
  <c r="M990" s="1"/>
  <c r="Z992"/>
  <c r="Y1016"/>
  <c r="AA1003"/>
  <c r="Y996"/>
  <c r="U996"/>
  <c r="U1014"/>
  <c r="U999"/>
  <c r="AA961"/>
  <c r="W965"/>
  <c r="AA970"/>
  <c r="AS972"/>
  <c r="W976"/>
  <c r="AS976"/>
  <c r="AA986"/>
  <c r="W987"/>
  <c r="AS987"/>
  <c r="Z1001"/>
  <c r="W997"/>
  <c r="U1016"/>
  <c r="U1013"/>
  <c r="W995"/>
  <c r="Z1081"/>
  <c r="V1081"/>
  <c r="K959"/>
  <c r="K965"/>
  <c r="K975"/>
  <c r="O975"/>
  <c r="K976"/>
  <c r="O983"/>
  <c r="K986"/>
  <c r="O986"/>
  <c r="K987"/>
  <c r="AS988"/>
  <c r="K989"/>
  <c r="O989"/>
  <c r="K990"/>
  <c r="U1015"/>
  <c r="Y1013"/>
  <c r="Y998"/>
  <c r="Z1008"/>
  <c r="Y951"/>
  <c r="U963"/>
  <c r="W964"/>
  <c r="AA964"/>
  <c r="U983"/>
  <c r="W984"/>
  <c r="AA984"/>
  <c r="AA985"/>
  <c r="Z979"/>
  <c r="V986"/>
  <c r="AA960"/>
  <c r="V946"/>
  <c r="Z1017"/>
  <c r="V1017"/>
  <c r="Z1011"/>
  <c r="W945"/>
  <c r="AA949"/>
  <c r="U950"/>
  <c r="Y950"/>
  <c r="W952"/>
  <c r="AA973"/>
  <c r="Z974"/>
  <c r="W978"/>
  <c r="W980"/>
  <c r="AA980"/>
  <c r="AA982"/>
  <c r="AA944"/>
  <c r="Z944"/>
  <c r="Y944"/>
  <c r="M944"/>
  <c r="B944"/>
  <c r="AJ943"/>
  <c r="M943"/>
  <c r="B943"/>
  <c r="AJ942"/>
  <c r="B942"/>
  <c r="M941"/>
  <c r="B941"/>
  <c r="AJ940"/>
  <c r="B940"/>
  <c r="O939"/>
  <c r="B939"/>
  <c r="AJ938"/>
  <c r="B938"/>
  <c r="V937"/>
  <c r="B937"/>
  <c r="AJ936"/>
  <c r="M936"/>
  <c r="B936"/>
  <c r="AJ935"/>
  <c r="O935"/>
  <c r="B935"/>
  <c r="B934"/>
  <c r="W989" l="1"/>
  <c r="V971"/>
  <c r="Y979"/>
  <c r="V989"/>
  <c r="Z980"/>
  <c r="U979"/>
  <c r="U945"/>
  <c r="V959"/>
  <c r="U959"/>
  <c r="AK935"/>
  <c r="X935" s="1"/>
  <c r="V935" s="1"/>
  <c r="AK943"/>
  <c r="X943" s="1"/>
  <c r="X954"/>
  <c r="W954" s="1"/>
  <c r="V954" s="1"/>
  <c r="U954" s="1"/>
  <c r="U969"/>
  <c r="V978"/>
  <c r="Z978"/>
  <c r="Y946"/>
  <c r="U960"/>
  <c r="U946"/>
  <c r="Z958"/>
  <c r="Z981"/>
  <c r="Y947"/>
  <c r="V952"/>
  <c r="V960"/>
  <c r="Z961"/>
  <c r="Y953"/>
  <c r="Z952"/>
  <c r="Z949"/>
  <c r="V949"/>
  <c r="Z970"/>
  <c r="Z963"/>
  <c r="Y963" s="1"/>
  <c r="U975"/>
  <c r="Y964"/>
  <c r="U976"/>
  <c r="AA962"/>
  <c r="V950"/>
  <c r="Y974"/>
  <c r="V964"/>
  <c r="Z972"/>
  <c r="V977"/>
  <c r="U967"/>
  <c r="Y967"/>
  <c r="AA963"/>
  <c r="Z983"/>
  <c r="Y983" s="1"/>
  <c r="W963"/>
  <c r="Z977"/>
  <c r="AA983"/>
  <c r="W953"/>
  <c r="U962"/>
  <c r="W959"/>
  <c r="AA971"/>
  <c r="Y962"/>
  <c r="V980"/>
  <c r="U977"/>
  <c r="Z945"/>
  <c r="W971"/>
  <c r="Z950"/>
  <c r="V951"/>
  <c r="W967"/>
  <c r="V958"/>
  <c r="W981"/>
  <c r="U952"/>
  <c r="W955"/>
  <c r="AA956"/>
  <c r="U980"/>
  <c r="Z990"/>
  <c r="Y990" s="1"/>
  <c r="Y949"/>
  <c r="Z957"/>
  <c r="V990"/>
  <c r="Y969"/>
  <c r="AA957"/>
  <c r="AA967"/>
  <c r="W957"/>
  <c r="U964"/>
  <c r="U961"/>
  <c r="Y957"/>
  <c r="Z968"/>
  <c r="Y968" s="1"/>
  <c r="U987"/>
  <c r="U958"/>
  <c r="AS937"/>
  <c r="AS934"/>
  <c r="M935"/>
  <c r="N937"/>
  <c r="AS941"/>
  <c r="AS940"/>
  <c r="AS942"/>
  <c r="K941"/>
  <c r="N935"/>
  <c r="O941"/>
  <c r="AA965"/>
  <c r="W948"/>
  <c r="V948" s="1"/>
  <c r="U948"/>
  <c r="AK940"/>
  <c r="X940" s="1"/>
  <c r="AK942"/>
  <c r="X942" s="1"/>
  <c r="K936"/>
  <c r="O936"/>
  <c r="M937"/>
  <c r="AS938"/>
  <c r="AS943"/>
  <c r="K944"/>
  <c r="N940"/>
  <c r="N942"/>
  <c r="O944"/>
  <c r="N944" s="1"/>
  <c r="AK936"/>
  <c r="AS936"/>
  <c r="N936"/>
  <c r="N934"/>
  <c r="M934" s="1"/>
  <c r="AS935"/>
  <c r="AK938"/>
  <c r="X938" s="1"/>
  <c r="M940"/>
  <c r="N941"/>
  <c r="M942"/>
  <c r="N943"/>
  <c r="AA946"/>
  <c r="Z934"/>
  <c r="V934"/>
  <c r="AA948"/>
  <c r="Y948"/>
  <c r="Z948"/>
  <c r="W947"/>
  <c r="Z988"/>
  <c r="V988"/>
  <c r="Z955"/>
  <c r="W951"/>
  <c r="K934"/>
  <c r="AA934"/>
  <c r="Z937"/>
  <c r="N938"/>
  <c r="N939"/>
  <c r="W941"/>
  <c r="V944"/>
  <c r="U984"/>
  <c r="AA975"/>
  <c r="V972"/>
  <c r="V970"/>
  <c r="V966"/>
  <c r="Z985"/>
  <c r="Y985" s="1"/>
  <c r="W975"/>
  <c r="Z966"/>
  <c r="W988"/>
  <c r="Y978"/>
  <c r="AA947"/>
  <c r="Z947" s="1"/>
  <c r="AA1015"/>
  <c r="Z1015" s="1"/>
  <c r="W1015"/>
  <c r="AA976"/>
  <c r="Z976" s="1"/>
  <c r="Y966"/>
  <c r="U966"/>
  <c r="Z969"/>
  <c r="V969"/>
  <c r="V961"/>
  <c r="O934"/>
  <c r="K935"/>
  <c r="K937"/>
  <c r="O937"/>
  <c r="M938"/>
  <c r="M939"/>
  <c r="AS939"/>
  <c r="K940"/>
  <c r="O940"/>
  <c r="K942"/>
  <c r="O942"/>
  <c r="K943"/>
  <c r="O943"/>
  <c r="AS944"/>
  <c r="W944"/>
  <c r="Y984"/>
  <c r="AA988"/>
  <c r="AA950"/>
  <c r="U986"/>
  <c r="Y975"/>
  <c r="Y959"/>
  <c r="AA959"/>
  <c r="Z959" s="1"/>
  <c r="U985"/>
  <c r="Y982"/>
  <c r="U982"/>
  <c r="Y972"/>
  <c r="U972"/>
  <c r="U968"/>
  <c r="Y954"/>
  <c r="AA954"/>
  <c r="Z954"/>
  <c r="V985"/>
  <c r="V982"/>
  <c r="W946"/>
  <c r="Z984"/>
  <c r="AA987"/>
  <c r="Y970"/>
  <c r="U970"/>
  <c r="Z973"/>
  <c r="K938"/>
  <c r="O938"/>
  <c r="K939"/>
  <c r="W986"/>
  <c r="W979"/>
  <c r="W983"/>
  <c r="V955"/>
  <c r="Y965"/>
  <c r="U965"/>
  <c r="Z960"/>
  <c r="Y960" s="1"/>
  <c r="W934"/>
  <c r="V939"/>
  <c r="Z939"/>
  <c r="V957"/>
  <c r="U957" s="1"/>
  <c r="AA941"/>
  <c r="Z962"/>
  <c r="Z956"/>
  <c r="B933"/>
  <c r="O932"/>
  <c r="B932"/>
  <c r="AJ931"/>
  <c r="B931"/>
  <c r="N930"/>
  <c r="M930" s="1"/>
  <c r="B930"/>
  <c r="O929"/>
  <c r="B929"/>
  <c r="O928"/>
  <c r="B928"/>
  <c r="M927"/>
  <c r="B927"/>
  <c r="Y941" l="1"/>
  <c r="Y934"/>
  <c r="Z941"/>
  <c r="V941"/>
  <c r="U941" s="1"/>
  <c r="U934"/>
  <c r="X936"/>
  <c r="W936" s="1"/>
  <c r="U937"/>
  <c r="U939"/>
  <c r="AA937"/>
  <c r="Y939"/>
  <c r="U935"/>
  <c r="W937"/>
  <c r="Y937"/>
  <c r="N932"/>
  <c r="V929"/>
  <c r="K927"/>
  <c r="M932"/>
  <c r="N927"/>
  <c r="AS927"/>
  <c r="O927"/>
  <c r="AS931"/>
  <c r="AS933"/>
  <c r="V940"/>
  <c r="U940"/>
  <c r="W938"/>
  <c r="U938"/>
  <c r="V938"/>
  <c r="N928"/>
  <c r="M928" s="1"/>
  <c r="N929"/>
  <c r="M929" s="1"/>
  <c r="Y930"/>
  <c r="O931"/>
  <c r="U943"/>
  <c r="V943"/>
  <c r="W943"/>
  <c r="N931"/>
  <c r="U942"/>
  <c r="V942"/>
  <c r="W942"/>
  <c r="AK931"/>
  <c r="X931" s="1"/>
  <c r="K929"/>
  <c r="AS929"/>
  <c r="K931"/>
  <c r="AS932"/>
  <c r="K933"/>
  <c r="W940"/>
  <c r="AA939"/>
  <c r="V928"/>
  <c r="V930"/>
  <c r="AA938"/>
  <c r="Y938"/>
  <c r="Z938"/>
  <c r="AA940"/>
  <c r="Y940"/>
  <c r="Z940"/>
  <c r="Y973"/>
  <c r="U973"/>
  <c r="Y943"/>
  <c r="Z943"/>
  <c r="AA943"/>
  <c r="AS928"/>
  <c r="AS930"/>
  <c r="AA928"/>
  <c r="K930"/>
  <c r="M931"/>
  <c r="AA932"/>
  <c r="O933"/>
  <c r="AA933"/>
  <c r="W935"/>
  <c r="U944"/>
  <c r="K928"/>
  <c r="O930"/>
  <c r="K932"/>
  <c r="N933"/>
  <c r="M933" s="1"/>
  <c r="V933"/>
  <c r="Y942"/>
  <c r="AA942"/>
  <c r="Z942" s="1"/>
  <c r="Y935"/>
  <c r="AA935"/>
  <c r="Z935" s="1"/>
  <c r="Y936"/>
  <c r="Z936"/>
  <c r="AA936"/>
  <c r="W939"/>
  <c r="U933"/>
  <c r="Y933"/>
  <c r="W927"/>
  <c r="Z932"/>
  <c r="AA927"/>
  <c r="AK926"/>
  <c r="X926" l="1"/>
  <c r="U936"/>
  <c r="V936"/>
  <c r="Y932"/>
  <c r="W929"/>
  <c r="W932"/>
  <c r="W930"/>
  <c r="V927"/>
  <c r="Z927"/>
  <c r="Y928"/>
  <c r="U928"/>
  <c r="U927"/>
  <c r="Z929"/>
  <c r="U930"/>
  <c r="AA929"/>
  <c r="Z933"/>
  <c r="Y927"/>
  <c r="V931"/>
  <c r="W931"/>
  <c r="U931"/>
  <c r="U929"/>
  <c r="Y929"/>
  <c r="Z931"/>
  <c r="Y931" s="1"/>
  <c r="AA931"/>
  <c r="W933"/>
  <c r="W928"/>
  <c r="AA930"/>
  <c r="Z930" s="1"/>
  <c r="V932"/>
  <c r="U932" s="1"/>
  <c r="Z928"/>
  <c r="Y926"/>
  <c r="B926"/>
  <c r="AJ925"/>
  <c r="M925"/>
  <c r="B925"/>
  <c r="V926" l="1"/>
  <c r="K925"/>
  <c r="O925"/>
  <c r="AS925"/>
  <c r="N925"/>
  <c r="AK925"/>
  <c r="X925" s="1"/>
  <c r="AS926"/>
  <c r="K926"/>
  <c r="Z926"/>
  <c r="AA926"/>
  <c r="O926"/>
  <c r="N926"/>
  <c r="M926" s="1"/>
  <c r="U926"/>
  <c r="AJ924"/>
  <c r="W926" l="1"/>
  <c r="V925"/>
  <c r="U925" s="1"/>
  <c r="W925"/>
  <c r="AK924"/>
  <c r="X924" s="1"/>
  <c r="Z925"/>
  <c r="AA925"/>
  <c r="Y925"/>
  <c r="M924"/>
  <c r="AP924" s="1"/>
  <c r="B924"/>
  <c r="AJ923"/>
  <c r="B923"/>
  <c r="AJ922"/>
  <c r="M922"/>
  <c r="B922"/>
  <c r="Y921"/>
  <c r="N921"/>
  <c r="M921" s="1"/>
  <c r="B921"/>
  <c r="AJ920"/>
  <c r="O920"/>
  <c r="B920"/>
  <c r="N919"/>
  <c r="B919"/>
  <c r="Y918"/>
  <c r="AA918"/>
  <c r="O918"/>
  <c r="B918"/>
  <c r="K917"/>
  <c r="B917"/>
  <c r="K916"/>
  <c r="B916"/>
  <c r="M915"/>
  <c r="B915"/>
  <c r="Y914"/>
  <c r="M914"/>
  <c r="B914"/>
  <c r="Z913"/>
  <c r="Y913" s="1"/>
  <c r="N913"/>
  <c r="B913"/>
  <c r="M912"/>
  <c r="B912"/>
  <c r="M911"/>
  <c r="B911"/>
  <c r="AA910"/>
  <c r="W910"/>
  <c r="N910"/>
  <c r="B910"/>
  <c r="O909"/>
  <c r="B909"/>
  <c r="AK922" l="1"/>
  <c r="X922" s="1"/>
  <c r="W922" s="1"/>
  <c r="AK923"/>
  <c r="X923" s="1"/>
  <c r="V923" s="1"/>
  <c r="K922"/>
  <c r="O924"/>
  <c r="N915"/>
  <c r="K921"/>
  <c r="V915"/>
  <c r="Y915"/>
  <c r="O916"/>
  <c r="N917"/>
  <c r="K911"/>
  <c r="K918"/>
  <c r="N924"/>
  <c r="Z909"/>
  <c r="Y909" s="1"/>
  <c r="K915"/>
  <c r="AS917"/>
  <c r="AS923"/>
  <c r="O911"/>
  <c r="AS915"/>
  <c r="O915"/>
  <c r="O917"/>
  <c r="AS920"/>
  <c r="N909"/>
  <c r="M909" s="1"/>
  <c r="M910"/>
  <c r="AS911"/>
  <c r="AS916"/>
  <c r="AS918"/>
  <c r="V924"/>
  <c r="AK920"/>
  <c r="K910"/>
  <c r="O910"/>
  <c r="V910"/>
  <c r="AS909"/>
  <c r="AS910"/>
  <c r="N911"/>
  <c r="M913"/>
  <c r="AS914"/>
  <c r="N916"/>
  <c r="M917"/>
  <c r="N918"/>
  <c r="K920"/>
  <c r="O922"/>
  <c r="AS922"/>
  <c r="K923"/>
  <c r="Z924"/>
  <c r="Y924" s="1"/>
  <c r="Y919"/>
  <c r="U921"/>
  <c r="W918"/>
  <c r="U913"/>
  <c r="W912"/>
  <c r="M919"/>
  <c r="AS919"/>
  <c r="AS913"/>
  <c r="AA919"/>
  <c r="K912"/>
  <c r="O912"/>
  <c r="W914"/>
  <c r="AA914"/>
  <c r="W916"/>
  <c r="K909"/>
  <c r="Z910"/>
  <c r="N912"/>
  <c r="U912"/>
  <c r="AS912"/>
  <c r="K913"/>
  <c r="O913"/>
  <c r="V913"/>
  <c r="AA913"/>
  <c r="K914"/>
  <c r="O914"/>
  <c r="Z914"/>
  <c r="M916"/>
  <c r="M918"/>
  <c r="Z918"/>
  <c r="K919"/>
  <c r="O919"/>
  <c r="Z919"/>
  <c r="N920"/>
  <c r="O921"/>
  <c r="AS921"/>
  <c r="N922"/>
  <c r="O923"/>
  <c r="U924"/>
  <c r="AA924"/>
  <c r="Y910"/>
  <c r="N914"/>
  <c r="M920"/>
  <c r="N923"/>
  <c r="M923" s="1"/>
  <c r="AS924"/>
  <c r="AQ924" s="1"/>
  <c r="U909"/>
  <c r="W911"/>
  <c r="W915"/>
  <c r="AA911"/>
  <c r="AA915"/>
  <c r="AA916"/>
  <c r="B908"/>
  <c r="M907"/>
  <c r="B907"/>
  <c r="Y906"/>
  <c r="O906"/>
  <c r="B906"/>
  <c r="AJ905"/>
  <c r="O905"/>
  <c r="B905"/>
  <c r="B904"/>
  <c r="Y916" l="1"/>
  <c r="X920"/>
  <c r="V920" s="1"/>
  <c r="Y911"/>
  <c r="V909"/>
  <c r="W909"/>
  <c r="AA909"/>
  <c r="Z911"/>
  <c r="Z916"/>
  <c r="W919"/>
  <c r="U916"/>
  <c r="V918"/>
  <c r="V916"/>
  <c r="U915"/>
  <c r="W924"/>
  <c r="Z915"/>
  <c r="V912"/>
  <c r="Z912"/>
  <c r="U922"/>
  <c r="V922"/>
  <c r="Y917"/>
  <c r="U910"/>
  <c r="W917"/>
  <c r="V917"/>
  <c r="W923"/>
  <c r="U923"/>
  <c r="U917"/>
  <c r="AA917"/>
  <c r="U918"/>
  <c r="Z917"/>
  <c r="V911"/>
  <c r="U911" s="1"/>
  <c r="AS905"/>
  <c r="N905"/>
  <c r="K907"/>
  <c r="M905"/>
  <c r="AS904"/>
  <c r="AS906"/>
  <c r="N906"/>
  <c r="M906"/>
  <c r="Z907"/>
  <c r="AK905"/>
  <c r="X905" s="1"/>
  <c r="K906"/>
  <c r="V906"/>
  <c r="O907"/>
  <c r="AS908"/>
  <c r="W921"/>
  <c r="Y912"/>
  <c r="AA921"/>
  <c r="AA912"/>
  <c r="V914"/>
  <c r="U914" s="1"/>
  <c r="AA904"/>
  <c r="W906"/>
  <c r="Y920"/>
  <c r="Z920"/>
  <c r="AA920"/>
  <c r="V919"/>
  <c r="U919" s="1"/>
  <c r="Z923"/>
  <c r="AA923"/>
  <c r="Y923"/>
  <c r="AA906"/>
  <c r="N907"/>
  <c r="U907"/>
  <c r="AS907"/>
  <c r="K908"/>
  <c r="O908"/>
  <c r="V921"/>
  <c r="K904"/>
  <c r="O904"/>
  <c r="N904"/>
  <c r="Y904"/>
  <c r="M904"/>
  <c r="K905"/>
  <c r="Z906"/>
  <c r="N908"/>
  <c r="W913"/>
  <c r="AA922"/>
  <c r="Z922"/>
  <c r="Y922" s="1"/>
  <c r="M908"/>
  <c r="W904"/>
  <c r="W907"/>
  <c r="AA907"/>
  <c r="Z905"/>
  <c r="Y905" s="1"/>
  <c r="Z921"/>
  <c r="B903"/>
  <c r="O902"/>
  <c r="B902"/>
  <c r="O901"/>
  <c r="B901"/>
  <c r="M900"/>
  <c r="B900"/>
  <c r="O899"/>
  <c r="B899"/>
  <c r="B898"/>
  <c r="M897"/>
  <c r="B897"/>
  <c r="W920" l="1"/>
  <c r="U920"/>
  <c r="U906"/>
  <c r="AA905"/>
  <c r="U908"/>
  <c r="V907"/>
  <c r="Y900"/>
  <c r="AS897"/>
  <c r="M899"/>
  <c r="N900"/>
  <c r="AS902"/>
  <c r="Z897"/>
  <c r="N902"/>
  <c r="M902"/>
  <c r="AS898"/>
  <c r="K897"/>
  <c r="AS900"/>
  <c r="O897"/>
  <c r="M901"/>
  <c r="AS903"/>
  <c r="W905"/>
  <c r="U905"/>
  <c r="V905"/>
  <c r="N898"/>
  <c r="Y902"/>
  <c r="N897"/>
  <c r="U897"/>
  <c r="M898"/>
  <c r="U898"/>
  <c r="AS899"/>
  <c r="K900"/>
  <c r="O900"/>
  <c r="W908"/>
  <c r="AA908"/>
  <c r="U904"/>
  <c r="W898"/>
  <c r="U903"/>
  <c r="V899"/>
  <c r="Z901"/>
  <c r="V901"/>
  <c r="AA900"/>
  <c r="W900"/>
  <c r="AA902"/>
  <c r="K898"/>
  <c r="O898"/>
  <c r="N899"/>
  <c r="N901"/>
  <c r="AS901"/>
  <c r="K902"/>
  <c r="M903"/>
  <c r="W902"/>
  <c r="Z904"/>
  <c r="Y907"/>
  <c r="AA901"/>
  <c r="K903"/>
  <c r="O903"/>
  <c r="V904"/>
  <c r="V908"/>
  <c r="Z908"/>
  <c r="Y908" s="1"/>
  <c r="AA899"/>
  <c r="Z899" s="1"/>
  <c r="K899"/>
  <c r="K901"/>
  <c r="N903"/>
  <c r="W897"/>
  <c r="AA897"/>
  <c r="AA898"/>
  <c r="AJ896"/>
  <c r="AA896"/>
  <c r="Y896"/>
  <c r="N896"/>
  <c r="M896" s="1"/>
  <c r="X896" l="1"/>
  <c r="U896" s="1"/>
  <c r="U902"/>
  <c r="Y899"/>
  <c r="V897"/>
  <c r="U901"/>
  <c r="Z900"/>
  <c r="V900"/>
  <c r="U900" s="1"/>
  <c r="U899"/>
  <c r="Y897"/>
  <c r="K896"/>
  <c r="Z902"/>
  <c r="Y901"/>
  <c r="O896"/>
  <c r="V898"/>
  <c r="Z898"/>
  <c r="Y898" s="1"/>
  <c r="W903"/>
  <c r="AA903"/>
  <c r="V902"/>
  <c r="W901"/>
  <c r="W899"/>
  <c r="AS896"/>
  <c r="Z896"/>
  <c r="V903"/>
  <c r="Z903"/>
  <c r="Y903" s="1"/>
  <c r="B896"/>
  <c r="AJ895"/>
  <c r="AA895"/>
  <c r="Y895"/>
  <c r="K895"/>
  <c r="B895"/>
  <c r="Y894"/>
  <c r="N894"/>
  <c r="B894"/>
  <c r="AJ893"/>
  <c r="AA893"/>
  <c r="Z893"/>
  <c r="Y893"/>
  <c r="O893"/>
  <c r="B893"/>
  <c r="AJ892"/>
  <c r="Z892"/>
  <c r="N892"/>
  <c r="B892"/>
  <c r="AJ891"/>
  <c r="Y891"/>
  <c r="AA891"/>
  <c r="Z891"/>
  <c r="M891"/>
  <c r="B891"/>
  <c r="AJ890"/>
  <c r="AA890"/>
  <c r="Y890"/>
  <c r="M890"/>
  <c r="B890"/>
  <c r="Y889"/>
  <c r="B889"/>
  <c r="N888"/>
  <c r="B888"/>
  <c r="AJ887"/>
  <c r="Z887"/>
  <c r="O887"/>
  <c r="B887"/>
  <c r="M886"/>
  <c r="B886"/>
  <c r="N885"/>
  <c r="B885"/>
  <c r="AJ884"/>
  <c r="B884"/>
  <c r="AJ883"/>
  <c r="O883"/>
  <c r="B883"/>
  <c r="O882"/>
  <c r="B882"/>
  <c r="O881"/>
  <c r="B881"/>
  <c r="AA880"/>
  <c r="B880"/>
  <c r="X891" l="1"/>
  <c r="W891" s="1"/>
  <c r="X895"/>
  <c r="W895" s="1"/>
  <c r="X892"/>
  <c r="W892" s="1"/>
  <c r="W896"/>
  <c r="X887"/>
  <c r="W887" s="1"/>
  <c r="X893"/>
  <c r="W893" s="1"/>
  <c r="V896"/>
  <c r="X890"/>
  <c r="W890" s="1"/>
  <c r="M883"/>
  <c r="AS884"/>
  <c r="N891"/>
  <c r="AS880"/>
  <c r="N887"/>
  <c r="AS891"/>
  <c r="AS889"/>
  <c r="O891"/>
  <c r="U886"/>
  <c r="M887"/>
  <c r="M880"/>
  <c r="M882"/>
  <c r="O886"/>
  <c r="AS887"/>
  <c r="K891"/>
  <c r="AS892"/>
  <c r="N886"/>
  <c r="AK883"/>
  <c r="X883" s="1"/>
  <c r="K880"/>
  <c r="O880"/>
  <c r="AS881"/>
  <c r="AS890"/>
  <c r="K892"/>
  <c r="M893"/>
  <c r="AS893"/>
  <c r="N881"/>
  <c r="N880"/>
  <c r="M881"/>
  <c r="K886"/>
  <c r="K887"/>
  <c r="O892"/>
  <c r="AK884"/>
  <c r="X884" s="1"/>
  <c r="K881"/>
  <c r="AS895"/>
  <c r="U888"/>
  <c r="Z884"/>
  <c r="AA884"/>
  <c r="Y884"/>
  <c r="U889"/>
  <c r="W880"/>
  <c r="W881"/>
  <c r="AA881"/>
  <c r="U885"/>
  <c r="AS885"/>
  <c r="N882"/>
  <c r="N883"/>
  <c r="M884"/>
  <c r="M885"/>
  <c r="AS886"/>
  <c r="Y887"/>
  <c r="M888"/>
  <c r="M889"/>
  <c r="N890"/>
  <c r="Z890"/>
  <c r="Y892"/>
  <c r="N893"/>
  <c r="M894"/>
  <c r="N895"/>
  <c r="M895" s="1"/>
  <c r="W888"/>
  <c r="AS888"/>
  <c r="W889"/>
  <c r="AS894"/>
  <c r="K884"/>
  <c r="O884"/>
  <c r="O885"/>
  <c r="AA887"/>
  <c r="K888"/>
  <c r="O888"/>
  <c r="Z888"/>
  <c r="Y888" s="1"/>
  <c r="K889"/>
  <c r="O889"/>
  <c r="V889"/>
  <c r="AA892"/>
  <c r="K894"/>
  <c r="O894"/>
  <c r="AS882"/>
  <c r="AS883"/>
  <c r="K885"/>
  <c r="V885"/>
  <c r="K882"/>
  <c r="K883"/>
  <c r="N884"/>
  <c r="N889"/>
  <c r="K890"/>
  <c r="O890"/>
  <c r="M892"/>
  <c r="K893"/>
  <c r="O895"/>
  <c r="Z895"/>
  <c r="V882"/>
  <c r="U894"/>
  <c r="Z882"/>
  <c r="O879"/>
  <c r="N879" s="1"/>
  <c r="B879"/>
  <c r="AJ878"/>
  <c r="B878"/>
  <c r="Z877"/>
  <c r="O877"/>
  <c r="B877"/>
  <c r="B876"/>
  <c r="Z875"/>
  <c r="O875"/>
  <c r="B875"/>
  <c r="M874"/>
  <c r="B874"/>
  <c r="N873"/>
  <c r="B873"/>
  <c r="M872"/>
  <c r="B872"/>
  <c r="V871"/>
  <c r="O871"/>
  <c r="B871"/>
  <c r="AJ870"/>
  <c r="Z870"/>
  <c r="Y870" s="1"/>
  <c r="AA870"/>
  <c r="O870"/>
  <c r="B870"/>
  <c r="AJ869"/>
  <c r="Y869"/>
  <c r="O869"/>
  <c r="B869"/>
  <c r="O868"/>
  <c r="B868"/>
  <c r="AJ867"/>
  <c r="Y867"/>
  <c r="AA867"/>
  <c r="Z867" s="1"/>
  <c r="M867"/>
  <c r="B867"/>
  <c r="AA866"/>
  <c r="Z866" s="1"/>
  <c r="Y866" s="1"/>
  <c r="U866"/>
  <c r="M866"/>
  <c r="B866"/>
  <c r="M865"/>
  <c r="B865"/>
  <c r="AA864"/>
  <c r="B864"/>
  <c r="O863"/>
  <c r="B863"/>
  <c r="Y862"/>
  <c r="N862"/>
  <c r="B862"/>
  <c r="W861"/>
  <c r="M861"/>
  <c r="B861"/>
  <c r="AJ860"/>
  <c r="Y860"/>
  <c r="K860"/>
  <c r="B860"/>
  <c r="W859"/>
  <c r="N859"/>
  <c r="B859"/>
  <c r="N858"/>
  <c r="M858" s="1"/>
  <c r="B858"/>
  <c r="U857"/>
  <c r="M857"/>
  <c r="B857"/>
  <c r="AJ856"/>
  <c r="Y856"/>
  <c r="M856"/>
  <c r="B856"/>
  <c r="N855"/>
  <c r="B855"/>
  <c r="N854"/>
  <c r="B854"/>
  <c r="N853"/>
  <c r="B853"/>
  <c r="AJ852"/>
  <c r="Y852"/>
  <c r="N852"/>
  <c r="B852"/>
  <c r="AA851"/>
  <c r="N851"/>
  <c r="B851"/>
  <c r="AJ850"/>
  <c r="O850"/>
  <c r="B850"/>
  <c r="B849"/>
  <c r="O848"/>
  <c r="B848"/>
  <c r="AA847"/>
  <c r="Z847" s="1"/>
  <c r="Y847" s="1"/>
  <c r="W847"/>
  <c r="V847"/>
  <c r="U847"/>
  <c r="M847"/>
  <c r="B847"/>
  <c r="AJ846"/>
  <c r="AA846"/>
  <c r="B846"/>
  <c r="W845"/>
  <c r="M845"/>
  <c r="B845"/>
  <c r="AJ844"/>
  <c r="M844"/>
  <c r="B844"/>
  <c r="AJ843"/>
  <c r="U892" l="1"/>
  <c r="U891"/>
  <c r="V891"/>
  <c r="V892"/>
  <c r="X856"/>
  <c r="U856" s="1"/>
  <c r="X846"/>
  <c r="X869"/>
  <c r="W869" s="1"/>
  <c r="V869" s="1"/>
  <c r="X850"/>
  <c r="U890"/>
  <c r="V890"/>
  <c r="V887"/>
  <c r="U887" s="1"/>
  <c r="V893"/>
  <c r="U893"/>
  <c r="X852"/>
  <c r="U852" s="1"/>
  <c r="X867"/>
  <c r="W867" s="1"/>
  <c r="X870"/>
  <c r="W870" s="1"/>
  <c r="AK843"/>
  <c r="X843" s="1"/>
  <c r="X860"/>
  <c r="W860" s="1"/>
  <c r="Y881"/>
  <c r="U881"/>
  <c r="V881"/>
  <c r="V886"/>
  <c r="V895"/>
  <c r="Y886"/>
  <c r="Z880"/>
  <c r="Z881"/>
  <c r="V880"/>
  <c r="U880"/>
  <c r="U895"/>
  <c r="Y880"/>
  <c r="W885"/>
  <c r="M853"/>
  <c r="Y875"/>
  <c r="O844"/>
  <c r="AS844"/>
  <c r="N844"/>
  <c r="U859"/>
  <c r="N870"/>
  <c r="O862"/>
  <c r="M870"/>
  <c r="N871"/>
  <c r="K847"/>
  <c r="O873"/>
  <c r="AS847"/>
  <c r="O847"/>
  <c r="N847"/>
  <c r="N850"/>
  <c r="M852"/>
  <c r="O855"/>
  <c r="Y876"/>
  <c r="K844"/>
  <c r="N860"/>
  <c r="AS858"/>
  <c r="K868"/>
  <c r="K859"/>
  <c r="K867"/>
  <c r="K845"/>
  <c r="AS845"/>
  <c r="N845"/>
  <c r="U845"/>
  <c r="AS850"/>
  <c r="K852"/>
  <c r="O852"/>
  <c r="O859"/>
  <c r="AS860"/>
  <c r="K862"/>
  <c r="AS867"/>
  <c r="O867"/>
  <c r="AS869"/>
  <c r="K870"/>
  <c r="K873"/>
  <c r="O845"/>
  <c r="N848"/>
  <c r="AS852"/>
  <c r="K855"/>
  <c r="V859"/>
  <c r="O860"/>
  <c r="N867"/>
  <c r="V884"/>
  <c r="U884"/>
  <c r="W884"/>
  <c r="W883"/>
  <c r="V883"/>
  <c r="U883" s="1"/>
  <c r="AK844"/>
  <c r="X844" s="1"/>
  <c r="M851"/>
  <c r="AS851"/>
  <c r="O853"/>
  <c r="M854"/>
  <c r="Z854"/>
  <c r="AS855"/>
  <c r="AS859"/>
  <c r="AS862"/>
  <c r="N863"/>
  <c r="AS864"/>
  <c r="AS868"/>
  <c r="AS876"/>
  <c r="N877"/>
  <c r="AS878"/>
  <c r="M879"/>
  <c r="AK878"/>
  <c r="X878" s="1"/>
  <c r="K851"/>
  <c r="O851"/>
  <c r="V851"/>
  <c r="AS853"/>
  <c r="K854"/>
  <c r="K879"/>
  <c r="Z849"/>
  <c r="Y851"/>
  <c r="K853"/>
  <c r="O854"/>
  <c r="AS854"/>
  <c r="M855"/>
  <c r="K858"/>
  <c r="M859"/>
  <c r="M860"/>
  <c r="M862"/>
  <c r="Z862"/>
  <c r="M868"/>
  <c r="V868"/>
  <c r="U868" s="1"/>
  <c r="N869"/>
  <c r="AS870"/>
  <c r="M873"/>
  <c r="AS873"/>
  <c r="N875"/>
  <c r="O876"/>
  <c r="AA894"/>
  <c r="W882"/>
  <c r="Y849"/>
  <c r="AA885"/>
  <c r="Z889"/>
  <c r="Z871"/>
  <c r="AA845"/>
  <c r="V894"/>
  <c r="Z894"/>
  <c r="AA882"/>
  <c r="V888"/>
  <c r="Z848"/>
  <c r="U853"/>
  <c r="U854"/>
  <c r="Y854"/>
  <c r="V855"/>
  <c r="V848"/>
  <c r="Y853"/>
  <c r="M846"/>
  <c r="N846"/>
  <c r="O846"/>
  <c r="K846"/>
  <c r="AS846"/>
  <c r="AA872"/>
  <c r="U846"/>
  <c r="V846"/>
  <c r="W846"/>
  <c r="N849"/>
  <c r="M849" s="1"/>
  <c r="O849"/>
  <c r="AS849"/>
  <c r="K849"/>
  <c r="Y850"/>
  <c r="Z850"/>
  <c r="AA850"/>
  <c r="AA858"/>
  <c r="V863"/>
  <c r="U873"/>
  <c r="V877"/>
  <c r="Y868"/>
  <c r="W850"/>
  <c r="V850"/>
  <c r="U850" s="1"/>
  <c r="AA876"/>
  <c r="W876"/>
  <c r="Z863"/>
  <c r="W886"/>
  <c r="M848"/>
  <c r="U849"/>
  <c r="M850"/>
  <c r="AA852"/>
  <c r="AA853"/>
  <c r="W854"/>
  <c r="Z855"/>
  <c r="K856"/>
  <c r="O856"/>
  <c r="AA856"/>
  <c r="AS856"/>
  <c r="K857"/>
  <c r="AA860"/>
  <c r="K861"/>
  <c r="O861"/>
  <c r="AS861"/>
  <c r="M863"/>
  <c r="AS863"/>
  <c r="K864"/>
  <c r="O864"/>
  <c r="V864"/>
  <c r="K865"/>
  <c r="O865"/>
  <c r="V865"/>
  <c r="AS865"/>
  <c r="K866"/>
  <c r="O866"/>
  <c r="W866"/>
  <c r="M869"/>
  <c r="U869"/>
  <c r="AA869"/>
  <c r="M871"/>
  <c r="AS871"/>
  <c r="K872"/>
  <c r="O872"/>
  <c r="K874"/>
  <c r="O874"/>
  <c r="V874"/>
  <c r="M875"/>
  <c r="AS875"/>
  <c r="N876"/>
  <c r="M876" s="1"/>
  <c r="M877"/>
  <c r="AS877"/>
  <c r="K878"/>
  <c r="O878"/>
  <c r="W894"/>
  <c r="AA889"/>
  <c r="AA888"/>
  <c r="AA848"/>
  <c r="AS848"/>
  <c r="Z860"/>
  <c r="N861"/>
  <c r="Y861"/>
  <c r="N864"/>
  <c r="Y864"/>
  <c r="N865"/>
  <c r="U865"/>
  <c r="N866"/>
  <c r="V866"/>
  <c r="AS866"/>
  <c r="Z869"/>
  <c r="U870"/>
  <c r="W871"/>
  <c r="N872"/>
  <c r="AS872"/>
  <c r="N874"/>
  <c r="AS874"/>
  <c r="W875"/>
  <c r="N878"/>
  <c r="AA886"/>
  <c r="Z886" s="1"/>
  <c r="Z885"/>
  <c r="Y885" s="1"/>
  <c r="AS857"/>
  <c r="N856"/>
  <c r="Z856"/>
  <c r="O857"/>
  <c r="N857" s="1"/>
  <c r="Y846"/>
  <c r="K848"/>
  <c r="K850"/>
  <c r="O858"/>
  <c r="K863"/>
  <c r="M864"/>
  <c r="W865"/>
  <c r="N868"/>
  <c r="K869"/>
  <c r="K871"/>
  <c r="W874"/>
  <c r="K875"/>
  <c r="K876"/>
  <c r="K877"/>
  <c r="M878"/>
  <c r="AS879"/>
  <c r="Y883"/>
  <c r="Z883"/>
  <c r="AA883"/>
  <c r="U882"/>
  <c r="Y882"/>
  <c r="AA861"/>
  <c r="Z846"/>
  <c r="Y843"/>
  <c r="Z852"/>
  <c r="W851"/>
  <c r="W858"/>
  <c r="AA859"/>
  <c r="U862"/>
  <c r="W864"/>
  <c r="AA865"/>
  <c r="W872"/>
  <c r="AA874"/>
  <c r="V875"/>
  <c r="V856" l="1"/>
  <c r="W856"/>
  <c r="U867"/>
  <c r="U860"/>
  <c r="V860"/>
  <c r="V870"/>
  <c r="W863"/>
  <c r="W877"/>
  <c r="V867"/>
  <c r="W852"/>
  <c r="V852"/>
  <c r="Y877"/>
  <c r="AA873"/>
  <c r="Z873"/>
  <c r="Y873" s="1"/>
  <c r="V854"/>
  <c r="Z865"/>
  <c r="Z845"/>
  <c r="W849"/>
  <c r="AA855"/>
  <c r="W853"/>
  <c r="Y845"/>
  <c r="V862"/>
  <c r="Z861"/>
  <c r="U848"/>
  <c r="Z876"/>
  <c r="Z859"/>
  <c r="Y859" s="1"/>
  <c r="Y848"/>
  <c r="U875"/>
  <c r="W857"/>
  <c r="Y863"/>
  <c r="AA854"/>
  <c r="W873"/>
  <c r="V873" s="1"/>
  <c r="Z851"/>
  <c r="Z853"/>
  <c r="V857"/>
  <c r="Z857"/>
  <c r="Y857" s="1"/>
  <c r="U876"/>
  <c r="V845"/>
  <c r="U877"/>
  <c r="AA857"/>
  <c r="AA875"/>
  <c r="Z874"/>
  <c r="Z868"/>
  <c r="Y855"/>
  <c r="U861"/>
  <c r="U855"/>
  <c r="V849"/>
  <c r="AA849"/>
  <c r="U863"/>
  <c r="W868"/>
  <c r="AA868"/>
  <c r="U879"/>
  <c r="U851"/>
  <c r="U871"/>
  <c r="Y871"/>
  <c r="W855"/>
  <c r="Y865"/>
  <c r="V858"/>
  <c r="W844"/>
  <c r="V844"/>
  <c r="U844" s="1"/>
  <c r="V876"/>
  <c r="V878"/>
  <c r="W878"/>
  <c r="U878"/>
  <c r="U858"/>
  <c r="Z858"/>
  <c r="Y858" s="1"/>
  <c r="Y878"/>
  <c r="Z878"/>
  <c r="AA878"/>
  <c r="W862"/>
  <c r="AA862"/>
  <c r="W879"/>
  <c r="AA879"/>
  <c r="AA843"/>
  <c r="Z843"/>
  <c r="AA871"/>
  <c r="AA863"/>
  <c r="Y844"/>
  <c r="Z844"/>
  <c r="AA844"/>
  <c r="W848"/>
  <c r="Z872"/>
  <c r="Y872" s="1"/>
  <c r="V872"/>
  <c r="AA877"/>
  <c r="U874"/>
  <c r="U864"/>
  <c r="Y874"/>
  <c r="U872"/>
  <c r="Z864"/>
  <c r="V861"/>
  <c r="V853"/>
  <c r="V843"/>
  <c r="B843"/>
  <c r="Z842"/>
  <c r="O842"/>
  <c r="B842"/>
  <c r="O841"/>
  <c r="B841"/>
  <c r="AJ840"/>
  <c r="M840"/>
  <c r="B840"/>
  <c r="AJ839"/>
  <c r="N839"/>
  <c r="B839"/>
  <c r="O838"/>
  <c r="B838"/>
  <c r="AA837"/>
  <c r="M837"/>
  <c r="B837"/>
  <c r="M836"/>
  <c r="B836"/>
  <c r="M835"/>
  <c r="B835"/>
  <c r="B834"/>
  <c r="AJ833"/>
  <c r="O833"/>
  <c r="B833"/>
  <c r="N832"/>
  <c r="B832"/>
  <c r="W831"/>
  <c r="B831"/>
  <c r="B830"/>
  <c r="Y829"/>
  <c r="N829"/>
  <c r="B829"/>
  <c r="K828"/>
  <c r="B828"/>
  <c r="W827"/>
  <c r="N827"/>
  <c r="B827"/>
  <c r="AJ826"/>
  <c r="M826"/>
  <c r="B826"/>
  <c r="O825"/>
  <c r="B825"/>
  <c r="K824"/>
  <c r="B824"/>
  <c r="AK823"/>
  <c r="N823"/>
  <c r="B823"/>
  <c r="O822"/>
  <c r="B822"/>
  <c r="M821"/>
  <c r="B821"/>
  <c r="M820"/>
  <c r="B820"/>
  <c r="N819"/>
  <c r="M819" s="1"/>
  <c r="B819"/>
  <c r="AA818"/>
  <c r="N818"/>
  <c r="B818"/>
  <c r="X823" l="1"/>
  <c r="W823" s="1"/>
  <c r="AK833"/>
  <c r="X833" s="1"/>
  <c r="AK839"/>
  <c r="X839" s="1"/>
  <c r="W839" s="1"/>
  <c r="N826"/>
  <c r="O840"/>
  <c r="Z820"/>
  <c r="Y821"/>
  <c r="M818"/>
  <c r="AS840"/>
  <c r="K819"/>
  <c r="M839"/>
  <c r="K840"/>
  <c r="O819"/>
  <c r="M823"/>
  <c r="AS823"/>
  <c r="K832"/>
  <c r="N840"/>
  <c r="AS842"/>
  <c r="N820"/>
  <c r="M827"/>
  <c r="AS831"/>
  <c r="O832"/>
  <c r="AS834"/>
  <c r="N842"/>
  <c r="AK826"/>
  <c r="X826" s="1"/>
  <c r="K821"/>
  <c r="K820"/>
  <c r="AS821"/>
  <c r="O821"/>
  <c r="AS825"/>
  <c r="N825"/>
  <c r="AS826"/>
  <c r="AS835"/>
  <c r="AS836"/>
  <c r="AS837"/>
  <c r="M842"/>
  <c r="AS843"/>
  <c r="AK840"/>
  <c r="X840" s="1"/>
  <c r="K818"/>
  <c r="O818"/>
  <c r="Z818"/>
  <c r="AS818"/>
  <c r="Y818"/>
  <c r="AS819"/>
  <c r="Y819"/>
  <c r="AS820"/>
  <c r="O820"/>
  <c r="N821"/>
  <c r="Z821"/>
  <c r="M825"/>
  <c r="K826"/>
  <c r="O826"/>
  <c r="AS827"/>
  <c r="M829"/>
  <c r="AS830"/>
  <c r="M831"/>
  <c r="AS832"/>
  <c r="AS839"/>
  <c r="K825"/>
  <c r="AA827"/>
  <c r="Z838"/>
  <c r="W825"/>
  <c r="W830"/>
  <c r="W835"/>
  <c r="AA821"/>
  <c r="V834"/>
  <c r="W820"/>
  <c r="AA830"/>
  <c r="AA831"/>
  <c r="AA835"/>
  <c r="O824"/>
  <c r="O828"/>
  <c r="W829"/>
  <c r="AS829"/>
  <c r="O830"/>
  <c r="N822"/>
  <c r="K823"/>
  <c r="O823"/>
  <c r="N824"/>
  <c r="AS824"/>
  <c r="K827"/>
  <c r="O827"/>
  <c r="V827"/>
  <c r="N828"/>
  <c r="AS828"/>
  <c r="K829"/>
  <c r="O829"/>
  <c r="V829"/>
  <c r="N830"/>
  <c r="K831"/>
  <c r="O831"/>
  <c r="Z831"/>
  <c r="M832"/>
  <c r="N833"/>
  <c r="N834"/>
  <c r="K835"/>
  <c r="O835"/>
  <c r="K836"/>
  <c r="O836"/>
  <c r="K837"/>
  <c r="O837"/>
  <c r="V837"/>
  <c r="N838"/>
  <c r="AS838"/>
  <c r="K839"/>
  <c r="O839"/>
  <c r="N841"/>
  <c r="Y841"/>
  <c r="AA842"/>
  <c r="N843"/>
  <c r="AA820"/>
  <c r="AA824"/>
  <c r="M822"/>
  <c r="AS822"/>
  <c r="M824"/>
  <c r="M828"/>
  <c r="M830"/>
  <c r="N831"/>
  <c r="Y831"/>
  <c r="M833"/>
  <c r="AS833"/>
  <c r="M834"/>
  <c r="N835"/>
  <c r="U835"/>
  <c r="N836"/>
  <c r="N837"/>
  <c r="U837"/>
  <c r="M838"/>
  <c r="M841"/>
  <c r="AS841"/>
  <c r="K842"/>
  <c r="M843"/>
  <c r="AP843" s="1"/>
  <c r="AQ843" s="1"/>
  <c r="V879"/>
  <c r="Z879"/>
  <c r="Y879" s="1"/>
  <c r="O843"/>
  <c r="U843"/>
  <c r="W843"/>
  <c r="K822"/>
  <c r="K830"/>
  <c r="K833"/>
  <c r="K834"/>
  <c r="O834"/>
  <c r="K838"/>
  <c r="K841"/>
  <c r="U821"/>
  <c r="W818"/>
  <c r="U829"/>
  <c r="W836"/>
  <c r="W837"/>
  <c r="V841"/>
  <c r="V842"/>
  <c r="V818"/>
  <c r="W821"/>
  <c r="V822"/>
  <c r="Z822"/>
  <c r="W832"/>
  <c r="Z834"/>
  <c r="AA836"/>
  <c r="V838"/>
  <c r="Z841"/>
  <c r="V824"/>
  <c r="Z824"/>
  <c r="AA825"/>
  <c r="AA832"/>
  <c r="N817"/>
  <c r="M817" s="1"/>
  <c r="B817"/>
  <c r="AJ816"/>
  <c r="M816"/>
  <c r="B816"/>
  <c r="O815"/>
  <c r="B815"/>
  <c r="AJ814"/>
  <c r="B814"/>
  <c r="W813"/>
  <c r="N813"/>
  <c r="B813"/>
  <c r="O812"/>
  <c r="B812"/>
  <c r="B811"/>
  <c r="M810"/>
  <c r="B810"/>
  <c r="AA809"/>
  <c r="M809"/>
  <c r="B809"/>
  <c r="U823" l="1"/>
  <c r="V823"/>
  <c r="V830"/>
  <c r="AA819"/>
  <c r="U832"/>
  <c r="U819"/>
  <c r="Y832"/>
  <c r="Z819"/>
  <c r="W819"/>
  <c r="V819"/>
  <c r="Z835"/>
  <c r="W833"/>
  <c r="V833"/>
  <c r="U833" s="1"/>
  <c r="AK816"/>
  <c r="X816" s="1"/>
  <c r="W816" s="1"/>
  <c r="AK814"/>
  <c r="X814" s="1"/>
  <c r="W814" s="1"/>
  <c r="U841"/>
  <c r="U824"/>
  <c r="U830"/>
  <c r="Y830"/>
  <c r="Z830"/>
  <c r="Y820"/>
  <c r="V835"/>
  <c r="Y827"/>
  <c r="Y825"/>
  <c r="Z836"/>
  <c r="Y828"/>
  <c r="V836"/>
  <c r="Z837"/>
  <c r="V831"/>
  <c r="U828"/>
  <c r="V832"/>
  <c r="Y842"/>
  <c r="V820"/>
  <c r="U827"/>
  <c r="U820"/>
  <c r="U831"/>
  <c r="U842"/>
  <c r="V821"/>
  <c r="W824"/>
  <c r="W822"/>
  <c r="Z825"/>
  <c r="AA822"/>
  <c r="V825"/>
  <c r="U825" s="1"/>
  <c r="Y834"/>
  <c r="U834"/>
  <c r="Y836"/>
  <c r="Y835"/>
  <c r="Y815"/>
  <c r="O817"/>
  <c r="K816"/>
  <c r="AS816"/>
  <c r="AS811"/>
  <c r="M812"/>
  <c r="M815"/>
  <c r="AS812"/>
  <c r="N812"/>
  <c r="AS814"/>
  <c r="O816"/>
  <c r="U818"/>
  <c r="AS813"/>
  <c r="AS815"/>
  <c r="N816"/>
  <c r="Z817"/>
  <c r="W826"/>
  <c r="V826"/>
  <c r="U826" s="1"/>
  <c r="K812"/>
  <c r="M813"/>
  <c r="M814"/>
  <c r="N815"/>
  <c r="V840"/>
  <c r="W840"/>
  <c r="U840"/>
  <c r="U839"/>
  <c r="V839"/>
  <c r="Y837"/>
  <c r="AA810"/>
  <c r="Y833"/>
  <c r="Z833"/>
  <c r="AA833"/>
  <c r="Z828"/>
  <c r="AS809"/>
  <c r="K809"/>
  <c r="O809"/>
  <c r="Z809"/>
  <c r="K810"/>
  <c r="AS810"/>
  <c r="K811"/>
  <c r="Z811"/>
  <c r="N810"/>
  <c r="W810"/>
  <c r="N811"/>
  <c r="W811"/>
  <c r="K813"/>
  <c r="O813"/>
  <c r="K814"/>
  <c r="O814"/>
  <c r="AS817"/>
  <c r="W838"/>
  <c r="W834"/>
  <c r="AA829"/>
  <c r="AA841"/>
  <c r="AA834"/>
  <c r="Z827"/>
  <c r="AA840"/>
  <c r="Z840" s="1"/>
  <c r="Y840"/>
  <c r="O810"/>
  <c r="O811"/>
  <c r="N809"/>
  <c r="M811"/>
  <c r="AA811"/>
  <c r="N814"/>
  <c r="K815"/>
  <c r="K817"/>
  <c r="AA838"/>
  <c r="W841"/>
  <c r="Y824"/>
  <c r="U836"/>
  <c r="AA826"/>
  <c r="Y826"/>
  <c r="Z826"/>
  <c r="Z829"/>
  <c r="U838"/>
  <c r="Y838"/>
  <c r="W842"/>
  <c r="AA823"/>
  <c r="Y823"/>
  <c r="Z823"/>
  <c r="U822"/>
  <c r="W828"/>
  <c r="V828" s="1"/>
  <c r="AA828"/>
  <c r="Y822"/>
  <c r="W809"/>
  <c r="V815"/>
  <c r="Z815"/>
  <c r="Z832"/>
  <c r="W812"/>
  <c r="AA812"/>
  <c r="AA813"/>
  <c r="B808"/>
  <c r="M807"/>
  <c r="B807"/>
  <c r="M806"/>
  <c r="B806"/>
  <c r="M805"/>
  <c r="B805"/>
  <c r="AJ804"/>
  <c r="AA804"/>
  <c r="O804"/>
  <c r="B804"/>
  <c r="B803"/>
  <c r="AJ802"/>
  <c r="Z802"/>
  <c r="Y802" s="1"/>
  <c r="B802"/>
  <c r="K801"/>
  <c r="B801"/>
  <c r="O800"/>
  <c r="B800"/>
  <c r="M799"/>
  <c r="B799"/>
  <c r="Z798"/>
  <c r="AA798"/>
  <c r="Y798"/>
  <c r="V798"/>
  <c r="W798"/>
  <c r="U798"/>
  <c r="M798"/>
  <c r="B798"/>
  <c r="N797"/>
  <c r="B797"/>
  <c r="AA796"/>
  <c r="Z796"/>
  <c r="Y796"/>
  <c r="W796"/>
  <c r="V796"/>
  <c r="U796"/>
  <c r="N796"/>
  <c r="B796"/>
  <c r="Z795"/>
  <c r="AA795"/>
  <c r="Y795"/>
  <c r="W795"/>
  <c r="B795"/>
  <c r="AA794"/>
  <c r="Z794"/>
  <c r="Y794"/>
  <c r="N794"/>
  <c r="B794"/>
  <c r="AA793"/>
  <c r="Z793"/>
  <c r="W793"/>
  <c r="M793"/>
  <c r="B793"/>
  <c r="AA792"/>
  <c r="Z792" s="1"/>
  <c r="Y792"/>
  <c r="B792"/>
  <c r="AA791"/>
  <c r="Z791" s="1"/>
  <c r="Y791"/>
  <c r="M791"/>
  <c r="B791"/>
  <c r="AA790"/>
  <c r="U790"/>
  <c r="N790"/>
  <c r="B790"/>
  <c r="Y789"/>
  <c r="AA789"/>
  <c r="Z789" s="1"/>
  <c r="U789"/>
  <c r="N789"/>
  <c r="B789"/>
  <c r="Z788"/>
  <c r="AA788"/>
  <c r="Y788"/>
  <c r="M788"/>
  <c r="B788"/>
  <c r="Y787"/>
  <c r="W787"/>
  <c r="O787"/>
  <c r="B787"/>
  <c r="Z786"/>
  <c r="AA786"/>
  <c r="Y786"/>
  <c r="W786"/>
  <c r="M786"/>
  <c r="B786"/>
  <c r="AA785"/>
  <c r="Z785" s="1"/>
  <c r="Y785"/>
  <c r="N785"/>
  <c r="B785"/>
  <c r="Y784"/>
  <c r="Z784"/>
  <c r="U784"/>
  <c r="N784"/>
  <c r="B784"/>
  <c r="AA783"/>
  <c r="Z783"/>
  <c r="Y783"/>
  <c r="N783"/>
  <c r="B783"/>
  <c r="Y782"/>
  <c r="Z782"/>
  <c r="N782"/>
  <c r="B782"/>
  <c r="N781"/>
  <c r="B781"/>
  <c r="N780"/>
  <c r="B780"/>
  <c r="N779"/>
  <c r="B779"/>
  <c r="N778"/>
  <c r="M778" s="1"/>
  <c r="B778"/>
  <c r="M777"/>
  <c r="B777"/>
  <c r="Y776"/>
  <c r="N776"/>
  <c r="B776"/>
  <c r="K775"/>
  <c r="B775"/>
  <c r="Y774"/>
  <c r="K774"/>
  <c r="B774"/>
  <c r="B773"/>
  <c r="K772"/>
  <c r="B772"/>
  <c r="Y771"/>
  <c r="AA771"/>
  <c r="W771"/>
  <c r="O771"/>
  <c r="B771"/>
  <c r="B770"/>
  <c r="N769"/>
  <c r="B769"/>
  <c r="N768"/>
  <c r="B768"/>
  <c r="O767"/>
  <c r="B767"/>
  <c r="AA766"/>
  <c r="B766"/>
  <c r="M765"/>
  <c r="B765"/>
  <c r="U764"/>
  <c r="N764"/>
  <c r="B764"/>
  <c r="B763"/>
  <c r="B762"/>
  <c r="B761"/>
  <c r="N760"/>
  <c r="B760"/>
  <c r="AA759"/>
  <c r="B759"/>
  <c r="N758"/>
  <c r="B758"/>
  <c r="B757"/>
  <c r="N756"/>
  <c r="B756"/>
  <c r="B755"/>
  <c r="U754"/>
  <c r="N754"/>
  <c r="B754"/>
  <c r="N753"/>
  <c r="B753"/>
  <c r="AA752"/>
  <c r="M752"/>
  <c r="B752"/>
  <c r="O751"/>
  <c r="B751"/>
  <c r="U750"/>
  <c r="N750"/>
  <c r="B750"/>
  <c r="U749"/>
  <c r="N749"/>
  <c r="B749"/>
  <c r="AA748"/>
  <c r="O748"/>
  <c r="B748"/>
  <c r="N747"/>
  <c r="B747"/>
  <c r="N746"/>
  <c r="B746"/>
  <c r="B745"/>
  <c r="N744"/>
  <c r="B744"/>
  <c r="AA743"/>
  <c r="N743"/>
  <c r="B743"/>
  <c r="U742"/>
  <c r="N742"/>
  <c r="B742"/>
  <c r="Y741"/>
  <c r="N741"/>
  <c r="B741"/>
  <c r="N740"/>
  <c r="B740"/>
  <c r="Z739"/>
  <c r="O739"/>
  <c r="B739"/>
  <c r="N738"/>
  <c r="B738"/>
  <c r="B737"/>
  <c r="U736"/>
  <c r="N736"/>
  <c r="B736"/>
  <c r="N735"/>
  <c r="B735"/>
  <c r="B734"/>
  <c r="N733"/>
  <c r="B733"/>
  <c r="N732"/>
  <c r="B732"/>
  <c r="U731"/>
  <c r="N731"/>
  <c r="B731"/>
  <c r="K730"/>
  <c r="B730"/>
  <c r="N729"/>
  <c r="B729"/>
  <c r="AA728"/>
  <c r="N728"/>
  <c r="B728"/>
  <c r="M727"/>
  <c r="B727"/>
  <c r="U726"/>
  <c r="N726"/>
  <c r="B726"/>
  <c r="AA725"/>
  <c r="M725"/>
  <c r="B725"/>
  <c r="U724"/>
  <c r="K724"/>
  <c r="B724"/>
  <c r="M723"/>
  <c r="B723"/>
  <c r="M722"/>
  <c r="B722"/>
  <c r="M721"/>
  <c r="B721"/>
  <c r="U720"/>
  <c r="N720"/>
  <c r="B720"/>
  <c r="B719"/>
  <c r="AA718"/>
  <c r="M718"/>
  <c r="B718"/>
  <c r="U717"/>
  <c r="M717"/>
  <c r="B717"/>
  <c r="M716"/>
  <c r="B716"/>
  <c r="U715"/>
  <c r="M715"/>
  <c r="B715"/>
  <c r="Y714"/>
  <c r="N714"/>
  <c r="B714"/>
  <c r="Y713"/>
  <c r="B713"/>
  <c r="V712"/>
  <c r="O712"/>
  <c r="B712"/>
  <c r="Y711"/>
  <c r="O711"/>
  <c r="B711"/>
  <c r="N710"/>
  <c r="B710"/>
  <c r="B709"/>
  <c r="N708"/>
  <c r="B708"/>
  <c r="M707"/>
  <c r="B707"/>
  <c r="K706"/>
  <c r="B706"/>
  <c r="N705"/>
  <c r="B705"/>
  <c r="N704"/>
  <c r="B704"/>
  <c r="N703"/>
  <c r="B703"/>
  <c r="O702"/>
  <c r="B702"/>
  <c r="N701"/>
  <c r="B701"/>
  <c r="N700"/>
  <c r="B700"/>
  <c r="N699"/>
  <c r="B699"/>
  <c r="M698"/>
  <c r="B698"/>
  <c r="N697"/>
  <c r="B697"/>
  <c r="N696"/>
  <c r="B696"/>
  <c r="N695"/>
  <c r="B695"/>
  <c r="N694"/>
  <c r="B694"/>
  <c r="N693"/>
  <c r="B693"/>
  <c r="U692"/>
  <c r="N692"/>
  <c r="B692"/>
  <c r="N691"/>
  <c r="B691"/>
  <c r="B690"/>
  <c r="Y689"/>
  <c r="N689"/>
  <c r="B689"/>
  <c r="N688"/>
  <c r="B688"/>
  <c r="N687"/>
  <c r="B687"/>
  <c r="N686"/>
  <c r="B686"/>
  <c r="N685"/>
  <c r="B685"/>
  <c r="W684"/>
  <c r="B684"/>
  <c r="Y683"/>
  <c r="N683"/>
  <c r="B683"/>
  <c r="N682"/>
  <c r="B682"/>
  <c r="B681"/>
  <c r="U680"/>
  <c r="N680"/>
  <c r="B680"/>
  <c r="M679"/>
  <c r="B679"/>
  <c r="AA678"/>
  <c r="N678"/>
  <c r="B678"/>
  <c r="U677"/>
  <c r="N677"/>
  <c r="B677"/>
  <c r="M676"/>
  <c r="B676"/>
  <c r="U675"/>
  <c r="B675"/>
  <c r="AA674"/>
  <c r="Z674"/>
  <c r="Y674"/>
  <c r="W674"/>
  <c r="V674"/>
  <c r="U674"/>
  <c r="M674"/>
  <c r="B674"/>
  <c r="X802" l="1"/>
  <c r="X804"/>
  <c r="W804" s="1"/>
  <c r="V816"/>
  <c r="U816"/>
  <c r="U811"/>
  <c r="U815"/>
  <c r="U810"/>
  <c r="AA815"/>
  <c r="Y812"/>
  <c r="U812"/>
  <c r="W817"/>
  <c r="W815"/>
  <c r="V799"/>
  <c r="AS684"/>
  <c r="V785"/>
  <c r="U817"/>
  <c r="Y817"/>
  <c r="Y810"/>
  <c r="Y811"/>
  <c r="V809"/>
  <c r="M711"/>
  <c r="V748"/>
  <c r="AS786"/>
  <c r="K799"/>
  <c r="AA682"/>
  <c r="N684"/>
  <c r="V758"/>
  <c r="AS799"/>
  <c r="O799"/>
  <c r="N799"/>
  <c r="N707"/>
  <c r="V715"/>
  <c r="M767"/>
  <c r="K679"/>
  <c r="Y693"/>
  <c r="V711"/>
  <c r="V774"/>
  <c r="M794"/>
  <c r="N752"/>
  <c r="AS795"/>
  <c r="U684"/>
  <c r="M703"/>
  <c r="O724"/>
  <c r="O725"/>
  <c r="AS734"/>
  <c r="M751"/>
  <c r="Y752"/>
  <c r="AA756"/>
  <c r="M758"/>
  <c r="O777"/>
  <c r="O791"/>
  <c r="AS792"/>
  <c r="K797"/>
  <c r="N801"/>
  <c r="AA817"/>
  <c r="M724"/>
  <c r="N725"/>
  <c r="N748"/>
  <c r="O753"/>
  <c r="N777"/>
  <c r="O784"/>
  <c r="N679"/>
  <c r="M743"/>
  <c r="N751"/>
  <c r="AS753"/>
  <c r="AS802"/>
  <c r="K760"/>
  <c r="AS765"/>
  <c r="K769"/>
  <c r="K778"/>
  <c r="N805"/>
  <c r="AS728"/>
  <c r="K684"/>
  <c r="K707"/>
  <c r="K748"/>
  <c r="K752"/>
  <c r="K767"/>
  <c r="AS778"/>
  <c r="O797"/>
  <c r="O684"/>
  <c r="O707"/>
  <c r="K725"/>
  <c r="K739"/>
  <c r="AA747"/>
  <c r="K751"/>
  <c r="V751"/>
  <c r="AS752"/>
  <c r="O752"/>
  <c r="K753"/>
  <c r="O769"/>
  <c r="K771"/>
  <c r="K777"/>
  <c r="O778"/>
  <c r="K784"/>
  <c r="K791"/>
  <c r="V791"/>
  <c r="V794"/>
  <c r="M797"/>
  <c r="AS732"/>
  <c r="O801"/>
  <c r="AS808"/>
  <c r="AS674"/>
  <c r="K693"/>
  <c r="AS699"/>
  <c r="K721"/>
  <c r="V677"/>
  <c r="M684"/>
  <c r="AS690"/>
  <c r="W692"/>
  <c r="O693"/>
  <c r="K703"/>
  <c r="O703"/>
  <c r="K711"/>
  <c r="AS718"/>
  <c r="N718"/>
  <c r="Y718"/>
  <c r="AA720"/>
  <c r="V724"/>
  <c r="M734"/>
  <c r="AA736"/>
  <c r="K743"/>
  <c r="O743"/>
  <c r="Z743"/>
  <c r="AS748"/>
  <c r="AS754"/>
  <c r="W755"/>
  <c r="AS760"/>
  <c r="O760"/>
  <c r="K764"/>
  <c r="Z767"/>
  <c r="M768"/>
  <c r="AS771"/>
  <c r="M772"/>
  <c r="AS774"/>
  <c r="N786"/>
  <c r="K788"/>
  <c r="O788"/>
  <c r="V788"/>
  <c r="AS791"/>
  <c r="N791"/>
  <c r="K793"/>
  <c r="O793"/>
  <c r="V793"/>
  <c r="K798"/>
  <c r="AA677"/>
  <c r="K718"/>
  <c r="O718"/>
  <c r="N674"/>
  <c r="AS681"/>
  <c r="V693"/>
  <c r="AS703"/>
  <c r="U703"/>
  <c r="AS704"/>
  <c r="AS707"/>
  <c r="O721"/>
  <c r="AS725"/>
  <c r="AS743"/>
  <c r="U743"/>
  <c r="M760"/>
  <c r="O774"/>
  <c r="M785"/>
  <c r="AS788"/>
  <c r="N788"/>
  <c r="AS793"/>
  <c r="N793"/>
  <c r="U793"/>
  <c r="V797"/>
  <c r="Z760"/>
  <c r="Y761"/>
  <c r="O764"/>
  <c r="U765"/>
  <c r="M774"/>
  <c r="O798"/>
  <c r="AS803"/>
  <c r="AS805"/>
  <c r="U805"/>
  <c r="U806"/>
  <c r="V817"/>
  <c r="U678"/>
  <c r="Z678"/>
  <c r="AA691"/>
  <c r="N698"/>
  <c r="O698"/>
  <c r="K698"/>
  <c r="AS706"/>
  <c r="M706"/>
  <c r="O706"/>
  <c r="AS717"/>
  <c r="O717"/>
  <c r="K717"/>
  <c r="Y721"/>
  <c r="V721"/>
  <c r="AS722"/>
  <c r="N722"/>
  <c r="O722"/>
  <c r="K722"/>
  <c r="AA727"/>
  <c r="V727"/>
  <c r="N734"/>
  <c r="O734"/>
  <c r="K734"/>
  <c r="N745"/>
  <c r="M745"/>
  <c r="O745"/>
  <c r="AS745"/>
  <c r="K745"/>
  <c r="V753"/>
  <c r="N757"/>
  <c r="M757"/>
  <c r="O757"/>
  <c r="K757"/>
  <c r="AA675"/>
  <c r="M681"/>
  <c r="AS693"/>
  <c r="AS698"/>
  <c r="K712"/>
  <c r="N681"/>
  <c r="O681"/>
  <c r="K681"/>
  <c r="Y688"/>
  <c r="AA688"/>
  <c r="AA700"/>
  <c r="AS702"/>
  <c r="M702"/>
  <c r="N702"/>
  <c r="Y712"/>
  <c r="AS715"/>
  <c r="O715"/>
  <c r="K715"/>
  <c r="U716"/>
  <c r="N723"/>
  <c r="O723"/>
  <c r="K723"/>
  <c r="Y733"/>
  <c r="W733"/>
  <c r="N737"/>
  <c r="M737"/>
  <c r="AS737"/>
  <c r="O737"/>
  <c r="W762"/>
  <c r="AS676"/>
  <c r="N676"/>
  <c r="O676"/>
  <c r="K676"/>
  <c r="N675"/>
  <c r="O675"/>
  <c r="Y695"/>
  <c r="W698"/>
  <c r="Y698"/>
  <c r="V698"/>
  <c r="AA722"/>
  <c r="U722"/>
  <c r="V722"/>
  <c r="AS727"/>
  <c r="N727"/>
  <c r="O727"/>
  <c r="K727"/>
  <c r="V730"/>
  <c r="M739"/>
  <c r="N739"/>
  <c r="AS761"/>
  <c r="N761"/>
  <c r="M762"/>
  <c r="AS762"/>
  <c r="N762"/>
  <c r="O762"/>
  <c r="K762"/>
  <c r="K702"/>
  <c r="AS713"/>
  <c r="AS719"/>
  <c r="K737"/>
  <c r="AS739"/>
  <c r="AA676"/>
  <c r="W681"/>
  <c r="Y681"/>
  <c r="U702"/>
  <c r="Y706"/>
  <c r="Z706"/>
  <c r="AS709"/>
  <c r="N709"/>
  <c r="AS712"/>
  <c r="M712"/>
  <c r="N712"/>
  <c r="N716"/>
  <c r="O716"/>
  <c r="K716"/>
  <c r="Y723"/>
  <c r="Z723"/>
  <c r="N730"/>
  <c r="AS730"/>
  <c r="M730"/>
  <c r="O730"/>
  <c r="Z812"/>
  <c r="V812"/>
  <c r="AS758"/>
  <c r="O775"/>
  <c r="Z775"/>
  <c r="AS775"/>
  <c r="K783"/>
  <c r="AS785"/>
  <c r="K795"/>
  <c r="O795"/>
  <c r="V795"/>
  <c r="K800"/>
  <c r="AS806"/>
  <c r="O806"/>
  <c r="AS807"/>
  <c r="O807"/>
  <c r="U814"/>
  <c r="V814"/>
  <c r="AA687"/>
  <c r="W690"/>
  <c r="M693"/>
  <c r="AS711"/>
  <c r="AA719"/>
  <c r="AS724"/>
  <c r="AS740"/>
  <c r="AS741"/>
  <c r="M748"/>
  <c r="AS751"/>
  <c r="M753"/>
  <c r="K758"/>
  <c r="M764"/>
  <c r="AS764"/>
  <c r="N765"/>
  <c r="AS767"/>
  <c r="K768"/>
  <c r="O768"/>
  <c r="Z768"/>
  <c r="M769"/>
  <c r="N771"/>
  <c r="M771" s="1"/>
  <c r="AS772"/>
  <c r="O772"/>
  <c r="Z772"/>
  <c r="N775"/>
  <c r="U775"/>
  <c r="U778"/>
  <c r="O783"/>
  <c r="M784"/>
  <c r="V784"/>
  <c r="K785"/>
  <c r="K794"/>
  <c r="AS794"/>
  <c r="N795"/>
  <c r="AS801"/>
  <c r="U801"/>
  <c r="N802"/>
  <c r="M802" s="1"/>
  <c r="K805"/>
  <c r="O805"/>
  <c r="Z805"/>
  <c r="N806"/>
  <c r="N807"/>
  <c r="AJ1764"/>
  <c r="AS708"/>
  <c r="AS716"/>
  <c r="AS721"/>
  <c r="AS723"/>
  <c r="Z745"/>
  <c r="AS755"/>
  <c r="Z757"/>
  <c r="O758"/>
  <c r="AS768"/>
  <c r="Y768"/>
  <c r="AS769"/>
  <c r="N772"/>
  <c r="M775"/>
  <c r="AS777"/>
  <c r="M783"/>
  <c r="V783"/>
  <c r="O785"/>
  <c r="N792"/>
  <c r="O794"/>
  <c r="M795"/>
  <c r="AS798"/>
  <c r="N800"/>
  <c r="M800" s="1"/>
  <c r="AS800"/>
  <c r="K806"/>
  <c r="K807"/>
  <c r="U705"/>
  <c r="AA707"/>
  <c r="U709"/>
  <c r="Y745"/>
  <c r="V808"/>
  <c r="W808"/>
  <c r="AA703"/>
  <c r="W765"/>
  <c r="AA775"/>
  <c r="U701"/>
  <c r="U755"/>
  <c r="U687"/>
  <c r="Y687"/>
  <c r="U735"/>
  <c r="Y696"/>
  <c r="M682"/>
  <c r="O682"/>
  <c r="K682"/>
  <c r="M688"/>
  <c r="O688"/>
  <c r="K688"/>
  <c r="AS692"/>
  <c r="O692"/>
  <c r="K692"/>
  <c r="M692"/>
  <c r="O699"/>
  <c r="K699"/>
  <c r="M699"/>
  <c r="M700"/>
  <c r="O700"/>
  <c r="K700"/>
  <c r="V704"/>
  <c r="U704" s="1"/>
  <c r="Z705"/>
  <c r="Z710"/>
  <c r="Y710" s="1"/>
  <c r="Z726"/>
  <c r="Y726" s="1"/>
  <c r="M728"/>
  <c r="O728"/>
  <c r="K728"/>
  <c r="V729"/>
  <c r="Z731"/>
  <c r="O740"/>
  <c r="K740"/>
  <c r="M740"/>
  <c r="M741"/>
  <c r="O741"/>
  <c r="K741"/>
  <c r="V744"/>
  <c r="M746"/>
  <c r="O746"/>
  <c r="K746"/>
  <c r="V754"/>
  <c r="U757"/>
  <c r="N763"/>
  <c r="O763"/>
  <c r="K763"/>
  <c r="AS763"/>
  <c r="M763"/>
  <c r="N766"/>
  <c r="O766"/>
  <c r="K766"/>
  <c r="AS766"/>
  <c r="M766"/>
  <c r="U769"/>
  <c r="O677"/>
  <c r="O678"/>
  <c r="K675"/>
  <c r="M677"/>
  <c r="M678"/>
  <c r="AS678"/>
  <c r="Y680"/>
  <c r="U685"/>
  <c r="AS686"/>
  <c r="AS689"/>
  <c r="N690"/>
  <c r="AS694"/>
  <c r="AS696"/>
  <c r="AS700"/>
  <c r="Y704"/>
  <c r="N719"/>
  <c r="AS735"/>
  <c r="AS746"/>
  <c r="AS749"/>
  <c r="N755"/>
  <c r="Y769"/>
  <c r="AA772"/>
  <c r="V683"/>
  <c r="M685"/>
  <c r="O685"/>
  <c r="K685"/>
  <c r="O691"/>
  <c r="K691"/>
  <c r="M691"/>
  <c r="M695"/>
  <c r="O695"/>
  <c r="K695"/>
  <c r="V714"/>
  <c r="M719"/>
  <c r="O719"/>
  <c r="K719"/>
  <c r="O720"/>
  <c r="K720"/>
  <c r="AS720"/>
  <c r="M720"/>
  <c r="AS733"/>
  <c r="O733"/>
  <c r="K733"/>
  <c r="M733"/>
  <c r="Z735"/>
  <c r="Y735" s="1"/>
  <c r="M736"/>
  <c r="AS736"/>
  <c r="O736"/>
  <c r="K736"/>
  <c r="V738"/>
  <c r="U738" s="1"/>
  <c r="U744"/>
  <c r="AS747"/>
  <c r="O747"/>
  <c r="K747"/>
  <c r="M747"/>
  <c r="Z749"/>
  <c r="Y749" s="1"/>
  <c r="M755"/>
  <c r="O755"/>
  <c r="K755"/>
  <c r="O756"/>
  <c r="K756"/>
  <c r="AS756"/>
  <c r="M756"/>
  <c r="Y760"/>
  <c r="V773"/>
  <c r="U794"/>
  <c r="Y717"/>
  <c r="Y764"/>
  <c r="W772"/>
  <c r="V686"/>
  <c r="O687"/>
  <c r="K687"/>
  <c r="M687"/>
  <c r="M690"/>
  <c r="O690"/>
  <c r="K690"/>
  <c r="AS697"/>
  <c r="M697"/>
  <c r="O697"/>
  <c r="K697"/>
  <c r="AS701"/>
  <c r="O701"/>
  <c r="K701"/>
  <c r="M701"/>
  <c r="U729"/>
  <c r="AS680"/>
  <c r="O680"/>
  <c r="K680"/>
  <c r="M680"/>
  <c r="V682"/>
  <c r="Z692"/>
  <c r="Y692" s="1"/>
  <c r="V699"/>
  <c r="M704"/>
  <c r="O704"/>
  <c r="K704"/>
  <c r="O705"/>
  <c r="K705"/>
  <c r="AS705"/>
  <c r="M705"/>
  <c r="O709"/>
  <c r="K709"/>
  <c r="M709"/>
  <c r="M710"/>
  <c r="AS710"/>
  <c r="O710"/>
  <c r="K710"/>
  <c r="AS726"/>
  <c r="M726"/>
  <c r="O726"/>
  <c r="K726"/>
  <c r="M729"/>
  <c r="AS729"/>
  <c r="O729"/>
  <c r="K729"/>
  <c r="AS731"/>
  <c r="O731"/>
  <c r="K731"/>
  <c r="M731"/>
  <c r="O732"/>
  <c r="K732"/>
  <c r="M732"/>
  <c r="V740"/>
  <c r="AS742"/>
  <c r="M742"/>
  <c r="O742"/>
  <c r="K742"/>
  <c r="M744"/>
  <c r="AS744"/>
  <c r="O744"/>
  <c r="K744"/>
  <c r="V746"/>
  <c r="AS750"/>
  <c r="O750"/>
  <c r="K750"/>
  <c r="M750"/>
  <c r="O754"/>
  <c r="K754"/>
  <c r="M754"/>
  <c r="U759"/>
  <c r="U760"/>
  <c r="V760"/>
  <c r="AA765"/>
  <c r="N770"/>
  <c r="O770"/>
  <c r="K770"/>
  <c r="AS770"/>
  <c r="M770"/>
  <c r="K773"/>
  <c r="AS773"/>
  <c r="N773"/>
  <c r="O773"/>
  <c r="M773"/>
  <c r="U785"/>
  <c r="AA799"/>
  <c r="U686"/>
  <c r="U696"/>
  <c r="M675"/>
  <c r="V675"/>
  <c r="AS675"/>
  <c r="K677"/>
  <c r="K678"/>
  <c r="O679"/>
  <c r="AA679"/>
  <c r="AS679"/>
  <c r="AS682"/>
  <c r="AS685"/>
  <c r="AS688"/>
  <c r="Y690"/>
  <c r="AS695"/>
  <c r="Z702"/>
  <c r="W709"/>
  <c r="W710"/>
  <c r="N713"/>
  <c r="W726"/>
  <c r="AA731"/>
  <c r="AA744"/>
  <c r="U745"/>
  <c r="AA750"/>
  <c r="W754"/>
  <c r="Y756"/>
  <c r="U776"/>
  <c r="O674"/>
  <c r="K674"/>
  <c r="AS683"/>
  <c r="M683"/>
  <c r="O683"/>
  <c r="K683"/>
  <c r="M686"/>
  <c r="O686"/>
  <c r="K686"/>
  <c r="V687"/>
  <c r="M689"/>
  <c r="O689"/>
  <c r="K689"/>
  <c r="Z690"/>
  <c r="Z691"/>
  <c r="M694"/>
  <c r="O694"/>
  <c r="K694"/>
  <c r="V695"/>
  <c r="M696"/>
  <c r="O696"/>
  <c r="K696"/>
  <c r="V697"/>
  <c r="Z701"/>
  <c r="O708"/>
  <c r="K708"/>
  <c r="M708"/>
  <c r="M713"/>
  <c r="O713"/>
  <c r="K713"/>
  <c r="O714"/>
  <c r="K714"/>
  <c r="AS714"/>
  <c r="M714"/>
  <c r="V720"/>
  <c r="U732"/>
  <c r="O735"/>
  <c r="K735"/>
  <c r="M735"/>
  <c r="AS738"/>
  <c r="O738"/>
  <c r="K738"/>
  <c r="M738"/>
  <c r="V747"/>
  <c r="U747" s="1"/>
  <c r="M749"/>
  <c r="O749"/>
  <c r="K749"/>
  <c r="Z756"/>
  <c r="Y757"/>
  <c r="N759"/>
  <c r="O759"/>
  <c r="K759"/>
  <c r="AS759"/>
  <c r="M759"/>
  <c r="V763"/>
  <c r="U766"/>
  <c r="V766"/>
  <c r="U771"/>
  <c r="V771"/>
  <c r="Y780"/>
  <c r="W788"/>
  <c r="V803"/>
  <c r="AS677"/>
  <c r="U682"/>
  <c r="Y685"/>
  <c r="AA686"/>
  <c r="AS687"/>
  <c r="AA689"/>
  <c r="U690"/>
  <c r="AS691"/>
  <c r="AA696"/>
  <c r="V702"/>
  <c r="Y705"/>
  <c r="U710"/>
  <c r="W713"/>
  <c r="AA714"/>
  <c r="AA735"/>
  <c r="W738"/>
  <c r="U740"/>
  <c r="W749"/>
  <c r="U797"/>
  <c r="Z839"/>
  <c r="Y839" s="1"/>
  <c r="AA839"/>
  <c r="W701"/>
  <c r="W703"/>
  <c r="W711"/>
  <c r="AA717"/>
  <c r="W721"/>
  <c r="W745"/>
  <c r="W748"/>
  <c r="W753"/>
  <c r="AS757"/>
  <c r="K761"/>
  <c r="O761"/>
  <c r="Z761"/>
  <c r="K765"/>
  <c r="O765"/>
  <c r="M776"/>
  <c r="M779"/>
  <c r="M780"/>
  <c r="M781"/>
  <c r="M782"/>
  <c r="AA782"/>
  <c r="AS782"/>
  <c r="AS783"/>
  <c r="AA784"/>
  <c r="AS784"/>
  <c r="K786"/>
  <c r="O786"/>
  <c r="N787"/>
  <c r="M787" s="1"/>
  <c r="M789"/>
  <c r="M790"/>
  <c r="K792"/>
  <c r="O792"/>
  <c r="V792"/>
  <c r="M796"/>
  <c r="AS796"/>
  <c r="AS797"/>
  <c r="W799"/>
  <c r="AA801"/>
  <c r="O802"/>
  <c r="N803"/>
  <c r="Y803"/>
  <c r="N804"/>
  <c r="Z804"/>
  <c r="AS804"/>
  <c r="O808"/>
  <c r="AA808"/>
  <c r="Y813"/>
  <c r="AA814"/>
  <c r="Z814"/>
  <c r="Y814" s="1"/>
  <c r="AS779"/>
  <c r="AS789"/>
  <c r="M803"/>
  <c r="M804"/>
  <c r="Y804"/>
  <c r="N808"/>
  <c r="M808" s="1"/>
  <c r="V811"/>
  <c r="Z810"/>
  <c r="W775"/>
  <c r="AS780"/>
  <c r="AS781"/>
  <c r="N706"/>
  <c r="N711"/>
  <c r="N715"/>
  <c r="N717"/>
  <c r="N721"/>
  <c r="N724"/>
  <c r="M761"/>
  <c r="N767"/>
  <c r="N774"/>
  <c r="K776"/>
  <c r="O776"/>
  <c r="AS776"/>
  <c r="K779"/>
  <c r="O779"/>
  <c r="K780"/>
  <c r="O780"/>
  <c r="V780"/>
  <c r="K781"/>
  <c r="O781"/>
  <c r="V781"/>
  <c r="K782"/>
  <c r="O782"/>
  <c r="V782"/>
  <c r="K787"/>
  <c r="AA787"/>
  <c r="Z787" s="1"/>
  <c r="AS787"/>
  <c r="K789"/>
  <c r="O789"/>
  <c r="K790"/>
  <c r="O790"/>
  <c r="Z790"/>
  <c r="AS790"/>
  <c r="M792"/>
  <c r="Y793"/>
  <c r="K796"/>
  <c r="O796"/>
  <c r="N798"/>
  <c r="AA800"/>
  <c r="AA802"/>
  <c r="V810"/>
  <c r="V813"/>
  <c r="U813" s="1"/>
  <c r="Y790"/>
  <c r="M801"/>
  <c r="K802"/>
  <c r="K803"/>
  <c r="O803"/>
  <c r="K804"/>
  <c r="K808"/>
  <c r="Y809"/>
  <c r="Z813"/>
  <c r="U809"/>
  <c r="Y694"/>
  <c r="Z771"/>
  <c r="AA777"/>
  <c r="W777"/>
  <c r="V800"/>
  <c r="AA693"/>
  <c r="Y675"/>
  <c r="U683"/>
  <c r="U689"/>
  <c r="U694"/>
  <c r="AA701"/>
  <c r="U708"/>
  <c r="U711"/>
  <c r="W718"/>
  <c r="U719"/>
  <c r="Y729"/>
  <c r="Y738"/>
  <c r="AA751"/>
  <c r="U774"/>
  <c r="Y747"/>
  <c r="Y758"/>
  <c r="U758"/>
  <c r="AA761"/>
  <c r="W761"/>
  <c r="AA770"/>
  <c r="Y779"/>
  <c r="U779"/>
  <c r="U788"/>
  <c r="U799"/>
  <c r="W678"/>
  <c r="W693"/>
  <c r="Y701"/>
  <c r="V739"/>
  <c r="W743"/>
  <c r="AA773"/>
  <c r="W773"/>
  <c r="U782"/>
  <c r="U714"/>
  <c r="Y720"/>
  <c r="Y742"/>
  <c r="Y731"/>
  <c r="Y767"/>
  <c r="U767"/>
  <c r="AA768"/>
  <c r="W768"/>
  <c r="Y797"/>
  <c r="AA684"/>
  <c r="W791"/>
  <c r="W751"/>
  <c r="W759"/>
  <c r="W770"/>
  <c r="W792"/>
  <c r="Z803"/>
  <c r="W805"/>
  <c r="W707"/>
  <c r="W725"/>
  <c r="W728"/>
  <c r="W752"/>
  <c r="W763"/>
  <c r="AA763"/>
  <c r="W766"/>
  <c r="U780"/>
  <c r="U781"/>
  <c r="Y781"/>
  <c r="U783"/>
  <c r="AA805"/>
  <c r="Z808"/>
  <c r="V717" l="1"/>
  <c r="V804"/>
  <c r="W747"/>
  <c r="Y753"/>
  <c r="Z751"/>
  <c r="Z721"/>
  <c r="U804"/>
  <c r="AA698"/>
  <c r="Y799"/>
  <c r="U753"/>
  <c r="W691"/>
  <c r="Z718"/>
  <c r="Y728"/>
  <c r="AA699"/>
  <c r="AA778"/>
  <c r="V772"/>
  <c r="V723"/>
  <c r="U730"/>
  <c r="U706"/>
  <c r="W697"/>
  <c r="Z677"/>
  <c r="Y677" s="1"/>
  <c r="U748"/>
  <c r="AA690"/>
  <c r="U695"/>
  <c r="AA755"/>
  <c r="V775"/>
  <c r="AA762"/>
  <c r="Z676"/>
  <c r="AA697"/>
  <c r="U777"/>
  <c r="Z737"/>
  <c r="Z715"/>
  <c r="Y715" s="1"/>
  <c r="Z711"/>
  <c r="W699"/>
  <c r="AA681"/>
  <c r="W720"/>
  <c r="U707"/>
  <c r="Y703"/>
  <c r="U808"/>
  <c r="U792"/>
  <c r="Z717"/>
  <c r="W756"/>
  <c r="V718"/>
  <c r="U737"/>
  <c r="AA692"/>
  <c r="Z722"/>
  <c r="AA723"/>
  <c r="Z748"/>
  <c r="Y748" s="1"/>
  <c r="U721"/>
  <c r="Z698"/>
  <c r="Z684"/>
  <c r="W739"/>
  <c r="AA739"/>
  <c r="Z703"/>
  <c r="Z807"/>
  <c r="Z724"/>
  <c r="Y724" s="1"/>
  <c r="W712"/>
  <c r="Y679"/>
  <c r="Y737"/>
  <c r="U691"/>
  <c r="W682"/>
  <c r="Y765"/>
  <c r="V806"/>
  <c r="W741"/>
  <c r="AA741"/>
  <c r="W746"/>
  <c r="V716"/>
  <c r="V725"/>
  <c r="W702"/>
  <c r="AA712"/>
  <c r="V734"/>
  <c r="AA746"/>
  <c r="Z727"/>
  <c r="W675"/>
  <c r="Y807"/>
  <c r="U688"/>
  <c r="Y684"/>
  <c r="Y775"/>
  <c r="U787"/>
  <c r="Y691"/>
  <c r="Y676"/>
  <c r="U723"/>
  <c r="Z728"/>
  <c r="U739"/>
  <c r="W722"/>
  <c r="AA733"/>
  <c r="U697"/>
  <c r="Z725"/>
  <c r="V787"/>
  <c r="W688"/>
  <c r="V767"/>
  <c r="W723"/>
  <c r="V707"/>
  <c r="Z707"/>
  <c r="Y707" s="1"/>
  <c r="U752"/>
  <c r="Y678"/>
  <c r="W700"/>
  <c r="Y801"/>
  <c r="W676"/>
  <c r="Y722"/>
  <c r="U733"/>
  <c r="W677"/>
  <c r="Z774"/>
  <c r="Y808"/>
  <c r="Y734"/>
  <c r="V681"/>
  <c r="Z799"/>
  <c r="V708"/>
  <c r="AA740"/>
  <c r="U718"/>
  <c r="Z753"/>
  <c r="W740"/>
  <c r="U734"/>
  <c r="U746"/>
  <c r="Y697"/>
  <c r="Y762"/>
  <c r="U751"/>
  <c r="U693"/>
  <c r="U762"/>
  <c r="U772"/>
  <c r="W687"/>
  <c r="Z762"/>
  <c r="V805"/>
  <c r="Z801"/>
  <c r="W719"/>
  <c r="U699"/>
  <c r="W685"/>
  <c r="Y743"/>
  <c r="U700"/>
  <c r="V777"/>
  <c r="Z777"/>
  <c r="Z806"/>
  <c r="Y806" s="1"/>
  <c r="Y805"/>
  <c r="Z758"/>
  <c r="AA702"/>
  <c r="AA685"/>
  <c r="Z797"/>
  <c r="W727"/>
  <c r="Z752"/>
  <c r="W716"/>
  <c r="AA716"/>
  <c r="U791"/>
  <c r="AA695"/>
  <c r="Y725"/>
  <c r="V703"/>
  <c r="Y772"/>
  <c r="Z730"/>
  <c r="Y730" s="1"/>
  <c r="W736"/>
  <c r="V684"/>
  <c r="V752"/>
  <c r="V706"/>
  <c r="U725"/>
  <c r="Y751"/>
  <c r="Z744"/>
  <c r="Y744" s="1"/>
  <c r="U768"/>
  <c r="Y702"/>
  <c r="Y800"/>
  <c r="Z729"/>
  <c r="V757"/>
  <c r="V749"/>
  <c r="Z738"/>
  <c r="W689"/>
  <c r="U681"/>
  <c r="Z773"/>
  <c r="Z769"/>
  <c r="W695"/>
  <c r="AA721"/>
  <c r="V743"/>
  <c r="U807"/>
  <c r="V731"/>
  <c r="Z746"/>
  <c r="Y746" s="1"/>
  <c r="Y739"/>
  <c r="Z734"/>
  <c r="W734"/>
  <c r="V801"/>
  <c r="W715"/>
  <c r="U761"/>
  <c r="U698"/>
  <c r="AA734"/>
  <c r="U712"/>
  <c r="U795"/>
  <c r="Z714"/>
  <c r="Z709"/>
  <c r="Y709" s="1"/>
  <c r="AA732"/>
  <c r="Z686"/>
  <c r="Y686" s="1"/>
  <c r="Z696"/>
  <c r="W730"/>
  <c r="W750"/>
  <c r="W760"/>
  <c r="Z713"/>
  <c r="U800"/>
  <c r="AA760"/>
  <c r="W732"/>
  <c r="AA715"/>
  <c r="Z697"/>
  <c r="Z720"/>
  <c r="V710"/>
  <c r="AA704"/>
  <c r="Z733"/>
  <c r="V689"/>
  <c r="Z689"/>
  <c r="Y766"/>
  <c r="AA708"/>
  <c r="V701"/>
  <c r="Z740"/>
  <c r="Y740" s="1"/>
  <c r="U773"/>
  <c r="Y773"/>
  <c r="W680"/>
  <c r="Z699"/>
  <c r="Y699" s="1"/>
  <c r="Z764"/>
  <c r="V737"/>
  <c r="Y777"/>
  <c r="V726"/>
  <c r="U679"/>
  <c r="V742"/>
  <c r="Z754"/>
  <c r="Y754" s="1"/>
  <c r="Z780"/>
  <c r="AA769"/>
  <c r="Z736"/>
  <c r="Y736" s="1"/>
  <c r="AA683"/>
  <c r="W683"/>
  <c r="W735"/>
  <c r="V692"/>
  <c r="V765"/>
  <c r="W782"/>
  <c r="W801"/>
  <c r="W704"/>
  <c r="Z679"/>
  <c r="W742"/>
  <c r="Z763"/>
  <c r="W769"/>
  <c r="AA764"/>
  <c r="W717"/>
  <c r="W784"/>
  <c r="W757"/>
  <c r="V696"/>
  <c r="Z680"/>
  <c r="W764"/>
  <c r="V745"/>
  <c r="Z700"/>
  <c r="Y700" s="1"/>
  <c r="W797"/>
  <c r="W778"/>
  <c r="V676"/>
  <c r="U676" s="1"/>
  <c r="W794"/>
  <c r="Z719"/>
  <c r="Y719" s="1"/>
  <c r="AA711"/>
  <c r="AA705"/>
  <c r="AA724"/>
  <c r="Z741"/>
  <c r="V719"/>
  <c r="W724"/>
  <c r="W737"/>
  <c r="W705"/>
  <c r="AA737"/>
  <c r="W714"/>
  <c r="W686"/>
  <c r="V700"/>
  <c r="V741"/>
  <c r="U741" s="1"/>
  <c r="AA726"/>
  <c r="AA680"/>
  <c r="W731"/>
  <c r="W708"/>
  <c r="Z747"/>
  <c r="W706"/>
  <c r="AA706"/>
  <c r="U770"/>
  <c r="V728"/>
  <c r="U728" s="1"/>
  <c r="Y759"/>
  <c r="U786"/>
  <c r="Z766"/>
  <c r="X1764"/>
  <c r="W806"/>
  <c r="AA742"/>
  <c r="AK1764"/>
  <c r="U803"/>
  <c r="AA776"/>
  <c r="V790"/>
  <c r="V694"/>
  <c r="Y727"/>
  <c r="U727"/>
  <c r="W802"/>
  <c r="U802"/>
  <c r="V802"/>
  <c r="AA806"/>
  <c r="AA745"/>
  <c r="Y770"/>
  <c r="AA781"/>
  <c r="AA780"/>
  <c r="Z781"/>
  <c r="W807"/>
  <c r="W790"/>
  <c r="W781"/>
  <c r="AA807"/>
  <c r="W789"/>
  <c r="W803"/>
  <c r="AA816"/>
  <c r="Y816"/>
  <c r="Z816"/>
  <c r="W800"/>
  <c r="AA758"/>
  <c r="AA753"/>
  <c r="AA713"/>
  <c r="U763"/>
  <c r="Y763"/>
  <c r="V755"/>
  <c r="Z755"/>
  <c r="Y755" s="1"/>
  <c r="AA709"/>
  <c r="Z779"/>
  <c r="AB1764"/>
  <c r="AA730"/>
  <c r="W729"/>
  <c r="Z694"/>
  <c r="AA729"/>
  <c r="Z742"/>
  <c r="Z675"/>
  <c r="V776"/>
  <c r="AA779"/>
  <c r="W783"/>
  <c r="W774"/>
  <c r="AA774"/>
  <c r="AA694"/>
  <c r="Z695"/>
  <c r="V691"/>
  <c r="V759"/>
  <c r="Z759"/>
  <c r="V770"/>
  <c r="Z770"/>
  <c r="W776"/>
  <c r="W780"/>
  <c r="W744"/>
  <c r="W679"/>
  <c r="V756"/>
  <c r="U756" s="1"/>
  <c r="AA710"/>
  <c r="V786"/>
  <c r="AA757"/>
  <c r="V690"/>
  <c r="V685"/>
  <c r="V750"/>
  <c r="Z750"/>
  <c r="Y750" s="1"/>
  <c r="V779"/>
  <c r="W779"/>
  <c r="W694"/>
  <c r="AA803"/>
  <c r="AA738"/>
  <c r="V679"/>
  <c r="V733"/>
  <c r="W785"/>
  <c r="W767"/>
  <c r="AA767"/>
  <c r="AA749"/>
  <c r="W696"/>
  <c r="AA754"/>
  <c r="Z688"/>
  <c r="Z682"/>
  <c r="Y682" s="1"/>
  <c r="V735"/>
  <c r="Z732"/>
  <c r="Y732" s="1"/>
  <c r="V732"/>
  <c r="V789"/>
  <c r="Z765"/>
  <c r="W758"/>
  <c r="AA797"/>
  <c r="V807"/>
  <c r="V709"/>
  <c r="V705"/>
  <c r="V761"/>
  <c r="Z681"/>
  <c r="Z693"/>
  <c r="V688"/>
  <c r="V678"/>
  <c r="V680"/>
  <c r="Z716"/>
  <c r="Y716" s="1"/>
  <c r="Z687"/>
  <c r="Z800"/>
  <c r="V769"/>
  <c r="Z712"/>
  <c r="Z776"/>
  <c r="V736"/>
  <c r="Z685"/>
  <c r="V764"/>
  <c r="Z708"/>
  <c r="Y708" s="1"/>
  <c r="Z704"/>
  <c r="V768"/>
  <c r="V713"/>
  <c r="U713" s="1"/>
  <c r="Z683"/>
  <c r="V762"/>
  <c r="O673"/>
  <c r="N673" s="1"/>
  <c r="AA1764" l="1"/>
  <c r="V778"/>
  <c r="Z778"/>
  <c r="Y778" s="1"/>
  <c r="W1764"/>
  <c r="U1764"/>
  <c r="Y1764"/>
  <c r="V1764"/>
  <c r="M673"/>
  <c r="K673"/>
  <c r="Z1764"/>
  <c r="AA673"/>
  <c r="V673"/>
  <c r="AS673"/>
  <c r="B673"/>
  <c r="B672"/>
  <c r="AA671"/>
  <c r="Z671"/>
  <c r="W671"/>
  <c r="U671"/>
  <c r="N671"/>
  <c r="B671"/>
  <c r="V670"/>
  <c r="K670"/>
  <c r="B670"/>
  <c r="B669"/>
  <c r="O668"/>
  <c r="B668"/>
  <c r="M667"/>
  <c r="B667"/>
  <c r="M666"/>
  <c r="B666"/>
  <c r="Z665"/>
  <c r="AA665"/>
  <c r="Y665"/>
  <c r="O665"/>
  <c r="B665"/>
  <c r="Z664"/>
  <c r="O664"/>
  <c r="B664"/>
  <c r="O663"/>
  <c r="B663"/>
  <c r="W662"/>
  <c r="O662"/>
  <c r="N662" s="1"/>
  <c r="B662"/>
  <c r="W661"/>
  <c r="O661"/>
  <c r="B661"/>
  <c r="O660"/>
  <c r="B660"/>
  <c r="B659"/>
  <c r="W673" l="1"/>
  <c r="Z673"/>
  <c r="AS672"/>
  <c r="N668"/>
  <c r="M668" s="1"/>
  <c r="M663"/>
  <c r="AS669"/>
  <c r="M669"/>
  <c r="M671"/>
  <c r="M662"/>
  <c r="N663"/>
  <c r="AS660"/>
  <c r="N660"/>
  <c r="U660"/>
  <c r="AA664"/>
  <c r="O667"/>
  <c r="K668"/>
  <c r="Y670"/>
  <c r="AS659"/>
  <c r="M660"/>
  <c r="N661"/>
  <c r="M661" s="1"/>
  <c r="AS664"/>
  <c r="Z667"/>
  <c r="K660"/>
  <c r="N659"/>
  <c r="U659"/>
  <c r="N665"/>
  <c r="AS667"/>
  <c r="K669"/>
  <c r="O669"/>
  <c r="M659"/>
  <c r="M665"/>
  <c r="AS665"/>
  <c r="K667"/>
  <c r="AS668"/>
  <c r="N669"/>
  <c r="O670"/>
  <c r="O671"/>
  <c r="K659"/>
  <c r="O659"/>
  <c r="K665"/>
  <c r="V665"/>
  <c r="AS671"/>
  <c r="U663"/>
  <c r="K671"/>
  <c r="V664"/>
  <c r="W670"/>
  <c r="U667"/>
  <c r="AA670"/>
  <c r="W665"/>
  <c r="Y667"/>
  <c r="W669"/>
  <c r="AA669"/>
  <c r="V663"/>
  <c r="Y668"/>
  <c r="U668"/>
  <c r="N664"/>
  <c r="M664" s="1"/>
  <c r="K666"/>
  <c r="O666"/>
  <c r="AS666"/>
  <c r="W668"/>
  <c r="N670"/>
  <c r="M670" s="1"/>
  <c r="K672"/>
  <c r="O672"/>
  <c r="AA672"/>
  <c r="AS661"/>
  <c r="K661"/>
  <c r="K662"/>
  <c r="AS662"/>
  <c r="AA663"/>
  <c r="AS663"/>
  <c r="N666"/>
  <c r="N672"/>
  <c r="AS670"/>
  <c r="K663"/>
  <c r="K664"/>
  <c r="Y666"/>
  <c r="N667"/>
  <c r="Z670"/>
  <c r="V671"/>
  <c r="M672"/>
  <c r="Y673"/>
  <c r="U673"/>
  <c r="W660"/>
  <c r="AA660"/>
  <c r="AA661"/>
  <c r="AA662"/>
  <c r="Z663"/>
  <c r="V666"/>
  <c r="Y671"/>
  <c r="W659"/>
  <c r="AA659"/>
  <c r="B658"/>
  <c r="Y663" l="1"/>
  <c r="U670"/>
  <c r="V672"/>
  <c r="Y669"/>
  <c r="V667"/>
  <c r="Z669"/>
  <c r="AA667"/>
  <c r="U665"/>
  <c r="AA668"/>
  <c r="U661"/>
  <c r="Y661"/>
  <c r="W667"/>
  <c r="Z661"/>
  <c r="V669"/>
  <c r="U669" s="1"/>
  <c r="V661"/>
  <c r="V662"/>
  <c r="U664"/>
  <c r="Z662"/>
  <c r="Z659"/>
  <c r="V659"/>
  <c r="Z660"/>
  <c r="Y660"/>
  <c r="V660"/>
  <c r="W664"/>
  <c r="Y662"/>
  <c r="Y664"/>
  <c r="U662"/>
  <c r="Y659"/>
  <c r="AS658"/>
  <c r="Z672"/>
  <c r="N658"/>
  <c r="M658" s="1"/>
  <c r="Y672"/>
  <c r="U672"/>
  <c r="Z668"/>
  <c r="W663"/>
  <c r="V668"/>
  <c r="Z658"/>
  <c r="W672"/>
  <c r="V658"/>
  <c r="K658"/>
  <c r="AA658"/>
  <c r="O658"/>
  <c r="U666"/>
  <c r="W658"/>
  <c r="U658" l="1"/>
  <c r="Y658"/>
  <c r="W666"/>
  <c r="AA666"/>
  <c r="Z666" s="1"/>
  <c r="V657"/>
  <c r="B657"/>
  <c r="Z656"/>
  <c r="Y656"/>
  <c r="K656"/>
  <c r="B656"/>
  <c r="K655"/>
  <c r="B655"/>
  <c r="K653"/>
  <c r="B653"/>
  <c r="AS657" l="1"/>
  <c r="U657"/>
  <c r="N657"/>
  <c r="M657" s="1"/>
  <c r="V653"/>
  <c r="N655"/>
  <c r="AA656"/>
  <c r="K657"/>
  <c r="AA655"/>
  <c r="AS656"/>
  <c r="N653"/>
  <c r="N656"/>
  <c r="M653"/>
  <c r="AS653"/>
  <c r="M655"/>
  <c r="AS655"/>
  <c r="M656"/>
  <c r="O657"/>
  <c r="O653"/>
  <c r="O655"/>
  <c r="O656"/>
  <c r="U655"/>
  <c r="V656"/>
  <c r="Z657"/>
  <c r="Z653"/>
  <c r="W657"/>
  <c r="AA657"/>
  <c r="Y657" l="1"/>
  <c r="Y655"/>
  <c r="W655"/>
  <c r="W653"/>
  <c r="W656"/>
  <c r="V655"/>
  <c r="U656"/>
  <c r="AA653"/>
  <c r="Z655"/>
  <c r="Y653"/>
  <c r="U653"/>
  <c r="M652"/>
  <c r="AP652" s="1"/>
  <c r="N652" l="1"/>
  <c r="K652"/>
  <c r="O652"/>
  <c r="AS652"/>
  <c r="AQ652" s="1"/>
  <c r="B652"/>
  <c r="M651"/>
  <c r="B651"/>
  <c r="B650"/>
  <c r="O649"/>
  <c r="B649"/>
  <c r="AA648"/>
  <c r="B648"/>
  <c r="N647"/>
  <c r="B647"/>
  <c r="W646"/>
  <c r="N646"/>
  <c r="B646"/>
  <c r="O645"/>
  <c r="B645"/>
  <c r="M644"/>
  <c r="B644"/>
  <c r="O643"/>
  <c r="B643"/>
  <c r="M642"/>
  <c r="B642"/>
  <c r="B641"/>
  <c r="N645" l="1"/>
  <c r="M645"/>
  <c r="N651"/>
  <c r="AS645"/>
  <c r="K651"/>
  <c r="O651"/>
  <c r="AS650"/>
  <c r="AS641"/>
  <c r="K650"/>
  <c r="AS647"/>
  <c r="O650"/>
  <c r="N650" s="1"/>
  <c r="K642"/>
  <c r="O642"/>
  <c r="AS642"/>
  <c r="N642"/>
  <c r="Z642"/>
  <c r="M646"/>
  <c r="M647"/>
  <c r="AS648"/>
  <c r="M650"/>
  <c r="AS651"/>
  <c r="W642"/>
  <c r="AA647"/>
  <c r="AA646"/>
  <c r="AA641"/>
  <c r="K641"/>
  <c r="K644"/>
  <c r="O644"/>
  <c r="N641"/>
  <c r="Y641"/>
  <c r="N643"/>
  <c r="N644"/>
  <c r="U644"/>
  <c r="AS644"/>
  <c r="K646"/>
  <c r="O646"/>
  <c r="Z646"/>
  <c r="K647"/>
  <c r="O647"/>
  <c r="N648"/>
  <c r="N649"/>
  <c r="Z650"/>
  <c r="Z652"/>
  <c r="V652"/>
  <c r="O641"/>
  <c r="V641"/>
  <c r="K643"/>
  <c r="AS646"/>
  <c r="K648"/>
  <c r="O648"/>
  <c r="M641"/>
  <c r="AA642"/>
  <c r="M643"/>
  <c r="K645"/>
  <c r="U647"/>
  <c r="W647"/>
  <c r="M648"/>
  <c r="M649"/>
  <c r="AS649"/>
  <c r="W652"/>
  <c r="AA652"/>
  <c r="AA643"/>
  <c r="AS643"/>
  <c r="K649"/>
  <c r="Z643"/>
  <c r="V643"/>
  <c r="Z645"/>
  <c r="W648"/>
  <c r="U650"/>
  <c r="V649"/>
  <c r="Z649"/>
  <c r="Y650"/>
  <c r="W644"/>
  <c r="AA644"/>
  <c r="W640"/>
  <c r="B640"/>
  <c r="M639"/>
  <c r="B639"/>
  <c r="U642" l="1"/>
  <c r="Y642"/>
  <c r="Y648"/>
  <c r="U648"/>
  <c r="V642"/>
  <c r="V647"/>
  <c r="Z647"/>
  <c r="Y651"/>
  <c r="U649"/>
  <c r="V648"/>
  <c r="Z641"/>
  <c r="W645"/>
  <c r="U645"/>
  <c r="Z648"/>
  <c r="V646"/>
  <c r="Y645"/>
  <c r="K639"/>
  <c r="O639"/>
  <c r="U640"/>
  <c r="AS639"/>
  <c r="N639"/>
  <c r="AS640"/>
  <c r="Y646"/>
  <c r="M640"/>
  <c r="Y649"/>
  <c r="U646"/>
  <c r="W650"/>
  <c r="W649"/>
  <c r="AA649"/>
  <c r="AA650"/>
  <c r="U652"/>
  <c r="V639"/>
  <c r="AA645"/>
  <c r="U641"/>
  <c r="Y643"/>
  <c r="V651"/>
  <c r="U651" s="1"/>
  <c r="K640"/>
  <c r="AA640"/>
  <c r="O640"/>
  <c r="N640" s="1"/>
  <c r="Y652"/>
  <c r="W641"/>
  <c r="U643"/>
  <c r="V650"/>
  <c r="W643"/>
  <c r="Y644"/>
  <c r="Z644"/>
  <c r="Y647"/>
  <c r="V645"/>
  <c r="Z651"/>
  <c r="V644"/>
  <c r="V638"/>
  <c r="B638"/>
  <c r="N637"/>
  <c r="M637" s="1"/>
  <c r="B637"/>
  <c r="Z639" l="1"/>
  <c r="Y639" s="1"/>
  <c r="O637"/>
  <c r="Z640"/>
  <c r="U638"/>
  <c r="K637"/>
  <c r="AS637"/>
  <c r="AS638"/>
  <c r="V640"/>
  <c r="Y640"/>
  <c r="N638"/>
  <c r="M638" s="1"/>
  <c r="U639"/>
  <c r="V637"/>
  <c r="U637"/>
  <c r="W637" s="1"/>
  <c r="K638"/>
  <c r="O638"/>
  <c r="AA651"/>
  <c r="W651"/>
  <c r="Z638"/>
  <c r="W638"/>
  <c r="AA638"/>
  <c r="N636"/>
  <c r="M636" s="1"/>
  <c r="B636"/>
  <c r="O635"/>
  <c r="B635"/>
  <c r="U634"/>
  <c r="K634"/>
  <c r="B634"/>
  <c r="K635" l="1"/>
  <c r="Y638"/>
  <c r="AS635"/>
  <c r="N635"/>
  <c r="M635" s="1"/>
  <c r="W635"/>
  <c r="Y635"/>
  <c r="O636"/>
  <c r="K636"/>
  <c r="AA639"/>
  <c r="W639"/>
  <c r="W636"/>
  <c r="O634"/>
  <c r="V634"/>
  <c r="AS634"/>
  <c r="AA637"/>
  <c r="Z637"/>
  <c r="Y637" s="1"/>
  <c r="N634"/>
  <c r="M634" s="1"/>
  <c r="AS636"/>
  <c r="Z633"/>
  <c r="O633"/>
  <c r="B633"/>
  <c r="N632"/>
  <c r="M632" s="1"/>
  <c r="B632"/>
  <c r="B631"/>
  <c r="K630"/>
  <c r="B630"/>
  <c r="M629"/>
  <c r="B629"/>
  <c r="AA628"/>
  <c r="O628"/>
  <c r="B628"/>
  <c r="M627"/>
  <c r="B627"/>
  <c r="AA626"/>
  <c r="Y626"/>
  <c r="W626"/>
  <c r="K626"/>
  <c r="B626"/>
  <c r="W625"/>
  <c r="M625"/>
  <c r="B625"/>
  <c r="M624"/>
  <c r="B624"/>
  <c r="AA623"/>
  <c r="Y623"/>
  <c r="M623"/>
  <c r="B623"/>
  <c r="O622"/>
  <c r="B622"/>
  <c r="Y621"/>
  <c r="AA621"/>
  <c r="Z621"/>
  <c r="O621"/>
  <c r="B621"/>
  <c r="Z620"/>
  <c r="O620"/>
  <c r="B620"/>
  <c r="Y619"/>
  <c r="O619"/>
  <c r="B619"/>
  <c r="B618"/>
  <c r="AA617"/>
  <c r="Y617"/>
  <c r="W617"/>
  <c r="N617"/>
  <c r="B617"/>
  <c r="N616"/>
  <c r="B616"/>
  <c r="O615"/>
  <c r="B615"/>
  <c r="AA614"/>
  <c r="Y614"/>
  <c r="W614"/>
  <c r="U614"/>
  <c r="O614"/>
  <c r="B614"/>
  <c r="AA613"/>
  <c r="Y613"/>
  <c r="M613"/>
  <c r="B613"/>
  <c r="Y612"/>
  <c r="N612"/>
  <c r="B612"/>
  <c r="AA611"/>
  <c r="B611"/>
  <c r="K610"/>
  <c r="B610"/>
  <c r="N609"/>
  <c r="M609" s="1"/>
  <c r="B609"/>
  <c r="Z608"/>
  <c r="B608"/>
  <c r="U607"/>
  <c r="N607"/>
  <c r="M607" s="1"/>
  <c r="M630" l="1"/>
  <c r="N630"/>
  <c r="V635"/>
  <c r="V609"/>
  <c r="AS630"/>
  <c r="O613"/>
  <c r="M622"/>
  <c r="AS622"/>
  <c r="AS626"/>
  <c r="AA635"/>
  <c r="U625"/>
  <c r="N619"/>
  <c r="M619"/>
  <c r="U619"/>
  <c r="N625"/>
  <c r="O632"/>
  <c r="AS619"/>
  <c r="K613"/>
  <c r="K623"/>
  <c r="K625"/>
  <c r="Z630"/>
  <c r="K633"/>
  <c r="AS611"/>
  <c r="AS613"/>
  <c r="AS618"/>
  <c r="K619"/>
  <c r="V619"/>
  <c r="O625"/>
  <c r="N627"/>
  <c r="V632"/>
  <c r="K609"/>
  <c r="O607"/>
  <c r="AS608"/>
  <c r="AS609"/>
  <c r="O609"/>
  <c r="N613"/>
  <c r="K618"/>
  <c r="AS623"/>
  <c r="O623"/>
  <c r="M626"/>
  <c r="AS628"/>
  <c r="AS632"/>
  <c r="U632"/>
  <c r="U635"/>
  <c r="W609"/>
  <c r="M610"/>
  <c r="N611"/>
  <c r="M611" s="1"/>
  <c r="M614"/>
  <c r="M615"/>
  <c r="O618"/>
  <c r="N623"/>
  <c r="AS625"/>
  <c r="AS627"/>
  <c r="N628"/>
  <c r="AS629"/>
  <c r="N618"/>
  <c r="M620"/>
  <c r="M621"/>
  <c r="AS624"/>
  <c r="M628"/>
  <c r="AS631"/>
  <c r="V636"/>
  <c r="V608"/>
  <c r="W608"/>
  <c r="AA634"/>
  <c r="W634"/>
  <c r="Y636"/>
  <c r="U636"/>
  <c r="AA636"/>
  <c r="Z634"/>
  <c r="Y634" s="1"/>
  <c r="U630"/>
  <c r="AA627"/>
  <c r="W619"/>
  <c r="V610"/>
  <c r="V624"/>
  <c r="Y607"/>
  <c r="V615"/>
  <c r="V621"/>
  <c r="AS616"/>
  <c r="N608"/>
  <c r="M608" s="1"/>
  <c r="U609"/>
  <c r="N610"/>
  <c r="O611"/>
  <c r="M612"/>
  <c r="Z613"/>
  <c r="N614"/>
  <c r="V614"/>
  <c r="N615"/>
  <c r="M616"/>
  <c r="M617"/>
  <c r="U617"/>
  <c r="Z617"/>
  <c r="AS617"/>
  <c r="N620"/>
  <c r="Y620"/>
  <c r="N621"/>
  <c r="N622"/>
  <c r="Y622"/>
  <c r="N624"/>
  <c r="U626"/>
  <c r="Z626"/>
  <c r="K627"/>
  <c r="O627"/>
  <c r="K628"/>
  <c r="V628"/>
  <c r="N629"/>
  <c r="Y629"/>
  <c r="O630"/>
  <c r="AA630"/>
  <c r="Y630"/>
  <c r="M631"/>
  <c r="K632"/>
  <c r="AS633"/>
  <c r="Z636"/>
  <c r="AS612"/>
  <c r="W627"/>
  <c r="K608"/>
  <c r="Z610"/>
  <c r="AS610"/>
  <c r="O612"/>
  <c r="AA615"/>
  <c r="AA620"/>
  <c r="AS621"/>
  <c r="AA625"/>
  <c r="K631"/>
  <c r="O631"/>
  <c r="AA633"/>
  <c r="W611"/>
  <c r="K612"/>
  <c r="V612"/>
  <c r="AS614"/>
  <c r="AS615"/>
  <c r="K616"/>
  <c r="O616"/>
  <c r="K617"/>
  <c r="O617"/>
  <c r="AA619"/>
  <c r="AS620"/>
  <c r="O608"/>
  <c r="O610"/>
  <c r="K611"/>
  <c r="K614"/>
  <c r="K615"/>
  <c r="V617"/>
  <c r="M618"/>
  <c r="K620"/>
  <c r="K621"/>
  <c r="K622"/>
  <c r="Z622"/>
  <c r="K624"/>
  <c r="O624"/>
  <c r="V626"/>
  <c r="K629"/>
  <c r="O629"/>
  <c r="N631"/>
  <c r="N633"/>
  <c r="M633" s="1"/>
  <c r="Z629"/>
  <c r="Z624"/>
  <c r="Z619"/>
  <c r="AA608"/>
  <c r="Z615"/>
  <c r="V620"/>
  <c r="V629"/>
  <c r="V622"/>
  <c r="Z623"/>
  <c r="U612"/>
  <c r="Y616"/>
  <c r="W628"/>
  <c r="U631"/>
  <c r="Y631"/>
  <c r="Z614"/>
  <c r="Z635"/>
  <c r="K607"/>
  <c r="AS607"/>
  <c r="B607"/>
  <c r="W606"/>
  <c r="B606"/>
  <c r="W605"/>
  <c r="O605"/>
  <c r="B605"/>
  <c r="O604"/>
  <c r="B604"/>
  <c r="B603"/>
  <c r="V625" l="1"/>
  <c r="Y618"/>
  <c r="W613"/>
  <c r="AA618"/>
  <c r="U622"/>
  <c r="W631"/>
  <c r="W623"/>
  <c r="U613"/>
  <c r="Z611"/>
  <c r="U611"/>
  <c r="Y611"/>
  <c r="V611"/>
  <c r="AA609"/>
  <c r="Y628"/>
  <c r="Y627"/>
  <c r="AA612"/>
  <c r="V630"/>
  <c r="V623"/>
  <c r="Y625"/>
  <c r="Z627"/>
  <c r="U628"/>
  <c r="U610"/>
  <c r="W616"/>
  <c r="U633"/>
  <c r="Y633"/>
  <c r="V618"/>
  <c r="Z618"/>
  <c r="V627"/>
  <c r="U627" s="1"/>
  <c r="W612"/>
  <c r="W618"/>
  <c r="V613"/>
  <c r="AA610"/>
  <c r="W633"/>
  <c r="V633" s="1"/>
  <c r="W632"/>
  <c r="U621"/>
  <c r="Z625"/>
  <c r="Y615"/>
  <c r="Z632"/>
  <c r="Y632" s="1"/>
  <c r="U618"/>
  <c r="AA632"/>
  <c r="U615"/>
  <c r="AS603"/>
  <c r="Y605"/>
  <c r="U623"/>
  <c r="N603"/>
  <c r="M603" s="1"/>
  <c r="AS606"/>
  <c r="N606"/>
  <c r="M606" s="1"/>
  <c r="Y606"/>
  <c r="N605"/>
  <c r="M605" s="1"/>
  <c r="K603"/>
  <c r="O603"/>
  <c r="N604"/>
  <c r="M604" s="1"/>
  <c r="O606"/>
  <c r="K604"/>
  <c r="AS604"/>
  <c r="AA616"/>
  <c r="Y608"/>
  <c r="U608"/>
  <c r="AA622"/>
  <c r="AA607"/>
  <c r="Z607" s="1"/>
  <c r="W607"/>
  <c r="V607" s="1"/>
  <c r="W615"/>
  <c r="W610"/>
  <c r="Z631"/>
  <c r="Y624"/>
  <c r="W630"/>
  <c r="W621"/>
  <c r="W622"/>
  <c r="W620"/>
  <c r="W603"/>
  <c r="Y610"/>
  <c r="U624"/>
  <c r="AA631"/>
  <c r="Z628"/>
  <c r="V616"/>
  <c r="U616" s="1"/>
  <c r="AA629"/>
  <c r="W624"/>
  <c r="U620"/>
  <c r="Y603"/>
  <c r="V606"/>
  <c r="Z612"/>
  <c r="Z616"/>
  <c r="U629"/>
  <c r="K605"/>
  <c r="AS605"/>
  <c r="K606"/>
  <c r="AA606"/>
  <c r="AA624"/>
  <c r="W629"/>
  <c r="V631"/>
  <c r="Z609"/>
  <c r="Y609" s="1"/>
  <c r="AA605"/>
  <c r="AA602"/>
  <c r="N602"/>
  <c r="M602" s="1"/>
  <c r="B602"/>
  <c r="N601"/>
  <c r="M601" s="1"/>
  <c r="B601"/>
  <c r="O600"/>
  <c r="B600"/>
  <c r="U606" l="1"/>
  <c r="U605"/>
  <c r="Z606"/>
  <c r="V605"/>
  <c r="AA603"/>
  <c r="AS601"/>
  <c r="O601"/>
  <c r="U603"/>
  <c r="AS600"/>
  <c r="V603"/>
  <c r="K600"/>
  <c r="K601"/>
  <c r="AS602"/>
  <c r="V602"/>
  <c r="Z603"/>
  <c r="Y604"/>
  <c r="U604"/>
  <c r="AA604"/>
  <c r="W604"/>
  <c r="Z604"/>
  <c r="V604"/>
  <c r="V601"/>
  <c r="N600"/>
  <c r="M600" s="1"/>
  <c r="U601"/>
  <c r="AA601" s="1"/>
  <c r="K602"/>
  <c r="V600"/>
  <c r="O602"/>
  <c r="Z605"/>
  <c r="W602"/>
  <c r="W599"/>
  <c r="K599"/>
  <c r="B599"/>
  <c r="Z602" l="1"/>
  <c r="Z601"/>
  <c r="N599"/>
  <c r="M599" s="1"/>
  <c r="Y599"/>
  <c r="Z600"/>
  <c r="W601"/>
  <c r="U600"/>
  <c r="Y600"/>
  <c r="AS599"/>
  <c r="Y601"/>
  <c r="O599"/>
  <c r="AA599"/>
  <c r="Y602"/>
  <c r="U602"/>
  <c r="AA598"/>
  <c r="Z598"/>
  <c r="Y598"/>
  <c r="W598"/>
  <c r="V598"/>
  <c r="U598"/>
  <c r="B598"/>
  <c r="AS598" l="1"/>
  <c r="M598"/>
  <c r="W600"/>
  <c r="AA600"/>
  <c r="K598"/>
  <c r="O598"/>
  <c r="N598"/>
  <c r="Z599"/>
  <c r="V599"/>
  <c r="U599" l="1"/>
  <c r="K597"/>
  <c r="B597"/>
  <c r="V596"/>
  <c r="B596"/>
  <c r="B595"/>
  <c r="Z594"/>
  <c r="O594"/>
  <c r="B594"/>
  <c r="AA593"/>
  <c r="M593"/>
  <c r="B593"/>
  <c r="B592"/>
  <c r="O591"/>
  <c r="B591"/>
  <c r="O590"/>
  <c r="N590" s="1"/>
  <c r="B590"/>
  <c r="O589"/>
  <c r="B589"/>
  <c r="K588"/>
  <c r="B588"/>
  <c r="Y587"/>
  <c r="W587"/>
  <c r="B587"/>
  <c r="AA586"/>
  <c r="Z586"/>
  <c r="Y586"/>
  <c r="M586"/>
  <c r="B586"/>
  <c r="N585"/>
  <c r="B585"/>
  <c r="O584"/>
  <c r="B584"/>
  <c r="N583"/>
  <c r="B583"/>
  <c r="AA582"/>
  <c r="Z582"/>
  <c r="Y582"/>
  <c r="M582"/>
  <c r="B582"/>
  <c r="B581"/>
  <c r="Y580"/>
  <c r="O580"/>
  <c r="B580"/>
  <c r="AS596" l="1"/>
  <c r="N591"/>
  <c r="Y594"/>
  <c r="O588"/>
  <c r="M585"/>
  <c r="AS585"/>
  <c r="AS587"/>
  <c r="AS595"/>
  <c r="AS588"/>
  <c r="K594"/>
  <c r="AS592"/>
  <c r="M590"/>
  <c r="AS594"/>
  <c r="N580"/>
  <c r="M580" s="1"/>
  <c r="AS584"/>
  <c r="N588"/>
  <c r="Y588"/>
  <c r="AS589"/>
  <c r="AS580"/>
  <c r="N584"/>
  <c r="N587"/>
  <c r="M588"/>
  <c r="N589"/>
  <c r="AS591"/>
  <c r="N594"/>
  <c r="M594" s="1"/>
  <c r="AS597"/>
  <c r="AS581"/>
  <c r="M583"/>
  <c r="M584"/>
  <c r="M587"/>
  <c r="M589"/>
  <c r="Z596"/>
  <c r="W593"/>
  <c r="Y596"/>
  <c r="V589"/>
  <c r="V584"/>
  <c r="Y583"/>
  <c r="Z584"/>
  <c r="AA588"/>
  <c r="AA590"/>
  <c r="U583"/>
  <c r="V591"/>
  <c r="W590"/>
  <c r="AA580"/>
  <c r="K586"/>
  <c r="O586"/>
  <c r="V586"/>
  <c r="V587"/>
  <c r="U587" s="1"/>
  <c r="AA587"/>
  <c r="M591"/>
  <c r="Z591"/>
  <c r="K592"/>
  <c r="O592"/>
  <c r="K593"/>
  <c r="O593"/>
  <c r="AS593"/>
  <c r="K595"/>
  <c r="O595"/>
  <c r="W595"/>
  <c r="K596"/>
  <c r="K581"/>
  <c r="Z580"/>
  <c r="N581"/>
  <c r="Y581"/>
  <c r="N582"/>
  <c r="U582"/>
  <c r="K583"/>
  <c r="O583"/>
  <c r="AS583"/>
  <c r="K585"/>
  <c r="O585"/>
  <c r="N586"/>
  <c r="AS586"/>
  <c r="Z587"/>
  <c r="W589"/>
  <c r="K590"/>
  <c r="AS590"/>
  <c r="N592"/>
  <c r="U592"/>
  <c r="N593"/>
  <c r="AA594"/>
  <c r="N595"/>
  <c r="O596"/>
  <c r="W596"/>
  <c r="O597"/>
  <c r="N597" s="1"/>
  <c r="O581"/>
  <c r="K582"/>
  <c r="O582"/>
  <c r="AS582"/>
  <c r="K580"/>
  <c r="M581"/>
  <c r="K584"/>
  <c r="K587"/>
  <c r="O587"/>
  <c r="K589"/>
  <c r="K591"/>
  <c r="M592"/>
  <c r="M595"/>
  <c r="N596"/>
  <c r="M596" s="1"/>
  <c r="M597"/>
  <c r="W582"/>
  <c r="U585"/>
  <c r="W580"/>
  <c r="W588"/>
  <c r="Z589"/>
  <c r="W592"/>
  <c r="V594"/>
  <c r="Y585"/>
  <c r="AA592"/>
  <c r="M579"/>
  <c r="B579"/>
  <c r="AA578"/>
  <c r="Z578"/>
  <c r="Y578"/>
  <c r="M578"/>
  <c r="B578"/>
  <c r="AA577"/>
  <c r="Z577" s="1"/>
  <c r="Y577" s="1"/>
  <c r="U577"/>
  <c r="N577"/>
  <c r="B577"/>
  <c r="Y590" l="1"/>
  <c r="W594"/>
  <c r="V580"/>
  <c r="W584"/>
  <c r="Y595"/>
  <c r="Z593"/>
  <c r="V590"/>
  <c r="U590" s="1"/>
  <c r="W581"/>
  <c r="U584"/>
  <c r="Z590"/>
  <c r="AA581"/>
  <c r="V593"/>
  <c r="W585"/>
  <c r="Z588"/>
  <c r="V588"/>
  <c r="U589"/>
  <c r="Z585"/>
  <c r="U596"/>
  <c r="AA596"/>
  <c r="Y584"/>
  <c r="AA591"/>
  <c r="U595"/>
  <c r="W591"/>
  <c r="U594"/>
  <c r="V597"/>
  <c r="U586"/>
  <c r="U588"/>
  <c r="U580"/>
  <c r="U591"/>
  <c r="Y591"/>
  <c r="N579"/>
  <c r="M577"/>
  <c r="AS577"/>
  <c r="U593"/>
  <c r="Y593"/>
  <c r="AA583"/>
  <c r="W583"/>
  <c r="V582"/>
  <c r="V585"/>
  <c r="K578"/>
  <c r="O578"/>
  <c r="AA584"/>
  <c r="V581"/>
  <c r="Z581"/>
  <c r="V592"/>
  <c r="AS578"/>
  <c r="N578"/>
  <c r="AA585"/>
  <c r="AA589"/>
  <c r="V583"/>
  <c r="K577"/>
  <c r="O577"/>
  <c r="AS579"/>
  <c r="K579"/>
  <c r="O579"/>
  <c r="W586"/>
  <c r="U581"/>
  <c r="U597"/>
  <c r="Y592"/>
  <c r="AA595"/>
  <c r="W579"/>
  <c r="AA579"/>
  <c r="Z592"/>
  <c r="Y589"/>
  <c r="Z583"/>
  <c r="Z597"/>
  <c r="Y597" s="1"/>
  <c r="W577" l="1"/>
  <c r="Z579"/>
  <c r="W578"/>
  <c r="V595"/>
  <c r="Z595"/>
  <c r="V577"/>
  <c r="U578"/>
  <c r="V578"/>
  <c r="AA597"/>
  <c r="W597"/>
  <c r="V579"/>
  <c r="Y579"/>
  <c r="U579"/>
  <c r="Y576"/>
  <c r="M576"/>
  <c r="B576"/>
  <c r="O575"/>
  <c r="B575"/>
  <c r="U575" l="1"/>
  <c r="M575"/>
  <c r="O576"/>
  <c r="AS575"/>
  <c r="N575"/>
  <c r="AS576"/>
  <c r="K576"/>
  <c r="K575"/>
  <c r="N576"/>
  <c r="W576"/>
  <c r="V575"/>
  <c r="Z575"/>
  <c r="M574"/>
  <c r="Y575" l="1"/>
  <c r="AS574"/>
  <c r="AA576"/>
  <c r="U574"/>
  <c r="AA575"/>
  <c r="W575"/>
  <c r="K574"/>
  <c r="O574"/>
  <c r="N574"/>
  <c r="Z576"/>
  <c r="V576"/>
  <c r="U576" s="1"/>
  <c r="B574"/>
  <c r="N573"/>
  <c r="B573"/>
  <c r="AA572"/>
  <c r="Y572"/>
  <c r="K572"/>
  <c r="B572"/>
  <c r="AA571"/>
  <c r="Z571"/>
  <c r="Y571" s="1"/>
  <c r="N571"/>
  <c r="M571" s="1"/>
  <c r="B571"/>
  <c r="Y573" l="1"/>
  <c r="O571"/>
  <c r="O572"/>
  <c r="N572"/>
  <c r="AS571"/>
  <c r="K571"/>
  <c r="AS572"/>
  <c r="Z572"/>
  <c r="M573"/>
  <c r="AS573"/>
  <c r="AA574"/>
  <c r="K573"/>
  <c r="O573"/>
  <c r="V573"/>
  <c r="M572"/>
  <c r="W574"/>
  <c r="U573"/>
  <c r="Z574"/>
  <c r="Y574" s="1"/>
  <c r="V574"/>
  <c r="AA573" l="1"/>
  <c r="Z573"/>
  <c r="U572"/>
  <c r="W571"/>
  <c r="V571"/>
  <c r="U571"/>
  <c r="V572"/>
  <c r="AS570"/>
  <c r="W573"/>
  <c r="M570"/>
  <c r="W572"/>
  <c r="K570"/>
  <c r="O570"/>
  <c r="N570" s="1"/>
  <c r="AA570"/>
  <c r="W570"/>
  <c r="B570"/>
  <c r="K569"/>
  <c r="B569"/>
  <c r="AN1696" s="1"/>
  <c r="M568"/>
  <c r="B568"/>
  <c r="M567"/>
  <c r="B567"/>
  <c r="K566"/>
  <c r="B566"/>
  <c r="U565"/>
  <c r="N565"/>
  <c r="B565"/>
  <c r="O564"/>
  <c r="B564"/>
  <c r="O563"/>
  <c r="B563"/>
  <c r="M562"/>
  <c r="B562"/>
  <c r="W561"/>
  <c r="O561"/>
  <c r="B561"/>
  <c r="N560"/>
  <c r="B560"/>
  <c r="N559"/>
  <c r="B559"/>
  <c r="M558"/>
  <c r="B558"/>
  <c r="M557"/>
  <c r="B557"/>
  <c r="M556"/>
  <c r="B556"/>
  <c r="O555"/>
  <c r="B555"/>
  <c r="M554"/>
  <c r="B554"/>
  <c r="N553"/>
  <c r="B553"/>
  <c r="M552"/>
  <c r="B552"/>
  <c r="Y550"/>
  <c r="AA550"/>
  <c r="B550"/>
  <c r="U570" l="1"/>
  <c r="K567"/>
  <c r="O558"/>
  <c r="N564"/>
  <c r="M564"/>
  <c r="V566"/>
  <c r="V552"/>
  <c r="O556"/>
  <c r="O562"/>
  <c r="O567"/>
  <c r="N563"/>
  <c r="Y570"/>
  <c r="AS550"/>
  <c r="Z557"/>
  <c r="V561"/>
  <c r="M563"/>
  <c r="AS566"/>
  <c r="K552"/>
  <c r="K557"/>
  <c r="N555"/>
  <c r="K556"/>
  <c r="K562"/>
  <c r="AS567"/>
  <c r="N567"/>
  <c r="K568"/>
  <c r="K554"/>
  <c r="AS555"/>
  <c r="O552"/>
  <c r="O554"/>
  <c r="M555"/>
  <c r="Y555"/>
  <c r="O557"/>
  <c r="K558"/>
  <c r="Z558"/>
  <c r="AS558"/>
  <c r="AS564"/>
  <c r="O566"/>
  <c r="AS568"/>
  <c r="O568"/>
  <c r="N568"/>
  <c r="Z570"/>
  <c r="V563"/>
  <c r="Z563"/>
  <c r="Y565"/>
  <c r="U550"/>
  <c r="V564"/>
  <c r="Z564"/>
  <c r="M550"/>
  <c r="AA552"/>
  <c r="AS552"/>
  <c r="M553"/>
  <c r="AS553"/>
  <c r="W556"/>
  <c r="AS556"/>
  <c r="AS557"/>
  <c r="AA558"/>
  <c r="M559"/>
  <c r="M560"/>
  <c r="N561"/>
  <c r="M561" s="1"/>
  <c r="M565"/>
  <c r="AS565"/>
  <c r="W568"/>
  <c r="M569"/>
  <c r="AS569"/>
  <c r="AS559"/>
  <c r="W559"/>
  <c r="AA560"/>
  <c r="AS560"/>
  <c r="K550"/>
  <c r="N552"/>
  <c r="Y552"/>
  <c r="AS554"/>
  <c r="W555"/>
  <c r="Z555"/>
  <c r="N556"/>
  <c r="N557"/>
  <c r="O559"/>
  <c r="K560"/>
  <c r="K561"/>
  <c r="N562"/>
  <c r="O569"/>
  <c r="AS561"/>
  <c r="O550"/>
  <c r="Z550"/>
  <c r="K553"/>
  <c r="O553"/>
  <c r="N554"/>
  <c r="Y557"/>
  <c r="N558"/>
  <c r="Y558"/>
  <c r="K559"/>
  <c r="O560"/>
  <c r="AS562"/>
  <c r="AA563"/>
  <c r="AS563"/>
  <c r="K565"/>
  <c r="O565"/>
  <c r="N566"/>
  <c r="Y566"/>
  <c r="N550"/>
  <c r="K555"/>
  <c r="K563"/>
  <c r="K564"/>
  <c r="M566"/>
  <c r="N569"/>
  <c r="V570"/>
  <c r="Z552"/>
  <c r="V555"/>
  <c r="U559"/>
  <c r="Y559"/>
  <c r="U560"/>
  <c r="U553"/>
  <c r="Y553"/>
  <c r="AA567"/>
  <c r="U569"/>
  <c r="Y560"/>
  <c r="W567"/>
  <c r="AA561"/>
  <c r="B549"/>
  <c r="K548"/>
  <c r="B548"/>
  <c r="O547"/>
  <c r="B547"/>
  <c r="O546"/>
  <c r="B546"/>
  <c r="AA545"/>
  <c r="Z545"/>
  <c r="Y545"/>
  <c r="M545"/>
  <c r="B545"/>
  <c r="U561" l="1"/>
  <c r="Y563"/>
  <c r="W560"/>
  <c r="U563"/>
  <c r="W557"/>
  <c r="V554"/>
  <c r="AA557"/>
  <c r="U568"/>
  <c r="Z554"/>
  <c r="Y561"/>
  <c r="W552"/>
  <c r="Z567"/>
  <c r="Y567"/>
  <c r="W550"/>
  <c r="W566"/>
  <c r="W562"/>
  <c r="V557"/>
  <c r="Z556"/>
  <c r="U555"/>
  <c r="U567"/>
  <c r="V556"/>
  <c r="Z568"/>
  <c r="Y568" s="1"/>
  <c r="V568"/>
  <c r="W558"/>
  <c r="U564"/>
  <c r="Z566"/>
  <c r="AA566"/>
  <c r="V558"/>
  <c r="V567"/>
  <c r="V553"/>
  <c r="AA559"/>
  <c r="AA565"/>
  <c r="Z569"/>
  <c r="Y569" s="1"/>
  <c r="V569"/>
  <c r="AA555"/>
  <c r="W565"/>
  <c r="Y564"/>
  <c r="W554"/>
  <c r="AA554"/>
  <c r="AA556"/>
  <c r="Z562"/>
  <c r="V562"/>
  <c r="AA564"/>
  <c r="V550"/>
  <c r="U557"/>
  <c r="U556"/>
  <c r="V548"/>
  <c r="AS549"/>
  <c r="Z553"/>
  <c r="K549"/>
  <c r="AA549"/>
  <c r="AS545"/>
  <c r="M546"/>
  <c r="O549"/>
  <c r="W564"/>
  <c r="Y554"/>
  <c r="U562"/>
  <c r="U554"/>
  <c r="Y562"/>
  <c r="Y556"/>
  <c r="Z549"/>
  <c r="V565"/>
  <c r="Z565"/>
  <c r="V559"/>
  <c r="W553"/>
  <c r="V560"/>
  <c r="N546"/>
  <c r="N547"/>
  <c r="N548"/>
  <c r="M549"/>
  <c r="U566"/>
  <c r="Z559"/>
  <c r="M547"/>
  <c r="M548"/>
  <c r="AS548"/>
  <c r="AA562"/>
  <c r="Z560"/>
  <c r="W569"/>
  <c r="AA568"/>
  <c r="K545"/>
  <c r="AA553"/>
  <c r="W563"/>
  <c r="O545"/>
  <c r="AS546"/>
  <c r="AS547"/>
  <c r="N545"/>
  <c r="K546"/>
  <c r="K547"/>
  <c r="O548"/>
  <c r="N549"/>
  <c r="U552"/>
  <c r="U558"/>
  <c r="AA569"/>
  <c r="V549"/>
  <c r="V547"/>
  <c r="Z561"/>
  <c r="V546"/>
  <c r="Z546"/>
  <c r="U545"/>
  <c r="Z547"/>
  <c r="U548" l="1"/>
  <c r="W548" s="1"/>
  <c r="W549"/>
  <c r="Z548"/>
  <c r="Y548" s="1"/>
  <c r="Y549"/>
  <c r="Y547"/>
  <c r="U549"/>
  <c r="U546"/>
  <c r="Y546"/>
  <c r="V545"/>
  <c r="AA547"/>
  <c r="W545"/>
  <c r="W546"/>
  <c r="U547"/>
  <c r="W547"/>
  <c r="AA546"/>
  <c r="M544"/>
  <c r="B544"/>
  <c r="M543"/>
  <c r="B543"/>
  <c r="O542"/>
  <c r="B542"/>
  <c r="AA541"/>
  <c r="W541"/>
  <c r="M541"/>
  <c r="B541"/>
  <c r="N540"/>
  <c r="B540"/>
  <c r="AA548" l="1"/>
  <c r="V541"/>
  <c r="K541"/>
  <c r="O544"/>
  <c r="O541"/>
  <c r="AS541"/>
  <c r="N541"/>
  <c r="U541"/>
  <c r="W542"/>
  <c r="K544"/>
  <c r="N544"/>
  <c r="AS540"/>
  <c r="M540"/>
  <c r="AS542"/>
  <c r="W544"/>
  <c r="N542"/>
  <c r="M542" s="1"/>
  <c r="Y544"/>
  <c r="U542"/>
  <c r="Y543"/>
  <c r="O540"/>
  <c r="V540"/>
  <c r="K543"/>
  <c r="K540"/>
  <c r="K542"/>
  <c r="O543"/>
  <c r="N543" s="1"/>
  <c r="V543"/>
  <c r="U543" s="1"/>
  <c r="AS543"/>
  <c r="AS544"/>
  <c r="Y542"/>
  <c r="U540"/>
  <c r="Z541"/>
  <c r="Y541" s="1"/>
  <c r="AA540" l="1"/>
  <c r="Z540"/>
  <c r="Y540" s="1"/>
  <c r="AA542"/>
  <c r="V542"/>
  <c r="AA544"/>
  <c r="U544"/>
  <c r="W540"/>
  <c r="Z544"/>
  <c r="V544"/>
  <c r="AA543"/>
  <c r="W543"/>
  <c r="Z543"/>
  <c r="Z542"/>
  <c r="AA539"/>
  <c r="N539"/>
  <c r="M539" s="1"/>
  <c r="B539"/>
  <c r="V538"/>
  <c r="O538"/>
  <c r="B538"/>
  <c r="N537"/>
  <c r="B537"/>
  <c r="AA536"/>
  <c r="Y536"/>
  <c r="V536"/>
  <c r="U536"/>
  <c r="M536"/>
  <c r="B536"/>
  <c r="Y535"/>
  <c r="B535"/>
  <c r="B534"/>
  <c r="N533"/>
  <c r="B533"/>
  <c r="O532"/>
  <c r="B532"/>
  <c r="O531"/>
  <c r="B531"/>
  <c r="O530"/>
  <c r="B530"/>
  <c r="M532" l="1"/>
  <c r="M530"/>
  <c r="O539"/>
  <c r="AS534"/>
  <c r="AS533"/>
  <c r="AS530"/>
  <c r="N530"/>
  <c r="N532"/>
  <c r="M533"/>
  <c r="AS535"/>
  <c r="AS536"/>
  <c r="M537"/>
  <c r="AS537"/>
  <c r="Y530"/>
  <c r="AS532"/>
  <c r="M535"/>
  <c r="K539"/>
  <c r="AS531"/>
  <c r="K531"/>
  <c r="K533"/>
  <c r="O533"/>
  <c r="N534"/>
  <c r="Y534"/>
  <c r="V534"/>
  <c r="K535"/>
  <c r="O535"/>
  <c r="AA535"/>
  <c r="K536"/>
  <c r="O536"/>
  <c r="W536"/>
  <c r="K537"/>
  <c r="O537"/>
  <c r="N538"/>
  <c r="U538"/>
  <c r="Z539"/>
  <c r="AA530"/>
  <c r="N531"/>
  <c r="AA532"/>
  <c r="K530"/>
  <c r="M531"/>
  <c r="K532"/>
  <c r="M534"/>
  <c r="N535"/>
  <c r="N536"/>
  <c r="Z536"/>
  <c r="M538"/>
  <c r="AS538"/>
  <c r="AS539"/>
  <c r="K534"/>
  <c r="O534"/>
  <c r="K538"/>
  <c r="Z538"/>
  <c r="Z534"/>
  <c r="W531"/>
  <c r="V532"/>
  <c r="Z532"/>
  <c r="W533"/>
  <c r="AA533"/>
  <c r="W535"/>
  <c r="Z535"/>
  <c r="V530"/>
  <c r="Z530"/>
  <c r="AA531"/>
  <c r="Y539"/>
  <c r="W537"/>
  <c r="AA537"/>
  <c r="W539"/>
  <c r="AA529"/>
  <c r="W529"/>
  <c r="Y532" l="1"/>
  <c r="U532"/>
  <c r="Z537"/>
  <c r="Y538"/>
  <c r="W538"/>
  <c r="AA538"/>
  <c r="V535"/>
  <c r="U534"/>
  <c r="V539"/>
  <c r="V533"/>
  <c r="Z531"/>
  <c r="W530"/>
  <c r="V537"/>
  <c r="Z533"/>
  <c r="U533"/>
  <c r="Y533"/>
  <c r="U539"/>
  <c r="U531"/>
  <c r="AA534"/>
  <c r="W534"/>
  <c r="U535"/>
  <c r="Y531"/>
  <c r="W532"/>
  <c r="V529"/>
  <c r="Z529"/>
  <c r="U529"/>
  <c r="Y529"/>
  <c r="V531"/>
  <c r="U537"/>
  <c r="Y537"/>
  <c r="U530"/>
  <c r="M529"/>
  <c r="B529"/>
  <c r="O528"/>
  <c r="B528"/>
  <c r="O527"/>
  <c r="B527"/>
  <c r="W526"/>
  <c r="B526"/>
  <c r="M525"/>
  <c r="B525"/>
  <c r="O524"/>
  <c r="B524"/>
  <c r="O523"/>
  <c r="B523"/>
  <c r="O522"/>
  <c r="B522"/>
  <c r="M521"/>
  <c r="B521"/>
  <c r="Z520"/>
  <c r="N520"/>
  <c r="B520"/>
  <c r="Y519"/>
  <c r="AA519"/>
  <c r="B519"/>
  <c r="AA518"/>
  <c r="O518"/>
  <c r="B518"/>
  <c r="O517"/>
  <c r="B517"/>
  <c r="O516"/>
  <c r="B516"/>
  <c r="N515"/>
  <c r="M515" s="1"/>
  <c r="B515"/>
  <c r="K528" l="1"/>
  <c r="N524"/>
  <c r="AS524"/>
  <c r="K520"/>
  <c r="M524"/>
  <c r="V520"/>
  <c r="N527"/>
  <c r="N518"/>
  <c r="AS526"/>
  <c r="K515"/>
  <c r="O515"/>
  <c r="M518"/>
  <c r="O521"/>
  <c r="N522"/>
  <c r="K523"/>
  <c r="N525"/>
  <c r="M527"/>
  <c r="M516"/>
  <c r="AS519"/>
  <c r="O520"/>
  <c r="M522"/>
  <c r="Y522"/>
  <c r="Y525"/>
  <c r="M517"/>
  <c r="AS525"/>
  <c r="N529"/>
  <c r="AS516"/>
  <c r="N516"/>
  <c r="N517"/>
  <c r="K518"/>
  <c r="Z518"/>
  <c r="N519"/>
  <c r="M520"/>
  <c r="K521"/>
  <c r="V521"/>
  <c r="AS522"/>
  <c r="AS523"/>
  <c r="K524"/>
  <c r="N526"/>
  <c r="Y526"/>
  <c r="AS527"/>
  <c r="AS528"/>
  <c r="K529"/>
  <c r="M519"/>
  <c r="M526"/>
  <c r="AS515"/>
  <c r="K516"/>
  <c r="AS517"/>
  <c r="AS518"/>
  <c r="AS520"/>
  <c r="K526"/>
  <c r="O526"/>
  <c r="V517"/>
  <c r="Z527"/>
  <c r="V527"/>
  <c r="Z517"/>
  <c r="W520"/>
  <c r="AA516"/>
  <c r="AA524"/>
  <c r="W524"/>
  <c r="V525"/>
  <c r="V519"/>
  <c r="O529"/>
  <c r="Y520"/>
  <c r="W528"/>
  <c r="Z519"/>
  <c r="AA520"/>
  <c r="N521"/>
  <c r="AS521"/>
  <c r="N523"/>
  <c r="W523"/>
  <c r="AA525"/>
  <c r="N528"/>
  <c r="Y528"/>
  <c r="U515"/>
  <c r="AA517"/>
  <c r="K517"/>
  <c r="K519"/>
  <c r="O519"/>
  <c r="K522"/>
  <c r="M523"/>
  <c r="K525"/>
  <c r="O525"/>
  <c r="K527"/>
  <c r="M528"/>
  <c r="AS529"/>
  <c r="W516"/>
  <c r="U519"/>
  <c r="AA526"/>
  <c r="Z525"/>
  <c r="W518"/>
  <c r="V522"/>
  <c r="Z522"/>
  <c r="U525"/>
  <c r="V528" l="1"/>
  <c r="Y517"/>
  <c r="Z521"/>
  <c r="AA528"/>
  <c r="Z523"/>
  <c r="AA521"/>
  <c r="U518"/>
  <c r="V523"/>
  <c r="Y524"/>
  <c r="U516"/>
  <c r="Y527"/>
  <c r="Y516"/>
  <c r="W515"/>
  <c r="U517"/>
  <c r="AA515"/>
  <c r="U527"/>
  <c r="Y518"/>
  <c r="Z524"/>
  <c r="U528"/>
  <c r="U521"/>
  <c r="Z516"/>
  <c r="U520"/>
  <c r="Z515"/>
  <c r="U526"/>
  <c r="V524"/>
  <c r="U524" s="1"/>
  <c r="W521"/>
  <c r="Y521"/>
  <c r="W527"/>
  <c r="Z528"/>
  <c r="V518"/>
  <c r="W519"/>
  <c r="Z526"/>
  <c r="U522"/>
  <c r="AA527"/>
  <c r="Y515"/>
  <c r="V516"/>
  <c r="V526"/>
  <c r="W517"/>
  <c r="Y523"/>
  <c r="U523"/>
  <c r="AA522"/>
  <c r="W522"/>
  <c r="W525"/>
  <c r="V515"/>
  <c r="AA523"/>
  <c r="AA514"/>
  <c r="B514"/>
  <c r="AS514" l="1"/>
  <c r="U514"/>
  <c r="Z514"/>
  <c r="W514"/>
  <c r="K514"/>
  <c r="O514"/>
  <c r="N514"/>
  <c r="M514" s="1"/>
  <c r="W513"/>
  <c r="B513"/>
  <c r="AS513" l="1"/>
  <c r="Y514"/>
  <c r="V514"/>
  <c r="N513"/>
  <c r="M513" s="1"/>
  <c r="V513"/>
  <c r="U513"/>
  <c r="K513"/>
  <c r="O513"/>
  <c r="AA513"/>
  <c r="K512"/>
  <c r="B512"/>
  <c r="AA511"/>
  <c r="Z511" s="1"/>
  <c r="N511"/>
  <c r="B511"/>
  <c r="B510"/>
  <c r="O509"/>
  <c r="B509"/>
  <c r="N508"/>
  <c r="B508"/>
  <c r="Z507"/>
  <c r="M507"/>
  <c r="B507"/>
  <c r="O506"/>
  <c r="B506"/>
  <c r="N505"/>
  <c r="B505"/>
  <c r="N504"/>
  <c r="B504"/>
  <c r="Y503"/>
  <c r="AA503"/>
  <c r="Z503"/>
  <c r="V503"/>
  <c r="W503"/>
  <c r="N503"/>
  <c r="B503"/>
  <c r="M502"/>
  <c r="B502"/>
  <c r="O501"/>
  <c r="B501"/>
  <c r="AA500"/>
  <c r="Z500" s="1"/>
  <c r="O500"/>
  <c r="B500"/>
  <c r="M499"/>
  <c r="B499"/>
  <c r="Z498"/>
  <c r="K498"/>
  <c r="B498"/>
  <c r="Y497"/>
  <c r="AA497"/>
  <c r="Z497"/>
  <c r="U497"/>
  <c r="W497"/>
  <c r="V497"/>
  <c r="M497"/>
  <c r="B497"/>
  <c r="N496"/>
  <c r="B496"/>
  <c r="N495"/>
  <c r="B495"/>
  <c r="O494"/>
  <c r="B494"/>
  <c r="O493"/>
  <c r="B493"/>
  <c r="AA492"/>
  <c r="Z492"/>
  <c r="Y492"/>
  <c r="W492"/>
  <c r="U492"/>
  <c r="N492"/>
  <c r="B492"/>
  <c r="K491"/>
  <c r="B491"/>
  <c r="O490"/>
  <c r="B490"/>
  <c r="Y489"/>
  <c r="N489"/>
  <c r="B489"/>
  <c r="B488"/>
  <c r="O487"/>
  <c r="B487"/>
  <c r="AS491" l="1"/>
  <c r="AS506"/>
  <c r="M511"/>
  <c r="M506"/>
  <c r="O498"/>
  <c r="N498"/>
  <c r="O491"/>
  <c r="AS488"/>
  <c r="N491"/>
  <c r="M491" s="1"/>
  <c r="M494"/>
  <c r="N500"/>
  <c r="AS502"/>
  <c r="M503"/>
  <c r="AS510"/>
  <c r="M493"/>
  <c r="O512"/>
  <c r="N487"/>
  <c r="M487"/>
  <c r="AS490"/>
  <c r="M501"/>
  <c r="N506"/>
  <c r="M508"/>
  <c r="M509"/>
  <c r="N488"/>
  <c r="K490"/>
  <c r="AS494"/>
  <c r="O497"/>
  <c r="AS500"/>
  <c r="K503"/>
  <c r="O503"/>
  <c r="AS507"/>
  <c r="K508"/>
  <c r="O508"/>
  <c r="K511"/>
  <c r="O511"/>
  <c r="M488"/>
  <c r="Y488"/>
  <c r="N497"/>
  <c r="AS498"/>
  <c r="AS499"/>
  <c r="K500"/>
  <c r="AS503"/>
  <c r="K506"/>
  <c r="AS508"/>
  <c r="AS509"/>
  <c r="AS511"/>
  <c r="K497"/>
  <c r="Y513"/>
  <c r="V493"/>
  <c r="AA506"/>
  <c r="V507"/>
  <c r="W506"/>
  <c r="Z494"/>
  <c r="V494"/>
  <c r="V502"/>
  <c r="Y510"/>
  <c r="Y512"/>
  <c r="V512"/>
  <c r="W508"/>
  <c r="M489"/>
  <c r="AS489"/>
  <c r="W490"/>
  <c r="AA491"/>
  <c r="M492"/>
  <c r="N493"/>
  <c r="N494"/>
  <c r="M495"/>
  <c r="M496"/>
  <c r="AS496"/>
  <c r="AS497"/>
  <c r="Y498"/>
  <c r="N499"/>
  <c r="Y500"/>
  <c r="N501"/>
  <c r="Y501"/>
  <c r="N502"/>
  <c r="M504"/>
  <c r="M505"/>
  <c r="AS505"/>
  <c r="N507"/>
  <c r="AA508"/>
  <c r="N509"/>
  <c r="M510"/>
  <c r="Y511"/>
  <c r="AS512"/>
  <c r="AA504"/>
  <c r="W505"/>
  <c r="AS495"/>
  <c r="O489"/>
  <c r="Z489"/>
  <c r="N490"/>
  <c r="K492"/>
  <c r="O492"/>
  <c r="AS493"/>
  <c r="AA494"/>
  <c r="K495"/>
  <c r="O495"/>
  <c r="V495"/>
  <c r="AS501"/>
  <c r="U503"/>
  <c r="K504"/>
  <c r="O504"/>
  <c r="AS504"/>
  <c r="K505"/>
  <c r="O505"/>
  <c r="W507"/>
  <c r="K510"/>
  <c r="O510"/>
  <c r="W512"/>
  <c r="AS492"/>
  <c r="AA487"/>
  <c r="AS487"/>
  <c r="W488"/>
  <c r="K489"/>
  <c r="K496"/>
  <c r="O496"/>
  <c r="K487"/>
  <c r="K488"/>
  <c r="O488"/>
  <c r="M490"/>
  <c r="K493"/>
  <c r="K494"/>
  <c r="M498"/>
  <c r="K499"/>
  <c r="O499"/>
  <c r="M500"/>
  <c r="K501"/>
  <c r="K502"/>
  <c r="O502"/>
  <c r="K507"/>
  <c r="O507"/>
  <c r="K509"/>
  <c r="N510"/>
  <c r="N512"/>
  <c r="M512" s="1"/>
  <c r="Z513"/>
  <c r="U489"/>
  <c r="U495"/>
  <c r="Y495"/>
  <c r="U496"/>
  <c r="Y496"/>
  <c r="AA501"/>
  <c r="U505"/>
  <c r="Y505"/>
  <c r="V488"/>
  <c r="Z488"/>
  <c r="Z491"/>
  <c r="AA498"/>
  <c r="V499"/>
  <c r="Z499"/>
  <c r="V501"/>
  <c r="Z501"/>
  <c r="V509"/>
  <c r="W511"/>
  <c r="Z512"/>
  <c r="Y504"/>
  <c r="Z509"/>
  <c r="V492"/>
  <c r="V487"/>
  <c r="Z487"/>
  <c r="Y506" l="1"/>
  <c r="U509"/>
  <c r="V511"/>
  <c r="Z490"/>
  <c r="U487"/>
  <c r="U488"/>
  <c r="Y487"/>
  <c r="U500"/>
  <c r="U506"/>
  <c r="Y509"/>
  <c r="V489"/>
  <c r="Y507"/>
  <c r="U507"/>
  <c r="V500"/>
  <c r="Z508"/>
  <c r="Z506"/>
  <c r="U512"/>
  <c r="AA502"/>
  <c r="W500"/>
  <c r="V506"/>
  <c r="W502"/>
  <c r="U508"/>
  <c r="W493"/>
  <c r="Y508"/>
  <c r="Z496"/>
  <c r="AA496"/>
  <c r="V490"/>
  <c r="W498"/>
  <c r="W491"/>
  <c r="V498"/>
  <c r="V508"/>
  <c r="Z504"/>
  <c r="Z510"/>
  <c r="AA509"/>
  <c r="W501"/>
  <c r="V504"/>
  <c r="U504" s="1"/>
  <c r="AA493"/>
  <c r="W499"/>
  <c r="W494"/>
  <c r="AA499"/>
  <c r="U511"/>
  <c r="V510"/>
  <c r="U510" s="1"/>
  <c r="AA510" s="1"/>
  <c r="AA488"/>
  <c r="AA512"/>
  <c r="U498"/>
  <c r="V505"/>
  <c r="U493"/>
  <c r="W509"/>
  <c r="Y490"/>
  <c r="U502"/>
  <c r="AA505"/>
  <c r="Z505" s="1"/>
  <c r="AA490"/>
  <c r="U490"/>
  <c r="AA489"/>
  <c r="W489"/>
  <c r="U499"/>
  <c r="AA507"/>
  <c r="V496"/>
  <c r="Y493"/>
  <c r="W495"/>
  <c r="W487"/>
  <c r="Z495"/>
  <c r="U491"/>
  <c r="W504"/>
  <c r="U501"/>
  <c r="U494"/>
  <c r="Y494"/>
  <c r="AA495"/>
  <c r="Y502"/>
  <c r="W496"/>
  <c r="Y499"/>
  <c r="Y491"/>
  <c r="Z502"/>
  <c r="Z493"/>
  <c r="V491"/>
  <c r="N486"/>
  <c r="M486" s="1"/>
  <c r="B486"/>
  <c r="B485"/>
  <c r="AA484"/>
  <c r="Z484" s="1"/>
  <c r="N484"/>
  <c r="M484" s="1"/>
  <c r="B484"/>
  <c r="W510" l="1"/>
  <c r="AS485"/>
  <c r="K484"/>
  <c r="O486"/>
  <c r="K486"/>
  <c r="AS484"/>
  <c r="O484"/>
  <c r="U484"/>
  <c r="N485"/>
  <c r="M485"/>
  <c r="W486"/>
  <c r="Y484"/>
  <c r="K485"/>
  <c r="O485"/>
  <c r="AS486"/>
  <c r="U486"/>
  <c r="Y486"/>
  <c r="V484"/>
  <c r="AA483"/>
  <c r="Z483"/>
  <c r="Y483" s="1"/>
  <c r="B483"/>
  <c r="AA482"/>
  <c r="Z482" s="1"/>
  <c r="Y482" s="1"/>
  <c r="N482"/>
  <c r="B482"/>
  <c r="AA485" l="1"/>
  <c r="W485"/>
  <c r="V486"/>
  <c r="U485"/>
  <c r="V485"/>
  <c r="Z485"/>
  <c r="Y485" s="1"/>
  <c r="AS483"/>
  <c r="M482"/>
  <c r="AS482"/>
  <c r="O483"/>
  <c r="N483" s="1"/>
  <c r="AA486"/>
  <c r="Z486" s="1"/>
  <c r="W484"/>
  <c r="M483"/>
  <c r="K482"/>
  <c r="O482"/>
  <c r="K483"/>
  <c r="U483"/>
  <c r="W483"/>
  <c r="B481"/>
  <c r="O480"/>
  <c r="N480" s="1"/>
  <c r="B480"/>
  <c r="M479"/>
  <c r="B479"/>
  <c r="W478"/>
  <c r="O478"/>
  <c r="B478"/>
  <c r="B477"/>
  <c r="Y476"/>
  <c r="V476"/>
  <c r="U476" s="1"/>
  <c r="W476"/>
  <c r="B476"/>
  <c r="N475"/>
  <c r="B475"/>
  <c r="AA474"/>
  <c r="Y474"/>
  <c r="N474"/>
  <c r="B474"/>
  <c r="N473"/>
  <c r="B473"/>
  <c r="B472"/>
  <c r="N471"/>
  <c r="B471"/>
  <c r="B470"/>
  <c r="B469"/>
  <c r="N468"/>
  <c r="B468"/>
  <c r="Z467"/>
  <c r="B467"/>
  <c r="O466"/>
  <c r="B466"/>
  <c r="M474" l="1"/>
  <c r="AS472"/>
  <c r="AS469"/>
  <c r="Y466"/>
  <c r="M478"/>
  <c r="Z478"/>
  <c r="K468"/>
  <c r="K471"/>
  <c r="Y467"/>
  <c r="O468"/>
  <c r="K474"/>
  <c r="K475"/>
  <c r="AS477"/>
  <c r="K478"/>
  <c r="AS467"/>
  <c r="AS474"/>
  <c r="O474"/>
  <c r="AS476"/>
  <c r="Z477"/>
  <c r="AS481"/>
  <c r="M468"/>
  <c r="O471"/>
  <c r="O475"/>
  <c r="K477"/>
  <c r="AS478"/>
  <c r="K479"/>
  <c r="O479"/>
  <c r="Z479"/>
  <c r="K480"/>
  <c r="N466"/>
  <c r="N467"/>
  <c r="AS468"/>
  <c r="AS470"/>
  <c r="M471"/>
  <c r="AS473"/>
  <c r="M475"/>
  <c r="O477"/>
  <c r="AS479"/>
  <c r="N479"/>
  <c r="AS471"/>
  <c r="U473"/>
  <c r="AS475"/>
  <c r="N476"/>
  <c r="M477"/>
  <c r="M480"/>
  <c r="AS480"/>
  <c r="AA468"/>
  <c r="W471"/>
  <c r="AA471"/>
  <c r="AA475"/>
  <c r="V466"/>
  <c r="Z466"/>
  <c r="AA481"/>
  <c r="AA469"/>
  <c r="AA470"/>
  <c r="Z473"/>
  <c r="W479"/>
  <c r="AA479"/>
  <c r="W469"/>
  <c r="M466"/>
  <c r="M467"/>
  <c r="K469"/>
  <c r="O469"/>
  <c r="K470"/>
  <c r="O470"/>
  <c r="K472"/>
  <c r="O472"/>
  <c r="M473"/>
  <c r="W474"/>
  <c r="M476"/>
  <c r="AA476"/>
  <c r="N477"/>
  <c r="Y477"/>
  <c r="N478"/>
  <c r="W480"/>
  <c r="K481"/>
  <c r="O481"/>
  <c r="W468"/>
  <c r="N469"/>
  <c r="W470"/>
  <c r="N472"/>
  <c r="AA473"/>
  <c r="N481"/>
  <c r="AS466"/>
  <c r="AA467"/>
  <c r="N470"/>
  <c r="K466"/>
  <c r="K467"/>
  <c r="O467"/>
  <c r="M469"/>
  <c r="M470"/>
  <c r="M472"/>
  <c r="K473"/>
  <c r="O473"/>
  <c r="K476"/>
  <c r="O476"/>
  <c r="M481"/>
  <c r="W481"/>
  <c r="Z474"/>
  <c r="V483"/>
  <c r="Z476"/>
  <c r="W477"/>
  <c r="AA477"/>
  <c r="V467"/>
  <c r="AA478"/>
  <c r="W475"/>
  <c r="U465"/>
  <c r="K465"/>
  <c r="B465"/>
  <c r="B464"/>
  <c r="M463"/>
  <c r="B463"/>
  <c r="AA462"/>
  <c r="Z462"/>
  <c r="Y462" s="1"/>
  <c r="B462"/>
  <c r="Y461"/>
  <c r="M461"/>
  <c r="B461"/>
  <c r="AA460"/>
  <c r="O460"/>
  <c r="B460"/>
  <c r="AA459"/>
  <c r="Y459"/>
  <c r="V459"/>
  <c r="M459"/>
  <c r="B459"/>
  <c r="AA458"/>
  <c r="W458"/>
  <c r="V458"/>
  <c r="U458"/>
  <c r="O458"/>
  <c r="N458" s="1"/>
  <c r="B458"/>
  <c r="AA457"/>
  <c r="K457"/>
  <c r="B457"/>
  <c r="M456"/>
  <c r="B456"/>
  <c r="M455"/>
  <c r="B455"/>
  <c r="N454"/>
  <c r="B454"/>
  <c r="B453"/>
  <c r="B452"/>
  <c r="AA451"/>
  <c r="Z451"/>
  <c r="Y451"/>
  <c r="V451"/>
  <c r="O451"/>
  <c r="B451"/>
  <c r="U475" l="1"/>
  <c r="U479"/>
  <c r="V479"/>
  <c r="V478"/>
  <c r="Y475"/>
  <c r="Z481"/>
  <c r="Z471"/>
  <c r="V471"/>
  <c r="Y479"/>
  <c r="V477"/>
  <c r="W472"/>
  <c r="Z475"/>
  <c r="V475"/>
  <c r="AA472"/>
  <c r="Y468"/>
  <c r="U474"/>
  <c r="V474"/>
  <c r="U468"/>
  <c r="U471"/>
  <c r="V468"/>
  <c r="Z468"/>
  <c r="U466"/>
  <c r="AS452"/>
  <c r="N460"/>
  <c r="M460" s="1"/>
  <c r="Y473"/>
  <c r="Y471"/>
  <c r="AS457"/>
  <c r="U477"/>
  <c r="O457"/>
  <c r="U467"/>
  <c r="N457"/>
  <c r="M457" s="1"/>
  <c r="AS453"/>
  <c r="M458"/>
  <c r="O463"/>
  <c r="N465"/>
  <c r="M465" s="1"/>
  <c r="K463"/>
  <c r="Z463"/>
  <c r="M453"/>
  <c r="AS464"/>
  <c r="W459"/>
  <c r="W461"/>
  <c r="N463"/>
  <c r="K456"/>
  <c r="M464"/>
  <c r="K452"/>
  <c r="K454"/>
  <c r="O452"/>
  <c r="K453"/>
  <c r="O453"/>
  <c r="O454"/>
  <c r="K458"/>
  <c r="AS458"/>
  <c r="K460"/>
  <c r="AS460"/>
  <c r="AS463"/>
  <c r="K464"/>
  <c r="V481"/>
  <c r="AS454"/>
  <c r="N451"/>
  <c r="M452"/>
  <c r="V452"/>
  <c r="N453"/>
  <c r="M454"/>
  <c r="Z454"/>
  <c r="AS456"/>
  <c r="AS462"/>
  <c r="O464"/>
  <c r="U480"/>
  <c r="U469"/>
  <c r="W467"/>
  <c r="Y480"/>
  <c r="W473"/>
  <c r="AA466"/>
  <c r="U472"/>
  <c r="Y470"/>
  <c r="U470"/>
  <c r="W466"/>
  <c r="V460"/>
  <c r="W464"/>
  <c r="V469"/>
  <c r="V470"/>
  <c r="U481"/>
  <c r="Z470"/>
  <c r="Z469"/>
  <c r="Y481"/>
  <c r="Y472"/>
  <c r="Y469"/>
  <c r="W456"/>
  <c r="AA463"/>
  <c r="W453"/>
  <c r="Y478"/>
  <c r="U478"/>
  <c r="M451"/>
  <c r="AS451"/>
  <c r="W454"/>
  <c r="K455"/>
  <c r="O455"/>
  <c r="AS455"/>
  <c r="V457"/>
  <c r="Z458"/>
  <c r="K459"/>
  <c r="W460"/>
  <c r="K461"/>
  <c r="AS461"/>
  <c r="K462"/>
  <c r="O462"/>
  <c r="N464"/>
  <c r="U464"/>
  <c r="AS465"/>
  <c r="Z472"/>
  <c r="AA480"/>
  <c r="U452"/>
  <c r="AA453"/>
  <c r="AS459"/>
  <c r="U457"/>
  <c r="O459"/>
  <c r="N459" s="1"/>
  <c r="N462"/>
  <c r="W455"/>
  <c r="N455"/>
  <c r="Y458"/>
  <c r="O461"/>
  <c r="N461" s="1"/>
  <c r="K451"/>
  <c r="N452"/>
  <c r="O456"/>
  <c r="N456" s="1"/>
  <c r="Y460"/>
  <c r="M462"/>
  <c r="O465"/>
  <c r="V465"/>
  <c r="V472"/>
  <c r="AA465"/>
  <c r="W465"/>
  <c r="U454"/>
  <c r="Y454"/>
  <c r="U460"/>
  <c r="Y452"/>
  <c r="V461"/>
  <c r="Z461"/>
  <c r="W462"/>
  <c r="AA464"/>
  <c r="Z457"/>
  <c r="Y457" s="1"/>
  <c r="Y465"/>
  <c r="V473"/>
  <c r="AA456"/>
  <c r="U461"/>
  <c r="Z459"/>
  <c r="Z460"/>
  <c r="W463"/>
  <c r="K450"/>
  <c r="B450"/>
  <c r="AA449"/>
  <c r="Y449"/>
  <c r="M449"/>
  <c r="B449"/>
  <c r="N448"/>
  <c r="B448"/>
  <c r="V464" l="1"/>
  <c r="V456"/>
  <c r="V454"/>
  <c r="V453"/>
  <c r="Z453"/>
  <c r="V463"/>
  <c r="Y463"/>
  <c r="U453"/>
  <c r="W452"/>
  <c r="W457"/>
  <c r="AA452"/>
  <c r="U459"/>
  <c r="U463"/>
  <c r="AA461"/>
  <c r="U451"/>
  <c r="Y455"/>
  <c r="U455"/>
  <c r="W451"/>
  <c r="M448"/>
  <c r="N449"/>
  <c r="Y453"/>
  <c r="AS449"/>
  <c r="K449"/>
  <c r="O449"/>
  <c r="AS450"/>
  <c r="AS448"/>
  <c r="Z465"/>
  <c r="V448"/>
  <c r="W449"/>
  <c r="V462"/>
  <c r="Z455"/>
  <c r="O450"/>
  <c r="V480"/>
  <c r="Z480"/>
  <c r="AA454"/>
  <c r="AA448"/>
  <c r="K448"/>
  <c r="O448"/>
  <c r="N450"/>
  <c r="M450" s="1"/>
  <c r="V455"/>
  <c r="Y456"/>
  <c r="Y464"/>
  <c r="AA455"/>
  <c r="U462"/>
  <c r="U456"/>
  <c r="Z464"/>
  <c r="Z456"/>
  <c r="Z452"/>
  <c r="Z448"/>
  <c r="Z449"/>
  <c r="Z447"/>
  <c r="Y447"/>
  <c r="U447"/>
  <c r="U448" l="1"/>
  <c r="Y448"/>
  <c r="U449"/>
  <c r="V449"/>
  <c r="V450"/>
  <c r="Z450"/>
  <c r="W450"/>
  <c r="AA450"/>
  <c r="U450"/>
  <c r="W447"/>
  <c r="AA447"/>
  <c r="V447"/>
  <c r="W448"/>
  <c r="Y450"/>
  <c r="M447"/>
  <c r="B447"/>
  <c r="Y446"/>
  <c r="Z446"/>
  <c r="M446"/>
  <c r="B446"/>
  <c r="AA445"/>
  <c r="W445"/>
  <c r="O445"/>
  <c r="B445"/>
  <c r="M444"/>
  <c r="B444"/>
  <c r="AA443"/>
  <c r="M443"/>
  <c r="B443"/>
  <c r="Y442"/>
  <c r="AA442"/>
  <c r="M442"/>
  <c r="B442"/>
  <c r="AA441"/>
  <c r="Z441"/>
  <c r="Y441"/>
  <c r="N441"/>
  <c r="B441"/>
  <c r="AA440"/>
  <c r="Z440"/>
  <c r="Y440" s="1"/>
  <c r="K440"/>
  <c r="B440"/>
  <c r="N439"/>
  <c r="M439" s="1"/>
  <c r="B439"/>
  <c r="K438"/>
  <c r="B438"/>
  <c r="AA437"/>
  <c r="B437"/>
  <c r="Y436"/>
  <c r="Z436"/>
  <c r="W436"/>
  <c r="U436"/>
  <c r="B436"/>
  <c r="B435"/>
  <c r="V434"/>
  <c r="O434"/>
  <c r="B434"/>
  <c r="K433"/>
  <c r="B433"/>
  <c r="O432"/>
  <c r="B432"/>
  <c r="Z431"/>
  <c r="O431"/>
  <c r="B431"/>
  <c r="AA430"/>
  <c r="W430"/>
  <c r="O430"/>
  <c r="B430"/>
  <c r="AA429"/>
  <c r="M429"/>
  <c r="B429"/>
  <c r="K428"/>
  <c r="B428"/>
  <c r="M427"/>
  <c r="B427"/>
  <c r="AA426"/>
  <c r="Z426"/>
  <c r="Y426"/>
  <c r="W426"/>
  <c r="V426"/>
  <c r="U426"/>
  <c r="O426"/>
  <c r="B426"/>
  <c r="N425"/>
  <c r="B425"/>
  <c r="AA424"/>
  <c r="M424"/>
  <c r="B424"/>
  <c r="AA423"/>
  <c r="B423"/>
  <c r="M422"/>
  <c r="B422"/>
  <c r="W421"/>
  <c r="M421"/>
  <c r="B421"/>
  <c r="AA420"/>
  <c r="B420"/>
  <c r="O419"/>
  <c r="B419"/>
  <c r="W418"/>
  <c r="O418"/>
  <c r="B418"/>
  <c r="AA417"/>
  <c r="M417"/>
  <c r="B417"/>
  <c r="N416"/>
  <c r="B416"/>
  <c r="O415"/>
  <c r="B415"/>
  <c r="N414"/>
  <c r="B414"/>
  <c r="AA413"/>
  <c r="N413"/>
  <c r="B413"/>
  <c r="Y412"/>
  <c r="N412"/>
  <c r="B412"/>
  <c r="B411"/>
  <c r="U410"/>
  <c r="N410"/>
  <c r="B410"/>
  <c r="M409"/>
  <c r="B409"/>
  <c r="M408"/>
  <c r="B408"/>
  <c r="M407"/>
  <c r="B407"/>
  <c r="N406"/>
  <c r="B406"/>
  <c r="O405"/>
  <c r="B405"/>
  <c r="Y404"/>
  <c r="M404"/>
  <c r="B404"/>
  <c r="AA403"/>
  <c r="M403"/>
  <c r="B403"/>
  <c r="N402"/>
  <c r="B402"/>
  <c r="M401"/>
  <c r="B401"/>
  <c r="N400"/>
  <c r="B400"/>
  <c r="N399"/>
  <c r="B399"/>
  <c r="Z398"/>
  <c r="B398"/>
  <c r="N397"/>
  <c r="B397"/>
  <c r="V396"/>
  <c r="B396"/>
  <c r="N395"/>
  <c r="B395"/>
  <c r="N394"/>
  <c r="B394"/>
  <c r="O393"/>
  <c r="B393"/>
  <c r="M392"/>
  <c r="B392"/>
  <c r="AA391"/>
  <c r="O391"/>
  <c r="B391"/>
  <c r="Y390"/>
  <c r="O390"/>
  <c r="B390"/>
  <c r="O389"/>
  <c r="B389"/>
  <c r="O388"/>
  <c r="B388"/>
  <c r="M387"/>
  <c r="B387"/>
  <c r="Y386"/>
  <c r="N386"/>
  <c r="B386"/>
  <c r="Y385"/>
  <c r="N385"/>
  <c r="B385"/>
  <c r="AA384"/>
  <c r="Z384"/>
  <c r="Y384"/>
  <c r="U384"/>
  <c r="N384"/>
  <c r="B384"/>
  <c r="N383"/>
  <c r="B383"/>
  <c r="O382"/>
  <c r="B382"/>
  <c r="K381"/>
  <c r="B381"/>
  <c r="N380"/>
  <c r="B380"/>
  <c r="K379"/>
  <c r="B379"/>
  <c r="M378"/>
  <c r="B378"/>
  <c r="M377"/>
  <c r="B377"/>
  <c r="U376"/>
  <c r="B376"/>
  <c r="N375"/>
  <c r="B375"/>
  <c r="N374"/>
  <c r="B374"/>
  <c r="O373"/>
  <c r="B373"/>
  <c r="K447" l="1"/>
  <c r="AS444"/>
  <c r="M374"/>
  <c r="V377"/>
  <c r="O379"/>
  <c r="K439"/>
  <c r="M395"/>
  <c r="V417"/>
  <c r="Z397"/>
  <c r="M380"/>
  <c r="N415"/>
  <c r="U419"/>
  <c r="Z420"/>
  <c r="N429"/>
  <c r="O381"/>
  <c r="M400"/>
  <c r="M415"/>
  <c r="U425"/>
  <c r="N430"/>
  <c r="N405"/>
  <c r="N418"/>
  <c r="K429"/>
  <c r="M430"/>
  <c r="O440"/>
  <c r="N378"/>
  <c r="M383"/>
  <c r="M384"/>
  <c r="O385"/>
  <c r="AS398"/>
  <c r="M405"/>
  <c r="M418"/>
  <c r="M419"/>
  <c r="U427"/>
  <c r="O429"/>
  <c r="M438"/>
  <c r="M390"/>
  <c r="U396"/>
  <c r="AS393"/>
  <c r="W387"/>
  <c r="N398"/>
  <c r="K408"/>
  <c r="AS423"/>
  <c r="Z437"/>
  <c r="K446"/>
  <c r="K380"/>
  <c r="O380"/>
  <c r="AS380"/>
  <c r="U380"/>
  <c r="Y388"/>
  <c r="AA390"/>
  <c r="AS391"/>
  <c r="N392"/>
  <c r="M398"/>
  <c r="AS405"/>
  <c r="Y407"/>
  <c r="N419"/>
  <c r="K423"/>
  <c r="AS428"/>
  <c r="AS436"/>
  <c r="O438"/>
  <c r="AS389"/>
  <c r="AS387"/>
  <c r="N389"/>
  <c r="N391"/>
  <c r="N393"/>
  <c r="U400"/>
  <c r="O401"/>
  <c r="K402"/>
  <c r="O413"/>
  <c r="O421"/>
  <c r="K422"/>
  <c r="AS426"/>
  <c r="K436"/>
  <c r="O446"/>
  <c r="N382"/>
  <c r="V390"/>
  <c r="M382"/>
  <c r="O384"/>
  <c r="O386"/>
  <c r="O387"/>
  <c r="M389"/>
  <c r="Y389"/>
  <c r="M391"/>
  <c r="Y391"/>
  <c r="M393"/>
  <c r="U393"/>
  <c r="AS395"/>
  <c r="AS396"/>
  <c r="M397"/>
  <c r="AA397"/>
  <c r="U399"/>
  <c r="N401"/>
  <c r="W401"/>
  <c r="O402"/>
  <c r="K405"/>
  <c r="AS406"/>
  <c r="M413"/>
  <c r="AA414"/>
  <c r="AS415"/>
  <c r="O417"/>
  <c r="K418"/>
  <c r="V418"/>
  <c r="AS419"/>
  <c r="O422"/>
  <c r="K426"/>
  <c r="O428"/>
  <c r="AS437"/>
  <c r="AS440"/>
  <c r="N446"/>
  <c r="V446"/>
  <c r="N387"/>
  <c r="Z401"/>
  <c r="AS420"/>
  <c r="U446"/>
  <c r="K403"/>
  <c r="O403"/>
  <c r="AS373"/>
  <c r="K374"/>
  <c r="O374"/>
  <c r="V374"/>
  <c r="AS377"/>
  <c r="O377"/>
  <c r="O383"/>
  <c r="Z383"/>
  <c r="AS384"/>
  <c r="V392"/>
  <c r="AS403"/>
  <c r="N403"/>
  <c r="O408"/>
  <c r="K409"/>
  <c r="O409"/>
  <c r="AS411"/>
  <c r="AS413"/>
  <c r="AS417"/>
  <c r="K420"/>
  <c r="AS421"/>
  <c r="V422"/>
  <c r="O423"/>
  <c r="K424"/>
  <c r="O424"/>
  <c r="N426"/>
  <c r="N428"/>
  <c r="AS430"/>
  <c r="V433"/>
  <c r="O436"/>
  <c r="K437"/>
  <c r="AS438"/>
  <c r="N440"/>
  <c r="U440"/>
  <c r="K441"/>
  <c r="AS441"/>
  <c r="N442"/>
  <c r="W392"/>
  <c r="K383"/>
  <c r="AA395"/>
  <c r="N396"/>
  <c r="K373"/>
  <c r="Z373"/>
  <c r="AS374"/>
  <c r="AS376"/>
  <c r="N377"/>
  <c r="W377"/>
  <c r="K382"/>
  <c r="V382"/>
  <c r="AS383"/>
  <c r="K384"/>
  <c r="K385"/>
  <c r="K386"/>
  <c r="K387"/>
  <c r="N388"/>
  <c r="AA388"/>
  <c r="K389"/>
  <c r="K391"/>
  <c r="Y392"/>
  <c r="K393"/>
  <c r="AS394"/>
  <c r="U395"/>
  <c r="M396"/>
  <c r="M399"/>
  <c r="K401"/>
  <c r="V402"/>
  <c r="AA408"/>
  <c r="N409"/>
  <c r="AS409"/>
  <c r="K413"/>
  <c r="K415"/>
  <c r="V415"/>
  <c r="K417"/>
  <c r="AS418"/>
  <c r="K419"/>
  <c r="V419"/>
  <c r="O420"/>
  <c r="K421"/>
  <c r="AS422"/>
  <c r="M423"/>
  <c r="Z423"/>
  <c r="N424"/>
  <c r="AS424"/>
  <c r="M426"/>
  <c r="AP426" s="1"/>
  <c r="AQ426" s="1"/>
  <c r="M428"/>
  <c r="AS429"/>
  <c r="K430"/>
  <c r="AS435"/>
  <c r="M436"/>
  <c r="O437"/>
  <c r="AS439"/>
  <c r="M440"/>
  <c r="O441"/>
  <c r="N444"/>
  <c r="AS446"/>
  <c r="AS399"/>
  <c r="V408"/>
  <c r="M420"/>
  <c r="N427"/>
  <c r="M437"/>
  <c r="U439"/>
  <c r="M441"/>
  <c r="N443"/>
  <c r="K377"/>
  <c r="Z400"/>
  <c r="Z395"/>
  <c r="Z396"/>
  <c r="W382"/>
  <c r="AA383"/>
  <c r="Y397"/>
  <c r="V400"/>
  <c r="AA411"/>
  <c r="AA374"/>
  <c r="W374"/>
  <c r="AA425"/>
  <c r="Y375"/>
  <c r="AS379"/>
  <c r="M379"/>
  <c r="AS381"/>
  <c r="M381"/>
  <c r="O394"/>
  <c r="K394"/>
  <c r="O406"/>
  <c r="K406"/>
  <c r="M411"/>
  <c r="O411"/>
  <c r="K411"/>
  <c r="M425"/>
  <c r="AS425"/>
  <c r="O425"/>
  <c r="K425"/>
  <c r="M375"/>
  <c r="U375"/>
  <c r="M376"/>
  <c r="O378"/>
  <c r="AS378"/>
  <c r="U379"/>
  <c r="AA380"/>
  <c r="AS382"/>
  <c r="AS385"/>
  <c r="O392"/>
  <c r="W393"/>
  <c r="O397"/>
  <c r="V404"/>
  <c r="N407"/>
  <c r="V407"/>
  <c r="U408"/>
  <c r="AA409"/>
  <c r="W415"/>
  <c r="AA438"/>
  <c r="AS404"/>
  <c r="N404"/>
  <c r="O414"/>
  <c r="K414"/>
  <c r="AS414"/>
  <c r="M414"/>
  <c r="M416"/>
  <c r="O416"/>
  <c r="K416"/>
  <c r="U386"/>
  <c r="V394"/>
  <c r="V406"/>
  <c r="W409"/>
  <c r="AS416"/>
  <c r="AS388"/>
  <c r="M388"/>
  <c r="O399"/>
  <c r="K399"/>
  <c r="O400"/>
  <c r="K400"/>
  <c r="Z411"/>
  <c r="U416"/>
  <c r="V431"/>
  <c r="Z432"/>
  <c r="V432"/>
  <c r="AS375"/>
  <c r="N373"/>
  <c r="K376"/>
  <c r="V376"/>
  <c r="W383"/>
  <c r="AA393"/>
  <c r="W394"/>
  <c r="AS397"/>
  <c r="W403"/>
  <c r="K404"/>
  <c r="Z406"/>
  <c r="K407"/>
  <c r="Y416"/>
  <c r="W420"/>
  <c r="W423"/>
  <c r="W424"/>
  <c r="W437"/>
  <c r="AS390"/>
  <c r="N390"/>
  <c r="W384"/>
  <c r="V384"/>
  <c r="O395"/>
  <c r="K395"/>
  <c r="O396"/>
  <c r="K396"/>
  <c r="O398"/>
  <c r="K398"/>
  <c r="AS402"/>
  <c r="M402"/>
  <c r="AS408"/>
  <c r="N408"/>
  <c r="M410"/>
  <c r="O410"/>
  <c r="K410"/>
  <c r="AS412"/>
  <c r="O412"/>
  <c r="K412"/>
  <c r="M412"/>
  <c r="V414"/>
  <c r="Z416"/>
  <c r="AA428"/>
  <c r="U385"/>
  <c r="K375"/>
  <c r="O375"/>
  <c r="Z375"/>
  <c r="O376"/>
  <c r="AA389"/>
  <c r="M373"/>
  <c r="N376"/>
  <c r="U377"/>
  <c r="K378"/>
  <c r="N379"/>
  <c r="W380"/>
  <c r="N381"/>
  <c r="V381"/>
  <c r="M385"/>
  <c r="Z385"/>
  <c r="M386"/>
  <c r="AS386"/>
  <c r="K388"/>
  <c r="K390"/>
  <c r="U390"/>
  <c r="K392"/>
  <c r="AS392"/>
  <c r="M394"/>
  <c r="Y394"/>
  <c r="K397"/>
  <c r="U397"/>
  <c r="AS400"/>
  <c r="Y401"/>
  <c r="AS401"/>
  <c r="O404"/>
  <c r="M406"/>
  <c r="U406"/>
  <c r="O407"/>
  <c r="AS407"/>
  <c r="W410"/>
  <c r="AS410"/>
  <c r="N411"/>
  <c r="W428"/>
  <c r="W429"/>
  <c r="AA427"/>
  <c r="U430"/>
  <c r="Z430"/>
  <c r="N431"/>
  <c r="U431"/>
  <c r="N432"/>
  <c r="O433"/>
  <c r="N434"/>
  <c r="N435"/>
  <c r="V440"/>
  <c r="W442"/>
  <c r="AS442"/>
  <c r="W443"/>
  <c r="Z443"/>
  <c r="AS443"/>
  <c r="AA444"/>
  <c r="N445"/>
  <c r="V445"/>
  <c r="Z445"/>
  <c r="W446"/>
  <c r="AS447"/>
  <c r="O447"/>
  <c r="U413"/>
  <c r="N417"/>
  <c r="W417"/>
  <c r="N420"/>
  <c r="N421"/>
  <c r="N422"/>
  <c r="N423"/>
  <c r="Y423"/>
  <c r="X1696"/>
  <c r="AB1696"/>
  <c r="K427"/>
  <c r="O427"/>
  <c r="Z427"/>
  <c r="AS427"/>
  <c r="Y430"/>
  <c r="M431"/>
  <c r="M432"/>
  <c r="N433"/>
  <c r="M433" s="1"/>
  <c r="U433"/>
  <c r="M434"/>
  <c r="M435"/>
  <c r="N436"/>
  <c r="V436"/>
  <c r="AA436"/>
  <c r="N437"/>
  <c r="N438"/>
  <c r="U438"/>
  <c r="O439"/>
  <c r="K442"/>
  <c r="O442"/>
  <c r="K443"/>
  <c r="O443"/>
  <c r="Y443"/>
  <c r="K444"/>
  <c r="O444"/>
  <c r="M445"/>
  <c r="U445"/>
  <c r="Y445"/>
  <c r="AS445"/>
  <c r="AA446"/>
  <c r="AS431"/>
  <c r="W432"/>
  <c r="AS432"/>
  <c r="W433"/>
  <c r="AS433"/>
  <c r="AS434"/>
  <c r="W438"/>
  <c r="W419"/>
  <c r="K431"/>
  <c r="K432"/>
  <c r="K434"/>
  <c r="K435"/>
  <c r="O435"/>
  <c r="K445"/>
  <c r="N447"/>
  <c r="Y410"/>
  <c r="AA418"/>
  <c r="AA433"/>
  <c r="Z434"/>
  <c r="Z442"/>
  <c r="V380"/>
  <c r="AA382"/>
  <c r="W389"/>
  <c r="V395"/>
  <c r="V398"/>
  <c r="V399"/>
  <c r="Z399"/>
  <c r="W405"/>
  <c r="AA405"/>
  <c r="W411"/>
  <c r="W413"/>
  <c r="U414"/>
  <c r="Y414"/>
  <c r="AA415"/>
  <c r="W422"/>
  <c r="AA422"/>
  <c r="W425"/>
  <c r="W440"/>
  <c r="W441"/>
  <c r="V430"/>
  <c r="W391"/>
  <c r="U404"/>
  <c r="U412"/>
  <c r="AA419"/>
  <c r="AA421"/>
  <c r="Z428"/>
  <c r="V435"/>
  <c r="Z435"/>
  <c r="U411" l="1"/>
  <c r="AA377"/>
  <c r="Z402"/>
  <c r="W381"/>
  <c r="AA381"/>
  <c r="Y411"/>
  <c r="Y425"/>
  <c r="Z380"/>
  <c r="V387"/>
  <c r="U389"/>
  <c r="V428"/>
  <c r="Z388"/>
  <c r="U398"/>
  <c r="Y396"/>
  <c r="U429"/>
  <c r="Y418"/>
  <c r="Z417"/>
  <c r="Y398"/>
  <c r="W400"/>
  <c r="Y402"/>
  <c r="W408"/>
  <c r="Z389"/>
  <c r="AA392"/>
  <c r="Y395"/>
  <c r="U418"/>
  <c r="U415"/>
  <c r="Y429"/>
  <c r="V389"/>
  <c r="Y444"/>
  <c r="Z424"/>
  <c r="V420"/>
  <c r="U392"/>
  <c r="Z392"/>
  <c r="Z419"/>
  <c r="Z421"/>
  <c r="AA400"/>
  <c r="U444"/>
  <c r="V424"/>
  <c r="W406"/>
  <c r="U391"/>
  <c r="V386"/>
  <c r="AA378"/>
  <c r="V421"/>
  <c r="V375"/>
  <c r="Z386"/>
  <c r="W373"/>
  <c r="Z376"/>
  <c r="Y376" s="1"/>
  <c r="Y380"/>
  <c r="W402"/>
  <c r="V416"/>
  <c r="AA373"/>
  <c r="Y435"/>
  <c r="AA402"/>
  <c r="V403"/>
  <c r="Y422"/>
  <c r="Z403"/>
  <c r="Z390"/>
  <c r="Z377"/>
  <c r="V401"/>
  <c r="U381"/>
  <c r="U421"/>
  <c r="W388"/>
  <c r="V388" s="1"/>
  <c r="AA394"/>
  <c r="Z394" s="1"/>
  <c r="AA387"/>
  <c r="Z387" s="1"/>
  <c r="V385"/>
  <c r="U435"/>
  <c r="Y427"/>
  <c r="V441"/>
  <c r="Y399"/>
  <c r="W390"/>
  <c r="V437"/>
  <c r="W412"/>
  <c r="Y432"/>
  <c r="Z378"/>
  <c r="W379"/>
  <c r="U405"/>
  <c r="AA379"/>
  <c r="Z379" s="1"/>
  <c r="U373"/>
  <c r="U422"/>
  <c r="Z407"/>
  <c r="Y378"/>
  <c r="AA434"/>
  <c r="V423"/>
  <c r="U387"/>
  <c r="W398"/>
  <c r="U374"/>
  <c r="Y387"/>
  <c r="AA398"/>
  <c r="Y403"/>
  <c r="Y383"/>
  <c r="AA401"/>
  <c r="Y393"/>
  <c r="U403"/>
  <c r="W414"/>
  <c r="U394"/>
  <c r="V378"/>
  <c r="U378" s="1"/>
  <c r="Z418"/>
  <c r="Z408"/>
  <c r="Y408" s="1"/>
  <c r="U382"/>
  <c r="U383"/>
  <c r="U424"/>
  <c r="Z415"/>
  <c r="Y415" s="1"/>
  <c r="V373"/>
  <c r="Y424"/>
  <c r="W395"/>
  <c r="Z382"/>
  <c r="Y382" s="1"/>
  <c r="Z412"/>
  <c r="AA396"/>
  <c r="W396"/>
  <c r="V383"/>
  <c r="Y373"/>
  <c r="Y400"/>
  <c r="Z374"/>
  <c r="Y374" s="1"/>
  <c r="W416"/>
  <c r="Z413"/>
  <c r="Y405"/>
  <c r="Y381"/>
  <c r="U443"/>
  <c r="Z429"/>
  <c r="Z409"/>
  <c r="V438"/>
  <c r="V393"/>
  <c r="Z438"/>
  <c r="Y406"/>
  <c r="U407"/>
  <c r="V429"/>
  <c r="V409"/>
  <c r="Y419"/>
  <c r="V397"/>
  <c r="Z393"/>
  <c r="W378"/>
  <c r="Y413"/>
  <c r="V413"/>
  <c r="U388"/>
  <c r="AA416"/>
  <c r="U428"/>
  <c r="V405"/>
  <c r="Z422"/>
  <c r="Z405"/>
  <c r="W399"/>
  <c r="Z391"/>
  <c r="U409"/>
  <c r="V391"/>
  <c r="W397"/>
  <c r="AA399"/>
  <c r="Y428"/>
  <c r="AA406"/>
  <c r="V425"/>
  <c r="V411"/>
  <c r="Y409"/>
  <c r="V410"/>
  <c r="Z414"/>
  <c r="U442"/>
  <c r="W431"/>
  <c r="AA431"/>
  <c r="AA439"/>
  <c r="W439"/>
  <c r="U437"/>
  <c r="V427"/>
  <c r="V412"/>
  <c r="U441"/>
  <c r="Y437"/>
  <c r="Y438"/>
  <c r="Y420"/>
  <c r="U420"/>
  <c r="AA410"/>
  <c r="W435"/>
  <c r="AA407"/>
  <c r="W376"/>
  <c r="Y433"/>
  <c r="Z425"/>
  <c r="Z410"/>
  <c r="U402"/>
  <c r="AA376"/>
  <c r="V444"/>
  <c r="Z444"/>
  <c r="V439"/>
  <c r="Z439"/>
  <c r="Y439" s="1"/>
  <c r="Y417"/>
  <c r="U417"/>
  <c r="AA404"/>
  <c r="Y377"/>
  <c r="AA385"/>
  <c r="AA435"/>
  <c r="U432"/>
  <c r="W404"/>
  <c r="V442"/>
  <c r="U423"/>
  <c r="Y421"/>
  <c r="W444"/>
  <c r="AA412"/>
  <c r="AA386"/>
  <c r="AA375"/>
  <c r="Z404"/>
  <c r="W386"/>
  <c r="W385"/>
  <c r="W375"/>
  <c r="U434"/>
  <c r="Y434"/>
  <c r="Y431"/>
  <c r="W427"/>
  <c r="Z381"/>
  <c r="Y379"/>
  <c r="W434"/>
  <c r="U401"/>
  <c r="W407"/>
  <c r="V443"/>
  <c r="V379"/>
  <c r="AA432"/>
  <c r="Z433"/>
  <c r="N372"/>
  <c r="M372" s="1"/>
  <c r="B372"/>
  <c r="B371"/>
  <c r="N370"/>
  <c r="B370"/>
  <c r="O369"/>
  <c r="B369"/>
  <c r="B368"/>
  <c r="AA367"/>
  <c r="N367"/>
  <c r="B367"/>
  <c r="Z366"/>
  <c r="Y366"/>
  <c r="B366"/>
  <c r="Y365"/>
  <c r="AA365"/>
  <c r="Z365"/>
  <c r="N365"/>
  <c r="B365"/>
  <c r="M364"/>
  <c r="B364"/>
  <c r="M363"/>
  <c r="B363"/>
  <c r="O362"/>
  <c r="N364" l="1"/>
  <c r="O367"/>
  <c r="U1696"/>
  <c r="AA1696"/>
  <c r="V1696"/>
  <c r="Z1696"/>
  <c r="Y1696"/>
  <c r="AS366"/>
  <c r="K367"/>
  <c r="M367"/>
  <c r="N362"/>
  <c r="M362" s="1"/>
  <c r="AS363"/>
  <c r="AS369"/>
  <c r="AS368"/>
  <c r="N369"/>
  <c r="Z367"/>
  <c r="K366"/>
  <c r="O366"/>
  <c r="V366"/>
  <c r="K368"/>
  <c r="M369"/>
  <c r="O372"/>
  <c r="K362"/>
  <c r="N366"/>
  <c r="U366"/>
  <c r="AS364"/>
  <c r="AS362"/>
  <c r="N363"/>
  <c r="K364"/>
  <c r="O364"/>
  <c r="M365"/>
  <c r="M366"/>
  <c r="AS367"/>
  <c r="O368"/>
  <c r="K369"/>
  <c r="AS371"/>
  <c r="K372"/>
  <c r="W372"/>
  <c r="W1696"/>
  <c r="V363"/>
  <c r="Z363"/>
  <c r="U365"/>
  <c r="AA369"/>
  <c r="W369"/>
  <c r="U371"/>
  <c r="Y371"/>
  <c r="M370"/>
  <c r="M371"/>
  <c r="W364"/>
  <c r="AS370"/>
  <c r="AA363"/>
  <c r="K363"/>
  <c r="O363"/>
  <c r="K365"/>
  <c r="O365"/>
  <c r="AS365"/>
  <c r="AA366"/>
  <c r="N368"/>
  <c r="K370"/>
  <c r="O370"/>
  <c r="K371"/>
  <c r="O371"/>
  <c r="V371"/>
  <c r="M368"/>
  <c r="N371"/>
  <c r="AS372"/>
  <c r="W366"/>
  <c r="AA364"/>
  <c r="U370"/>
  <c r="Y370"/>
  <c r="W367"/>
  <c r="B362"/>
  <c r="B361"/>
  <c r="N360"/>
  <c r="B360"/>
  <c r="O359"/>
  <c r="B359"/>
  <c r="O358"/>
  <c r="B358"/>
  <c r="N357"/>
  <c r="B357"/>
  <c r="B356"/>
  <c r="W355"/>
  <c r="O355"/>
  <c r="B355"/>
  <c r="N354"/>
  <c r="B354"/>
  <c r="O353"/>
  <c r="B353"/>
  <c r="W352"/>
  <c r="N352"/>
  <c r="B352"/>
  <c r="B351"/>
  <c r="N350"/>
  <c r="B350"/>
  <c r="K349"/>
  <c r="B349"/>
  <c r="U363" l="1"/>
  <c r="W362"/>
  <c r="AA362"/>
  <c r="Z362"/>
  <c r="V369"/>
  <c r="U364"/>
  <c r="Y364"/>
  <c r="Z364"/>
  <c r="U369"/>
  <c r="Y369"/>
  <c r="V364"/>
  <c r="Z369"/>
  <c r="N358"/>
  <c r="Y363"/>
  <c r="U367"/>
  <c r="AA371"/>
  <c r="V367"/>
  <c r="Y367"/>
  <c r="Z368"/>
  <c r="V368"/>
  <c r="N349"/>
  <c r="AS351"/>
  <c r="W368"/>
  <c r="M357"/>
  <c r="W371"/>
  <c r="M352"/>
  <c r="AS356"/>
  <c r="M358"/>
  <c r="AS361"/>
  <c r="N355"/>
  <c r="U358"/>
  <c r="Z372"/>
  <c r="M351"/>
  <c r="M355"/>
  <c r="AA372"/>
  <c r="M349"/>
  <c r="N353"/>
  <c r="M353" s="1"/>
  <c r="M354"/>
  <c r="V365"/>
  <c r="U349"/>
  <c r="N356"/>
  <c r="K357"/>
  <c r="O357"/>
  <c r="Z357"/>
  <c r="Z349"/>
  <c r="M350"/>
  <c r="AS355"/>
  <c r="M356"/>
  <c r="U356"/>
  <c r="K358"/>
  <c r="V358"/>
  <c r="M360"/>
  <c r="AS360"/>
  <c r="N359"/>
  <c r="K352"/>
  <c r="O352"/>
  <c r="V352"/>
  <c r="AS349"/>
  <c r="AS352"/>
  <c r="U352"/>
  <c r="K355"/>
  <c r="AS357"/>
  <c r="AS358"/>
  <c r="M359"/>
  <c r="Y359"/>
  <c r="Z370"/>
  <c r="V372"/>
  <c r="AS359"/>
  <c r="V370"/>
  <c r="Y372"/>
  <c r="U372"/>
  <c r="Y368"/>
  <c r="U368"/>
  <c r="AA352"/>
  <c r="W365"/>
  <c r="Z356"/>
  <c r="W358"/>
  <c r="W357"/>
  <c r="W370"/>
  <c r="AA368"/>
  <c r="AS350"/>
  <c r="W351"/>
  <c r="AS353"/>
  <c r="AS354"/>
  <c r="K361"/>
  <c r="O361"/>
  <c r="W363"/>
  <c r="AA361"/>
  <c r="W354"/>
  <c r="K350"/>
  <c r="O351"/>
  <c r="O354"/>
  <c r="AA356"/>
  <c r="K360"/>
  <c r="O360"/>
  <c r="N361"/>
  <c r="AA370"/>
  <c r="AA358"/>
  <c r="Z352"/>
  <c r="O350"/>
  <c r="K351"/>
  <c r="K353"/>
  <c r="K354"/>
  <c r="O349"/>
  <c r="N351"/>
  <c r="K356"/>
  <c r="O356"/>
  <c r="AA357"/>
  <c r="K359"/>
  <c r="M361"/>
  <c r="V362"/>
  <c r="Z371"/>
  <c r="U354"/>
  <c r="AA355"/>
  <c r="V353"/>
  <c r="Y354"/>
  <c r="U351"/>
  <c r="U350"/>
  <c r="Y350"/>
  <c r="Z353"/>
  <c r="Y360"/>
  <c r="Y351"/>
  <c r="V359"/>
  <c r="Z359"/>
  <c r="W349" l="1"/>
  <c r="U353"/>
  <c r="Z358"/>
  <c r="U362"/>
  <c r="Y362"/>
  <c r="V349"/>
  <c r="V357"/>
  <c r="Y353"/>
  <c r="AA349"/>
  <c r="Y349"/>
  <c r="W360"/>
  <c r="Y358"/>
  <c r="Z355"/>
  <c r="U355"/>
  <c r="Y355"/>
  <c r="Y357"/>
  <c r="U357"/>
  <c r="V355"/>
  <c r="W359"/>
  <c r="AA359"/>
  <c r="AA360"/>
  <c r="Y352"/>
  <c r="Y356"/>
  <c r="W356"/>
  <c r="V356" s="1"/>
  <c r="V360"/>
  <c r="U360" s="1"/>
  <c r="Z360"/>
  <c r="W361"/>
  <c r="Z351"/>
  <c r="V351"/>
  <c r="U361"/>
  <c r="U359"/>
  <c r="W350"/>
  <c r="Y361"/>
  <c r="AA353"/>
  <c r="W353"/>
  <c r="V361"/>
  <c r="AA350"/>
  <c r="AA354"/>
  <c r="V354"/>
  <c r="V350"/>
  <c r="Z361"/>
  <c r="Z350"/>
  <c r="AA351"/>
  <c r="Z354"/>
  <c r="U348"/>
  <c r="B348"/>
  <c r="M347"/>
  <c r="B347"/>
  <c r="B346"/>
  <c r="W345"/>
  <c r="M345"/>
  <c r="B345"/>
  <c r="K345" l="1"/>
  <c r="O345"/>
  <c r="AS345"/>
  <c r="N345"/>
  <c r="K347"/>
  <c r="V347"/>
  <c r="AS347"/>
  <c r="AS346"/>
  <c r="O347"/>
  <c r="AS348"/>
  <c r="K346"/>
  <c r="O346"/>
  <c r="N347"/>
  <c r="K348"/>
  <c r="N346"/>
  <c r="O348"/>
  <c r="Z348"/>
  <c r="Y348" s="1"/>
  <c r="M346"/>
  <c r="N348"/>
  <c r="M348" s="1"/>
  <c r="W346"/>
  <c r="W347"/>
  <c r="AA346"/>
  <c r="AA347"/>
  <c r="AA345"/>
  <c r="Z347" l="1"/>
  <c r="V345"/>
  <c r="Z345"/>
  <c r="Y345"/>
  <c r="U345"/>
  <c r="Y346"/>
  <c r="U347"/>
  <c r="W348"/>
  <c r="AA348"/>
  <c r="Z346"/>
  <c r="V346"/>
  <c r="U346"/>
  <c r="Y347"/>
  <c r="V348"/>
  <c r="B344"/>
  <c r="O343"/>
  <c r="B343"/>
  <c r="N342"/>
  <c r="B342"/>
  <c r="AS343" l="1"/>
  <c r="Z342"/>
  <c r="K342"/>
  <c r="N343"/>
  <c r="O342"/>
  <c r="M343"/>
  <c r="AS344"/>
  <c r="Y343"/>
  <c r="AS342"/>
  <c r="Z343"/>
  <c r="AA342"/>
  <c r="W342"/>
  <c r="V343"/>
  <c r="M342"/>
  <c r="W343"/>
  <c r="K344"/>
  <c r="O344"/>
  <c r="W344"/>
  <c r="K343"/>
  <c r="N344"/>
  <c r="M344"/>
  <c r="AA341"/>
  <c r="B341"/>
  <c r="B340"/>
  <c r="K339"/>
  <c r="B339"/>
  <c r="B338"/>
  <c r="Z337"/>
  <c r="AA337"/>
  <c r="M337"/>
  <c r="B337"/>
  <c r="O336"/>
  <c r="B336"/>
  <c r="U335"/>
  <c r="N335"/>
  <c r="B335"/>
  <c r="AA334"/>
  <c r="Z334"/>
  <c r="Y334"/>
  <c r="V334"/>
  <c r="O334"/>
  <c r="B334"/>
  <c r="AA333"/>
  <c r="M333"/>
  <c r="B333"/>
  <c r="U343" l="1"/>
  <c r="V342"/>
  <c r="Y342"/>
  <c r="AA344"/>
  <c r="U342"/>
  <c r="O337"/>
  <c r="AS338"/>
  <c r="AS340"/>
  <c r="AS341"/>
  <c r="O333"/>
  <c r="K333"/>
  <c r="K337"/>
  <c r="V337"/>
  <c r="N341"/>
  <c r="M341" s="1"/>
  <c r="AP341" s="1"/>
  <c r="AQ341" s="1"/>
  <c r="K335"/>
  <c r="AS335"/>
  <c r="AS337"/>
  <c r="N337"/>
  <c r="O339"/>
  <c r="N339" s="1"/>
  <c r="Y340"/>
  <c r="Z333"/>
  <c r="O335"/>
  <c r="M339"/>
  <c r="AP339" s="1"/>
  <c r="AQ339" s="1"/>
  <c r="U339"/>
  <c r="AS333"/>
  <c r="AS339"/>
  <c r="Z338"/>
  <c r="V338"/>
  <c r="N333"/>
  <c r="N334"/>
  <c r="M335"/>
  <c r="N336"/>
  <c r="Y337"/>
  <c r="N338"/>
  <c r="O340"/>
  <c r="K341"/>
  <c r="M334"/>
  <c r="AS334"/>
  <c r="W335"/>
  <c r="M336"/>
  <c r="AS336"/>
  <c r="M338"/>
  <c r="N340"/>
  <c r="M340" s="1"/>
  <c r="O341"/>
  <c r="V344"/>
  <c r="U344" s="1"/>
  <c r="AA343"/>
  <c r="K334"/>
  <c r="K336"/>
  <c r="K338"/>
  <c r="O338"/>
  <c r="K340"/>
  <c r="W340"/>
  <c r="AA340"/>
  <c r="W333"/>
  <c r="Y335"/>
  <c r="W337"/>
  <c r="U334"/>
  <c r="V336"/>
  <c r="Z336"/>
  <c r="W341"/>
  <c r="N332"/>
  <c r="M332" s="1"/>
  <c r="V335" l="1"/>
  <c r="W339"/>
  <c r="Z335"/>
  <c r="Y336"/>
  <c r="Y339"/>
  <c r="AA339"/>
  <c r="U336"/>
  <c r="Z340"/>
  <c r="U340"/>
  <c r="V340"/>
  <c r="V333"/>
  <c r="U337"/>
  <c r="U341"/>
  <c r="AS332"/>
  <c r="Z332"/>
  <c r="Z339"/>
  <c r="V339"/>
  <c r="AA332"/>
  <c r="W332"/>
  <c r="AA338"/>
  <c r="AA335"/>
  <c r="Y333"/>
  <c r="U333"/>
  <c r="O332"/>
  <c r="W336"/>
  <c r="W338"/>
  <c r="W334"/>
  <c r="Y338"/>
  <c r="K332"/>
  <c r="AA336"/>
  <c r="U338"/>
  <c r="Z341"/>
  <c r="Y341" s="1"/>
  <c r="V341"/>
  <c r="B332"/>
  <c r="M331"/>
  <c r="B331"/>
  <c r="O330"/>
  <c r="B330"/>
  <c r="B329"/>
  <c r="N328"/>
  <c r="B328"/>
  <c r="O327"/>
  <c r="B327"/>
  <c r="O326"/>
  <c r="B326"/>
  <c r="B325"/>
  <c r="N324"/>
  <c r="M324" s="1"/>
  <c r="B324"/>
  <c r="O323"/>
  <c r="B323"/>
  <c r="M322"/>
  <c r="B322"/>
  <c r="K324" l="1"/>
  <c r="V332"/>
  <c r="U332"/>
  <c r="Y332"/>
  <c r="N323"/>
  <c r="AS329"/>
  <c r="AS323"/>
  <c r="M329"/>
  <c r="M323"/>
  <c r="U323"/>
  <c r="N326"/>
  <c r="K331"/>
  <c r="AS331"/>
  <c r="O331"/>
  <c r="AS324"/>
  <c r="N331"/>
  <c r="K323"/>
  <c r="V323"/>
  <c r="AS325"/>
  <c r="M328"/>
  <c r="Y326"/>
  <c r="Z327"/>
  <c r="W325"/>
  <c r="AA325"/>
  <c r="W323"/>
  <c r="K325"/>
  <c r="O325"/>
  <c r="N327"/>
  <c r="AS327"/>
  <c r="K328"/>
  <c r="O328"/>
  <c r="V328"/>
  <c r="AS328"/>
  <c r="K329"/>
  <c r="O329"/>
  <c r="N330"/>
  <c r="U330"/>
  <c r="AA322"/>
  <c r="AS322"/>
  <c r="K322"/>
  <c r="O322"/>
  <c r="N322"/>
  <c r="O324"/>
  <c r="N325"/>
  <c r="M326"/>
  <c r="AS326"/>
  <c r="M327"/>
  <c r="U328"/>
  <c r="N329"/>
  <c r="M330"/>
  <c r="AS330"/>
  <c r="AA323"/>
  <c r="M325"/>
  <c r="W326"/>
  <c r="AA330"/>
  <c r="K326"/>
  <c r="K327"/>
  <c r="K330"/>
  <c r="W328"/>
  <c r="AA328"/>
  <c r="Z326"/>
  <c r="AA331"/>
  <c r="V326"/>
  <c r="V327"/>
  <c r="Z331"/>
  <c r="Y331"/>
  <c r="W329"/>
  <c r="AA329"/>
  <c r="V330"/>
  <c r="Z330"/>
  <c r="W331"/>
  <c r="M321"/>
  <c r="B321"/>
  <c r="W320"/>
  <c r="M320"/>
  <c r="B320"/>
  <c r="O319"/>
  <c r="B319"/>
  <c r="M318"/>
  <c r="B318"/>
  <c r="AA317"/>
  <c r="M317"/>
  <c r="B317"/>
  <c r="M316"/>
  <c r="B316"/>
  <c r="O315"/>
  <c r="B315"/>
  <c r="N314"/>
  <c r="B314"/>
  <c r="V311"/>
  <c r="O311"/>
  <c r="B311"/>
  <c r="N310"/>
  <c r="B310"/>
  <c r="M309"/>
  <c r="B309"/>
  <c r="O308"/>
  <c r="B308"/>
  <c r="B307"/>
  <c r="B306"/>
  <c r="M305"/>
  <c r="B305"/>
  <c r="M304"/>
  <c r="B304"/>
  <c r="B303"/>
  <c r="V325" l="1"/>
  <c r="Z323"/>
  <c r="Z325"/>
  <c r="U331"/>
  <c r="V329"/>
  <c r="AA324"/>
  <c r="W324"/>
  <c r="Z324"/>
  <c r="Z322"/>
  <c r="Y323"/>
  <c r="U326"/>
  <c r="V322"/>
  <c r="Y325"/>
  <c r="Z329"/>
  <c r="N308"/>
  <c r="U325"/>
  <c r="V331"/>
  <c r="O320"/>
  <c r="O310"/>
  <c r="AS305"/>
  <c r="AS308"/>
  <c r="U308"/>
  <c r="K310"/>
  <c r="O314"/>
  <c r="AS309"/>
  <c r="U309"/>
  <c r="K319"/>
  <c r="AS307"/>
  <c r="N309"/>
  <c r="K314"/>
  <c r="N319"/>
  <c r="AS306"/>
  <c r="N307"/>
  <c r="K309"/>
  <c r="O309"/>
  <c r="AS303"/>
  <c r="K307"/>
  <c r="K304"/>
  <c r="O304"/>
  <c r="AS304"/>
  <c r="N304"/>
  <c r="O305"/>
  <c r="K306"/>
  <c r="O307"/>
  <c r="M308"/>
  <c r="M314"/>
  <c r="K317"/>
  <c r="AS320"/>
  <c r="Z307"/>
  <c r="AS310"/>
  <c r="U310"/>
  <c r="N311"/>
  <c r="N315"/>
  <c r="M315" s="1"/>
  <c r="AS317"/>
  <c r="O317"/>
  <c r="AS319"/>
  <c r="Y319"/>
  <c r="K320"/>
  <c r="V320"/>
  <c r="K321"/>
  <c r="K305"/>
  <c r="O306"/>
  <c r="Y307"/>
  <c r="K308"/>
  <c r="AS315"/>
  <c r="N317"/>
  <c r="O321"/>
  <c r="N321"/>
  <c r="Y329"/>
  <c r="W322"/>
  <c r="W327"/>
  <c r="U329"/>
  <c r="AA327"/>
  <c r="W321"/>
  <c r="AA308"/>
  <c r="W305"/>
  <c r="W309"/>
  <c r="AA307"/>
  <c r="AA310"/>
  <c r="AA321"/>
  <c r="AA326"/>
  <c r="Z328"/>
  <c r="AA303"/>
  <c r="W316"/>
  <c r="AS318"/>
  <c r="N320"/>
  <c r="U320"/>
  <c r="W310"/>
  <c r="U324"/>
  <c r="Y328"/>
  <c r="V324"/>
  <c r="U322"/>
  <c r="Y322"/>
  <c r="K303"/>
  <c r="O303"/>
  <c r="N305"/>
  <c r="Y305"/>
  <c r="N306"/>
  <c r="M307"/>
  <c r="AA309"/>
  <c r="M310"/>
  <c r="M311"/>
  <c r="AS311"/>
  <c r="AS314"/>
  <c r="K316"/>
  <c r="O316"/>
  <c r="V316"/>
  <c r="K318"/>
  <c r="O318"/>
  <c r="M319"/>
  <c r="AS321"/>
  <c r="U327"/>
  <c r="Y330"/>
  <c r="N303"/>
  <c r="M306"/>
  <c r="K315"/>
  <c r="N316"/>
  <c r="AS316"/>
  <c r="N318"/>
  <c r="W330"/>
  <c r="Y324"/>
  <c r="M303"/>
  <c r="K311"/>
  <c r="Y327"/>
  <c r="Z311"/>
  <c r="W317"/>
  <c r="U314"/>
  <c r="W304"/>
  <c r="AA304"/>
  <c r="AA305"/>
  <c r="W306"/>
  <c r="AA306"/>
  <c r="W308"/>
  <c r="Y314"/>
  <c r="Y318"/>
  <c r="W319"/>
  <c r="AA319"/>
  <c r="AA320"/>
  <c r="W307"/>
  <c r="Z314"/>
  <c r="W315"/>
  <c r="AA315"/>
  <c r="Z302"/>
  <c r="Y302"/>
  <c r="N302"/>
  <c r="M302" s="1"/>
  <c r="B302"/>
  <c r="M301"/>
  <c r="B301"/>
  <c r="N300"/>
  <c r="B300"/>
  <c r="N299"/>
  <c r="B299"/>
  <c r="M298"/>
  <c r="B298"/>
  <c r="Y297"/>
  <c r="W297"/>
  <c r="N297"/>
  <c r="B297"/>
  <c r="B296"/>
  <c r="O295"/>
  <c r="B295"/>
  <c r="V294"/>
  <c r="O294"/>
  <c r="B294"/>
  <c r="O293"/>
  <c r="B293"/>
  <c r="Z292"/>
  <c r="O292"/>
  <c r="B292"/>
  <c r="O291"/>
  <c r="B291"/>
  <c r="O290"/>
  <c r="B290"/>
  <c r="M289"/>
  <c r="B289"/>
  <c r="N288"/>
  <c r="B288"/>
  <c r="N287"/>
  <c r="B287"/>
  <c r="O286"/>
  <c r="B286"/>
  <c r="M285"/>
  <c r="B285"/>
  <c r="N284"/>
  <c r="B284"/>
  <c r="O283"/>
  <c r="B283"/>
  <c r="Z282"/>
  <c r="O282"/>
  <c r="B282"/>
  <c r="M281"/>
  <c r="B281"/>
  <c r="AA280"/>
  <c r="K280"/>
  <c r="B280"/>
  <c r="AA279"/>
  <c r="Z279"/>
  <c r="Y279" s="1"/>
  <c r="W279"/>
  <c r="V279"/>
  <c r="U279"/>
  <c r="N279"/>
  <c r="B279"/>
  <c r="N278"/>
  <c r="B278"/>
  <c r="Y277"/>
  <c r="M277"/>
  <c r="B277"/>
  <c r="B276"/>
  <c r="O275"/>
  <c r="B275"/>
  <c r="M274"/>
  <c r="B274"/>
  <c r="O273"/>
  <c r="B273"/>
  <c r="Y272"/>
  <c r="M272"/>
  <c r="B272"/>
  <c r="B271"/>
  <c r="O270"/>
  <c r="B270"/>
  <c r="Y269"/>
  <c r="O269"/>
  <c r="B269"/>
  <c r="V268"/>
  <c r="O268"/>
  <c r="B268"/>
  <c r="M267"/>
  <c r="B267"/>
  <c r="W266"/>
  <c r="M266"/>
  <c r="B266"/>
  <c r="M265"/>
  <c r="B265"/>
  <c r="N264"/>
  <c r="B264"/>
  <c r="W263"/>
  <c r="M263"/>
  <c r="B263"/>
  <c r="U262"/>
  <c r="N262"/>
  <c r="B262"/>
  <c r="M261"/>
  <c r="B261"/>
  <c r="O260"/>
  <c r="B260"/>
  <c r="W259"/>
  <c r="B259"/>
  <c r="AA258"/>
  <c r="Z258" s="1"/>
  <c r="Y258" s="1"/>
  <c r="B258"/>
  <c r="N257"/>
  <c r="B257"/>
  <c r="AA256"/>
  <c r="Z256"/>
  <c r="Y256"/>
  <c r="B256"/>
  <c r="M255"/>
  <c r="B255"/>
  <c r="B254"/>
  <c r="M253"/>
  <c r="B253"/>
  <c r="AA252"/>
  <c r="N252"/>
  <c r="B252"/>
  <c r="M251"/>
  <c r="B251"/>
  <c r="N250"/>
  <c r="B250"/>
  <c r="M249"/>
  <c r="B249"/>
  <c r="O248"/>
  <c r="B248"/>
  <c r="O247"/>
  <c r="B247"/>
  <c r="AA246"/>
  <c r="N246"/>
  <c r="B246"/>
  <c r="N245"/>
  <c r="B245"/>
  <c r="Y244"/>
  <c r="AA244"/>
  <c r="Z244"/>
  <c r="W244"/>
  <c r="U244"/>
  <c r="N244"/>
  <c r="M244" s="1"/>
  <c r="B244"/>
  <c r="K243"/>
  <c r="B243"/>
  <c r="B242"/>
  <c r="N241"/>
  <c r="B241"/>
  <c r="O240"/>
  <c r="B240"/>
  <c r="B239"/>
  <c r="AA238"/>
  <c r="K238"/>
  <c r="B238"/>
  <c r="B237"/>
  <c r="M236"/>
  <c r="B236"/>
  <c r="B235"/>
  <c r="M234"/>
  <c r="B234"/>
  <c r="AA233"/>
  <c r="B233"/>
  <c r="Y232"/>
  <c r="N232"/>
  <c r="B232"/>
  <c r="N231"/>
  <c r="B231"/>
  <c r="W230"/>
  <c r="B230"/>
  <c r="M229"/>
  <c r="B229"/>
  <c r="Z228"/>
  <c r="Y228" s="1"/>
  <c r="B228"/>
  <c r="Z227"/>
  <c r="Y227" s="1"/>
  <c r="O227"/>
  <c r="B227"/>
  <c r="AA226"/>
  <c r="Y226"/>
  <c r="N226"/>
  <c r="B226"/>
  <c r="M225"/>
  <c r="B225"/>
  <c r="N224"/>
  <c r="B224"/>
  <c r="B223"/>
  <c r="B222"/>
  <c r="B221"/>
  <c r="B220"/>
  <c r="N219"/>
  <c r="B219"/>
  <c r="M218"/>
  <c r="B218"/>
  <c r="B217"/>
  <c r="N216"/>
  <c r="B216"/>
  <c r="N215"/>
  <c r="B215"/>
  <c r="M214"/>
  <c r="B214"/>
  <c r="W213"/>
  <c r="N213"/>
  <c r="B213"/>
  <c r="N212"/>
  <c r="B212"/>
  <c r="B211"/>
  <c r="K210"/>
  <c r="B210"/>
  <c r="O209"/>
  <c r="B209"/>
  <c r="N208"/>
  <c r="B208"/>
  <c r="N207"/>
  <c r="B207"/>
  <c r="B206"/>
  <c r="M205"/>
  <c r="B205"/>
  <c r="AA204"/>
  <c r="B204"/>
  <c r="N203"/>
  <c r="B203"/>
  <c r="N202"/>
  <c r="B202"/>
  <c r="B201"/>
  <c r="N200"/>
  <c r="B200"/>
  <c r="B199"/>
  <c r="AA198"/>
  <c r="N198"/>
  <c r="B198"/>
  <c r="B197"/>
  <c r="N196"/>
  <c r="B196"/>
  <c r="M195"/>
  <c r="B195"/>
  <c r="Y194"/>
  <c r="M194"/>
  <c r="B194"/>
  <c r="M193"/>
  <c r="B193"/>
  <c r="B192"/>
  <c r="N191"/>
  <c r="B191"/>
  <c r="B190"/>
  <c r="B189"/>
  <c r="AA188"/>
  <c r="B188"/>
  <c r="K187"/>
  <c r="B187"/>
  <c r="M186"/>
  <c r="B186"/>
  <c r="M185"/>
  <c r="B185"/>
  <c r="M184"/>
  <c r="B184"/>
  <c r="M183"/>
  <c r="B183"/>
  <c r="W182"/>
  <c r="M182"/>
  <c r="B182"/>
  <c r="K181"/>
  <c r="B181"/>
  <c r="M180"/>
  <c r="B180"/>
  <c r="B179"/>
  <c r="M178"/>
  <c r="B178"/>
  <c r="O177"/>
  <c r="B177"/>
  <c r="O176"/>
  <c r="B176"/>
  <c r="Z310" l="1"/>
  <c r="Z315"/>
  <c r="V292"/>
  <c r="Y208"/>
  <c r="U317"/>
  <c r="Y317"/>
  <c r="Z317"/>
  <c r="K299"/>
  <c r="V306"/>
  <c r="V315"/>
  <c r="U307"/>
  <c r="Z304"/>
  <c r="V307"/>
  <c r="V310"/>
  <c r="V304"/>
  <c r="Y310"/>
  <c r="Z309"/>
  <c r="V314"/>
  <c r="U311"/>
  <c r="Z306"/>
  <c r="Z318"/>
  <c r="W303"/>
  <c r="Y311"/>
  <c r="V318"/>
  <c r="U318" s="1"/>
  <c r="V305"/>
  <c r="V317"/>
  <c r="Y306"/>
  <c r="Z321"/>
  <c r="Z320"/>
  <c r="Y315"/>
  <c r="Y304"/>
  <c r="Z319"/>
  <c r="V319"/>
  <c r="V321"/>
  <c r="U321"/>
  <c r="Y309"/>
  <c r="U304"/>
  <c r="U319"/>
  <c r="Y321"/>
  <c r="Y308"/>
  <c r="U315"/>
  <c r="V309"/>
  <c r="V308"/>
  <c r="O251"/>
  <c r="K283"/>
  <c r="K262"/>
  <c r="Z305"/>
  <c r="Z308"/>
  <c r="Y184"/>
  <c r="N209"/>
  <c r="AS239"/>
  <c r="K267"/>
  <c r="O182"/>
  <c r="N205"/>
  <c r="AS271"/>
  <c r="N238"/>
  <c r="AS236"/>
  <c r="O236"/>
  <c r="N267"/>
  <c r="O261"/>
  <c r="AS276"/>
  <c r="O280"/>
  <c r="AS184"/>
  <c r="AS214"/>
  <c r="K255"/>
  <c r="M262"/>
  <c r="N184"/>
  <c r="K205"/>
  <c r="K209"/>
  <c r="N214"/>
  <c r="N248"/>
  <c r="N255"/>
  <c r="N240"/>
  <c r="AS251"/>
  <c r="V267"/>
  <c r="O287"/>
  <c r="K288"/>
  <c r="N290"/>
  <c r="K301"/>
  <c r="AS301"/>
  <c r="O301"/>
  <c r="K240"/>
  <c r="N251"/>
  <c r="K253"/>
  <c r="O262"/>
  <c r="K287"/>
  <c r="O288"/>
  <c r="N301"/>
  <c r="K302"/>
  <c r="Z316"/>
  <c r="V271"/>
  <c r="AS275"/>
  <c r="AS253"/>
  <c r="K178"/>
  <c r="AS201"/>
  <c r="M213"/>
  <c r="AS223"/>
  <c r="N225"/>
  <c r="W226"/>
  <c r="N227"/>
  <c r="M227" s="1"/>
  <c r="AP227" s="1"/>
  <c r="N236"/>
  <c r="N243"/>
  <c r="O246"/>
  <c r="M248"/>
  <c r="K251"/>
  <c r="N253"/>
  <c r="M264"/>
  <c r="M271"/>
  <c r="N293"/>
  <c r="N294"/>
  <c r="N295"/>
  <c r="K297"/>
  <c r="O302"/>
  <c r="AS202"/>
  <c r="O297"/>
  <c r="O299"/>
  <c r="N178"/>
  <c r="AS188"/>
  <c r="O198"/>
  <c r="K202"/>
  <c r="K213"/>
  <c r="V213"/>
  <c r="K225"/>
  <c r="K236"/>
  <c r="K248"/>
  <c r="V248"/>
  <c r="K264"/>
  <c r="O264"/>
  <c r="K271"/>
  <c r="N275"/>
  <c r="AS280"/>
  <c r="AS286"/>
  <c r="M287"/>
  <c r="M297"/>
  <c r="V297"/>
  <c r="M299"/>
  <c r="O300"/>
  <c r="AS261"/>
  <c r="M268"/>
  <c r="O271"/>
  <c r="Z280"/>
  <c r="N289"/>
  <c r="AS180"/>
  <c r="K177"/>
  <c r="Z177"/>
  <c r="K182"/>
  <c r="K184"/>
  <c r="O184"/>
  <c r="Z184"/>
  <c r="O186"/>
  <c r="O195"/>
  <c r="K198"/>
  <c r="M203"/>
  <c r="O210"/>
  <c r="N210" s="1"/>
  <c r="O213"/>
  <c r="K214"/>
  <c r="O214"/>
  <c r="V214"/>
  <c r="AS216"/>
  <c r="O224"/>
  <c r="M226"/>
  <c r="AP226" s="1"/>
  <c r="AS228"/>
  <c r="AS238"/>
  <c r="Z240"/>
  <c r="AS243"/>
  <c r="K246"/>
  <c r="N247"/>
  <c r="M250"/>
  <c r="O252"/>
  <c r="O253"/>
  <c r="M257"/>
  <c r="AS259"/>
  <c r="N260"/>
  <c r="K261"/>
  <c r="AS262"/>
  <c r="AS264"/>
  <c r="K265"/>
  <c r="AS265"/>
  <c r="AS267"/>
  <c r="O267"/>
  <c r="N268"/>
  <c r="N271"/>
  <c r="K272"/>
  <c r="O272"/>
  <c r="V272"/>
  <c r="K274"/>
  <c r="O274"/>
  <c r="M275"/>
  <c r="K277"/>
  <c r="O277"/>
  <c r="V277"/>
  <c r="N280"/>
  <c r="K281"/>
  <c r="O281"/>
  <c r="Z281"/>
  <c r="K285"/>
  <c r="O285"/>
  <c r="V285"/>
  <c r="AS287"/>
  <c r="AS296"/>
  <c r="N298"/>
  <c r="AS299"/>
  <c r="N272"/>
  <c r="U272"/>
  <c r="AS272"/>
  <c r="N274"/>
  <c r="AS274"/>
  <c r="N276"/>
  <c r="AS277"/>
  <c r="N277"/>
  <c r="U277"/>
  <c r="AS278"/>
  <c r="M279"/>
  <c r="M280"/>
  <c r="AS281"/>
  <c r="N281"/>
  <c r="Y281"/>
  <c r="AS285"/>
  <c r="N285"/>
  <c r="K286"/>
  <c r="K300"/>
  <c r="N182"/>
  <c r="Y186"/>
  <c r="AS191"/>
  <c r="AS195"/>
  <c r="M198"/>
  <c r="K203"/>
  <c r="O203"/>
  <c r="V203"/>
  <c r="AS210"/>
  <c r="U210"/>
  <c r="M215"/>
  <c r="M216"/>
  <c r="AS229"/>
  <c r="AS232"/>
  <c r="O241"/>
  <c r="M246"/>
  <c r="Y247"/>
  <c r="AS255"/>
  <c r="O255"/>
  <c r="AS257"/>
  <c r="AS260"/>
  <c r="N261"/>
  <c r="O265"/>
  <c r="Y267"/>
  <c r="K275"/>
  <c r="M276"/>
  <c r="U278"/>
  <c r="AS297"/>
  <c r="U297"/>
  <c r="AS203"/>
  <c r="U203"/>
  <c r="AS268"/>
  <c r="AS178"/>
  <c r="O178"/>
  <c r="AS179"/>
  <c r="AS182"/>
  <c r="N186"/>
  <c r="AA187"/>
  <c r="M191"/>
  <c r="K193"/>
  <c r="AS194"/>
  <c r="N195"/>
  <c r="AS198"/>
  <c r="M201"/>
  <c r="O202"/>
  <c r="AS205"/>
  <c r="O205"/>
  <c r="M207"/>
  <c r="M208"/>
  <c r="AS209"/>
  <c r="Y209"/>
  <c r="M210"/>
  <c r="M212"/>
  <c r="Z212"/>
  <c r="AS213"/>
  <c r="Y213"/>
  <c r="K218"/>
  <c r="O218"/>
  <c r="AS225"/>
  <c r="O225"/>
  <c r="M228"/>
  <c r="AP228" s="1"/>
  <c r="V228"/>
  <c r="N229"/>
  <c r="M231"/>
  <c r="M232"/>
  <c r="K234"/>
  <c r="O234"/>
  <c r="V234"/>
  <c r="Y236"/>
  <c r="O238"/>
  <c r="K239"/>
  <c r="AS240"/>
  <c r="V241"/>
  <c r="O243"/>
  <c r="K244"/>
  <c r="M247"/>
  <c r="K249"/>
  <c r="O249"/>
  <c r="V249"/>
  <c r="K259"/>
  <c r="O259"/>
  <c r="M260"/>
  <c r="K263"/>
  <c r="AS196"/>
  <c r="AS186"/>
  <c r="AS193"/>
  <c r="O193"/>
  <c r="Z202"/>
  <c r="AS208"/>
  <c r="Y212"/>
  <c r="AS212"/>
  <c r="AS218"/>
  <c r="N218"/>
  <c r="AS219"/>
  <c r="AS224"/>
  <c r="Z225"/>
  <c r="N234"/>
  <c r="U234"/>
  <c r="O239"/>
  <c r="AS241"/>
  <c r="AS244"/>
  <c r="AS249"/>
  <c r="N249"/>
  <c r="U249"/>
  <c r="N259"/>
  <c r="AS252"/>
  <c r="Y178"/>
  <c r="AA181"/>
  <c r="K186"/>
  <c r="N193"/>
  <c r="K195"/>
  <c r="M196"/>
  <c r="M200"/>
  <c r="M219"/>
  <c r="K224"/>
  <c r="K229"/>
  <c r="N239"/>
  <c r="K241"/>
  <c r="O244"/>
  <c r="M245"/>
  <c r="K247"/>
  <c r="AS250"/>
  <c r="K252"/>
  <c r="M259"/>
  <c r="K260"/>
  <c r="V260"/>
  <c r="O263"/>
  <c r="U305"/>
  <c r="U257"/>
  <c r="W238"/>
  <c r="AA274"/>
  <c r="W180"/>
  <c r="AA180"/>
  <c r="W223"/>
  <c r="V187"/>
  <c r="Z187"/>
  <c r="Z181"/>
  <c r="AA183"/>
  <c r="AA197"/>
  <c r="W235"/>
  <c r="Y176"/>
  <c r="V211"/>
  <c r="AA218"/>
  <c r="Y254"/>
  <c r="U177"/>
  <c r="N180"/>
  <c r="O180"/>
  <c r="K180"/>
  <c r="AA182"/>
  <c r="N183"/>
  <c r="AS183"/>
  <c r="O183"/>
  <c r="K183"/>
  <c r="V188"/>
  <c r="AS192"/>
  <c r="M192"/>
  <c r="O192"/>
  <c r="N192"/>
  <c r="K192"/>
  <c r="M206"/>
  <c r="N206"/>
  <c r="AS206"/>
  <c r="O206"/>
  <c r="K206"/>
  <c r="M211"/>
  <c r="N211"/>
  <c r="AS211"/>
  <c r="O211"/>
  <c r="K211"/>
  <c r="N220"/>
  <c r="M220" s="1"/>
  <c r="O220"/>
  <c r="K220"/>
  <c r="U233"/>
  <c r="AS254"/>
  <c r="M254"/>
  <c r="O254"/>
  <c r="K254"/>
  <c r="N254"/>
  <c r="W260"/>
  <c r="AA275"/>
  <c r="Y288"/>
  <c r="U288"/>
  <c r="V296"/>
  <c r="Y220"/>
  <c r="AA224"/>
  <c r="AA239"/>
  <c r="W214"/>
  <c r="AS220"/>
  <c r="W224"/>
  <c r="AQ228"/>
  <c r="AS234"/>
  <c r="AS246"/>
  <c r="W246"/>
  <c r="AS247"/>
  <c r="W247"/>
  <c r="AS248"/>
  <c r="Z294"/>
  <c r="M187"/>
  <c r="N187"/>
  <c r="Y195"/>
  <c r="Z195"/>
  <c r="AA195"/>
  <c r="M230"/>
  <c r="N230"/>
  <c r="O230"/>
  <c r="K230"/>
  <c r="AS230"/>
  <c r="M176"/>
  <c r="N176"/>
  <c r="AS185"/>
  <c r="N185"/>
  <c r="O185"/>
  <c r="K185"/>
  <c r="M188"/>
  <c r="O188"/>
  <c r="K188"/>
  <c r="N188"/>
  <c r="M189"/>
  <c r="N189"/>
  <c r="O189"/>
  <c r="K189"/>
  <c r="U190"/>
  <c r="W193"/>
  <c r="V197"/>
  <c r="M199"/>
  <c r="AS199"/>
  <c r="N199"/>
  <c r="O199"/>
  <c r="K199"/>
  <c r="Z204"/>
  <c r="M221"/>
  <c r="N221"/>
  <c r="K221"/>
  <c r="O221"/>
  <c r="U227"/>
  <c r="AS233"/>
  <c r="M233"/>
  <c r="N233"/>
  <c r="O233"/>
  <c r="K233"/>
  <c r="AA249"/>
  <c r="M258"/>
  <c r="AS258"/>
  <c r="N258"/>
  <c r="O258"/>
  <c r="K258"/>
  <c r="AA261"/>
  <c r="W285"/>
  <c r="Z295"/>
  <c r="V295"/>
  <c r="W299"/>
  <c r="W183"/>
  <c r="Y207"/>
  <c r="W218"/>
  <c r="AA185"/>
  <c r="AA189"/>
  <c r="AS189"/>
  <c r="U191"/>
  <c r="U194"/>
  <c r="U207"/>
  <c r="U208"/>
  <c r="U213"/>
  <c r="U220"/>
  <c r="AA221"/>
  <c r="AS221"/>
  <c r="N179"/>
  <c r="O179"/>
  <c r="K179"/>
  <c r="AS181"/>
  <c r="M181"/>
  <c r="N181"/>
  <c r="W205"/>
  <c r="O229"/>
  <c r="U229"/>
  <c r="AS177"/>
  <c r="M177"/>
  <c r="N177"/>
  <c r="V181"/>
  <c r="U183"/>
  <c r="M190"/>
  <c r="N190"/>
  <c r="AS190"/>
  <c r="K190"/>
  <c r="O190"/>
  <c r="M197"/>
  <c r="O197"/>
  <c r="AS197"/>
  <c r="N197"/>
  <c r="K197"/>
  <c r="AS204"/>
  <c r="M204"/>
  <c r="O204"/>
  <c r="K204"/>
  <c r="N204"/>
  <c r="AA214"/>
  <c r="AS217"/>
  <c r="M217"/>
  <c r="N217"/>
  <c r="O217"/>
  <c r="K217"/>
  <c r="M222"/>
  <c r="N222"/>
  <c r="O222"/>
  <c r="AS222"/>
  <c r="K222"/>
  <c r="M223"/>
  <c r="N223"/>
  <c r="O223"/>
  <c r="K223"/>
  <c r="Y230"/>
  <c r="V230"/>
  <c r="AS235"/>
  <c r="M235"/>
  <c r="N235"/>
  <c r="O235"/>
  <c r="K235"/>
  <c r="AS237"/>
  <c r="M237"/>
  <c r="N237"/>
  <c r="K237"/>
  <c r="O237"/>
  <c r="AS242"/>
  <c r="M242"/>
  <c r="N242"/>
  <c r="O242"/>
  <c r="K242"/>
  <c r="AA253"/>
  <c r="M256"/>
  <c r="N256"/>
  <c r="AS256"/>
  <c r="O256"/>
  <c r="K256"/>
  <c r="Z270"/>
  <c r="AS187"/>
  <c r="K176"/>
  <c r="AS176"/>
  <c r="W177"/>
  <c r="M179"/>
  <c r="O181"/>
  <c r="O187"/>
  <c r="AA190"/>
  <c r="AA192"/>
  <c r="AA211"/>
  <c r="AA223"/>
  <c r="AA235"/>
  <c r="AA259"/>
  <c r="U286"/>
  <c r="U316"/>
  <c r="U303"/>
  <c r="Y303"/>
  <c r="AA191"/>
  <c r="AA200"/>
  <c r="AS207"/>
  <c r="AS215"/>
  <c r="AS227"/>
  <c r="AQ227" s="1"/>
  <c r="AA231"/>
  <c r="AS231"/>
  <c r="N265"/>
  <c r="K266"/>
  <c r="O266"/>
  <c r="AS266"/>
  <c r="AA267"/>
  <c r="AA268"/>
  <c r="Z268" s="1"/>
  <c r="N269"/>
  <c r="N270"/>
  <c r="U270"/>
  <c r="Z271"/>
  <c r="AA272"/>
  <c r="N273"/>
  <c r="W274"/>
  <c r="W275"/>
  <c r="W276"/>
  <c r="AA278"/>
  <c r="K279"/>
  <c r="O279"/>
  <c r="AS279"/>
  <c r="N282"/>
  <c r="V282"/>
  <c r="N283"/>
  <c r="M283" s="1"/>
  <c r="M284"/>
  <c r="AS284"/>
  <c r="AA285"/>
  <c r="M286"/>
  <c r="M288"/>
  <c r="AS288"/>
  <c r="N291"/>
  <c r="Y291"/>
  <c r="V291"/>
  <c r="Z291"/>
  <c r="N292"/>
  <c r="N296"/>
  <c r="AS298"/>
  <c r="M300"/>
  <c r="U300"/>
  <c r="AS300"/>
  <c r="W314"/>
  <c r="W311"/>
  <c r="W258"/>
  <c r="W261"/>
  <c r="AA269"/>
  <c r="Z269" s="1"/>
  <c r="AA277"/>
  <c r="Z277" s="1"/>
  <c r="AA219"/>
  <c r="AS226"/>
  <c r="AA260"/>
  <c r="W178"/>
  <c r="W186"/>
  <c r="W188"/>
  <c r="K191"/>
  <c r="O191"/>
  <c r="Z191"/>
  <c r="Y191" s="1"/>
  <c r="AA193"/>
  <c r="K194"/>
  <c r="O194"/>
  <c r="K196"/>
  <c r="O196"/>
  <c r="W197"/>
  <c r="K200"/>
  <c r="O200"/>
  <c r="AS200"/>
  <c r="K201"/>
  <c r="O201"/>
  <c r="M202"/>
  <c r="AA205"/>
  <c r="K207"/>
  <c r="O207"/>
  <c r="K208"/>
  <c r="O208"/>
  <c r="V208"/>
  <c r="M209"/>
  <c r="K212"/>
  <c r="O212"/>
  <c r="AA213"/>
  <c r="K215"/>
  <c r="O215"/>
  <c r="K216"/>
  <c r="O216"/>
  <c r="K219"/>
  <c r="O219"/>
  <c r="M224"/>
  <c r="K226"/>
  <c r="O226"/>
  <c r="K227"/>
  <c r="AA227"/>
  <c r="K228"/>
  <c r="O228"/>
  <c r="AA228"/>
  <c r="K231"/>
  <c r="O231"/>
  <c r="K232"/>
  <c r="O232"/>
  <c r="W236"/>
  <c r="M238"/>
  <c r="M239"/>
  <c r="W239"/>
  <c r="M240"/>
  <c r="M241"/>
  <c r="AA241"/>
  <c r="M243"/>
  <c r="K245"/>
  <c r="O245"/>
  <c r="AS245"/>
  <c r="K250"/>
  <c r="O250"/>
  <c r="AA251"/>
  <c r="M252"/>
  <c r="W252"/>
  <c r="W253"/>
  <c r="K257"/>
  <c r="O257"/>
  <c r="Y257"/>
  <c r="V258"/>
  <c r="Z260"/>
  <c r="AA262"/>
  <c r="N263"/>
  <c r="V263"/>
  <c r="AS263"/>
  <c r="AA264"/>
  <c r="W265"/>
  <c r="N266"/>
  <c r="AA266"/>
  <c r="Z267"/>
  <c r="K268"/>
  <c r="M269"/>
  <c r="V269"/>
  <c r="M270"/>
  <c r="Z272"/>
  <c r="M273"/>
  <c r="V273"/>
  <c r="AS273"/>
  <c r="K276"/>
  <c r="O276"/>
  <c r="K278"/>
  <c r="O278"/>
  <c r="Z278"/>
  <c r="Y278" s="1"/>
  <c r="Y280"/>
  <c r="M282"/>
  <c r="AS282"/>
  <c r="AS283"/>
  <c r="AA286"/>
  <c r="K289"/>
  <c r="O289"/>
  <c r="M290"/>
  <c r="AS290"/>
  <c r="M291"/>
  <c r="M292"/>
  <c r="M293"/>
  <c r="M294"/>
  <c r="M295"/>
  <c r="M296"/>
  <c r="K298"/>
  <c r="O298"/>
  <c r="AA263"/>
  <c r="Z263" s="1"/>
  <c r="Y263" s="1"/>
  <c r="AA316"/>
  <c r="W198"/>
  <c r="V198" s="1"/>
  <c r="W189"/>
  <c r="V189" s="1"/>
  <c r="W190"/>
  <c r="N194"/>
  <c r="W199"/>
  <c r="N201"/>
  <c r="W221"/>
  <c r="W222"/>
  <c r="N228"/>
  <c r="U258"/>
  <c r="Y260"/>
  <c r="Z262"/>
  <c r="Y262" s="1"/>
  <c r="U263"/>
  <c r="AS269"/>
  <c r="AS270"/>
  <c r="W273"/>
  <c r="W282"/>
  <c r="AA283"/>
  <c r="K284"/>
  <c r="O284"/>
  <c r="AS289"/>
  <c r="AS291"/>
  <c r="AS292"/>
  <c r="AA293"/>
  <c r="AS293"/>
  <c r="AA294"/>
  <c r="AS294"/>
  <c r="AS295"/>
  <c r="AA296"/>
  <c r="W318"/>
  <c r="AA311"/>
  <c r="W262"/>
  <c r="V262" s="1"/>
  <c r="W264"/>
  <c r="AA265"/>
  <c r="W267"/>
  <c r="W272"/>
  <c r="AA302"/>
  <c r="AA314"/>
  <c r="V303"/>
  <c r="Z303"/>
  <c r="Y320"/>
  <c r="U268"/>
  <c r="K269"/>
  <c r="K270"/>
  <c r="K273"/>
  <c r="M278"/>
  <c r="U280"/>
  <c r="K282"/>
  <c r="N286"/>
  <c r="K290"/>
  <c r="K291"/>
  <c r="K292"/>
  <c r="K293"/>
  <c r="K294"/>
  <c r="K295"/>
  <c r="K296"/>
  <c r="O296"/>
  <c r="U298"/>
  <c r="AS302"/>
  <c r="W302"/>
  <c r="U306"/>
  <c r="Y316"/>
  <c r="Z226"/>
  <c r="V178"/>
  <c r="Y185"/>
  <c r="U193"/>
  <c r="Y193"/>
  <c r="U201"/>
  <c r="Y201"/>
  <c r="U214"/>
  <c r="U215"/>
  <c r="Y215"/>
  <c r="U216"/>
  <c r="W217"/>
  <c r="AA217"/>
  <c r="W225"/>
  <c r="V226"/>
  <c r="U245"/>
  <c r="Z246"/>
  <c r="U250"/>
  <c r="Y250"/>
  <c r="W251"/>
  <c r="U264"/>
  <c r="V276"/>
  <c r="W277"/>
  <c r="W280"/>
  <c r="W281"/>
  <c r="AA281"/>
  <c r="V283"/>
  <c r="Z283"/>
  <c r="U285"/>
  <c r="Y285"/>
  <c r="V286"/>
  <c r="W287"/>
  <c r="V290"/>
  <c r="Z290"/>
  <c r="V293"/>
  <c r="Z293"/>
  <c r="Z213"/>
  <c r="U188"/>
  <c r="Y188"/>
  <c r="U196"/>
  <c r="Y196"/>
  <c r="U205"/>
  <c r="W237"/>
  <c r="AA237"/>
  <c r="W242"/>
  <c r="AA242"/>
  <c r="W243"/>
  <c r="V246"/>
  <c r="V252"/>
  <c r="W255"/>
  <c r="W256"/>
  <c r="AA177"/>
  <c r="U178"/>
  <c r="AA178"/>
  <c r="Z178" s="1"/>
  <c r="Y182"/>
  <c r="W184"/>
  <c r="AA184"/>
  <c r="AA186"/>
  <c r="W195"/>
  <c r="Z198"/>
  <c r="AA199"/>
  <c r="U200"/>
  <c r="W203"/>
  <c r="W209"/>
  <c r="Y214"/>
  <c r="Y216"/>
  <c r="U219"/>
  <c r="AA222"/>
  <c r="AA225"/>
  <c r="U226"/>
  <c r="AA230"/>
  <c r="U231"/>
  <c r="W233"/>
  <c r="W234"/>
  <c r="AA234"/>
  <c r="Y235"/>
  <c r="U236"/>
  <c r="AA236"/>
  <c r="Z237"/>
  <c r="Z239"/>
  <c r="W241"/>
  <c r="AA243"/>
  <c r="Y245"/>
  <c r="AA247"/>
  <c r="Z247" s="1"/>
  <c r="W248"/>
  <c r="AA248"/>
  <c r="W249"/>
  <c r="U252"/>
  <c r="Y252"/>
  <c r="U253"/>
  <c r="Y253"/>
  <c r="V254"/>
  <c r="Z254"/>
  <c r="AA255"/>
  <c r="Z261"/>
  <c r="Y264"/>
  <c r="W271"/>
  <c r="AA271"/>
  <c r="U274"/>
  <c r="U275"/>
  <c r="Y275"/>
  <c r="U276"/>
  <c r="Z276"/>
  <c r="U284"/>
  <c r="Y284"/>
  <c r="Z286"/>
  <c r="Y286" s="1"/>
  <c r="AA287"/>
  <c r="V288"/>
  <c r="U290"/>
  <c r="Y290"/>
  <c r="U293"/>
  <c r="Y293"/>
  <c r="U295"/>
  <c r="Y295"/>
  <c r="Z296"/>
  <c r="AA297"/>
  <c r="Z297" s="1"/>
  <c r="V299"/>
  <c r="AA299"/>
  <c r="V300"/>
  <c r="V301"/>
  <c r="AA179"/>
  <c r="W187"/>
  <c r="W202"/>
  <c r="AA202"/>
  <c r="AA203"/>
  <c r="W204"/>
  <c r="AA209"/>
  <c r="AA212"/>
  <c r="W240"/>
  <c r="AA240"/>
  <c r="Z243"/>
  <c r="Y243" s="1"/>
  <c r="Y274"/>
  <c r="Y276"/>
  <c r="Z299"/>
  <c r="Z300"/>
  <c r="Y300" s="1"/>
  <c r="V244"/>
  <c r="AQ226" l="1"/>
  <c r="V212"/>
  <c r="U246"/>
  <c r="W212"/>
  <c r="Z251"/>
  <c r="Z285"/>
  <c r="V190"/>
  <c r="Z190"/>
  <c r="Z264"/>
  <c r="Z182"/>
  <c r="Z238"/>
  <c r="U182"/>
  <c r="V261"/>
  <c r="Z241"/>
  <c r="V186"/>
  <c r="V238"/>
  <c r="U260"/>
  <c r="V177"/>
  <c r="U241"/>
  <c r="U195"/>
  <c r="Y180"/>
  <c r="V182"/>
  <c r="AA301"/>
  <c r="Z301" s="1"/>
  <c r="W268"/>
  <c r="U291"/>
  <c r="Y238"/>
  <c r="U221"/>
  <c r="U211"/>
  <c r="U301"/>
  <c r="V281"/>
  <c r="V184"/>
  <c r="V236"/>
  <c r="U267"/>
  <c r="Z185"/>
  <c r="AA292"/>
  <c r="W292"/>
  <c r="AA291"/>
  <c r="W291"/>
  <c r="Y292"/>
  <c r="U292"/>
  <c r="U299"/>
  <c r="W208"/>
  <c r="AA208"/>
  <c r="Z208" s="1"/>
  <c r="U176"/>
  <c r="Y251"/>
  <c r="Y241"/>
  <c r="AA318"/>
  <c r="U287"/>
  <c r="V235"/>
  <c r="W176"/>
  <c r="U294"/>
  <c r="AA210"/>
  <c r="Z253"/>
  <c r="Y221"/>
  <c r="Z199"/>
  <c r="Z224"/>
  <c r="Y261"/>
  <c r="Z189"/>
  <c r="Y205"/>
  <c r="Y211"/>
  <c r="Z210"/>
  <c r="Y210" s="1"/>
  <c r="U261"/>
  <c r="V222"/>
  <c r="V202"/>
  <c r="Y218"/>
  <c r="U259"/>
  <c r="V224"/>
  <c r="Z218"/>
  <c r="Y199"/>
  <c r="U240"/>
  <c r="V251"/>
  <c r="Y246"/>
  <c r="U228"/>
  <c r="U218"/>
  <c r="V210"/>
  <c r="V253"/>
  <c r="W210"/>
  <c r="V275"/>
  <c r="V218"/>
  <c r="U251"/>
  <c r="Y234"/>
  <c r="W228"/>
  <c r="AA220"/>
  <c r="U212"/>
  <c r="V242"/>
  <c r="Y239"/>
  <c r="Y190"/>
  <c r="Z287"/>
  <c r="U238"/>
  <c r="V225"/>
  <c r="Z221"/>
  <c r="V274"/>
  <c r="U185"/>
  <c r="U186"/>
  <c r="V227"/>
  <c r="Y203"/>
  <c r="Y189"/>
  <c r="Y294"/>
  <c r="V280"/>
  <c r="Z274"/>
  <c r="V217"/>
  <c r="W179"/>
  <c r="V221"/>
  <c r="Z275"/>
  <c r="U255"/>
  <c r="Y299"/>
  <c r="V287"/>
  <c r="U239"/>
  <c r="U189"/>
  <c r="U281"/>
  <c r="Y287"/>
  <c r="Z249"/>
  <c r="Y249" s="1"/>
  <c r="U209"/>
  <c r="V223"/>
  <c r="V205"/>
  <c r="W191"/>
  <c r="V183"/>
  <c r="Z223"/>
  <c r="U283"/>
  <c r="U235"/>
  <c r="Z183"/>
  <c r="V233"/>
  <c r="Z233"/>
  <c r="V209"/>
  <c r="Z205"/>
  <c r="U248"/>
  <c r="V193"/>
  <c r="Y268"/>
  <c r="Y301"/>
  <c r="Z193"/>
  <c r="U184"/>
  <c r="Y198"/>
  <c r="Z186"/>
  <c r="Y289"/>
  <c r="V247"/>
  <c r="U247" s="1"/>
  <c r="V243"/>
  <c r="U224"/>
  <c r="Z217"/>
  <c r="W181"/>
  <c r="W254"/>
  <c r="Z252"/>
  <c r="Z284"/>
  <c r="V265"/>
  <c r="U197"/>
  <c r="AA290"/>
  <c r="Z209"/>
  <c r="Z259"/>
  <c r="Y259" s="1"/>
  <c r="Y248"/>
  <c r="Z214"/>
  <c r="Z255"/>
  <c r="Y255" s="1"/>
  <c r="V204"/>
  <c r="AA176"/>
  <c r="Y283"/>
  <c r="V255"/>
  <c r="AA232"/>
  <c r="V229"/>
  <c r="Y224"/>
  <c r="W257"/>
  <c r="AA254"/>
  <c r="V239"/>
  <c r="Z235"/>
  <c r="U198"/>
  <c r="Z265"/>
  <c r="Y197"/>
  <c r="V278"/>
  <c r="Y271"/>
  <c r="U271"/>
  <c r="Y242"/>
  <c r="Z248"/>
  <c r="V195"/>
  <c r="AA206"/>
  <c r="Z206" s="1"/>
  <c r="Y206" s="1"/>
  <c r="Y217"/>
  <c r="V259"/>
  <c r="Z229"/>
  <c r="Y229" s="1"/>
  <c r="AA298"/>
  <c r="W229"/>
  <c r="Z234"/>
  <c r="V264"/>
  <c r="Y240"/>
  <c r="Y202"/>
  <c r="V266"/>
  <c r="Z266"/>
  <c r="U266"/>
  <c r="Y266"/>
  <c r="W206"/>
  <c r="V191"/>
  <c r="U202"/>
  <c r="Y225"/>
  <c r="U243"/>
  <c r="U225"/>
  <c r="V289"/>
  <c r="U289" s="1"/>
  <c r="V232"/>
  <c r="U232" s="1"/>
  <c r="Z203"/>
  <c r="AS175"/>
  <c r="M175"/>
  <c r="AA270"/>
  <c r="V199"/>
  <c r="U199" s="1"/>
  <c r="W278"/>
  <c r="Z232"/>
  <c r="V256"/>
  <c r="W232"/>
  <c r="U223"/>
  <c r="U273"/>
  <c r="W192"/>
  <c r="W289"/>
  <c r="Y296"/>
  <c r="AA257"/>
  <c r="V220"/>
  <c r="W211"/>
  <c r="AA194"/>
  <c r="W270"/>
  <c r="V270" s="1"/>
  <c r="V257"/>
  <c r="Z242"/>
  <c r="Y223"/>
  <c r="Z220"/>
  <c r="Y192"/>
  <c r="U269"/>
  <c r="U265"/>
  <c r="Z257"/>
  <c r="W220"/>
  <c r="U192"/>
  <c r="U180"/>
  <c r="Y237"/>
  <c r="U181"/>
  <c r="AA282"/>
  <c r="W201"/>
  <c r="AA201"/>
  <c r="W286"/>
  <c r="AA295"/>
  <c r="W295"/>
  <c r="W283"/>
  <c r="V192"/>
  <c r="Z192"/>
  <c r="V298"/>
  <c r="Z298"/>
  <c r="Y298" s="1"/>
  <c r="Z196"/>
  <c r="V196"/>
  <c r="W245"/>
  <c r="AA245"/>
  <c r="W215"/>
  <c r="AA215"/>
  <c r="W196"/>
  <c r="AA196"/>
  <c r="U282"/>
  <c r="AA276"/>
  <c r="W200"/>
  <c r="Z230"/>
  <c r="Y183"/>
  <c r="U256"/>
  <c r="U242"/>
  <c r="V179"/>
  <c r="Y233"/>
  <c r="U206"/>
  <c r="Z200"/>
  <c r="Y200" s="1"/>
  <c r="V200"/>
  <c r="O175"/>
  <c r="V219"/>
  <c r="N175"/>
  <c r="AA207"/>
  <c r="Z207" s="1"/>
  <c r="Z176"/>
  <c r="AA300"/>
  <c r="W298"/>
  <c r="U296"/>
  <c r="AA288"/>
  <c r="Z288" s="1"/>
  <c r="Y273"/>
  <c r="V237"/>
  <c r="Z231"/>
  <c r="Y231" s="1"/>
  <c r="AA229"/>
  <c r="U222"/>
  <c r="Z219"/>
  <c r="Y219" s="1"/>
  <c r="W207"/>
  <c r="W194"/>
  <c r="V231"/>
  <c r="AA289"/>
  <c r="Z289" s="1"/>
  <c r="V284"/>
  <c r="W300"/>
  <c r="W290"/>
  <c r="Y282"/>
  <c r="AA273"/>
  <c r="Z273" s="1"/>
  <c r="U187"/>
  <c r="Z179"/>
  <c r="Y179" s="1"/>
  <c r="AA284"/>
  <c r="Z250"/>
  <c r="V250"/>
  <c r="W216"/>
  <c r="AA216"/>
  <c r="Y270"/>
  <c r="Z180"/>
  <c r="V180"/>
  <c r="W185"/>
  <c r="U237"/>
  <c r="U204"/>
  <c r="Y204"/>
  <c r="Z197"/>
  <c r="U230"/>
  <c r="V176"/>
  <c r="W296"/>
  <c r="W294"/>
  <c r="Z201"/>
  <c r="V201"/>
  <c r="W219"/>
  <c r="Y265"/>
  <c r="W227"/>
  <c r="Y222"/>
  <c r="Y187"/>
  <c r="V185"/>
  <c r="Y181"/>
  <c r="Z245"/>
  <c r="V245"/>
  <c r="Z216"/>
  <c r="V216"/>
  <c r="Z215"/>
  <c r="V215"/>
  <c r="V207"/>
  <c r="V194"/>
  <c r="Z194"/>
  <c r="W250"/>
  <c r="AA250"/>
  <c r="W301"/>
  <c r="W231"/>
  <c r="U217"/>
  <c r="U179"/>
  <c r="Z188"/>
  <c r="Y177"/>
  <c r="U254"/>
  <c r="Z211"/>
  <c r="V206"/>
  <c r="K175"/>
  <c r="W288"/>
  <c r="V302"/>
  <c r="U302" s="1"/>
  <c r="W284"/>
  <c r="W269"/>
  <c r="W293"/>
  <c r="Z236"/>
  <c r="V240"/>
  <c r="V175"/>
  <c r="Z222"/>
  <c r="B175"/>
  <c r="M174"/>
  <c r="B174"/>
  <c r="B173"/>
  <c r="B172"/>
  <c r="V171"/>
  <c r="O171"/>
  <c r="B171"/>
  <c r="W170"/>
  <c r="M170"/>
  <c r="B170"/>
  <c r="N169"/>
  <c r="B169"/>
  <c r="M168"/>
  <c r="B168"/>
  <c r="M167"/>
  <c r="B167"/>
  <c r="N166"/>
  <c r="B166"/>
  <c r="B165"/>
  <c r="M164"/>
  <c r="B164"/>
  <c r="M163"/>
  <c r="B163"/>
  <c r="N162"/>
  <c r="B162"/>
  <c r="Z161"/>
  <c r="O161"/>
  <c r="B161"/>
  <c r="W160"/>
  <c r="M160"/>
  <c r="B160"/>
  <c r="K159"/>
  <c r="B159"/>
  <c r="O158"/>
  <c r="B158"/>
  <c r="M157"/>
  <c r="B157"/>
  <c r="O156"/>
  <c r="B156"/>
  <c r="N155"/>
  <c r="B155"/>
  <c r="O154"/>
  <c r="B154"/>
  <c r="N153"/>
  <c r="B153"/>
  <c r="W152"/>
  <c r="B152"/>
  <c r="N151"/>
  <c r="B151"/>
  <c r="B150"/>
  <c r="Z149"/>
  <c r="N149"/>
  <c r="B149"/>
  <c r="B148"/>
  <c r="U147"/>
  <c r="N147"/>
  <c r="B147"/>
  <c r="AA146"/>
  <c r="N146"/>
  <c r="B146"/>
  <c r="AA145"/>
  <c r="B145"/>
  <c r="U144"/>
  <c r="B144"/>
  <c r="U175" l="1"/>
  <c r="Y175"/>
  <c r="K162"/>
  <c r="AA175"/>
  <c r="AS173"/>
  <c r="O157"/>
  <c r="AS145"/>
  <c r="AS165"/>
  <c r="K166"/>
  <c r="AS170"/>
  <c r="AS152"/>
  <c r="AS163"/>
  <c r="Y168"/>
  <c r="AS150"/>
  <c r="K157"/>
  <c r="Z157"/>
  <c r="N167"/>
  <c r="AS154"/>
  <c r="M155"/>
  <c r="AS155"/>
  <c r="AS157"/>
  <c r="N157"/>
  <c r="U157"/>
  <c r="O163"/>
  <c r="K164"/>
  <c r="O167"/>
  <c r="K168"/>
  <c r="O168"/>
  <c r="N154"/>
  <c r="N163"/>
  <c r="Z163"/>
  <c r="AS164"/>
  <c r="O164"/>
  <c r="N168"/>
  <c r="AS144"/>
  <c r="M154"/>
  <c r="N164"/>
  <c r="K169"/>
  <c r="K174"/>
  <c r="Z144"/>
  <c r="AS147"/>
  <c r="K151"/>
  <c r="O162"/>
  <c r="O166"/>
  <c r="O169"/>
  <c r="M146"/>
  <c r="M150"/>
  <c r="O151"/>
  <c r="K154"/>
  <c r="AS159"/>
  <c r="K163"/>
  <c r="U165"/>
  <c r="K167"/>
  <c r="K170"/>
  <c r="M151"/>
  <c r="Z169"/>
  <c r="M147"/>
  <c r="K144"/>
  <c r="K145"/>
  <c r="O145"/>
  <c r="V145"/>
  <c r="AS149"/>
  <c r="K150"/>
  <c r="O150"/>
  <c r="M153"/>
  <c r="O159"/>
  <c r="K160"/>
  <c r="O160"/>
  <c r="V160"/>
  <c r="AS162"/>
  <c r="U162"/>
  <c r="K165"/>
  <c r="AS166"/>
  <c r="AS168"/>
  <c r="AS169"/>
  <c r="O170"/>
  <c r="N170" s="1"/>
  <c r="AS172"/>
  <c r="N174"/>
  <c r="O144"/>
  <c r="N145"/>
  <c r="U145"/>
  <c r="K146"/>
  <c r="O146"/>
  <c r="V146"/>
  <c r="Y149"/>
  <c r="N150"/>
  <c r="Y150"/>
  <c r="N159"/>
  <c r="AS160"/>
  <c r="N160"/>
  <c r="U160"/>
  <c r="O165"/>
  <c r="AS167"/>
  <c r="M173"/>
  <c r="M144"/>
  <c r="M145"/>
  <c r="AS146"/>
  <c r="Y146"/>
  <c r="AS148"/>
  <c r="M152"/>
  <c r="N165"/>
  <c r="V151"/>
  <c r="AS174"/>
  <c r="O174"/>
  <c r="AA155"/>
  <c r="AA160"/>
  <c r="W157"/>
  <c r="AA150"/>
  <c r="W150"/>
  <c r="W151"/>
  <c r="V161"/>
  <c r="AA154"/>
  <c r="W173"/>
  <c r="W174"/>
  <c r="AA153"/>
  <c r="W153"/>
  <c r="AA166"/>
  <c r="AA169"/>
  <c r="Z172"/>
  <c r="V172"/>
  <c r="AA157"/>
  <c r="AA164"/>
  <c r="AA144"/>
  <c r="W146"/>
  <c r="W147"/>
  <c r="K148"/>
  <c r="O148"/>
  <c r="AS151"/>
  <c r="K152"/>
  <c r="O152"/>
  <c r="V152"/>
  <c r="AA152"/>
  <c r="K153"/>
  <c r="O153"/>
  <c r="AS153"/>
  <c r="K155"/>
  <c r="O155"/>
  <c r="N156"/>
  <c r="AS156"/>
  <c r="N158"/>
  <c r="M159"/>
  <c r="N161"/>
  <c r="M162"/>
  <c r="AA163"/>
  <c r="M165"/>
  <c r="M166"/>
  <c r="M169"/>
  <c r="AA170"/>
  <c r="N171"/>
  <c r="Y171"/>
  <c r="N172"/>
  <c r="K173"/>
  <c r="O173"/>
  <c r="W175"/>
  <c r="Y144"/>
  <c r="K147"/>
  <c r="O147"/>
  <c r="V147"/>
  <c r="N148"/>
  <c r="M149"/>
  <c r="N152"/>
  <c r="Y152"/>
  <c r="Y155"/>
  <c r="W155"/>
  <c r="M156"/>
  <c r="M158"/>
  <c r="AS158"/>
  <c r="M161"/>
  <c r="AS161"/>
  <c r="M171"/>
  <c r="M172"/>
  <c r="N173"/>
  <c r="Y173"/>
  <c r="N144"/>
  <c r="M148"/>
  <c r="W154"/>
  <c r="AA158"/>
  <c r="W163"/>
  <c r="W168"/>
  <c r="AS171"/>
  <c r="W172"/>
  <c r="AA173"/>
  <c r="Z175"/>
  <c r="K149"/>
  <c r="O149"/>
  <c r="K156"/>
  <c r="K158"/>
  <c r="K161"/>
  <c r="W167"/>
  <c r="W169"/>
  <c r="K171"/>
  <c r="K172"/>
  <c r="O172"/>
  <c r="V155"/>
  <c r="V156"/>
  <c r="V158"/>
  <c r="Z158"/>
  <c r="W162"/>
  <c r="W165"/>
  <c r="AA167"/>
  <c r="AA168"/>
  <c r="AA174"/>
  <c r="Z156"/>
  <c r="AA165"/>
  <c r="W145"/>
  <c r="V149"/>
  <c r="AA151"/>
  <c r="W159"/>
  <c r="AA159"/>
  <c r="AA162"/>
  <c r="W164"/>
  <c r="W166"/>
  <c r="W143"/>
  <c r="O143"/>
  <c r="B143"/>
  <c r="AA142"/>
  <c r="B142"/>
  <c r="Y141"/>
  <c r="N141"/>
  <c r="B141"/>
  <c r="Y140"/>
  <c r="N140"/>
  <c r="B140"/>
  <c r="M139"/>
  <c r="B139"/>
  <c r="B138"/>
  <c r="M137"/>
  <c r="B137"/>
  <c r="O136"/>
  <c r="B136"/>
  <c r="N135"/>
  <c r="B135"/>
  <c r="M134"/>
  <c r="B134"/>
  <c r="M133"/>
  <c r="B133"/>
  <c r="M132"/>
  <c r="B132"/>
  <c r="N131"/>
  <c r="B131"/>
  <c r="N130"/>
  <c r="B130"/>
  <c r="O129"/>
  <c r="B129"/>
  <c r="O128"/>
  <c r="B128"/>
  <c r="O127"/>
  <c r="B127"/>
  <c r="N126"/>
  <c r="B126"/>
  <c r="B125"/>
  <c r="U124"/>
  <c r="N124"/>
  <c r="B124"/>
  <c r="Y123"/>
  <c r="N123"/>
  <c r="M123" s="1"/>
  <c r="AP123" s="1"/>
  <c r="B123"/>
  <c r="W122"/>
  <c r="O122"/>
  <c r="B122"/>
  <c r="O121"/>
  <c r="B121"/>
  <c r="N120"/>
  <c r="B120"/>
  <c r="B119"/>
  <c r="O118"/>
  <c r="B118"/>
  <c r="O117"/>
  <c r="B117"/>
  <c r="N116"/>
  <c r="B116"/>
  <c r="M115"/>
  <c r="B115"/>
  <c r="B114"/>
  <c r="M113"/>
  <c r="B113"/>
  <c r="AA112"/>
  <c r="B112"/>
  <c r="B111"/>
  <c r="W110"/>
  <c r="O110"/>
  <c r="B110"/>
  <c r="N136" l="1"/>
  <c r="U168"/>
  <c r="V169"/>
  <c r="Y167"/>
  <c r="V144"/>
  <c r="Z152"/>
  <c r="Z146"/>
  <c r="U149"/>
  <c r="Z159"/>
  <c r="Y164"/>
  <c r="Y161"/>
  <c r="V168"/>
  <c r="Y169"/>
  <c r="Y166"/>
  <c r="V157"/>
  <c r="Y154"/>
  <c r="U154"/>
  <c r="Z168"/>
  <c r="Z174"/>
  <c r="U166"/>
  <c r="V163"/>
  <c r="Y174"/>
  <c r="Z151"/>
  <c r="U163"/>
  <c r="Z166"/>
  <c r="Y156"/>
  <c r="V173"/>
  <c r="Y160"/>
  <c r="Y157"/>
  <c r="Z160"/>
  <c r="U170"/>
  <c r="Z170"/>
  <c r="U164"/>
  <c r="Y159"/>
  <c r="AA148"/>
  <c r="V174"/>
  <c r="Y165"/>
  <c r="V170"/>
  <c r="U159"/>
  <c r="V153"/>
  <c r="W144"/>
  <c r="Z145"/>
  <c r="U169"/>
  <c r="Z173"/>
  <c r="U174"/>
  <c r="Z162"/>
  <c r="V150"/>
  <c r="Z164"/>
  <c r="Z165"/>
  <c r="Z150"/>
  <c r="U158"/>
  <c r="V154"/>
  <c r="V167"/>
  <c r="U167" s="1"/>
  <c r="AA147"/>
  <c r="V165"/>
  <c r="Y158"/>
  <c r="Z154"/>
  <c r="Z167"/>
  <c r="W148"/>
  <c r="Y170"/>
  <c r="U146"/>
  <c r="Y145"/>
  <c r="AS112"/>
  <c r="N113"/>
  <c r="V159"/>
  <c r="U161"/>
  <c r="Z155"/>
  <c r="Y163"/>
  <c r="Z153"/>
  <c r="V166"/>
  <c r="AA156"/>
  <c r="Y118"/>
  <c r="M126"/>
  <c r="M131"/>
  <c r="AS142"/>
  <c r="U150"/>
  <c r="V162"/>
  <c r="V164"/>
  <c r="Z147"/>
  <c r="Y147" s="1"/>
  <c r="U148"/>
  <c r="Y162"/>
  <c r="Y151"/>
  <c r="N127"/>
  <c r="O142"/>
  <c r="M110"/>
  <c r="Z113"/>
  <c r="K127"/>
  <c r="U113"/>
  <c r="M118"/>
  <c r="N122"/>
  <c r="M122" s="1"/>
  <c r="AS136"/>
  <c r="U139"/>
  <c r="Z142"/>
  <c r="K142"/>
  <c r="AS110"/>
  <c r="K113"/>
  <c r="AS115"/>
  <c r="O115"/>
  <c r="V127"/>
  <c r="N128"/>
  <c r="Y128"/>
  <c r="AS139"/>
  <c r="O139"/>
  <c r="N110"/>
  <c r="O113"/>
  <c r="N115"/>
  <c r="V115"/>
  <c r="N117"/>
  <c r="M128"/>
  <c r="M129"/>
  <c r="M130"/>
  <c r="AS138"/>
  <c r="N139"/>
  <c r="V139"/>
  <c r="AA172"/>
  <c r="K115"/>
  <c r="K128"/>
  <c r="K139"/>
  <c r="AS111"/>
  <c r="M112"/>
  <c r="N118"/>
  <c r="AS119"/>
  <c r="M120"/>
  <c r="M121"/>
  <c r="U121"/>
  <c r="AS125"/>
  <c r="AS127"/>
  <c r="AS129"/>
  <c r="N129"/>
  <c r="M138"/>
  <c r="M142"/>
  <c r="AS143"/>
  <c r="N143"/>
  <c r="U143"/>
  <c r="AA171"/>
  <c r="Z171" s="1"/>
  <c r="M143"/>
  <c r="K112"/>
  <c r="O112"/>
  <c r="AS113"/>
  <c r="K120"/>
  <c r="O120"/>
  <c r="AS121"/>
  <c r="K138"/>
  <c r="O138"/>
  <c r="K110"/>
  <c r="N112"/>
  <c r="AS114"/>
  <c r="M116"/>
  <c r="M117"/>
  <c r="AS118"/>
  <c r="AS120"/>
  <c r="U120"/>
  <c r="N121"/>
  <c r="V122"/>
  <c r="AS122"/>
  <c r="M124"/>
  <c r="M125"/>
  <c r="AS126"/>
  <c r="M127"/>
  <c r="AS128"/>
  <c r="K129"/>
  <c r="M135"/>
  <c r="M136"/>
  <c r="N138"/>
  <c r="U138"/>
  <c r="N142"/>
  <c r="Y142"/>
  <c r="K143"/>
  <c r="V143"/>
  <c r="Y129"/>
  <c r="Y148"/>
  <c r="Y124"/>
  <c r="AA128"/>
  <c r="Z148"/>
  <c r="AA115"/>
  <c r="U123"/>
  <c r="W112"/>
  <c r="Y116"/>
  <c r="Z117"/>
  <c r="V121"/>
  <c r="Y130"/>
  <c r="Z136"/>
  <c r="V126"/>
  <c r="V117"/>
  <c r="Z126"/>
  <c r="V136"/>
  <c r="U116"/>
  <c r="U125"/>
  <c r="U130"/>
  <c r="Y135"/>
  <c r="AA110"/>
  <c r="AA122"/>
  <c r="AS133"/>
  <c r="AS137"/>
  <c r="M140"/>
  <c r="M141"/>
  <c r="W156"/>
  <c r="AA149"/>
  <c r="U171"/>
  <c r="AA143"/>
  <c r="K111"/>
  <c r="O111"/>
  <c r="Z111"/>
  <c r="K114"/>
  <c r="O114"/>
  <c r="W116"/>
  <c r="K119"/>
  <c r="O119"/>
  <c r="V119"/>
  <c r="K123"/>
  <c r="AS123"/>
  <c r="AQ123" s="1"/>
  <c r="AS124"/>
  <c r="W130"/>
  <c r="AS130"/>
  <c r="AS131"/>
  <c r="K132"/>
  <c r="O132"/>
  <c r="AS132"/>
  <c r="K133"/>
  <c r="O133"/>
  <c r="K134"/>
  <c r="O134"/>
  <c r="Z134"/>
  <c r="AS134"/>
  <c r="K137"/>
  <c r="O137"/>
  <c r="N111"/>
  <c r="N114"/>
  <c r="K116"/>
  <c r="O116"/>
  <c r="V116"/>
  <c r="AS116"/>
  <c r="AS117"/>
  <c r="N119"/>
  <c r="K122"/>
  <c r="O123"/>
  <c r="K124"/>
  <c r="O124"/>
  <c r="K125"/>
  <c r="O125"/>
  <c r="W129"/>
  <c r="K130"/>
  <c r="O130"/>
  <c r="V130"/>
  <c r="K131"/>
  <c r="O131"/>
  <c r="N132"/>
  <c r="N133"/>
  <c r="N134"/>
  <c r="K135"/>
  <c r="O135"/>
  <c r="AS135"/>
  <c r="AA136"/>
  <c r="N137"/>
  <c r="AA140"/>
  <c r="AS140"/>
  <c r="W141"/>
  <c r="W149"/>
  <c r="U173"/>
  <c r="Y153"/>
  <c r="U153"/>
  <c r="V148"/>
  <c r="AA111"/>
  <c r="M111"/>
  <c r="M114"/>
  <c r="K117"/>
  <c r="K118"/>
  <c r="M119"/>
  <c r="K121"/>
  <c r="N125"/>
  <c r="K126"/>
  <c r="O126"/>
  <c r="K136"/>
  <c r="K140"/>
  <c r="O140"/>
  <c r="V140"/>
  <c r="K141"/>
  <c r="O141"/>
  <c r="Z141"/>
  <c r="AS141"/>
  <c r="Z143"/>
  <c r="W161"/>
  <c r="U152"/>
  <c r="U172"/>
  <c r="W158"/>
  <c r="U155"/>
  <c r="U151"/>
  <c r="Y172"/>
  <c r="U156"/>
  <c r="Y143"/>
  <c r="AA161"/>
  <c r="W171"/>
  <c r="V118"/>
  <c r="W120"/>
  <c r="U131"/>
  <c r="W138"/>
  <c r="W139"/>
  <c r="U140"/>
  <c r="W113"/>
  <c r="W115"/>
  <c r="Z118"/>
  <c r="AA120"/>
  <c r="W127"/>
  <c r="AA138"/>
  <c r="W142"/>
  <c r="AA113"/>
  <c r="Z121"/>
  <c r="AA127"/>
  <c r="W128"/>
  <c r="AA129"/>
  <c r="Z129" s="1"/>
  <c r="AA139"/>
  <c r="U141"/>
  <c r="Y131"/>
  <c r="AA109"/>
  <c r="V113" l="1"/>
  <c r="U112"/>
  <c r="Y136"/>
  <c r="W114"/>
  <c r="U117"/>
  <c r="AA137"/>
  <c r="W133"/>
  <c r="Z139"/>
  <c r="V129"/>
  <c r="Y122"/>
  <c r="Z120"/>
  <c r="Y112"/>
  <c r="U136"/>
  <c r="U122"/>
  <c r="Y113"/>
  <c r="U127"/>
  <c r="Y139"/>
  <c r="V138"/>
  <c r="V142"/>
  <c r="U142" s="1"/>
  <c r="Z138"/>
  <c r="Y126"/>
  <c r="U129"/>
  <c r="AA134"/>
  <c r="W134"/>
  <c r="Z110"/>
  <c r="W125"/>
  <c r="U118"/>
  <c r="V110"/>
  <c r="Y117"/>
  <c r="Y110"/>
  <c r="W137"/>
  <c r="AA114"/>
  <c r="V112"/>
  <c r="Z112"/>
  <c r="W132"/>
  <c r="U110"/>
  <c r="Y121"/>
  <c r="AA132"/>
  <c r="Y111"/>
  <c r="W111"/>
  <c r="U111"/>
  <c r="Z133"/>
  <c r="AA133"/>
  <c r="V133"/>
  <c r="U133" s="1"/>
  <c r="V134"/>
  <c r="Z132"/>
  <c r="W136"/>
  <c r="V141"/>
  <c r="V137"/>
  <c r="V132"/>
  <c r="V124"/>
  <c r="W121"/>
  <c r="Z124"/>
  <c r="AA121"/>
  <c r="Z127"/>
  <c r="Y127"/>
  <c r="V120"/>
  <c r="V128"/>
  <c r="U128" s="1"/>
  <c r="AA126"/>
  <c r="AA117"/>
  <c r="Z115"/>
  <c r="U126"/>
  <c r="Z128"/>
  <c r="U115"/>
  <c r="Y115"/>
  <c r="Z114"/>
  <c r="AA123"/>
  <c r="Z123" s="1"/>
  <c r="V114"/>
  <c r="U137"/>
  <c r="U132"/>
  <c r="W126"/>
  <c r="AS109"/>
  <c r="Z122"/>
  <c r="Y120"/>
  <c r="Y138"/>
  <c r="AA125"/>
  <c r="AA124"/>
  <c r="W124"/>
  <c r="W123"/>
  <c r="V109"/>
  <c r="W140"/>
  <c r="AA135"/>
  <c r="V123"/>
  <c r="K109"/>
  <c r="Z137"/>
  <c r="Z131"/>
  <c r="O109"/>
  <c r="AA130"/>
  <c r="Z140"/>
  <c r="Z116"/>
  <c r="N109"/>
  <c r="M109" s="1"/>
  <c r="Y109"/>
  <c r="W135"/>
  <c r="W117"/>
  <c r="AA131"/>
  <c r="AA141"/>
  <c r="Y134"/>
  <c r="Y114"/>
  <c r="W119"/>
  <c r="AA118"/>
  <c r="V125"/>
  <c r="Y137"/>
  <c r="U114"/>
  <c r="Y132"/>
  <c r="AA119"/>
  <c r="Z119" s="1"/>
  <c r="Y119" s="1"/>
  <c r="Z135"/>
  <c r="V135"/>
  <c r="U135" s="1"/>
  <c r="Z130"/>
  <c r="U119"/>
  <c r="AA116"/>
  <c r="W131"/>
  <c r="V131" s="1"/>
  <c r="W118"/>
  <c r="U134"/>
  <c r="Z125"/>
  <c r="Y125" s="1"/>
  <c r="Y133"/>
  <c r="V111"/>
  <c r="Z109"/>
  <c r="B109"/>
  <c r="AA108"/>
  <c r="Z108"/>
  <c r="Y108"/>
  <c r="N108"/>
  <c r="M108" s="1"/>
  <c r="B108"/>
  <c r="V107"/>
  <c r="O107"/>
  <c r="B107"/>
  <c r="B106"/>
  <c r="Z105"/>
  <c r="M105"/>
  <c r="B105"/>
  <c r="M104"/>
  <c r="B104"/>
  <c r="N103"/>
  <c r="B103"/>
  <c r="O102"/>
  <c r="B102"/>
  <c r="Z101"/>
  <c r="M101"/>
  <c r="B101"/>
  <c r="N100"/>
  <c r="B100"/>
  <c r="B99"/>
  <c r="M98"/>
  <c r="B98"/>
  <c r="M97"/>
  <c r="B97"/>
  <c r="M96"/>
  <c r="B96"/>
  <c r="M95"/>
  <c r="B95"/>
  <c r="M94"/>
  <c r="B94"/>
  <c r="O93"/>
  <c r="B93"/>
  <c r="N92"/>
  <c r="B92"/>
  <c r="Y91"/>
  <c r="B91"/>
  <c r="AA90"/>
  <c r="Z90"/>
  <c r="Y90"/>
  <c r="B90"/>
  <c r="V89"/>
  <c r="B89"/>
  <c r="M88"/>
  <c r="B88"/>
  <c r="M87"/>
  <c r="B87"/>
  <c r="M86"/>
  <c r="B86"/>
  <c r="O85"/>
  <c r="B85"/>
  <c r="N84"/>
  <c r="B84"/>
  <c r="O83"/>
  <c r="B83"/>
  <c r="B82"/>
  <c r="B81"/>
  <c r="O80"/>
  <c r="B80"/>
  <c r="O79"/>
  <c r="B79"/>
  <c r="M78"/>
  <c r="B78"/>
  <c r="AA77"/>
  <c r="Y77"/>
  <c r="N77"/>
  <c r="B77"/>
  <c r="AA76"/>
  <c r="K76"/>
  <c r="B76"/>
  <c r="U75"/>
  <c r="M75"/>
  <c r="B75"/>
  <c r="O74"/>
  <c r="B74"/>
  <c r="M73"/>
  <c r="B73"/>
  <c r="B72"/>
  <c r="Z71"/>
  <c r="O71"/>
  <c r="B71"/>
  <c r="N70"/>
  <c r="B70"/>
  <c r="M69"/>
  <c r="B69"/>
  <c r="O68"/>
  <c r="B68"/>
  <c r="M67"/>
  <c r="B67"/>
  <c r="Z66"/>
  <c r="O66"/>
  <c r="B66"/>
  <c r="M65"/>
  <c r="B65"/>
  <c r="M64"/>
  <c r="B64"/>
  <c r="B63"/>
  <c r="O62"/>
  <c r="B62"/>
  <c r="B61"/>
  <c r="W60"/>
  <c r="M60"/>
  <c r="B60"/>
  <c r="N59"/>
  <c r="B59"/>
  <c r="V58"/>
  <c r="N58"/>
  <c r="B58"/>
  <c r="N57"/>
  <c r="B57"/>
  <c r="N56"/>
  <c r="B56"/>
  <c r="AA55"/>
  <c r="O55"/>
  <c r="B55"/>
  <c r="B53"/>
  <c r="O52"/>
  <c r="B52"/>
  <c r="AA51"/>
  <c r="Z51"/>
  <c r="Y51"/>
  <c r="O51"/>
  <c r="B51"/>
  <c r="N50"/>
  <c r="B50"/>
  <c r="O49"/>
  <c r="B49"/>
  <c r="Z48"/>
  <c r="B48"/>
  <c r="B47"/>
  <c r="M46"/>
  <c r="B46"/>
  <c r="V45"/>
  <c r="O45"/>
  <c r="B45"/>
  <c r="AA44"/>
  <c r="Z44"/>
  <c r="Y44" s="1"/>
  <c r="M44"/>
  <c r="B44"/>
  <c r="K43"/>
  <c r="B43"/>
  <c r="N42"/>
  <c r="B42"/>
  <c r="B41"/>
  <c r="B40"/>
  <c r="M39"/>
  <c r="B39"/>
  <c r="B38"/>
  <c r="B37"/>
  <c r="M36"/>
  <c r="B36"/>
  <c r="B35"/>
  <c r="Y34"/>
  <c r="N34"/>
  <c r="B34"/>
  <c r="B33"/>
  <c r="M32"/>
  <c r="B32"/>
  <c r="N31"/>
  <c r="B31"/>
  <c r="N30"/>
  <c r="B30"/>
  <c r="AA29"/>
  <c r="M29"/>
  <c r="B29"/>
  <c r="U28"/>
  <c r="K28"/>
  <c r="B28"/>
  <c r="AA27"/>
  <c r="N27"/>
  <c r="B27"/>
  <c r="B26"/>
  <c r="B25"/>
  <c r="B24"/>
  <c r="N23"/>
  <c r="B23"/>
  <c r="N22"/>
  <c r="B22"/>
  <c r="O21"/>
  <c r="B21"/>
  <c r="W20"/>
  <c r="N20"/>
  <c r="B20"/>
  <c r="W19"/>
  <c r="N19"/>
  <c r="B19"/>
  <c r="B18"/>
  <c r="N17"/>
  <c r="B17"/>
  <c r="N16"/>
  <c r="B16"/>
  <c r="Y15"/>
  <c r="N15"/>
  <c r="B15"/>
  <c r="N14"/>
  <c r="B14"/>
  <c r="N13"/>
  <c r="B13"/>
  <c r="N12"/>
  <c r="B12"/>
  <c r="N11"/>
  <c r="B11"/>
  <c r="N10"/>
  <c r="B10"/>
  <c r="N9"/>
  <c r="B9"/>
  <c r="Y8"/>
  <c r="N8"/>
  <c r="B8"/>
  <c r="O7"/>
  <c r="B7"/>
  <c r="U34" l="1"/>
  <c r="P196" i="64"/>
  <c r="P197"/>
  <c r="P1179"/>
  <c r="P1168"/>
  <c r="P1176"/>
  <c r="P1175"/>
  <c r="P1174"/>
  <c r="P1173"/>
  <c r="P1172"/>
  <c r="P1180"/>
  <c r="P1171"/>
  <c r="P1170"/>
  <c r="P1178"/>
  <c r="P1169"/>
  <c r="P1177"/>
  <c r="P216"/>
  <c r="P215"/>
  <c r="P512"/>
  <c r="P241"/>
  <c r="P367"/>
  <c r="P368"/>
  <c r="AS91" i="1"/>
  <c r="M100"/>
  <c r="O36"/>
  <c r="AS81"/>
  <c r="M17"/>
  <c r="N21"/>
  <c r="V22"/>
  <c r="W109"/>
  <c r="AS71"/>
  <c r="AS21"/>
  <c r="K50"/>
  <c r="M57"/>
  <c r="O28"/>
  <c r="M81"/>
  <c r="AS99"/>
  <c r="N71"/>
  <c r="M28"/>
  <c r="O29"/>
  <c r="AS44"/>
  <c r="K73"/>
  <c r="O73"/>
  <c r="AS89"/>
  <c r="N94"/>
  <c r="AS66"/>
  <c r="AS73"/>
  <c r="N73"/>
  <c r="N87"/>
  <c r="U109"/>
  <c r="AS47"/>
  <c r="AS72"/>
  <c r="U21"/>
  <c r="U31"/>
  <c r="Z32"/>
  <c r="AS35"/>
  <c r="U53"/>
  <c r="M55"/>
  <c r="O77"/>
  <c r="O84"/>
  <c r="N85"/>
  <c r="AS90"/>
  <c r="N91"/>
  <c r="N93"/>
  <c r="K103"/>
  <c r="Y58"/>
  <c r="M59"/>
  <c r="AS63"/>
  <c r="AS76"/>
  <c r="K77"/>
  <c r="AS84"/>
  <c r="AS85"/>
  <c r="K11"/>
  <c r="Y16"/>
  <c r="M21"/>
  <c r="K32"/>
  <c r="K39"/>
  <c r="V44"/>
  <c r="U59"/>
  <c r="N74"/>
  <c r="V81"/>
  <c r="AS82"/>
  <c r="AS10"/>
  <c r="M13"/>
  <c r="O17"/>
  <c r="M23"/>
  <c r="Z23"/>
  <c r="AS33"/>
  <c r="AS37"/>
  <c r="O42"/>
  <c r="N45"/>
  <c r="O50"/>
  <c r="N51"/>
  <c r="N52"/>
  <c r="K57"/>
  <c r="O57"/>
  <c r="AS62"/>
  <c r="N62"/>
  <c r="K75"/>
  <c r="O76"/>
  <c r="V77"/>
  <c r="N79"/>
  <c r="U85"/>
  <c r="AS87"/>
  <c r="AS106"/>
  <c r="M47"/>
  <c r="AS53"/>
  <c r="AS58"/>
  <c r="AS60"/>
  <c r="AS61"/>
  <c r="M62"/>
  <c r="N63"/>
  <c r="N76"/>
  <c r="AS77"/>
  <c r="K84"/>
  <c r="K98"/>
  <c r="O98"/>
  <c r="AS43"/>
  <c r="O75"/>
  <c r="O92"/>
  <c r="AS98"/>
  <c r="N98"/>
  <c r="K100"/>
  <c r="O100"/>
  <c r="O103"/>
  <c r="V103"/>
  <c r="W108"/>
  <c r="K42"/>
  <c r="O13"/>
  <c r="K17"/>
  <c r="O23"/>
  <c r="AS24"/>
  <c r="K29"/>
  <c r="O32"/>
  <c r="K36"/>
  <c r="Z36"/>
  <c r="O39"/>
  <c r="AS41"/>
  <c r="AS46"/>
  <c r="AS50"/>
  <c r="K62"/>
  <c r="N68"/>
  <c r="M84"/>
  <c r="N89"/>
  <c r="M92"/>
  <c r="Z92"/>
  <c r="AS100"/>
  <c r="M103"/>
  <c r="U108"/>
  <c r="AS7"/>
  <c r="M7"/>
  <c r="AP7" s="1"/>
  <c r="AQ7" s="1"/>
  <c r="U14"/>
  <c r="M15"/>
  <c r="M22"/>
  <c r="U30"/>
  <c r="AS32"/>
  <c r="M33"/>
  <c r="M34"/>
  <c r="M35"/>
  <c r="AS36"/>
  <c r="AS39"/>
  <c r="M41"/>
  <c r="V41"/>
  <c r="O44"/>
  <c r="O46"/>
  <c r="N47"/>
  <c r="AS48"/>
  <c r="N49"/>
  <c r="N53"/>
  <c r="AS55"/>
  <c r="N55"/>
  <c r="M56"/>
  <c r="AS67"/>
  <c r="AS80"/>
  <c r="N80"/>
  <c r="K81"/>
  <c r="V84"/>
  <c r="N90"/>
  <c r="AS92"/>
  <c r="AS94"/>
  <c r="K95"/>
  <c r="O95"/>
  <c r="AS103"/>
  <c r="K108"/>
  <c r="K61"/>
  <c r="O61"/>
  <c r="K67"/>
  <c r="O67"/>
  <c r="M76"/>
  <c r="M77"/>
  <c r="M80"/>
  <c r="O81"/>
  <c r="N83"/>
  <c r="K87"/>
  <c r="O87"/>
  <c r="V87"/>
  <c r="M90"/>
  <c r="K92"/>
  <c r="K94"/>
  <c r="O94"/>
  <c r="N95"/>
  <c r="Y95"/>
  <c r="AS95"/>
  <c r="N106"/>
  <c r="AS108"/>
  <c r="O108"/>
  <c r="K7"/>
  <c r="O11"/>
  <c r="AS13"/>
  <c r="K15"/>
  <c r="K22"/>
  <c r="V28"/>
  <c r="N29"/>
  <c r="AS29"/>
  <c r="N32"/>
  <c r="K33"/>
  <c r="O33"/>
  <c r="K34"/>
  <c r="K35"/>
  <c r="N39"/>
  <c r="K41"/>
  <c r="K56"/>
  <c r="AS59"/>
  <c r="K60"/>
  <c r="O60"/>
  <c r="N61"/>
  <c r="U61"/>
  <c r="N66"/>
  <c r="N67"/>
  <c r="AS68"/>
  <c r="AS75"/>
  <c r="N102"/>
  <c r="N36"/>
  <c r="Y36"/>
  <c r="M11"/>
  <c r="AS11"/>
  <c r="K13"/>
  <c r="O15"/>
  <c r="AS17"/>
  <c r="K21"/>
  <c r="O22"/>
  <c r="K23"/>
  <c r="AS28"/>
  <c r="N33"/>
  <c r="O34"/>
  <c r="O35"/>
  <c r="O41"/>
  <c r="M42"/>
  <c r="AS42"/>
  <c r="O43"/>
  <c r="K44"/>
  <c r="K46"/>
  <c r="K47"/>
  <c r="O47"/>
  <c r="N48"/>
  <c r="M50"/>
  <c r="K55"/>
  <c r="V55"/>
  <c r="O56"/>
  <c r="AS56"/>
  <c r="AS57"/>
  <c r="K59"/>
  <c r="O59"/>
  <c r="V59"/>
  <c r="N60"/>
  <c r="M61"/>
  <c r="AS70"/>
  <c r="K80"/>
  <c r="K90"/>
  <c r="O90"/>
  <c r="V90"/>
  <c r="AA39"/>
  <c r="W32"/>
  <c r="Y7"/>
  <c r="U22"/>
  <c r="W40"/>
  <c r="W26"/>
  <c r="P134" i="64" s="1"/>
  <c r="Z18" i="1"/>
  <c r="M8"/>
  <c r="O8"/>
  <c r="K8"/>
  <c r="AS9"/>
  <c r="O9"/>
  <c r="K9"/>
  <c r="M9"/>
  <c r="AS18"/>
  <c r="O18"/>
  <c r="K18"/>
  <c r="M18"/>
  <c r="M24"/>
  <c r="O24"/>
  <c r="K24"/>
  <c r="O25"/>
  <c r="K25"/>
  <c r="M25"/>
  <c r="M26"/>
  <c r="O26"/>
  <c r="K26"/>
  <c r="P812" i="64"/>
  <c r="V49" i="1"/>
  <c r="W62"/>
  <c r="P1250" i="64" s="1"/>
  <c r="AA62" i="1"/>
  <c r="V79"/>
  <c r="W94"/>
  <c r="P828" i="64"/>
  <c r="AA26" i="1"/>
  <c r="AS26"/>
  <c r="W30"/>
  <c r="P827" i="64" s="1"/>
  <c r="U10" i="1"/>
  <c r="U12"/>
  <c r="V14"/>
  <c r="Z16"/>
  <c r="AS20"/>
  <c r="M20"/>
  <c r="O20"/>
  <c r="K20"/>
  <c r="O27"/>
  <c r="K27"/>
  <c r="AS27"/>
  <c r="M27"/>
  <c r="AS30"/>
  <c r="O30"/>
  <c r="K30"/>
  <c r="M30"/>
  <c r="O31"/>
  <c r="K31"/>
  <c r="AS31"/>
  <c r="M31"/>
  <c r="W36"/>
  <c r="M37"/>
  <c r="N37"/>
  <c r="O37"/>
  <c r="K37"/>
  <c r="V51"/>
  <c r="V85"/>
  <c r="AA98"/>
  <c r="Y13"/>
  <c r="AA24"/>
  <c r="AS8"/>
  <c r="W9"/>
  <c r="Y10"/>
  <c r="U7"/>
  <c r="U11"/>
  <c r="U15"/>
  <c r="Y28"/>
  <c r="W29"/>
  <c r="P826" i="64" s="1"/>
  <c r="Y35" i="1"/>
  <c r="W42"/>
  <c r="U50"/>
  <c r="Z53"/>
  <c r="U84"/>
  <c r="P1248" i="64"/>
  <c r="P939"/>
  <c r="P880"/>
  <c r="P862"/>
  <c r="P644"/>
  <c r="P1133"/>
  <c r="P1037"/>
  <c r="P1017"/>
  <c r="P891"/>
  <c r="P864"/>
  <c r="P788"/>
  <c r="P895"/>
  <c r="P875"/>
  <c r="P834"/>
  <c r="P534"/>
  <c r="P1120"/>
  <c r="P1025"/>
  <c r="P940"/>
  <c r="P938"/>
  <c r="P894"/>
  <c r="P892"/>
  <c r="P890"/>
  <c r="P879"/>
  <c r="P876"/>
  <c r="P874"/>
  <c r="P863"/>
  <c r="P846"/>
  <c r="P833"/>
  <c r="P792"/>
  <c r="P787"/>
  <c r="P621"/>
  <c r="P518"/>
  <c r="P893"/>
  <c r="P877"/>
  <c r="P832"/>
  <c r="P516"/>
  <c r="P455"/>
  <c r="P453"/>
  <c r="P451"/>
  <c r="P449"/>
  <c r="P447"/>
  <c r="P445"/>
  <c r="P443"/>
  <c r="P441"/>
  <c r="P423"/>
  <c r="P383"/>
  <c r="P381"/>
  <c r="P371"/>
  <c r="P308"/>
  <c r="P300"/>
  <c r="P289"/>
  <c r="P287"/>
  <c r="P222"/>
  <c r="P141"/>
  <c r="P454"/>
  <c r="P452"/>
  <c r="P450"/>
  <c r="P448"/>
  <c r="P446"/>
  <c r="P444"/>
  <c r="P442"/>
  <c r="P424"/>
  <c r="P389"/>
  <c r="P382"/>
  <c r="P380"/>
  <c r="P370"/>
  <c r="P307"/>
  <c r="P299"/>
  <c r="P288"/>
  <c r="P223"/>
  <c r="P221"/>
  <c r="P140"/>
  <c r="P1193"/>
  <c r="P1190"/>
  <c r="P1191"/>
  <c r="P1196"/>
  <c r="P1195"/>
  <c r="P1192"/>
  <c r="P1197"/>
  <c r="P1194"/>
  <c r="P342"/>
  <c r="P1189"/>
  <c r="P343"/>
  <c r="P1183"/>
  <c r="P1187"/>
  <c r="P417"/>
  <c r="P416"/>
  <c r="P419"/>
  <c r="P341"/>
  <c r="P340"/>
  <c r="P743"/>
  <c r="P1186"/>
  <c r="P1185"/>
  <c r="P414"/>
  <c r="P699"/>
  <c r="P418"/>
  <c r="P415"/>
  <c r="P1182"/>
  <c r="P1184"/>
  <c r="P1188"/>
  <c r="P933"/>
  <c r="P544"/>
  <c r="P1270"/>
  <c r="P950"/>
  <c r="P994"/>
  <c r="P458"/>
  <c r="P189"/>
  <c r="P433"/>
  <c r="P162"/>
  <c r="P257"/>
  <c r="P869"/>
  <c r="P1011"/>
  <c r="P338"/>
  <c r="P529"/>
  <c r="P1219"/>
  <c r="P932"/>
  <c r="P339"/>
  <c r="P1269"/>
  <c r="P698"/>
  <c r="P256"/>
  <c r="P949"/>
  <c r="P1243"/>
  <c r="P161"/>
  <c r="P188"/>
  <c r="P796"/>
  <c r="P1218"/>
  <c r="P749"/>
  <c r="P732"/>
  <c r="P964"/>
  <c r="P1256"/>
  <c r="P337"/>
  <c r="P336"/>
  <c r="P993"/>
  <c r="P1181"/>
  <c r="P697"/>
  <c r="P543"/>
  <c r="P931"/>
  <c r="P930"/>
  <c r="P1166"/>
  <c r="P868"/>
  <c r="P255"/>
  <c r="P1268"/>
  <c r="P335"/>
  <c r="P528"/>
  <c r="P948"/>
  <c r="P1167"/>
  <c r="P992"/>
  <c r="P160"/>
  <c r="P432"/>
  <c r="P1165"/>
  <c r="P742"/>
  <c r="P187"/>
  <c r="P457"/>
  <c r="P334"/>
  <c r="P633"/>
  <c r="P696"/>
  <c r="P963"/>
  <c r="P159"/>
  <c r="P770"/>
  <c r="P634"/>
  <c r="P1267"/>
  <c r="P632"/>
  <c r="P1010"/>
  <c r="P991"/>
  <c r="P1002"/>
  <c r="P947"/>
  <c r="P1242"/>
  <c r="P332"/>
  <c r="P748"/>
  <c r="P795"/>
  <c r="P1255"/>
  <c r="P1217"/>
  <c r="P562"/>
  <c r="P333"/>
  <c r="P731"/>
  <c r="P254"/>
  <c r="P186"/>
  <c r="P768"/>
  <c r="P821"/>
  <c r="P404"/>
  <c r="P820"/>
  <c r="P561"/>
  <c r="P630"/>
  <c r="P767"/>
  <c r="P822"/>
  <c r="P328"/>
  <c r="P402"/>
  <c r="P403"/>
  <c r="P1001"/>
  <c r="P769"/>
  <c r="P631"/>
  <c r="P329"/>
  <c r="P431"/>
  <c r="P331"/>
  <c r="P629"/>
  <c r="P429"/>
  <c r="P430"/>
  <c r="P766"/>
  <c r="P1159"/>
  <c r="P330"/>
  <c r="P1154"/>
  <c r="P819"/>
  <c r="P765"/>
  <c r="P1157"/>
  <c r="P1160"/>
  <c r="P1163"/>
  <c r="P129"/>
  <c r="P1161"/>
  <c r="P1158"/>
  <c r="P1164"/>
  <c r="P1155"/>
  <c r="P327"/>
  <c r="P1033"/>
  <c r="P1162"/>
  <c r="P1156"/>
  <c r="P128"/>
  <c r="P326"/>
  <c r="P428"/>
  <c r="P1148"/>
  <c r="P125"/>
  <c r="P1151"/>
  <c r="P124"/>
  <c r="P127"/>
  <c r="P763"/>
  <c r="P1153"/>
  <c r="P126"/>
  <c r="P1149"/>
  <c r="P1000"/>
  <c r="P12"/>
  <c r="P1150"/>
  <c r="P1152"/>
  <c r="P1146"/>
  <c r="P158"/>
  <c r="P1145"/>
  <c r="P764"/>
  <c r="P11"/>
  <c r="P157"/>
  <c r="P1147"/>
  <c r="P999"/>
  <c r="P762"/>
  <c r="P324"/>
  <c r="P761"/>
  <c r="P323"/>
  <c r="P156"/>
  <c r="P325"/>
  <c r="P1032"/>
  <c r="P927"/>
  <c r="P1130"/>
  <c r="P1138"/>
  <c r="P1131"/>
  <c r="P1127"/>
  <c r="P760"/>
  <c r="P271"/>
  <c r="P924"/>
  <c r="P1140"/>
  <c r="P854"/>
  <c r="P926"/>
  <c r="P1143"/>
  <c r="P717"/>
  <c r="P1241"/>
  <c r="P1144"/>
  <c r="P660"/>
  <c r="P662" s="1"/>
  <c r="P715"/>
  <c r="P1139"/>
  <c r="P155"/>
  <c r="P716"/>
  <c r="P1134"/>
  <c r="P718"/>
  <c r="P759"/>
  <c r="P1141"/>
  <c r="P804"/>
  <c r="P921"/>
  <c r="P758"/>
  <c r="P851"/>
  <c r="P1137"/>
  <c r="P929"/>
  <c r="P1132"/>
  <c r="P1135"/>
  <c r="P1052"/>
  <c r="P1129"/>
  <c r="P253"/>
  <c r="P853"/>
  <c r="P1128"/>
  <c r="P1142"/>
  <c r="P1136"/>
  <c r="P923"/>
  <c r="P928"/>
  <c r="P925"/>
  <c r="P852"/>
  <c r="P524"/>
  <c r="P1293"/>
  <c r="P650"/>
  <c r="P549"/>
  <c r="P525"/>
  <c r="P695"/>
  <c r="P270"/>
  <c r="P850"/>
  <c r="P322"/>
  <c r="P154"/>
  <c r="P1031"/>
  <c r="P526"/>
  <c r="P709"/>
  <c r="P979"/>
  <c r="P321"/>
  <c r="P10"/>
  <c r="P922"/>
  <c r="P527"/>
  <c r="P1302"/>
  <c r="P1301"/>
  <c r="P560"/>
  <c r="P848"/>
  <c r="P251"/>
  <c r="P252"/>
  <c r="P628"/>
  <c r="P268"/>
  <c r="P918"/>
  <c r="P319"/>
  <c r="P919"/>
  <c r="P269"/>
  <c r="P195"/>
  <c r="P706"/>
  <c r="P1300"/>
  <c r="P849"/>
  <c r="P1240"/>
  <c r="P318"/>
  <c r="P1230"/>
  <c r="P121"/>
  <c r="P1216"/>
  <c r="P123"/>
  <c r="P847"/>
  <c r="P649"/>
  <c r="P396"/>
  <c r="P317"/>
  <c r="P692"/>
  <c r="P520"/>
  <c r="P694"/>
  <c r="P521"/>
  <c r="P755"/>
  <c r="P314"/>
  <c r="P977"/>
  <c r="P312"/>
  <c r="P523"/>
  <c r="P690"/>
  <c r="P1299"/>
  <c r="P522"/>
  <c r="P122"/>
  <c r="P1292"/>
  <c r="P250"/>
  <c r="P976"/>
  <c r="P707"/>
  <c r="P691"/>
  <c r="P559"/>
  <c r="P153"/>
  <c r="P917"/>
  <c r="P311"/>
  <c r="P316"/>
  <c r="P1030"/>
  <c r="P203"/>
  <c r="P1231"/>
  <c r="P313"/>
  <c r="P320"/>
  <c r="P315"/>
  <c r="P978"/>
  <c r="P757"/>
  <c r="P548"/>
  <c r="P1215"/>
  <c r="P1291"/>
  <c r="P1290"/>
  <c r="P756"/>
  <c r="P249"/>
  <c r="P398"/>
  <c r="P962"/>
  <c r="P648"/>
  <c r="P693"/>
  <c r="P119"/>
  <c r="P1124"/>
  <c r="P625"/>
  <c r="P1051"/>
  <c r="P400"/>
  <c r="P401"/>
  <c r="P194"/>
  <c r="P309"/>
  <c r="P1117"/>
  <c r="P1126"/>
  <c r="P647"/>
  <c r="P818"/>
  <c r="P394"/>
  <c r="P392"/>
  <c r="P1121"/>
  <c r="P391"/>
  <c r="P120"/>
  <c r="P390"/>
  <c r="P399"/>
  <c r="P623"/>
  <c r="P817"/>
  <c r="P397"/>
  <c r="P202"/>
  <c r="P1113"/>
  <c r="P1123"/>
  <c r="P1125"/>
  <c r="P920"/>
  <c r="P627"/>
  <c r="P708"/>
  <c r="P1029"/>
  <c r="P622"/>
  <c r="P626"/>
  <c r="P1119"/>
  <c r="P1116"/>
  <c r="P1118"/>
  <c r="P1115"/>
  <c r="P558"/>
  <c r="P310"/>
  <c r="P519"/>
  <c r="P1114"/>
  <c r="P815"/>
  <c r="P1122"/>
  <c r="P624"/>
  <c r="P387"/>
  <c r="P395"/>
  <c r="P883"/>
  <c r="P388"/>
  <c r="P884"/>
  <c r="P885"/>
  <c r="P816"/>
  <c r="P393"/>
  <c r="P1282"/>
  <c r="P306"/>
  <c r="P413"/>
  <c r="P152"/>
  <c r="P793"/>
  <c r="P619"/>
  <c r="P961"/>
  <c r="P305"/>
  <c r="P386"/>
  <c r="P794"/>
  <c r="P385"/>
  <c r="P881"/>
  <c r="P384"/>
  <c r="P1281"/>
  <c r="P304"/>
  <c r="P882"/>
  <c r="P247"/>
  <c r="P620"/>
  <c r="P302"/>
  <c r="P412"/>
  <c r="P303"/>
  <c r="P248"/>
  <c r="P151"/>
  <c r="P301"/>
  <c r="P616"/>
  <c r="P1102"/>
  <c r="P1105"/>
  <c r="P1109"/>
  <c r="P1097"/>
  <c r="P617"/>
  <c r="P1104"/>
  <c r="P1096"/>
  <c r="P1107"/>
  <c r="P1110"/>
  <c r="P1112"/>
  <c r="P1103"/>
  <c r="P618"/>
  <c r="P878"/>
  <c r="P1095"/>
  <c r="P614"/>
  <c r="P296"/>
  <c r="P1101"/>
  <c r="P1100"/>
  <c r="P379"/>
  <c r="P1106"/>
  <c r="P118"/>
  <c r="P377"/>
  <c r="P295"/>
  <c r="P297"/>
  <c r="P1108"/>
  <c r="P557"/>
  <c r="P517"/>
  <c r="P376"/>
  <c r="P378"/>
  <c r="P298"/>
  <c r="P1099"/>
  <c r="P1028"/>
  <c r="P1280"/>
  <c r="P803"/>
  <c r="P615"/>
  <c r="P294"/>
  <c r="P411"/>
  <c r="P1111"/>
  <c r="P375"/>
  <c r="P293"/>
  <c r="P1098"/>
  <c r="P1093"/>
  <c r="P789"/>
  <c r="P150"/>
  <c r="P960"/>
  <c r="P1092"/>
  <c r="P291"/>
  <c r="P1279"/>
  <c r="P1091"/>
  <c r="P1089"/>
  <c r="P374"/>
  <c r="P1027"/>
  <c r="P1038"/>
  <c r="P1039" s="1"/>
  <c r="P1026"/>
  <c r="P245"/>
  <c r="P292"/>
  <c r="P1094"/>
  <c r="P790"/>
  <c r="P791"/>
  <c r="P30"/>
  <c r="P609"/>
  <c r="P1084"/>
  <c r="P372"/>
  <c r="P1090"/>
  <c r="P59"/>
  <c r="P75"/>
  <c r="P21"/>
  <c r="P1079"/>
  <c r="P373"/>
  <c r="P613"/>
  <c r="P1087"/>
  <c r="P32"/>
  <c r="P114"/>
  <c r="P178"/>
  <c r="P1080"/>
  <c r="P72"/>
  <c r="P290"/>
  <c r="P410"/>
  <c r="P246"/>
  <c r="P22"/>
  <c r="P63"/>
  <c r="P108"/>
  <c r="P71"/>
  <c r="P83"/>
  <c r="P110"/>
  <c r="P24"/>
  <c r="P1081"/>
  <c r="P92"/>
  <c r="P1085"/>
  <c r="P802"/>
  <c r="P69"/>
  <c r="P41"/>
  <c r="P612"/>
  <c r="P79"/>
  <c r="P61"/>
  <c r="P73"/>
  <c r="P54"/>
  <c r="P96"/>
  <c r="P48"/>
  <c r="P1082"/>
  <c r="P84"/>
  <c r="P76"/>
  <c r="P33"/>
  <c r="P64"/>
  <c r="P89"/>
  <c r="P115"/>
  <c r="P31"/>
  <c r="P74"/>
  <c r="P78"/>
  <c r="P611"/>
  <c r="P38"/>
  <c r="P116"/>
  <c r="P93"/>
  <c r="P47"/>
  <c r="P86"/>
  <c r="P99"/>
  <c r="P58"/>
  <c r="P117"/>
  <c r="P35"/>
  <c r="P100"/>
  <c r="P29"/>
  <c r="P1076"/>
  <c r="P1086"/>
  <c r="P97"/>
  <c r="P52"/>
  <c r="P103"/>
  <c r="P40"/>
  <c r="P25"/>
  <c r="P70"/>
  <c r="P26"/>
  <c r="P56"/>
  <c r="P1083"/>
  <c r="P149"/>
  <c r="P45"/>
  <c r="P28"/>
  <c r="P606"/>
  <c r="P50"/>
  <c r="P90"/>
  <c r="P109"/>
  <c r="P113"/>
  <c r="P148"/>
  <c r="P27"/>
  <c r="P44"/>
  <c r="P62"/>
  <c r="P106"/>
  <c r="P610"/>
  <c r="P88"/>
  <c r="P46"/>
  <c r="P80"/>
  <c r="P39"/>
  <c r="P607"/>
  <c r="P66"/>
  <c r="P43"/>
  <c r="P82"/>
  <c r="P68"/>
  <c r="P94"/>
  <c r="P51"/>
  <c r="P81"/>
  <c r="P55"/>
  <c r="P91"/>
  <c r="P98"/>
  <c r="P60"/>
  <c r="P65"/>
  <c r="P102"/>
  <c r="P57"/>
  <c r="P1088"/>
  <c r="P67"/>
  <c r="P87"/>
  <c r="P37"/>
  <c r="P95"/>
  <c r="P42"/>
  <c r="P23"/>
  <c r="P608"/>
  <c r="P49"/>
  <c r="P104"/>
  <c r="P1077"/>
  <c r="P77"/>
  <c r="P107"/>
  <c r="P111"/>
  <c r="P112"/>
  <c r="P53"/>
  <c r="P105"/>
  <c r="P36"/>
  <c r="P101"/>
  <c r="P85"/>
  <c r="P1078"/>
  <c r="P1049"/>
  <c r="P1050"/>
  <c r="P34"/>
  <c r="P1214"/>
  <c r="P177"/>
  <c r="P1212"/>
  <c r="P176"/>
  <c r="P1229"/>
  <c r="P1213"/>
  <c r="P605"/>
  <c r="P242"/>
  <c r="P244"/>
  <c r="P240"/>
  <c r="P243"/>
  <c r="P233"/>
  <c r="P234"/>
  <c r="P175"/>
  <c r="P229"/>
  <c r="P239"/>
  <c r="P237"/>
  <c r="P185"/>
  <c r="P184"/>
  <c r="P235"/>
  <c r="P236"/>
  <c r="P232"/>
  <c r="P231"/>
  <c r="P228"/>
  <c r="P230"/>
  <c r="P266"/>
  <c r="P238"/>
  <c r="P1288"/>
  <c r="P267"/>
  <c r="P1289"/>
  <c r="P227"/>
  <c r="P845"/>
  <c r="P264"/>
  <c r="P1021"/>
  <c r="P265"/>
  <c r="P1042"/>
  <c r="P646"/>
  <c r="P1043"/>
  <c r="P916"/>
  <c r="P1023"/>
  <c r="P1024"/>
  <c r="P714"/>
  <c r="P1022"/>
  <c r="P754"/>
  <c r="P183"/>
  <c r="P1239"/>
  <c r="P990"/>
  <c r="P1287"/>
  <c r="P1238"/>
  <c r="P437"/>
  <c r="P438" s="1"/>
  <c r="P174"/>
  <c r="P1044"/>
  <c r="P998"/>
  <c r="P689"/>
  <c r="P989"/>
  <c r="P1298"/>
  <c r="P705"/>
  <c r="P687"/>
  <c r="P688"/>
  <c r="P686"/>
  <c r="P645"/>
  <c r="P915"/>
  <c r="P987"/>
  <c r="P182"/>
  <c r="P1237"/>
  <c r="P843"/>
  <c r="P959"/>
  <c r="P713"/>
  <c r="P201"/>
  <c r="P1297"/>
  <c r="P844"/>
  <c r="P1008"/>
  <c r="P1254"/>
  <c r="P753"/>
  <c r="P786"/>
  <c r="P785"/>
  <c r="P1286"/>
  <c r="P988"/>
  <c r="P704"/>
  <c r="P956"/>
  <c r="P957"/>
  <c r="P958"/>
  <c r="P1009"/>
  <c r="P556"/>
  <c r="P172"/>
  <c r="P1224"/>
  <c r="P1226" s="1"/>
  <c r="P555"/>
  <c r="P173"/>
  <c r="P1018"/>
  <c r="P286"/>
  <c r="P684"/>
  <c r="P784"/>
  <c r="P781"/>
  <c r="P683"/>
  <c r="P456"/>
  <c r="P358"/>
  <c r="P780"/>
  <c r="P171"/>
  <c r="P682"/>
  <c r="P1204"/>
  <c r="P355"/>
  <c r="P350"/>
  <c r="P513"/>
  <c r="P783"/>
  <c r="P357"/>
  <c r="P954"/>
  <c r="P782"/>
  <c r="P226"/>
  <c r="P349"/>
  <c r="P515"/>
  <c r="P353"/>
  <c r="P354"/>
  <c r="P955"/>
  <c r="P554"/>
  <c r="P1202"/>
  <c r="P1210"/>
  <c r="P359"/>
  <c r="P352"/>
  <c r="P1020"/>
  <c r="P506"/>
  <c r="P1203"/>
  <c r="P1211"/>
  <c r="P1205"/>
  <c r="P1075"/>
  <c r="P1019"/>
  <c r="P1207"/>
  <c r="P1048"/>
  <c r="P503"/>
  <c r="P1074"/>
  <c r="P685"/>
  <c r="P514"/>
  <c r="P1206"/>
  <c r="P1208"/>
  <c r="P505"/>
  <c r="P509"/>
  <c r="P681"/>
  <c r="P500"/>
  <c r="P501"/>
  <c r="P502"/>
  <c r="P507"/>
  <c r="P1209"/>
  <c r="P604"/>
  <c r="P1070"/>
  <c r="P356"/>
  <c r="P170"/>
  <c r="P360"/>
  <c r="P351"/>
  <c r="P1072"/>
  <c r="P1073"/>
  <c r="P510"/>
  <c r="P499"/>
  <c r="P511"/>
  <c r="P504"/>
  <c r="P498"/>
  <c r="P1071"/>
  <c r="P361"/>
  <c r="P493"/>
  <c r="P487"/>
  <c r="P490"/>
  <c r="P494"/>
  <c r="P488"/>
  <c r="P489"/>
  <c r="P497"/>
  <c r="P508"/>
  <c r="P169"/>
  <c r="P492"/>
  <c r="P168"/>
  <c r="P491"/>
  <c r="P486"/>
  <c r="P496"/>
  <c r="P144"/>
  <c r="P145"/>
  <c r="P495"/>
  <c r="P146"/>
  <c r="P602"/>
  <c r="P729"/>
  <c r="P730"/>
  <c r="P147"/>
  <c r="P603"/>
  <c r="P20"/>
  <c r="P285"/>
  <c r="P143"/>
  <c r="P280"/>
  <c r="P167"/>
  <c r="P282"/>
  <c r="P1069"/>
  <c r="P283"/>
  <c r="P281"/>
  <c r="P284"/>
  <c r="P946"/>
  <c r="P945"/>
  <c r="P535"/>
  <c r="P541"/>
  <c r="P225"/>
  <c r="P262"/>
  <c r="P224"/>
  <c r="P865"/>
  <c r="P866"/>
  <c r="P1265"/>
  <c r="P943"/>
  <c r="P867"/>
  <c r="P542"/>
  <c r="P654"/>
  <c r="P426"/>
  <c r="P536"/>
  <c r="P655"/>
  <c r="P537"/>
  <c r="P944"/>
  <c r="P427"/>
  <c r="P540"/>
  <c r="P425"/>
  <c r="P1266"/>
  <c r="P538"/>
  <c r="P1274"/>
  <c r="P1276" s="1"/>
  <c r="P263"/>
  <c r="P539"/>
  <c r="P907"/>
  <c r="P911"/>
  <c r="P986"/>
  <c r="P166"/>
  <c r="P985"/>
  <c r="P975"/>
  <c r="P942"/>
  <c r="P737"/>
  <c r="P680"/>
  <c r="P740"/>
  <c r="P905"/>
  <c r="P909"/>
  <c r="P842"/>
  <c r="P677"/>
  <c r="P835"/>
  <c r="P679"/>
  <c r="P899"/>
  <c r="P678"/>
  <c r="P841"/>
  <c r="P913"/>
  <c r="P904"/>
  <c r="P898"/>
  <c r="P903"/>
  <c r="P912"/>
  <c r="P914"/>
  <c r="P896"/>
  <c r="P837"/>
  <c r="P902"/>
  <c r="P908"/>
  <c r="P901"/>
  <c r="P973"/>
  <c r="P1007"/>
  <c r="P897"/>
  <c r="P906"/>
  <c r="P974"/>
  <c r="P484"/>
  <c r="P900"/>
  <c r="P485"/>
  <c r="P910"/>
  <c r="P738"/>
  <c r="P836"/>
  <c r="P736"/>
  <c r="P727"/>
  <c r="P1006"/>
  <c r="P741"/>
  <c r="P739"/>
  <c r="P676"/>
  <c r="P208"/>
  <c r="P211" s="1"/>
  <c r="P941"/>
  <c r="P675"/>
  <c r="P667"/>
  <c r="P470"/>
  <c r="P724"/>
  <c r="P983"/>
  <c r="P468"/>
  <c r="P1065"/>
  <c r="P467"/>
  <c r="P277"/>
  <c r="P471"/>
  <c r="P475"/>
  <c r="P479"/>
  <c r="P1067"/>
  <c r="P601"/>
  <c r="P668"/>
  <c r="P480"/>
  <c r="P1068"/>
  <c r="P142"/>
  <c r="P726"/>
  <c r="P476"/>
  <c r="P464"/>
  <c r="P463"/>
  <c r="P466"/>
  <c r="P472"/>
  <c r="P465"/>
  <c r="P279"/>
  <c r="P723"/>
  <c r="P1063"/>
  <c r="P722"/>
  <c r="P462"/>
  <c r="P469"/>
  <c r="P473"/>
  <c r="P477"/>
  <c r="P481"/>
  <c r="P482"/>
  <c r="P278"/>
  <c r="P670"/>
  <c r="P474"/>
  <c r="P478"/>
  <c r="P19"/>
  <c r="P483"/>
  <c r="P671"/>
  <c r="P193"/>
  <c r="P665"/>
  <c r="P970"/>
  <c r="P1066"/>
  <c r="P672"/>
  <c r="P673"/>
  <c r="P972"/>
  <c r="P728"/>
  <c r="P669"/>
  <c r="P674"/>
  <c r="P971"/>
  <c r="P1064"/>
  <c r="P666"/>
  <c r="P984"/>
  <c r="P725"/>
  <c r="P747"/>
  <c r="P750" s="1"/>
  <c r="P814"/>
  <c r="P813"/>
  <c r="P214"/>
  <c r="P218" s="1"/>
  <c r="P597"/>
  <c r="P599"/>
  <c r="P779"/>
  <c r="P600"/>
  <c r="P598"/>
  <c r="P18"/>
  <c r="P596"/>
  <c r="P17"/>
  <c r="P578"/>
  <c r="P873"/>
  <c r="P592"/>
  <c r="P581"/>
  <c r="P1061"/>
  <c r="P639"/>
  <c r="P641" s="1"/>
  <c r="P801"/>
  <c r="P369"/>
  <c r="P1062"/>
  <c r="P1236"/>
  <c r="P577"/>
  <c r="P576"/>
  <c r="P594"/>
  <c r="P589"/>
  <c r="P1059"/>
  <c r="P366"/>
  <c r="P582"/>
  <c r="P137"/>
  <c r="P1261"/>
  <c r="P580"/>
  <c r="P774"/>
  <c r="P588"/>
  <c r="P1060"/>
  <c r="P572"/>
  <c r="P586"/>
  <c r="P575"/>
  <c r="P1058"/>
  <c r="P590"/>
  <c r="P573"/>
  <c r="P574"/>
  <c r="P595"/>
  <c r="P571"/>
  <c r="P587"/>
  <c r="P591"/>
  <c r="P584"/>
  <c r="P585"/>
  <c r="P139"/>
  <c r="P1016"/>
  <c r="P409"/>
  <c r="P138"/>
  <c r="P775"/>
  <c r="P583"/>
  <c r="P579"/>
  <c r="P408"/>
  <c r="P593"/>
  <c r="P567"/>
  <c r="P568"/>
  <c r="P276"/>
  <c r="P566"/>
  <c r="P570"/>
  <c r="P569"/>
  <c r="Z11" i="1"/>
  <c r="Y11" s="1"/>
  <c r="Y17"/>
  <c r="V33"/>
  <c r="U33" s="1"/>
  <c r="V38"/>
  <c r="O10"/>
  <c r="K10"/>
  <c r="M10"/>
  <c r="O12"/>
  <c r="K12"/>
  <c r="AS12"/>
  <c r="M12"/>
  <c r="AA12"/>
  <c r="Y12"/>
  <c r="O14"/>
  <c r="K14"/>
  <c r="AS14"/>
  <c r="M14"/>
  <c r="M16"/>
  <c r="AS16"/>
  <c r="O16"/>
  <c r="K16"/>
  <c r="AS19"/>
  <c r="M19"/>
  <c r="O19"/>
  <c r="K19"/>
  <c r="V27"/>
  <c r="Z29"/>
  <c r="V29"/>
  <c r="V30"/>
  <c r="Z31"/>
  <c r="M38"/>
  <c r="N38"/>
  <c r="AS38"/>
  <c r="O38"/>
  <c r="K38"/>
  <c r="AS40"/>
  <c r="M40"/>
  <c r="N40"/>
  <c r="O40"/>
  <c r="K40"/>
  <c r="V48"/>
  <c r="W57"/>
  <c r="AA57"/>
  <c r="AA61"/>
  <c r="AA73"/>
  <c r="Z73" s="1"/>
  <c r="V8"/>
  <c r="U8" s="1"/>
  <c r="Y9"/>
  <c r="V9"/>
  <c r="Z10"/>
  <c r="Z1802" s="1"/>
  <c r="W14"/>
  <c r="U17"/>
  <c r="N18"/>
  <c r="Y22"/>
  <c r="N24"/>
  <c r="W24"/>
  <c r="N25"/>
  <c r="W25"/>
  <c r="P133" i="64" s="1"/>
  <c r="AS25" i="1"/>
  <c r="N26"/>
  <c r="Y27"/>
  <c r="AA32"/>
  <c r="U35"/>
  <c r="V91"/>
  <c r="V1801" s="1"/>
  <c r="W47"/>
  <c r="AA75"/>
  <c r="Z75" s="1"/>
  <c r="Y75" s="1"/>
  <c r="AA78"/>
  <c r="W64"/>
  <c r="U81"/>
  <c r="AA86"/>
  <c r="AS96"/>
  <c r="AA97"/>
  <c r="AS101"/>
  <c r="W104"/>
  <c r="AS104"/>
  <c r="AS105"/>
  <c r="N107"/>
  <c r="AS107"/>
  <c r="V108"/>
  <c r="V1808" s="1"/>
  <c r="AJ1865"/>
  <c r="AF1865"/>
  <c r="AK1865"/>
  <c r="AG1865"/>
  <c r="AC1865"/>
  <c r="X1865"/>
  <c r="AL1865"/>
  <c r="AH1865"/>
  <c r="AD1865"/>
  <c r="AB1865"/>
  <c r="AM1865"/>
  <c r="AI1865"/>
  <c r="AE1865"/>
  <c r="AM1808"/>
  <c r="AJ1808"/>
  <c r="AF1808"/>
  <c r="AO1807"/>
  <c r="AK1807"/>
  <c r="AG1807"/>
  <c r="AC1807"/>
  <c r="X1807"/>
  <c r="AL1806"/>
  <c r="AH1806"/>
  <c r="AD1806"/>
  <c r="AB1806"/>
  <c r="AM1805"/>
  <c r="AI1805"/>
  <c r="AE1805"/>
  <c r="AA1805"/>
  <c r="W1805"/>
  <c r="AN1804"/>
  <c r="AJ1804"/>
  <c r="AF1804"/>
  <c r="AB1804"/>
  <c r="X1804"/>
  <c r="AO1803"/>
  <c r="AK1803"/>
  <c r="AG1803"/>
  <c r="AC1803"/>
  <c r="X1803"/>
  <c r="AL1802"/>
  <c r="AH1802"/>
  <c r="AD1802"/>
  <c r="AB1802"/>
  <c r="AM1801"/>
  <c r="AI1801"/>
  <c r="AE1801"/>
  <c r="AJ1800"/>
  <c r="AF1800"/>
  <c r="AO1799"/>
  <c r="AK1799"/>
  <c r="AG1799"/>
  <c r="AC1799"/>
  <c r="Y1799"/>
  <c r="U1799"/>
  <c r="AL1791"/>
  <c r="AH1791"/>
  <c r="AD1791"/>
  <c r="AB1791"/>
  <c r="AK1808"/>
  <c r="AG1808"/>
  <c r="AC1808"/>
  <c r="X1808"/>
  <c r="AL1807"/>
  <c r="AH1807"/>
  <c r="AD1807"/>
  <c r="AB1807"/>
  <c r="AM1806"/>
  <c r="AI1806"/>
  <c r="AE1806"/>
  <c r="AN1805"/>
  <c r="AJ1805"/>
  <c r="AF1805"/>
  <c r="AB1805"/>
  <c r="X1805"/>
  <c r="AO1804"/>
  <c r="AK1804"/>
  <c r="AG1804"/>
  <c r="AC1804"/>
  <c r="Y1804"/>
  <c r="U1804"/>
  <c r="AL1803"/>
  <c r="AH1803"/>
  <c r="AD1803"/>
  <c r="AB1803"/>
  <c r="AM1802"/>
  <c r="AI1802"/>
  <c r="AE1802"/>
  <c r="AJ1801"/>
  <c r="AF1801"/>
  <c r="AK1800"/>
  <c r="AG1800"/>
  <c r="AC1800"/>
  <c r="X1800"/>
  <c r="AL1799"/>
  <c r="AH1799"/>
  <c r="AD1799"/>
  <c r="Z1799"/>
  <c r="V1799"/>
  <c r="AM1791"/>
  <c r="AI1791"/>
  <c r="AE1791"/>
  <c r="AL1808"/>
  <c r="AH1808"/>
  <c r="AD1808"/>
  <c r="AB1808"/>
  <c r="AM1807"/>
  <c r="AI1807"/>
  <c r="AE1807"/>
  <c r="AJ1806"/>
  <c r="AF1806"/>
  <c r="AO1805"/>
  <c r="AK1805"/>
  <c r="AG1805"/>
  <c r="AC1805"/>
  <c r="Y1805"/>
  <c r="U1805"/>
  <c r="AL1804"/>
  <c r="AH1804"/>
  <c r="AD1804"/>
  <c r="Z1804"/>
  <c r="V1804"/>
  <c r="AM1803"/>
  <c r="AI1803"/>
  <c r="AE1803"/>
  <c r="AN1802"/>
  <c r="AJ1802"/>
  <c r="AF1802"/>
  <c r="AO1801"/>
  <c r="AK1801"/>
  <c r="AG1801"/>
  <c r="AC1801"/>
  <c r="X1801"/>
  <c r="AL1800"/>
  <c r="AH1800"/>
  <c r="AD1800"/>
  <c r="AB1800"/>
  <c r="AM1799"/>
  <c r="AI1799"/>
  <c r="AE1799"/>
  <c r="AA1799"/>
  <c r="W1799"/>
  <c r="AJ1791"/>
  <c r="AF1791"/>
  <c r="AI1808"/>
  <c r="AE1808"/>
  <c r="AJ1807"/>
  <c r="AF1807"/>
  <c r="AK1806"/>
  <c r="AG1806"/>
  <c r="AC1806"/>
  <c r="X1806"/>
  <c r="AL1805"/>
  <c r="AH1805"/>
  <c r="AD1805"/>
  <c r="Z1805"/>
  <c r="V1805"/>
  <c r="AM1804"/>
  <c r="AI1804"/>
  <c r="AE1804"/>
  <c r="AA1804"/>
  <c r="W1804"/>
  <c r="AJ1803"/>
  <c r="AF1803"/>
  <c r="AO1802"/>
  <c r="AK1802"/>
  <c r="AG1802"/>
  <c r="AC1802"/>
  <c r="X1802"/>
  <c r="AL1801"/>
  <c r="AH1801"/>
  <c r="AD1801"/>
  <c r="AB1801"/>
  <c r="AM1800"/>
  <c r="AI1800"/>
  <c r="AE1800"/>
  <c r="AN1799"/>
  <c r="AJ1799"/>
  <c r="AF1799"/>
  <c r="AB1799"/>
  <c r="X1799"/>
  <c r="AO1791"/>
  <c r="AK1791"/>
  <c r="AG1791"/>
  <c r="AC1791"/>
  <c r="X1791"/>
  <c r="AM1758"/>
  <c r="AI1758"/>
  <c r="AE1758"/>
  <c r="AJ1758"/>
  <c r="AF1758"/>
  <c r="AK1758"/>
  <c r="AG1758"/>
  <c r="AC1758"/>
  <c r="AL1758"/>
  <c r="AH1758"/>
  <c r="AD1758"/>
  <c r="X1758"/>
  <c r="AG1690"/>
  <c r="AL1690"/>
  <c r="AH1690"/>
  <c r="AD1690"/>
  <c r="AB1690"/>
  <c r="AM1690"/>
  <c r="AI1690"/>
  <c r="AE1690"/>
  <c r="AO1690"/>
  <c r="X1690"/>
  <c r="AN1690"/>
  <c r="AJ1690"/>
  <c r="AF1690"/>
  <c r="AK1690"/>
  <c r="AC1690"/>
  <c r="AL1643"/>
  <c r="AH1643"/>
  <c r="AD1643"/>
  <c r="AB1643"/>
  <c r="AN1634"/>
  <c r="AJ1634"/>
  <c r="AF1634"/>
  <c r="AM1629"/>
  <c r="AI1629"/>
  <c r="AE1629"/>
  <c r="AM1616"/>
  <c r="AI1616"/>
  <c r="AE1616"/>
  <c r="AN1615"/>
  <c r="AJ1615"/>
  <c r="AF1615"/>
  <c r="AO1614"/>
  <c r="AK1614"/>
  <c r="AG1614"/>
  <c r="AC1614"/>
  <c r="X1614"/>
  <c r="AL1613"/>
  <c r="AH1613"/>
  <c r="AD1613"/>
  <c r="AB1613"/>
  <c r="AM1612"/>
  <c r="AI1612"/>
  <c r="AE1612"/>
  <c r="AN1611"/>
  <c r="AJ1611"/>
  <c r="AF1611"/>
  <c r="AO1610"/>
  <c r="AK1610"/>
  <c r="AG1610"/>
  <c r="AC1610"/>
  <c r="X1610"/>
  <c r="AL1609"/>
  <c r="AH1609"/>
  <c r="AD1609"/>
  <c r="AB1609"/>
  <c r="AM1608"/>
  <c r="AI1608"/>
  <c r="AE1608"/>
  <c r="AN1607"/>
  <c r="AJ1607"/>
  <c r="AF1607"/>
  <c r="AO1606"/>
  <c r="AK1606"/>
  <c r="AG1606"/>
  <c r="AC1606"/>
  <c r="X1606"/>
  <c r="AN1595"/>
  <c r="AJ1595"/>
  <c r="AF1595"/>
  <c r="AB1595"/>
  <c r="X1595"/>
  <c r="AO1594"/>
  <c r="AK1594"/>
  <c r="AG1594"/>
  <c r="AC1594"/>
  <c r="X1594"/>
  <c r="AL1593"/>
  <c r="AH1593"/>
  <c r="AD1593"/>
  <c r="AM1643"/>
  <c r="AI1643"/>
  <c r="AE1643"/>
  <c r="AO1634"/>
  <c r="AK1634"/>
  <c r="AG1634"/>
  <c r="AC1634"/>
  <c r="X1634"/>
  <c r="X1632" s="1"/>
  <c r="AN1629"/>
  <c r="AJ1629"/>
  <c r="AF1629"/>
  <c r="AN1616"/>
  <c r="AJ1616"/>
  <c r="AF1616"/>
  <c r="AO1615"/>
  <c r="AK1615"/>
  <c r="AG1615"/>
  <c r="AC1615"/>
  <c r="X1615"/>
  <c r="AL1614"/>
  <c r="AH1614"/>
  <c r="AD1614"/>
  <c r="AB1614"/>
  <c r="AM1613"/>
  <c r="AI1613"/>
  <c r="AE1613"/>
  <c r="AN1612"/>
  <c r="AJ1612"/>
  <c r="AF1612"/>
  <c r="AO1611"/>
  <c r="AK1611"/>
  <c r="AG1611"/>
  <c r="AC1611"/>
  <c r="X1611"/>
  <c r="AL1610"/>
  <c r="AH1610"/>
  <c r="AD1610"/>
  <c r="AB1610"/>
  <c r="AM1609"/>
  <c r="AI1609"/>
  <c r="AE1609"/>
  <c r="AN1608"/>
  <c r="AJ1608"/>
  <c r="AF1608"/>
  <c r="AO1607"/>
  <c r="AK1607"/>
  <c r="AG1607"/>
  <c r="AC1607"/>
  <c r="X1607"/>
  <c r="AL1606"/>
  <c r="AH1606"/>
  <c r="AD1606"/>
  <c r="AB1606"/>
  <c r="AO1595"/>
  <c r="AK1595"/>
  <c r="AG1595"/>
  <c r="AC1595"/>
  <c r="Y1595"/>
  <c r="U1595"/>
  <c r="AL1594"/>
  <c r="AH1594"/>
  <c r="AD1594"/>
  <c r="AB1594"/>
  <c r="AM1593"/>
  <c r="AI1593"/>
  <c r="AE1593"/>
  <c r="AN1643"/>
  <c r="AJ1643"/>
  <c r="AF1643"/>
  <c r="AL1634"/>
  <c r="AH1634"/>
  <c r="AD1634"/>
  <c r="AB1634"/>
  <c r="AB1632" s="1"/>
  <c r="AO1629"/>
  <c r="AK1629"/>
  <c r="AG1629"/>
  <c r="AC1629"/>
  <c r="X1629"/>
  <c r="AO1616"/>
  <c r="AK1616"/>
  <c r="AG1616"/>
  <c r="AC1616"/>
  <c r="X1616"/>
  <c r="AL1615"/>
  <c r="AH1615"/>
  <c r="AD1615"/>
  <c r="AB1615"/>
  <c r="AM1614"/>
  <c r="AI1614"/>
  <c r="AE1614"/>
  <c r="AN1613"/>
  <c r="AJ1613"/>
  <c r="AF1613"/>
  <c r="AO1612"/>
  <c r="AK1612"/>
  <c r="AG1612"/>
  <c r="AC1612"/>
  <c r="X1612"/>
  <c r="AL1611"/>
  <c r="AH1611"/>
  <c r="AD1611"/>
  <c r="AB1611"/>
  <c r="AM1610"/>
  <c r="AI1610"/>
  <c r="AE1610"/>
  <c r="AN1609"/>
  <c r="AJ1609"/>
  <c r="AF1609"/>
  <c r="AO1608"/>
  <c r="AK1608"/>
  <c r="AG1608"/>
  <c r="AC1608"/>
  <c r="X1608"/>
  <c r="AL1607"/>
  <c r="AH1607"/>
  <c r="AD1607"/>
  <c r="AB1607"/>
  <c r="AM1606"/>
  <c r="AI1606"/>
  <c r="AE1606"/>
  <c r="AL1595"/>
  <c r="AH1595"/>
  <c r="AD1595"/>
  <c r="Z1595"/>
  <c r="V1595"/>
  <c r="AM1594"/>
  <c r="AI1594"/>
  <c r="AE1594"/>
  <c r="AJ1593"/>
  <c r="AF1593"/>
  <c r="AO1643"/>
  <c r="AK1643"/>
  <c r="AG1643"/>
  <c r="AC1643"/>
  <c r="X1643"/>
  <c r="AM1634"/>
  <c r="AI1634"/>
  <c r="AE1634"/>
  <c r="AL1629"/>
  <c r="AH1629"/>
  <c r="AD1629"/>
  <c r="AB1629"/>
  <c r="AL1616"/>
  <c r="AH1616"/>
  <c r="AD1616"/>
  <c r="AB1616"/>
  <c r="AM1615"/>
  <c r="AI1615"/>
  <c r="AE1615"/>
  <c r="AN1614"/>
  <c r="AJ1614"/>
  <c r="AF1614"/>
  <c r="AO1613"/>
  <c r="AK1613"/>
  <c r="AG1613"/>
  <c r="AC1613"/>
  <c r="X1613"/>
  <c r="AL1612"/>
  <c r="AH1612"/>
  <c r="AD1612"/>
  <c r="AB1612"/>
  <c r="AM1611"/>
  <c r="AI1611"/>
  <c r="AE1611"/>
  <c r="AN1610"/>
  <c r="AJ1610"/>
  <c r="AF1610"/>
  <c r="AO1609"/>
  <c r="AK1609"/>
  <c r="AG1609"/>
  <c r="AC1609"/>
  <c r="X1609"/>
  <c r="AL1608"/>
  <c r="AH1608"/>
  <c r="AD1608"/>
  <c r="AB1608"/>
  <c r="AM1607"/>
  <c r="AI1607"/>
  <c r="AE1607"/>
  <c r="AN1606"/>
  <c r="AJ1606"/>
  <c r="AF1606"/>
  <c r="AM1595"/>
  <c r="AI1595"/>
  <c r="AE1595"/>
  <c r="AA1595"/>
  <c r="W1595"/>
  <c r="AJ1594"/>
  <c r="AF1594"/>
  <c r="AK1593"/>
  <c r="AG1593"/>
  <c r="AC1593"/>
  <c r="AM1592"/>
  <c r="AI1592"/>
  <c r="AE1592"/>
  <c r="AN1591"/>
  <c r="AJ1591"/>
  <c r="AF1591"/>
  <c r="AO1590"/>
  <c r="AK1590"/>
  <c r="AG1590"/>
  <c r="AC1590"/>
  <c r="Y1590"/>
  <c r="U1590"/>
  <c r="AL1589"/>
  <c r="AH1589"/>
  <c r="AD1589"/>
  <c r="AB1589"/>
  <c r="AM1588"/>
  <c r="AI1588"/>
  <c r="AE1588"/>
  <c r="AN1587"/>
  <c r="AJ1587"/>
  <c r="AF1587"/>
  <c r="AO1586"/>
  <c r="AK1586"/>
  <c r="AG1586"/>
  <c r="AC1586"/>
  <c r="Y1586"/>
  <c r="U1586"/>
  <c r="AL1585"/>
  <c r="AH1585"/>
  <c r="AD1585"/>
  <c r="AB1585"/>
  <c r="AM1584"/>
  <c r="AI1584"/>
  <c r="AE1584"/>
  <c r="AN1583"/>
  <c r="AJ1583"/>
  <c r="AF1583"/>
  <c r="AN1592"/>
  <c r="AJ1592"/>
  <c r="AF1592"/>
  <c r="AO1591"/>
  <c r="AK1591"/>
  <c r="AG1591"/>
  <c r="AC1591"/>
  <c r="X1591"/>
  <c r="AL1590"/>
  <c r="AH1590"/>
  <c r="AD1590"/>
  <c r="Z1590"/>
  <c r="V1590"/>
  <c r="AM1589"/>
  <c r="AI1589"/>
  <c r="AE1589"/>
  <c r="AN1588"/>
  <c r="AJ1588"/>
  <c r="AF1588"/>
  <c r="AO1587"/>
  <c r="AK1587"/>
  <c r="AG1587"/>
  <c r="AC1587"/>
  <c r="X1587"/>
  <c r="AL1586"/>
  <c r="AH1586"/>
  <c r="AD1586"/>
  <c r="Z1586"/>
  <c r="V1586"/>
  <c r="AM1585"/>
  <c r="AI1585"/>
  <c r="AE1585"/>
  <c r="AN1584"/>
  <c r="AJ1584"/>
  <c r="AF1584"/>
  <c r="AO1583"/>
  <c r="AK1583"/>
  <c r="AG1583"/>
  <c r="AC1583"/>
  <c r="X1583"/>
  <c r="AO1592"/>
  <c r="AK1592"/>
  <c r="AG1592"/>
  <c r="AC1592"/>
  <c r="X1592"/>
  <c r="AL1591"/>
  <c r="AH1591"/>
  <c r="AD1591"/>
  <c r="AB1591"/>
  <c r="AM1590"/>
  <c r="AI1590"/>
  <c r="AE1590"/>
  <c r="AA1590"/>
  <c r="W1590"/>
  <c r="AN1589"/>
  <c r="AJ1589"/>
  <c r="AF1589"/>
  <c r="AO1588"/>
  <c r="AK1588"/>
  <c r="AG1588"/>
  <c r="AC1588"/>
  <c r="X1588"/>
  <c r="AL1587"/>
  <c r="AH1587"/>
  <c r="AD1587"/>
  <c r="AB1587"/>
  <c r="AM1586"/>
  <c r="AI1586"/>
  <c r="AE1586"/>
  <c r="AA1586"/>
  <c r="W1586"/>
  <c r="AN1585"/>
  <c r="AJ1585"/>
  <c r="AF1585"/>
  <c r="AO1584"/>
  <c r="AK1584"/>
  <c r="AG1584"/>
  <c r="AC1584"/>
  <c r="X1584"/>
  <c r="AL1583"/>
  <c r="AH1583"/>
  <c r="AD1583"/>
  <c r="AB1583"/>
  <c r="X1593"/>
  <c r="AL1592"/>
  <c r="AH1592"/>
  <c r="AD1592"/>
  <c r="AB1592"/>
  <c r="AM1591"/>
  <c r="AI1591"/>
  <c r="AE1591"/>
  <c r="AN1590"/>
  <c r="AJ1590"/>
  <c r="AF1590"/>
  <c r="AB1590"/>
  <c r="X1590"/>
  <c r="AO1589"/>
  <c r="AK1589"/>
  <c r="AG1589"/>
  <c r="AC1589"/>
  <c r="X1589"/>
  <c r="AL1588"/>
  <c r="AH1588"/>
  <c r="AD1588"/>
  <c r="AB1588"/>
  <c r="AM1587"/>
  <c r="AI1587"/>
  <c r="AE1587"/>
  <c r="AN1586"/>
  <c r="AJ1586"/>
  <c r="AF1586"/>
  <c r="AB1586"/>
  <c r="X1586"/>
  <c r="AO1585"/>
  <c r="AK1585"/>
  <c r="AG1585"/>
  <c r="AC1585"/>
  <c r="X1585"/>
  <c r="AL1584"/>
  <c r="AH1584"/>
  <c r="AD1584"/>
  <c r="AB1584"/>
  <c r="AM1583"/>
  <c r="AI1583"/>
  <c r="AE1583"/>
  <c r="AB1593"/>
  <c r="AB1758"/>
  <c r="AA1594"/>
  <c r="V1594"/>
  <c r="Y1594"/>
  <c r="Z1594"/>
  <c r="W1594"/>
  <c r="U1594"/>
  <c r="V1593"/>
  <c r="W1758"/>
  <c r="W1593"/>
  <c r="V1758"/>
  <c r="Y1758"/>
  <c r="U1758"/>
  <c r="Z1758"/>
  <c r="U1593"/>
  <c r="Z1593"/>
  <c r="AA1758"/>
  <c r="AA1593"/>
  <c r="Y1593"/>
  <c r="Y1806"/>
  <c r="AA1591"/>
  <c r="Y1807"/>
  <c r="W1806"/>
  <c r="AA1807"/>
  <c r="U1806"/>
  <c r="U1807"/>
  <c r="Z1591"/>
  <c r="Y1591" s="1"/>
  <c r="Z1807"/>
  <c r="V1807"/>
  <c r="W1807"/>
  <c r="AA1806"/>
  <c r="W1591"/>
  <c r="V1591" s="1"/>
  <c r="U1591" s="1"/>
  <c r="Z1806"/>
  <c r="V1806"/>
  <c r="V1803"/>
  <c r="Y1803"/>
  <c r="U1803"/>
  <c r="AA1803"/>
  <c r="Z1803"/>
  <c r="W1803"/>
  <c r="W73"/>
  <c r="W77"/>
  <c r="AA11"/>
  <c r="W13"/>
  <c r="AA15"/>
  <c r="AS15"/>
  <c r="W17"/>
  <c r="W22"/>
  <c r="AS22"/>
  <c r="AS23"/>
  <c r="AA28"/>
  <c r="AS34"/>
  <c r="U36"/>
  <c r="Y39"/>
  <c r="N41"/>
  <c r="U42"/>
  <c r="AA42"/>
  <c r="N43"/>
  <c r="M43" s="1"/>
  <c r="N44"/>
  <c r="W44"/>
  <c r="M45"/>
  <c r="U45"/>
  <c r="N46"/>
  <c r="Y46"/>
  <c r="AA47"/>
  <c r="M48"/>
  <c r="U48"/>
  <c r="Y48"/>
  <c r="M49"/>
  <c r="U49"/>
  <c r="AA50"/>
  <c r="Z50"/>
  <c r="M51"/>
  <c r="U51"/>
  <c r="M52"/>
  <c r="M53"/>
  <c r="M58"/>
  <c r="U58"/>
  <c r="W59"/>
  <c r="P1247" i="64" s="1"/>
  <c r="V60" i="1"/>
  <c r="V61"/>
  <c r="M63"/>
  <c r="V63"/>
  <c r="K64"/>
  <c r="O64"/>
  <c r="Z64"/>
  <c r="K65"/>
  <c r="O65"/>
  <c r="AA65"/>
  <c r="AS65"/>
  <c r="M66"/>
  <c r="V67"/>
  <c r="M68"/>
  <c r="V68"/>
  <c r="K69"/>
  <c r="O69"/>
  <c r="M70"/>
  <c r="U70"/>
  <c r="M71"/>
  <c r="K72"/>
  <c r="O72"/>
  <c r="V72"/>
  <c r="Y73"/>
  <c r="M74"/>
  <c r="W75"/>
  <c r="Y76"/>
  <c r="K78"/>
  <c r="O78"/>
  <c r="Z78"/>
  <c r="Y78" s="1"/>
  <c r="M79"/>
  <c r="U79"/>
  <c r="AA79"/>
  <c r="V80"/>
  <c r="W81"/>
  <c r="K82"/>
  <c r="O82"/>
  <c r="AA82"/>
  <c r="M83"/>
  <c r="V83"/>
  <c r="AA84"/>
  <c r="Z84"/>
  <c r="M85"/>
  <c r="Z85"/>
  <c r="K86"/>
  <c r="O86"/>
  <c r="V86"/>
  <c r="K88"/>
  <c r="O88"/>
  <c r="Z88"/>
  <c r="M89"/>
  <c r="M91"/>
  <c r="AA91"/>
  <c r="U92"/>
  <c r="V92"/>
  <c r="M93"/>
  <c r="AS93"/>
  <c r="K96"/>
  <c r="O96"/>
  <c r="V96"/>
  <c r="K97"/>
  <c r="O97"/>
  <c r="AS97"/>
  <c r="K99"/>
  <c r="O99"/>
  <c r="K101"/>
  <c r="O101"/>
  <c r="Y101"/>
  <c r="M102"/>
  <c r="AS102"/>
  <c r="Y103"/>
  <c r="K104"/>
  <c r="O104"/>
  <c r="K105"/>
  <c r="O105"/>
  <c r="W105"/>
  <c r="AA105"/>
  <c r="K106"/>
  <c r="O106"/>
  <c r="Y106"/>
  <c r="M107"/>
  <c r="W87"/>
  <c r="AS45"/>
  <c r="Z47"/>
  <c r="AS49"/>
  <c r="Y50"/>
  <c r="W51"/>
  <c r="AS51"/>
  <c r="AA52"/>
  <c r="AS52"/>
  <c r="W53"/>
  <c r="Z56"/>
  <c r="W58"/>
  <c r="N64"/>
  <c r="U64"/>
  <c r="AS64"/>
  <c r="N65"/>
  <c r="Z65"/>
  <c r="W66"/>
  <c r="U67"/>
  <c r="AA68"/>
  <c r="N69"/>
  <c r="AS69"/>
  <c r="N72"/>
  <c r="V73"/>
  <c r="U73" s="1"/>
  <c r="AS74"/>
  <c r="N78"/>
  <c r="U78"/>
  <c r="AS78"/>
  <c r="W79"/>
  <c r="Z79"/>
  <c r="AS79"/>
  <c r="U80"/>
  <c r="N82"/>
  <c r="W83"/>
  <c r="AS83"/>
  <c r="Y84"/>
  <c r="W85"/>
  <c r="N86"/>
  <c r="AS86"/>
  <c r="N88"/>
  <c r="U88"/>
  <c r="AS88"/>
  <c r="W91"/>
  <c r="Z91"/>
  <c r="AA94"/>
  <c r="V95"/>
  <c r="U95" s="1"/>
  <c r="Z95"/>
  <c r="N96"/>
  <c r="N97"/>
  <c r="N99"/>
  <c r="U99"/>
  <c r="N101"/>
  <c r="N104"/>
  <c r="N105"/>
  <c r="V105"/>
  <c r="AN1627"/>
  <c r="AJ1627"/>
  <c r="AF1627"/>
  <c r="AO1627"/>
  <c r="AK1627"/>
  <c r="AG1627"/>
  <c r="AC1627"/>
  <c r="X1627"/>
  <c r="AL1627"/>
  <c r="AH1627"/>
  <c r="AD1627"/>
  <c r="AB1627"/>
  <c r="AM1627"/>
  <c r="AI1627"/>
  <c r="AE1627"/>
  <c r="Z42"/>
  <c r="N7"/>
  <c r="AA25"/>
  <c r="N28"/>
  <c r="V34"/>
  <c r="N35"/>
  <c r="V35"/>
  <c r="Z35"/>
  <c r="V37"/>
  <c r="W39"/>
  <c r="K45"/>
  <c r="Y47"/>
  <c r="K48"/>
  <c r="O48"/>
  <c r="AA48"/>
  <c r="K49"/>
  <c r="K51"/>
  <c r="K52"/>
  <c r="K53"/>
  <c r="O53"/>
  <c r="K58"/>
  <c r="O58"/>
  <c r="K63"/>
  <c r="O63"/>
  <c r="Z63"/>
  <c r="Y65"/>
  <c r="K66"/>
  <c r="Z67"/>
  <c r="K68"/>
  <c r="Z68"/>
  <c r="Y68" s="1"/>
  <c r="K70"/>
  <c r="O70"/>
  <c r="K71"/>
  <c r="M72"/>
  <c r="K74"/>
  <c r="N75"/>
  <c r="V75"/>
  <c r="Z77"/>
  <c r="K79"/>
  <c r="Y79"/>
  <c r="Z80"/>
  <c r="N81"/>
  <c r="M82"/>
  <c r="K83"/>
  <c r="Z83"/>
  <c r="K85"/>
  <c r="W88"/>
  <c r="K89"/>
  <c r="O89"/>
  <c r="K91"/>
  <c r="O91"/>
  <c r="K93"/>
  <c r="Y94"/>
  <c r="M99"/>
  <c r="AA101"/>
  <c r="K102"/>
  <c r="U105"/>
  <c r="Y105"/>
  <c r="M106"/>
  <c r="U106"/>
  <c r="K107"/>
  <c r="P969" i="64"/>
  <c r="Y57" i="1"/>
  <c r="U57"/>
  <c r="Y74"/>
  <c r="U74"/>
  <c r="W92"/>
  <c r="AA95"/>
  <c r="Y71"/>
  <c r="Y87"/>
  <c r="Z15"/>
  <c r="V15"/>
  <c r="AA21"/>
  <c r="W21"/>
  <c r="V21" s="1"/>
  <c r="Y66"/>
  <c r="U66"/>
  <c r="AA67"/>
  <c r="W67"/>
  <c r="Z70"/>
  <c r="Y70" s="1"/>
  <c r="AA80"/>
  <c r="W80"/>
  <c r="Z94"/>
  <c r="P968" i="64"/>
  <c r="W1865" i="1"/>
  <c r="W1808"/>
  <c r="AA33"/>
  <c r="AA41"/>
  <c r="Z41" s="1"/>
  <c r="AA16"/>
  <c r="W18"/>
  <c r="Y19"/>
  <c r="AA20"/>
  <c r="Z21"/>
  <c r="V24"/>
  <c r="Z24"/>
  <c r="V25"/>
  <c r="Z25"/>
  <c r="P829" i="64"/>
  <c r="W31" i="1"/>
  <c r="U37"/>
  <c r="Z46"/>
  <c r="V47"/>
  <c r="Y49"/>
  <c r="V52"/>
  <c r="Z52"/>
  <c r="V53"/>
  <c r="W55"/>
  <c r="U56"/>
  <c r="V57"/>
  <c r="Y61"/>
  <c r="V62"/>
  <c r="Z62"/>
  <c r="U63"/>
  <c r="Y67"/>
  <c r="V71"/>
  <c r="U71" s="1"/>
  <c r="V74"/>
  <c r="U77"/>
  <c r="Y80"/>
  <c r="U83"/>
  <c r="U90"/>
  <c r="U91"/>
  <c r="U1801" s="1"/>
  <c r="AA38"/>
  <c r="W38"/>
  <c r="Y23"/>
  <c r="U23"/>
  <c r="Y33"/>
  <c r="V42"/>
  <c r="Z81"/>
  <c r="AA87"/>
  <c r="AA9"/>
  <c r="Z9" s="1"/>
  <c r="V17"/>
  <c r="Z17"/>
  <c r="V18"/>
  <c r="U24"/>
  <c r="Y24"/>
  <c r="U25"/>
  <c r="Y25"/>
  <c r="V26"/>
  <c r="W27"/>
  <c r="P135" i="64" s="1"/>
  <c r="AA30" i="1"/>
  <c r="AA31"/>
  <c r="W33"/>
  <c r="P808" i="64" s="1"/>
  <c r="P809" s="1"/>
  <c r="Y37" i="1"/>
  <c r="V39"/>
  <c r="Z39"/>
  <c r="U40"/>
  <c r="AA40"/>
  <c r="W41"/>
  <c r="U47"/>
  <c r="U52"/>
  <c r="Y52"/>
  <c r="Y56"/>
  <c r="Z57"/>
  <c r="AA59"/>
  <c r="U62"/>
  <c r="Y62"/>
  <c r="Y63"/>
  <c r="V66"/>
  <c r="U68"/>
  <c r="V70"/>
  <c r="Z74"/>
  <c r="V76"/>
  <c r="U76" s="1"/>
  <c r="Y81"/>
  <c r="Y83"/>
  <c r="AA88"/>
  <c r="AA8"/>
  <c r="W8"/>
  <c r="AA10"/>
  <c r="W10"/>
  <c r="W1802" s="1"/>
  <c r="Z13"/>
  <c r="V13"/>
  <c r="U13" s="1"/>
  <c r="AA14"/>
  <c r="Z14" s="1"/>
  <c r="AA43"/>
  <c r="W43"/>
  <c r="AA46"/>
  <c r="Y20"/>
  <c r="U20"/>
  <c r="AA18"/>
  <c r="Y30"/>
  <c r="Y31"/>
  <c r="Z45"/>
  <c r="Y45" s="1"/>
  <c r="W46"/>
  <c r="V46" s="1"/>
  <c r="Y53"/>
  <c r="Z55"/>
  <c r="Z59"/>
  <c r="Y59" s="1"/>
  <c r="AA60"/>
  <c r="U87"/>
  <c r="Z87"/>
  <c r="Z89"/>
  <c r="AA1865"/>
  <c r="AA1808"/>
  <c r="V94"/>
  <c r="W16"/>
  <c r="AA19"/>
  <c r="AA36"/>
  <c r="W61"/>
  <c r="P1249" i="64" s="1"/>
  <c r="W76" i="1"/>
  <c r="W90"/>
  <c r="AA92"/>
  <c r="Z93"/>
  <c r="U94"/>
  <c r="W95"/>
  <c r="W98"/>
  <c r="W100"/>
  <c r="AA100"/>
  <c r="W103"/>
  <c r="AA103"/>
  <c r="Z107"/>
  <c r="Z1865"/>
  <c r="Z1808"/>
  <c r="Y93"/>
  <c r="Y1865"/>
  <c r="Y1808"/>
  <c r="Z102"/>
  <c r="Y102"/>
  <c r="H437" i="59"/>
  <c r="Y14" i="1" l="1"/>
  <c r="U27"/>
  <c r="Z98"/>
  <c r="V7"/>
  <c r="W37"/>
  <c r="W86"/>
  <c r="AA37"/>
  <c r="W34"/>
  <c r="P198" i="64"/>
  <c r="Z61" i="1"/>
  <c r="V56"/>
  <c r="Y100"/>
  <c r="U19"/>
  <c r="V36"/>
  <c r="U103"/>
  <c r="U100"/>
  <c r="Y89"/>
  <c r="AA64"/>
  <c r="W78"/>
  <c r="W106"/>
  <c r="AA106"/>
  <c r="W99"/>
  <c r="P563" i="64"/>
  <c r="P1257"/>
  <c r="V1865" i="1"/>
  <c r="Z106"/>
  <c r="Z38"/>
  <c r="P805" i="64"/>
  <c r="P14"/>
  <c r="W97" i="1"/>
  <c r="P551" i="64"/>
  <c r="V98" i="1"/>
  <c r="U32"/>
  <c r="Z20"/>
  <c r="W82"/>
  <c r="W72"/>
  <c r="Z27"/>
  <c r="W65"/>
  <c r="AA72"/>
  <c r="W101"/>
  <c r="U98"/>
  <c r="U16"/>
  <c r="U1584" s="1"/>
  <c r="P459" i="64"/>
  <c r="P1003"/>
  <c r="P420"/>
  <c r="P1034"/>
  <c r="P886"/>
  <c r="P651"/>
  <c r="P1233"/>
  <c r="V40" i="1"/>
  <c r="W12"/>
  <c r="Z100"/>
  <c r="V23"/>
  <c r="Y42"/>
  <c r="V100"/>
  <c r="V1639" s="1"/>
  <c r="Z72"/>
  <c r="AA34"/>
  <c r="Z34" s="1"/>
  <c r="P1055" i="64"/>
  <c r="P1294"/>
  <c r="P205"/>
  <c r="P798"/>
  <c r="P1244"/>
  <c r="Y1802" i="1"/>
  <c r="P1283" i="64"/>
  <c r="G51" i="28"/>
  <c r="H51"/>
  <c r="H164" s="1"/>
  <c r="AI1598" i="1"/>
  <c r="Y29"/>
  <c r="Y32"/>
  <c r="V32"/>
  <c r="Z28"/>
  <c r="U89"/>
  <c r="U1588" s="1"/>
  <c r="U39"/>
  <c r="Z7"/>
  <c r="Y55"/>
  <c r="Z103"/>
  <c r="W89"/>
  <c r="W1634" s="1"/>
  <c r="W1632" s="1"/>
  <c r="U69"/>
  <c r="AA107"/>
  <c r="Y82"/>
  <c r="U96"/>
  <c r="U1865"/>
  <c r="U1808"/>
  <c r="Y98"/>
  <c r="Z76"/>
  <c r="Y21"/>
  <c r="Y85"/>
  <c r="V1653"/>
  <c r="Y88"/>
  <c r="Z1846"/>
  <c r="P346" i="64"/>
  <c r="P179"/>
  <c r="P771"/>
  <c r="P190"/>
  <c r="W93" i="1"/>
  <c r="V93" s="1"/>
  <c r="U93" s="1"/>
  <c r="AM1598"/>
  <c r="Y96"/>
  <c r="P1251" i="64"/>
  <c r="AA23" i="1"/>
  <c r="Z37"/>
  <c r="Y104"/>
  <c r="Y1671" s="1"/>
  <c r="W63"/>
  <c r="AA1801"/>
  <c r="Z1801" s="1"/>
  <c r="Y1801" s="1"/>
  <c r="W102"/>
  <c r="V102" s="1"/>
  <c r="U102" s="1"/>
  <c r="U101"/>
  <c r="Z99"/>
  <c r="Y99" s="1"/>
  <c r="Y1638" s="1"/>
  <c r="Z1588"/>
  <c r="W68"/>
  <c r="W50"/>
  <c r="V50" s="1"/>
  <c r="Y64"/>
  <c r="AA66"/>
  <c r="AA70"/>
  <c r="U65"/>
  <c r="P130" i="64"/>
  <c r="U1846" i="1"/>
  <c r="W1639"/>
  <c r="AE1598"/>
  <c r="P951" i="64"/>
  <c r="AA93" i="1"/>
  <c r="AA1627" s="1"/>
  <c r="AA13"/>
  <c r="U41"/>
  <c r="P710" i="64"/>
  <c r="P719"/>
  <c r="V106" i="1"/>
  <c r="V64"/>
  <c r="W1846"/>
  <c r="AA102"/>
  <c r="AA1639"/>
  <c r="Z1639" s="1"/>
  <c r="AA85"/>
  <c r="AF1811"/>
  <c r="P1013" i="64"/>
  <c r="Y1846" i="1"/>
  <c r="Z1650"/>
  <c r="AJ1619"/>
  <c r="U60"/>
  <c r="AD1598"/>
  <c r="V20"/>
  <c r="W15"/>
  <c r="V78"/>
  <c r="W84"/>
  <c r="Z1634"/>
  <c r="U29"/>
  <c r="Y60"/>
  <c r="AA1650"/>
  <c r="AF1619"/>
  <c r="U1639"/>
  <c r="AA58"/>
  <c r="Z58" s="1"/>
  <c r="V1650"/>
  <c r="V99"/>
  <c r="V1638" s="1"/>
  <c r="V1846"/>
  <c r="Z1653"/>
  <c r="W1671"/>
  <c r="AA71"/>
  <c r="Y1650"/>
  <c r="Y41"/>
  <c r="V69"/>
  <c r="U44"/>
  <c r="Z33"/>
  <c r="U1650"/>
  <c r="U1638"/>
  <c r="AA1846"/>
  <c r="AA53"/>
  <c r="W28"/>
  <c r="P136" i="64" s="1"/>
  <c r="P163" s="1"/>
  <c r="W23" i="1"/>
  <c r="W48"/>
  <c r="W1638"/>
  <c r="P980" i="64"/>
  <c r="U55" i="1"/>
  <c r="U86"/>
  <c r="Y69"/>
  <c r="Z96"/>
  <c r="V88"/>
  <c r="Z40"/>
  <c r="Y40" s="1"/>
  <c r="P1303" i="64"/>
  <c r="V82" i="1"/>
  <c r="U82" s="1"/>
  <c r="AA45"/>
  <c r="W107"/>
  <c r="Z26"/>
  <c r="Y26" s="1"/>
  <c r="Y1583"/>
  <c r="P744" i="64"/>
  <c r="AA1800" i="1"/>
  <c r="W71"/>
  <c r="P1199" i="64"/>
  <c r="P434"/>
  <c r="AB1598" i="1"/>
  <c r="AB1811"/>
  <c r="Z86"/>
  <c r="W11"/>
  <c r="V11" s="1"/>
  <c r="W69"/>
  <c r="AA69"/>
  <c r="Z69" s="1"/>
  <c r="V19"/>
  <c r="Z19"/>
  <c r="Z8"/>
  <c r="AL1598"/>
  <c r="AK1598" s="1"/>
  <c r="AJ1598" s="1"/>
  <c r="AI1619"/>
  <c r="AL1619"/>
  <c r="X1619"/>
  <c r="AC1619"/>
  <c r="AE1811"/>
  <c r="AD1811"/>
  <c r="AC1811"/>
  <c r="W70"/>
  <c r="Y97"/>
  <c r="P776" i="64"/>
  <c r="P701"/>
  <c r="P531"/>
  <c r="U107" i="1"/>
  <c r="U1653" s="1"/>
  <c r="AA99"/>
  <c r="AA1638" s="1"/>
  <c r="Y72"/>
  <c r="AM1697"/>
  <c r="X1697"/>
  <c r="AC1697"/>
  <c r="AF1697"/>
  <c r="AJ1765"/>
  <c r="AG1765"/>
  <c r="AF1765"/>
  <c r="Y1584"/>
  <c r="V1686"/>
  <c r="U1686" s="1"/>
  <c r="AA1675"/>
  <c r="V1675"/>
  <c r="W1675"/>
  <c r="W1649"/>
  <c r="AA1649"/>
  <c r="AA1668"/>
  <c r="W1684"/>
  <c r="V1684" s="1"/>
  <c r="U1684" s="1"/>
  <c r="W1652"/>
  <c r="V1652"/>
  <c r="AA1665"/>
  <c r="Z1665" s="1"/>
  <c r="V1674"/>
  <c r="U1831"/>
  <c r="AA1655"/>
  <c r="Z1817"/>
  <c r="U1817"/>
  <c r="Y1817"/>
  <c r="V1847"/>
  <c r="W1656"/>
  <c r="AA1831"/>
  <c r="U1656"/>
  <c r="V1654"/>
  <c r="Z1661"/>
  <c r="V1842"/>
  <c r="W1661"/>
  <c r="Y1654"/>
  <c r="AA1839"/>
  <c r="Z1844"/>
  <c r="AA1844"/>
  <c r="V1818"/>
  <c r="Z1662"/>
  <c r="AA1825"/>
  <c r="Z1825" s="1"/>
  <c r="Z1858"/>
  <c r="W1841"/>
  <c r="W1662"/>
  <c r="AA1858"/>
  <c r="Y1821"/>
  <c r="Y1830"/>
  <c r="U1823"/>
  <c r="Z1841"/>
  <c r="Y1841" s="1"/>
  <c r="U1822"/>
  <c r="AA1681"/>
  <c r="Z1681" s="1"/>
  <c r="W1818"/>
  <c r="W1821"/>
  <c r="V1821" s="1"/>
  <c r="V1824"/>
  <c r="U1861"/>
  <c r="Y1861"/>
  <c r="W1669"/>
  <c r="W1854"/>
  <c r="W1683"/>
  <c r="U1845"/>
  <c r="W1845"/>
  <c r="Z1845"/>
  <c r="U1666"/>
  <c r="Z1832"/>
  <c r="AA1666"/>
  <c r="Y1835"/>
  <c r="Z1835"/>
  <c r="Z1666"/>
  <c r="U1819"/>
  <c r="W1832"/>
  <c r="Y1829"/>
  <c r="W1835"/>
  <c r="W1857"/>
  <c r="V1857" s="1"/>
  <c r="U1857" s="1"/>
  <c r="Z1819"/>
  <c r="AA1857"/>
  <c r="Z1857" s="1"/>
  <c r="Y1859"/>
  <c r="AA1829"/>
  <c r="Z1829" s="1"/>
  <c r="V1660"/>
  <c r="Y1660"/>
  <c r="W1672"/>
  <c r="Z1672"/>
  <c r="Y1672" s="1"/>
  <c r="AA1850"/>
  <c r="Z1850" s="1"/>
  <c r="Y1850" s="1"/>
  <c r="AA1672"/>
  <c r="V1685"/>
  <c r="Z1679"/>
  <c r="Y1679" s="1"/>
  <c r="W1685"/>
  <c r="AA1685"/>
  <c r="W1651"/>
  <c r="Y1709"/>
  <c r="AA1659"/>
  <c r="Z1726"/>
  <c r="AA1726"/>
  <c r="W1659"/>
  <c r="W1720"/>
  <c r="U1725"/>
  <c r="W1713"/>
  <c r="Y1713"/>
  <c r="U1651"/>
  <c r="V1737"/>
  <c r="Y1710"/>
  <c r="Y1677"/>
  <c r="Z1659"/>
  <c r="U1720"/>
  <c r="W1741"/>
  <c r="Z1742"/>
  <c r="AA1709"/>
  <c r="AA1720"/>
  <c r="Y1730"/>
  <c r="AA1749"/>
  <c r="AA1710"/>
  <c r="U1682"/>
  <c r="U1726"/>
  <c r="W1754"/>
  <c r="V1726"/>
  <c r="Y1726"/>
  <c r="V1707"/>
  <c r="Y1715"/>
  <c r="W1728"/>
  <c r="AA1730"/>
  <c r="V1718"/>
  <c r="U1718" s="1"/>
  <c r="Y1707"/>
  <c r="V1754"/>
  <c r="U1746"/>
  <c r="U1710"/>
  <c r="V1728"/>
  <c r="Y1746"/>
  <c r="V1742"/>
  <c r="AA1732"/>
  <c r="Z1741"/>
  <c r="Y1749"/>
  <c r="V1749"/>
  <c r="W1742"/>
  <c r="AA1718"/>
  <c r="Z1718" s="1"/>
  <c r="Z1732"/>
  <c r="AA1705"/>
  <c r="Z1717"/>
  <c r="AA1743"/>
  <c r="V1743"/>
  <c r="W1722"/>
  <c r="W1727"/>
  <c r="V1748"/>
  <c r="U1751"/>
  <c r="U1738"/>
  <c r="AA1738"/>
  <c r="Z1714"/>
  <c r="V1751"/>
  <c r="W1751"/>
  <c r="U1711"/>
  <c r="Y1753"/>
  <c r="W1745"/>
  <c r="U1752"/>
  <c r="Y1752"/>
  <c r="Y1708"/>
  <c r="V1708"/>
  <c r="U1708" s="1"/>
  <c r="Y1745"/>
  <c r="AA1745"/>
  <c r="Z1745" s="1"/>
  <c r="V1744"/>
  <c r="AA1740"/>
  <c r="W1734"/>
  <c r="Z1740"/>
  <c r="Y1723"/>
  <c r="V1739"/>
  <c r="U1739"/>
  <c r="Y1739"/>
  <c r="AF1638"/>
  <c r="AH1639"/>
  <c r="AK1649"/>
  <c r="AM1650"/>
  <c r="AO1651"/>
  <c r="AB1653"/>
  <c r="AD1653"/>
  <c r="AJ1654"/>
  <c r="AL1655"/>
  <c r="AE1657"/>
  <c r="AH1658"/>
  <c r="AN1659"/>
  <c r="X1637"/>
  <c r="AC1637"/>
  <c r="AE1638"/>
  <c r="AG1639"/>
  <c r="AJ1649"/>
  <c r="AL1650"/>
  <c r="AB1652"/>
  <c r="AD1652"/>
  <c r="AG1653"/>
  <c r="AI1654"/>
  <c r="AK1655"/>
  <c r="AN1656"/>
  <c r="X1658"/>
  <c r="AC1658"/>
  <c r="AE1659"/>
  <c r="AG1660"/>
  <c r="AJ1637"/>
  <c r="AL1638"/>
  <c r="AE1649"/>
  <c r="AG1650"/>
  <c r="AI1651"/>
  <c r="AL1652"/>
  <c r="AK1652" s="1"/>
  <c r="AB1654"/>
  <c r="AD1654"/>
  <c r="AJ1655"/>
  <c r="AM1656"/>
  <c r="AF1658"/>
  <c r="AH1659"/>
  <c r="AN1660"/>
  <c r="X1638"/>
  <c r="AC1638"/>
  <c r="AE1639"/>
  <c r="AH1649"/>
  <c r="AN1650"/>
  <c r="AF1652"/>
  <c r="AI1653"/>
  <c r="AK1654"/>
  <c r="AM1655"/>
  <c r="AF1657"/>
  <c r="AI1658"/>
  <c r="AK1659"/>
  <c r="AM1660"/>
  <c r="AB1661"/>
  <c r="AH1661"/>
  <c r="AN1662"/>
  <c r="X1664"/>
  <c r="AJ1664"/>
  <c r="AL1665"/>
  <c r="AE1667"/>
  <c r="AG1668"/>
  <c r="AI1669"/>
  <c r="AK1670"/>
  <c r="AE1672"/>
  <c r="Y1673"/>
  <c r="AK1673"/>
  <c r="AM1674"/>
  <c r="AO1675"/>
  <c r="X1677"/>
  <c r="AC1677"/>
  <c r="AE1678"/>
  <c r="AG1679"/>
  <c r="AA1680"/>
  <c r="AM1680"/>
  <c r="X1682"/>
  <c r="AC1682"/>
  <c r="AE1683"/>
  <c r="AG1684"/>
  <c r="AI1685"/>
  <c r="AL1686"/>
  <c r="AE1661"/>
  <c r="AK1661"/>
  <c r="AM1662"/>
  <c r="AO1663"/>
  <c r="AE1664"/>
  <c r="AG1665"/>
  <c r="AI1666"/>
  <c r="AL1667"/>
  <c r="AF1668"/>
  <c r="AO1670"/>
  <c r="AB1672"/>
  <c r="AJ1677"/>
  <c r="V1680"/>
  <c r="AC1686"/>
  <c r="AF1663"/>
  <c r="AG1667"/>
  <c r="AK1669"/>
  <c r="X1672"/>
  <c r="AI1673"/>
  <c r="AM1675"/>
  <c r="X1678"/>
  <c r="Y1680"/>
  <c r="AO1681"/>
  <c r="AG1662"/>
  <c r="AC1666"/>
  <c r="AL1668"/>
  <c r="AD1677"/>
  <c r="AL1679"/>
  <c r="AH1681"/>
  <c r="AB1684"/>
  <c r="AH1705"/>
  <c r="AG1707"/>
  <c r="AM1709"/>
  <c r="AJ1707"/>
  <c r="AL1709"/>
  <c r="AG1709"/>
  <c r="AD1707"/>
  <c r="AA83"/>
  <c r="AA63"/>
  <c r="V101"/>
  <c r="V97"/>
  <c r="U97" s="1"/>
  <c r="W56"/>
  <c r="U46"/>
  <c r="AA17"/>
  <c r="AA1584" s="1"/>
  <c r="AA7"/>
  <c r="W7"/>
  <c r="AC1861"/>
  <c r="X1861"/>
  <c r="AM1858"/>
  <c r="AK1857"/>
  <c r="AI1856"/>
  <c r="AH1861"/>
  <c r="AF1860"/>
  <c r="AH1857"/>
  <c r="AF1856"/>
  <c r="AM1861"/>
  <c r="AK1860"/>
  <c r="AI1859"/>
  <c r="AG1858"/>
  <c r="AE1857"/>
  <c r="AF1861"/>
  <c r="AH1858"/>
  <c r="AF1857"/>
  <c r="AE1856"/>
  <c r="AK1855"/>
  <c r="Y1855"/>
  <c r="AE1854"/>
  <c r="AC1853"/>
  <c r="AM1852"/>
  <c r="AA1852"/>
  <c r="AG1851"/>
  <c r="AE1850"/>
  <c r="AC1849"/>
  <c r="AM1848"/>
  <c r="AK1847"/>
  <c r="AI1846"/>
  <c r="AG1845"/>
  <c r="AD1844"/>
  <c r="AB1844"/>
  <c r="AH1842"/>
  <c r="AE1841"/>
  <c r="AC1840"/>
  <c r="X1840"/>
  <c r="AN1838"/>
  <c r="AB1838"/>
  <c r="AD1837"/>
  <c r="AN1836"/>
  <c r="AB1836"/>
  <c r="AD1835"/>
  <c r="AB1835"/>
  <c r="AH1833"/>
  <c r="V1833"/>
  <c r="AL1831"/>
  <c r="AJ1830"/>
  <c r="AD1829"/>
  <c r="AB1829"/>
  <c r="AH1827"/>
  <c r="AF1826"/>
  <c r="AJ1854"/>
  <c r="AD1853"/>
  <c r="AN1852"/>
  <c r="AB1852"/>
  <c r="AD1851"/>
  <c r="AB1851"/>
  <c r="AL1849"/>
  <c r="Z1849"/>
  <c r="AF1848"/>
  <c r="AH1845"/>
  <c r="AE1844"/>
  <c r="AC1843"/>
  <c r="AM1842"/>
  <c r="AJ1841"/>
  <c r="AD1840"/>
  <c r="AB1840"/>
  <c r="AO1838"/>
  <c r="AI1837"/>
  <c r="W1837"/>
  <c r="AC1836"/>
  <c r="AM1835"/>
  <c r="AK1834"/>
  <c r="Y1834"/>
  <c r="AE1833"/>
  <c r="AM1831"/>
  <c r="AK1830"/>
  <c r="AI1829"/>
  <c r="AG1828"/>
  <c r="U1828"/>
  <c r="AO1826"/>
  <c r="AE1855"/>
  <c r="AM1853"/>
  <c r="AA1853"/>
  <c r="AG1852"/>
  <c r="U1852"/>
  <c r="AO1850"/>
  <c r="AM1849"/>
  <c r="AA1849"/>
  <c r="AG1848"/>
  <c r="AE1847"/>
  <c r="AC1846"/>
  <c r="X1846"/>
  <c r="AO1844"/>
  <c r="AH1843"/>
  <c r="V1843"/>
  <c r="AL1841"/>
  <c r="AK1841" s="1"/>
  <c r="AI1840"/>
  <c r="AF1839"/>
  <c r="AJ1837"/>
  <c r="X1837"/>
  <c r="AJ1835"/>
  <c r="AD1834"/>
  <c r="AN1833"/>
  <c r="AB1833"/>
  <c r="AD1832"/>
  <c r="AB1832"/>
  <c r="AL1830"/>
  <c r="AJ1829"/>
  <c r="AD1828"/>
  <c r="AH1826"/>
  <c r="V1826"/>
  <c r="AF1855"/>
  <c r="AL1854"/>
  <c r="AJ1853"/>
  <c r="X1853"/>
  <c r="AJ1851"/>
  <c r="AD1850"/>
  <c r="AB1850"/>
  <c r="AH1848"/>
  <c r="AF1847"/>
  <c r="AG1844"/>
  <c r="AE1843"/>
  <c r="AM1841"/>
  <c r="AJ1840"/>
  <c r="AC1839"/>
  <c r="X1839"/>
  <c r="AK1837"/>
  <c r="Y1837"/>
  <c r="AE1836"/>
  <c r="AM1834"/>
  <c r="AA1834"/>
  <c r="AG1833"/>
  <c r="U1833"/>
  <c r="AM1830"/>
  <c r="AK1829"/>
  <c r="AI1828"/>
  <c r="W1828"/>
  <c r="AC1827"/>
  <c r="X1827"/>
  <c r="AK1825"/>
  <c r="U1826"/>
  <c r="AD1824"/>
  <c r="AB1824"/>
  <c r="AL1822"/>
  <c r="AK1822" s="1"/>
  <c r="AH1821"/>
  <c r="AF1820"/>
  <c r="AL1819"/>
  <c r="AJ1818"/>
  <c r="AC1817"/>
  <c r="X1817"/>
  <c r="AE1825"/>
  <c r="X1825"/>
  <c r="AM1822"/>
  <c r="AI1821"/>
  <c r="AG1820"/>
  <c r="U1820"/>
  <c r="AH1817"/>
  <c r="AG1825"/>
  <c r="AB1825"/>
  <c r="AL1823"/>
  <c r="AI1822"/>
  <c r="AF1821"/>
  <c r="AJ1819"/>
  <c r="AD1818"/>
  <c r="AB1826"/>
  <c r="AG1824"/>
  <c r="AE1823"/>
  <c r="AK1821"/>
  <c r="AI1820"/>
  <c r="W1820"/>
  <c r="AC1819"/>
  <c r="X1819"/>
  <c r="AO1817"/>
  <c r="AG1818"/>
  <c r="AB1817"/>
  <c r="AL1787"/>
  <c r="AJ1786"/>
  <c r="AD1785"/>
  <c r="AB1785"/>
  <c r="AL1783"/>
  <c r="AJ1782"/>
  <c r="AD1781"/>
  <c r="AB1781"/>
  <c r="AL1779"/>
  <c r="AJ1778"/>
  <c r="AD1777"/>
  <c r="AB1777"/>
  <c r="AL1775"/>
  <c r="AJ1774"/>
  <c r="AD1773"/>
  <c r="AB1773"/>
  <c r="AO1786"/>
  <c r="AM1785"/>
  <c r="AK1784"/>
  <c r="AI1783"/>
  <c r="AG1782"/>
  <c r="AE1781"/>
  <c r="AC1780"/>
  <c r="X1780"/>
  <c r="AO1778"/>
  <c r="AM1777"/>
  <c r="AK1776"/>
  <c r="AI1775"/>
  <c r="AG1774"/>
  <c r="AE1773"/>
  <c r="AJ1787"/>
  <c r="AD1786"/>
  <c r="AB1786"/>
  <c r="AL1784"/>
  <c r="AJ1783"/>
  <c r="AD1782"/>
  <c r="AB1782"/>
  <c r="AL1780"/>
  <c r="AJ1779"/>
  <c r="AD1778"/>
  <c r="AB1778"/>
  <c r="AL1776"/>
  <c r="AJ1775"/>
  <c r="AD1774"/>
  <c r="AB1774"/>
  <c r="X1773"/>
  <c r="AG1787"/>
  <c r="AE1786"/>
  <c r="AC1785"/>
  <c r="X1785"/>
  <c r="AO1783"/>
  <c r="AM1782"/>
  <c r="AK1781"/>
  <c r="AI1780"/>
  <c r="AG1779"/>
  <c r="AE1778"/>
  <c r="AC1777"/>
  <c r="X1777"/>
  <c r="AO1775"/>
  <c r="AM1774"/>
  <c r="AK1773"/>
  <c r="AJ1754"/>
  <c r="AD1753"/>
  <c r="AB1753"/>
  <c r="AC1752"/>
  <c r="X1752"/>
  <c r="AO1750"/>
  <c r="AM1749"/>
  <c r="AK1748"/>
  <c r="AI1747"/>
  <c r="AG1746"/>
  <c r="AF1745"/>
  <c r="AL1743"/>
  <c r="AJ1742"/>
  <c r="AD1741"/>
  <c r="AB1741"/>
  <c r="AL1739"/>
  <c r="AJ1738"/>
  <c r="AD1737"/>
  <c r="AB1737"/>
  <c r="AL1735"/>
  <c r="AG1754"/>
  <c r="AE1753"/>
  <c r="AH1750"/>
  <c r="AF1749"/>
  <c r="AH1746"/>
  <c r="AG1745"/>
  <c r="AF1744"/>
  <c r="AO1742"/>
  <c r="AM1741"/>
  <c r="AK1740"/>
  <c r="AI1739"/>
  <c r="AG1738"/>
  <c r="AE1737"/>
  <c r="AC1736"/>
  <c r="AM1735"/>
  <c r="AA1735"/>
  <c r="AG1734"/>
  <c r="AF1733"/>
  <c r="AN1731"/>
  <c r="AB1731"/>
  <c r="AD1730"/>
  <c r="AB1730"/>
  <c r="AC1729"/>
  <c r="X1729"/>
  <c r="AM1727"/>
  <c r="AH1726"/>
  <c r="AG1725"/>
  <c r="AF1724"/>
  <c r="AL1722"/>
  <c r="AH1754"/>
  <c r="AF1753"/>
  <c r="AM1750"/>
  <c r="AK1749"/>
  <c r="AI1748"/>
  <c r="AG1747"/>
  <c r="AE1746"/>
  <c r="AO1744"/>
  <c r="AH1742"/>
  <c r="AF1741"/>
  <c r="AH1738"/>
  <c r="AF1737"/>
  <c r="AN1735"/>
  <c r="AB1735"/>
  <c r="AD1734"/>
  <c r="AB1734"/>
  <c r="AC1733"/>
  <c r="X1733"/>
  <c r="AO1731"/>
  <c r="AI1730"/>
  <c r="AD1729"/>
  <c r="AB1729"/>
  <c r="AC1728"/>
  <c r="X1728"/>
  <c r="AM1726"/>
  <c r="AH1725"/>
  <c r="AG1724"/>
  <c r="AF1723"/>
  <c r="AE1754"/>
  <c r="AC1753"/>
  <c r="X1753"/>
  <c r="AL1751"/>
  <c r="AJ1750"/>
  <c r="AD1749"/>
  <c r="AB1749"/>
  <c r="AL1747"/>
  <c r="AJ1746"/>
  <c r="AE1745"/>
  <c r="AO1743"/>
  <c r="AM1742"/>
  <c r="AK1741"/>
  <c r="AI1740"/>
  <c r="AG1739"/>
  <c r="AE1738"/>
  <c r="AC1737"/>
  <c r="X1737"/>
  <c r="AO1735"/>
  <c r="AI1734"/>
  <c r="AD1733"/>
  <c r="AB1733"/>
  <c r="V1735"/>
  <c r="AK1730"/>
  <c r="AM1729"/>
  <c r="AL1728"/>
  <c r="AL1727"/>
  <c r="AO1726"/>
  <c r="AI1725"/>
  <c r="AD1721"/>
  <c r="AB1721"/>
  <c r="AC1720"/>
  <c r="X1720"/>
  <c r="AI1718"/>
  <c r="AD1717"/>
  <c r="AB1717"/>
  <c r="Z1735"/>
  <c r="AI1731"/>
  <c r="W1731"/>
  <c r="AJ1725"/>
  <c r="AI1721"/>
  <c r="AD1720"/>
  <c r="AB1720"/>
  <c r="AC1719"/>
  <c r="AI1717"/>
  <c r="AG1716"/>
  <c r="AC1732"/>
  <c r="AG1730"/>
  <c r="AK1726"/>
  <c r="AM1725"/>
  <c r="AL1724"/>
  <c r="AL1723"/>
  <c r="AF1721"/>
  <c r="AL1719"/>
  <c r="Z1719"/>
  <c r="AG1718"/>
  <c r="AF1717"/>
  <c r="AO1715"/>
  <c r="AE1733"/>
  <c r="AM1731"/>
  <c r="AA1731"/>
  <c r="AJ1729"/>
  <c r="AK1721"/>
  <c r="AJ1720"/>
  <c r="AE1719"/>
  <c r="AL1718"/>
  <c r="AK1717"/>
  <c r="AI1716"/>
  <c r="AD1715"/>
  <c r="AB1715"/>
  <c r="AG1714"/>
  <c r="AE1713"/>
  <c r="AC1712"/>
  <c r="X1712"/>
  <c r="AG1861"/>
  <c r="AE1860"/>
  <c r="AC1859"/>
  <c r="X1859"/>
  <c r="AO1857"/>
  <c r="AM1856"/>
  <c r="AL1861"/>
  <c r="AJ1860"/>
  <c r="AD1859"/>
  <c r="AB1859"/>
  <c r="AL1857"/>
  <c r="AJ1856"/>
  <c r="X1856"/>
  <c r="AM1859"/>
  <c r="AK1858"/>
  <c r="AI1857"/>
  <c r="AG1856"/>
  <c r="AJ1861"/>
  <c r="AD1860"/>
  <c r="AB1860"/>
  <c r="AL1858"/>
  <c r="AJ1857"/>
  <c r="AD1856"/>
  <c r="AB1856"/>
  <c r="AO1855"/>
  <c r="AI1854"/>
  <c r="AG1853"/>
  <c r="U1853"/>
  <c r="AK1851"/>
  <c r="AI1850"/>
  <c r="AG1849"/>
  <c r="U1849"/>
  <c r="AO1847"/>
  <c r="AM1846"/>
  <c r="AK1845"/>
  <c r="AH1844"/>
  <c r="AF1843"/>
  <c r="AL1842"/>
  <c r="AI1841"/>
  <c r="AG1840"/>
  <c r="AD1839"/>
  <c r="AB1839"/>
  <c r="AH1837"/>
  <c r="V1837"/>
  <c r="AH1835"/>
  <c r="AF1834"/>
  <c r="AL1833"/>
  <c r="Z1833"/>
  <c r="AF1832"/>
  <c r="AN1830"/>
  <c r="AH1829"/>
  <c r="AF1828"/>
  <c r="AL1827"/>
  <c r="AJ1826"/>
  <c r="AD1855"/>
  <c r="AH1853"/>
  <c r="V1853"/>
  <c r="AH1851"/>
  <c r="AF1850"/>
  <c r="AJ1848"/>
  <c r="AD1847"/>
  <c r="AB1847"/>
  <c r="AL1845"/>
  <c r="AI1844"/>
  <c r="AG1843"/>
  <c r="U1843"/>
  <c r="AO1841"/>
  <c r="AH1840"/>
  <c r="AE1839"/>
  <c r="AC1838"/>
  <c r="AM1837"/>
  <c r="AA1837"/>
  <c r="AG1836"/>
  <c r="U1836"/>
  <c r="AO1834"/>
  <c r="AI1833"/>
  <c r="W1833"/>
  <c r="AC1832"/>
  <c r="X1832"/>
  <c r="AO1830"/>
  <c r="AM1829"/>
  <c r="AK1828"/>
  <c r="Y1828"/>
  <c r="AE1827"/>
  <c r="AI1855"/>
  <c r="W1855"/>
  <c r="AC1854"/>
  <c r="X1854"/>
  <c r="AK1852"/>
  <c r="Y1852"/>
  <c r="AE1851"/>
  <c r="AC1850"/>
  <c r="X1850"/>
  <c r="AK1848"/>
  <c r="AI1847"/>
  <c r="AG1846"/>
  <c r="AE1845"/>
  <c r="AL1843"/>
  <c r="Z1843"/>
  <c r="AF1842"/>
  <c r="AM1840"/>
  <c r="AJ1839"/>
  <c r="AD1838"/>
  <c r="AN1837"/>
  <c r="AB1837"/>
  <c r="AD1836"/>
  <c r="AH1834"/>
  <c r="V1834"/>
  <c r="AH1832"/>
  <c r="AF1831"/>
  <c r="AH1828"/>
  <c r="V1828"/>
  <c r="AL1826"/>
  <c r="Z1826"/>
  <c r="AF1825"/>
  <c r="AJ1855"/>
  <c r="X1855"/>
  <c r="AN1853"/>
  <c r="AB1853"/>
  <c r="AD1852"/>
  <c r="AH1850"/>
  <c r="AF1849"/>
  <c r="AL1848"/>
  <c r="AJ1847"/>
  <c r="AD1846"/>
  <c r="AB1846"/>
  <c r="AL1844"/>
  <c r="AK1844" s="1"/>
  <c r="AI1843"/>
  <c r="W1843"/>
  <c r="AC1842"/>
  <c r="X1842"/>
  <c r="AG1839"/>
  <c r="AE1838"/>
  <c r="AO1837"/>
  <c r="AI1836"/>
  <c r="W1836"/>
  <c r="AC1835"/>
  <c r="X1835"/>
  <c r="AK1833"/>
  <c r="Y1833"/>
  <c r="AE1832"/>
  <c r="AC1831"/>
  <c r="X1831"/>
  <c r="AM1828"/>
  <c r="AA1828"/>
  <c r="AG1827"/>
  <c r="AE1826"/>
  <c r="AO1825"/>
  <c r="AH1824"/>
  <c r="AF1823"/>
  <c r="AM1821"/>
  <c r="AL1821" s="1"/>
  <c r="AJ1820"/>
  <c r="X1820"/>
  <c r="AN1818"/>
  <c r="AG1817"/>
  <c r="AK1818"/>
  <c r="AL1825"/>
  <c r="AE1824"/>
  <c r="AC1823"/>
  <c r="X1823"/>
  <c r="AN1821"/>
  <c r="AK1820"/>
  <c r="Y1820"/>
  <c r="AE1819"/>
  <c r="AC1826"/>
  <c r="AM1825"/>
  <c r="AF1824"/>
  <c r="AN1822"/>
  <c r="AJ1821"/>
  <c r="AD1820"/>
  <c r="AH1818"/>
  <c r="AN1817"/>
  <c r="AK1824"/>
  <c r="AI1823"/>
  <c r="AF1822"/>
  <c r="AM1820"/>
  <c r="AA1820"/>
  <c r="AG1819"/>
  <c r="AE1818"/>
  <c r="AH1785"/>
  <c r="AF1784"/>
  <c r="AN1782"/>
  <c r="AH1781"/>
  <c r="AF1780"/>
  <c r="AN1778"/>
  <c r="AH1777"/>
  <c r="AF1776"/>
  <c r="AN1774"/>
  <c r="AH1773"/>
  <c r="AE1787"/>
  <c r="AC1786"/>
  <c r="X1786"/>
  <c r="AO1784"/>
  <c r="AM1783"/>
  <c r="AK1782"/>
  <c r="AI1781"/>
  <c r="AG1780"/>
  <c r="AE1779"/>
  <c r="AC1778"/>
  <c r="X1778"/>
  <c r="AO1776"/>
  <c r="AM1775"/>
  <c r="AK1774"/>
  <c r="AI1773"/>
  <c r="AN1787"/>
  <c r="AH1786"/>
  <c r="AF1785"/>
  <c r="AN1783"/>
  <c r="AH1782"/>
  <c r="AF1781"/>
  <c r="AN1779"/>
  <c r="AH1778"/>
  <c r="AF1777"/>
  <c r="AN1775"/>
  <c r="AH1774"/>
  <c r="AF1773"/>
  <c r="AK1787"/>
  <c r="AI1786"/>
  <c r="AG1785"/>
  <c r="AE1784"/>
  <c r="AC1783"/>
  <c r="X1783"/>
  <c r="AO1781"/>
  <c r="AM1780"/>
  <c r="AK1779"/>
  <c r="AI1778"/>
  <c r="AG1777"/>
  <c r="AE1776"/>
  <c r="AC1775"/>
  <c r="X1775"/>
  <c r="AO1773"/>
  <c r="AH1753"/>
  <c r="AG1752"/>
  <c r="AE1751"/>
  <c r="AC1750"/>
  <c r="X1750"/>
  <c r="AO1748"/>
  <c r="AM1747"/>
  <c r="AK1746"/>
  <c r="AJ1745"/>
  <c r="AE1744"/>
  <c r="AH1741"/>
  <c r="AF1740"/>
  <c r="AH1737"/>
  <c r="AF1736"/>
  <c r="AK1754"/>
  <c r="AI1753"/>
  <c r="AD1752"/>
  <c r="AB1752"/>
  <c r="AL1750"/>
  <c r="AJ1749"/>
  <c r="AD1748"/>
  <c r="AB1748"/>
  <c r="AL1746"/>
  <c r="AK1745"/>
  <c r="AJ1744"/>
  <c r="AE1743"/>
  <c r="AC1742"/>
  <c r="X1742"/>
  <c r="AO1740"/>
  <c r="AM1739"/>
  <c r="AK1738"/>
  <c r="AI1737"/>
  <c r="AG1736"/>
  <c r="AK1734"/>
  <c r="AJ1733"/>
  <c r="AD1732"/>
  <c r="AB1732"/>
  <c r="AH1730"/>
  <c r="AG1729"/>
  <c r="AF1728"/>
  <c r="AL1726"/>
  <c r="AK1725"/>
  <c r="AJ1724"/>
  <c r="AE1723"/>
  <c r="AL1754"/>
  <c r="AJ1753"/>
  <c r="AE1752"/>
  <c r="AC1751"/>
  <c r="X1751"/>
  <c r="AM1748"/>
  <c r="AK1747"/>
  <c r="AI1746"/>
  <c r="AD1745"/>
  <c r="AB1745"/>
  <c r="AC1744"/>
  <c r="X1744"/>
  <c r="AL1742"/>
  <c r="AJ1741"/>
  <c r="AD1740"/>
  <c r="AB1740"/>
  <c r="AL1738"/>
  <c r="AJ1737"/>
  <c r="AD1736"/>
  <c r="X1736"/>
  <c r="AH1734"/>
  <c r="AG1733"/>
  <c r="AE1732"/>
  <c r="AC1731"/>
  <c r="AM1730"/>
  <c r="AH1729"/>
  <c r="AG1728"/>
  <c r="AF1727"/>
  <c r="AL1725"/>
  <c r="AK1724"/>
  <c r="AJ1723"/>
  <c r="AE1722"/>
  <c r="AI1754"/>
  <c r="AG1753"/>
  <c r="AF1752"/>
  <c r="AH1749"/>
  <c r="AF1748"/>
  <c r="AI1745"/>
  <c r="AD1744"/>
  <c r="AB1744"/>
  <c r="AC1743"/>
  <c r="X1743"/>
  <c r="AO1741"/>
  <c r="AM1740"/>
  <c r="AK1739"/>
  <c r="AI1738"/>
  <c r="AG1737"/>
  <c r="AE1736"/>
  <c r="AC1735"/>
  <c r="AM1734"/>
  <c r="AH1733"/>
  <c r="AF1732"/>
  <c r="AI1733"/>
  <c r="AH1731"/>
  <c r="V1731"/>
  <c r="X1730"/>
  <c r="AB1728"/>
  <c r="AB1727"/>
  <c r="AH1724"/>
  <c r="AH1721"/>
  <c r="AG1720"/>
  <c r="AF1719"/>
  <c r="AM1718"/>
  <c r="AH1717"/>
  <c r="AF1716"/>
  <c r="AM1733"/>
  <c r="X1732"/>
  <c r="AI1724"/>
  <c r="AC1723"/>
  <c r="AF1722"/>
  <c r="AM1721"/>
  <c r="AH1720"/>
  <c r="AG1719"/>
  <c r="U1719"/>
  <c r="AM1717"/>
  <c r="AK1716"/>
  <c r="AD1731"/>
  <c r="AO1730"/>
  <c r="AI1729"/>
  <c r="X1726"/>
  <c r="AB1724"/>
  <c r="AB1723"/>
  <c r="AJ1721"/>
  <c r="AE1720"/>
  <c r="AK1718"/>
  <c r="AJ1717"/>
  <c r="AD1716"/>
  <c r="AB1716"/>
  <c r="AC1715"/>
  <c r="X1715"/>
  <c r="X1716"/>
  <c r="AI1728"/>
  <c r="AC1727"/>
  <c r="AF1726"/>
  <c r="AF1725"/>
  <c r="AE1724"/>
  <c r="AG1723"/>
  <c r="AN1720"/>
  <c r="AI1719"/>
  <c r="W1719"/>
  <c r="AO1717"/>
  <c r="AM1716"/>
  <c r="AH1715"/>
  <c r="AK1714"/>
  <c r="AI1713"/>
  <c r="AG1712"/>
  <c r="AE1711"/>
  <c r="AC1710"/>
  <c r="X1710"/>
  <c r="AM1708"/>
  <c r="AH1707"/>
  <c r="AG1706"/>
  <c r="AL1714"/>
  <c r="AJ1713"/>
  <c r="AD1712"/>
  <c r="AB1712"/>
  <c r="AL1710"/>
  <c r="AK1709"/>
  <c r="AJ1708"/>
  <c r="AE1707"/>
  <c r="AM1714"/>
  <c r="AK1713"/>
  <c r="AI1712"/>
  <c r="AG1711"/>
  <c r="AE1710"/>
  <c r="AO1708"/>
  <c r="AI1706"/>
  <c r="AF1714"/>
  <c r="AH1711"/>
  <c r="AF1710"/>
  <c r="AL1708"/>
  <c r="AK1707"/>
  <c r="AJ1706"/>
  <c r="AL1705"/>
  <c r="AI1705"/>
  <c r="AF1705"/>
  <c r="AC1705"/>
  <c r="X1705"/>
  <c r="AO1685"/>
  <c r="AH1684"/>
  <c r="AF1683"/>
  <c r="AN1681"/>
  <c r="AJ1680"/>
  <c r="X1680"/>
  <c r="AN1678"/>
  <c r="AH1677"/>
  <c r="AF1676"/>
  <c r="AN1674"/>
  <c r="AH1673"/>
  <c r="V1673"/>
  <c r="AK1671"/>
  <c r="AH1670"/>
  <c r="AF1669"/>
  <c r="AN1667"/>
  <c r="AG1666"/>
  <c r="AE1665"/>
  <c r="AC1664"/>
  <c r="AM1663"/>
  <c r="AK1662"/>
  <c r="AI1661"/>
  <c r="AK1685"/>
  <c r="AI1684"/>
  <c r="AG1683"/>
  <c r="AE1682"/>
  <c r="AO1680"/>
  <c r="AI1679"/>
  <c r="AG1678"/>
  <c r="AE1677"/>
  <c r="AC1676"/>
  <c r="X1676"/>
  <c r="AO1674"/>
  <c r="AM1673"/>
  <c r="AA1673"/>
  <c r="AG1672"/>
  <c r="AD1671"/>
  <c r="AB1671"/>
  <c r="AO1669"/>
  <c r="AM1668"/>
  <c r="AK1667"/>
  <c r="AH1666"/>
  <c r="AF1665"/>
  <c r="AJ1663"/>
  <c r="AD1662"/>
  <c r="AB1662"/>
  <c r="AG1686"/>
  <c r="AD1685"/>
  <c r="AB1685"/>
  <c r="AL1683"/>
  <c r="AJ1682"/>
  <c r="AL1680"/>
  <c r="Z1680"/>
  <c r="AF1679"/>
  <c r="AN1677"/>
  <c r="AH1676"/>
  <c r="AF1675"/>
  <c r="AN1673"/>
  <c r="AB1673"/>
  <c r="AK1861"/>
  <c r="AI1860"/>
  <c r="AG1859"/>
  <c r="AE1858"/>
  <c r="AC1857"/>
  <c r="X1857"/>
  <c r="AH1859"/>
  <c r="AF1858"/>
  <c r="AE1861"/>
  <c r="AC1860"/>
  <c r="X1860"/>
  <c r="AO1858"/>
  <c r="AM1857"/>
  <c r="AK1856"/>
  <c r="AH1860"/>
  <c r="AF1859"/>
  <c r="AN1857"/>
  <c r="AH1856"/>
  <c r="AC1855"/>
  <c r="AM1854"/>
  <c r="AK1853"/>
  <c r="Y1853"/>
  <c r="AE1852"/>
  <c r="AO1851"/>
  <c r="AM1850"/>
  <c r="AK1849"/>
  <c r="Y1849"/>
  <c r="AE1848"/>
  <c r="AC1847"/>
  <c r="X1847"/>
  <c r="AM1844"/>
  <c r="AJ1843"/>
  <c r="X1843"/>
  <c r="AK1840"/>
  <c r="AH1839"/>
  <c r="AF1838"/>
  <c r="AL1837"/>
  <c r="Z1837"/>
  <c r="AF1836"/>
  <c r="AL1835"/>
  <c r="AJ1834"/>
  <c r="X1834"/>
  <c r="AJ1832"/>
  <c r="AD1831"/>
  <c r="AB1831"/>
  <c r="AL1829"/>
  <c r="AJ1828"/>
  <c r="X1828"/>
  <c r="AN1826"/>
  <c r="AH1855"/>
  <c r="V1855"/>
  <c r="AL1853"/>
  <c r="Z1853"/>
  <c r="AF1852"/>
  <c r="AL1851"/>
  <c r="AJ1850"/>
  <c r="AD1849"/>
  <c r="AH1847"/>
  <c r="AF1846"/>
  <c r="AK1843"/>
  <c r="Y1843"/>
  <c r="AE1842"/>
  <c r="AL1840"/>
  <c r="AI1839"/>
  <c r="AG1838"/>
  <c r="U1838"/>
  <c r="AK1836"/>
  <c r="Y1836"/>
  <c r="AE1835"/>
  <c r="AC1834"/>
  <c r="AM1833"/>
  <c r="AA1833"/>
  <c r="AG1832"/>
  <c r="AE1831"/>
  <c r="AC1830"/>
  <c r="X1830"/>
  <c r="AO1828"/>
  <c r="AI1827"/>
  <c r="AM1855"/>
  <c r="AA1855"/>
  <c r="AG1854"/>
  <c r="AE1853"/>
  <c r="AO1852"/>
  <c r="AI1851"/>
  <c r="AG1850"/>
  <c r="AE1849"/>
  <c r="AO1848"/>
  <c r="AM1847"/>
  <c r="AK1846"/>
  <c r="AI1845"/>
  <c r="AF1844"/>
  <c r="AJ1842"/>
  <c r="AC1841"/>
  <c r="X1841"/>
  <c r="AH1838"/>
  <c r="V1838"/>
  <c r="AH1836"/>
  <c r="V1836"/>
  <c r="AL1834"/>
  <c r="Z1834"/>
  <c r="AF1833"/>
  <c r="AL1832"/>
  <c r="AJ1831"/>
  <c r="AD1830"/>
  <c r="AB1830"/>
  <c r="AL1828"/>
  <c r="Z1828"/>
  <c r="AF1827"/>
  <c r="AJ1825"/>
  <c r="AN1855"/>
  <c r="AB1855"/>
  <c r="AD1854"/>
  <c r="AB1854"/>
  <c r="AH1852"/>
  <c r="V1852"/>
  <c r="AL1850"/>
  <c r="AJ1849"/>
  <c r="X1849"/>
  <c r="AH1846"/>
  <c r="AF1845"/>
  <c r="AM1843"/>
  <c r="AA1843"/>
  <c r="AG1842"/>
  <c r="AD1841"/>
  <c r="AB1841"/>
  <c r="AL1839"/>
  <c r="AK1839" s="1"/>
  <c r="AI1838"/>
  <c r="W1838"/>
  <c r="AC1837"/>
  <c r="AM1836"/>
  <c r="AA1836"/>
  <c r="AG1835"/>
  <c r="AE1834"/>
  <c r="AO1833"/>
  <c r="AI1832"/>
  <c r="AG1831"/>
  <c r="AE1830"/>
  <c r="AC1829"/>
  <c r="X1829"/>
  <c r="AK1827"/>
  <c r="AI1826"/>
  <c r="W1826"/>
  <c r="AD1825"/>
  <c r="AL1824"/>
  <c r="AJ1823"/>
  <c r="AC1822"/>
  <c r="X1822"/>
  <c r="AN1820"/>
  <c r="AB1820"/>
  <c r="AD1819"/>
  <c r="AB1819"/>
  <c r="AL1817"/>
  <c r="AK1817" s="1"/>
  <c r="AD1817"/>
  <c r="X1826"/>
  <c r="AI1824"/>
  <c r="AG1823"/>
  <c r="AD1822"/>
  <c r="AB1822"/>
  <c r="AO1820"/>
  <c r="AI1819"/>
  <c r="AC1818"/>
  <c r="AE1817"/>
  <c r="Y1826"/>
  <c r="AJ1824"/>
  <c r="AD1823"/>
  <c r="AB1823"/>
  <c r="AO1821"/>
  <c r="AH1820"/>
  <c r="V1820"/>
  <c r="AL1818"/>
  <c r="AC1825"/>
  <c r="AO1824"/>
  <c r="AM1823"/>
  <c r="AJ1822"/>
  <c r="AC1821"/>
  <c r="X1821"/>
  <c r="AK1819"/>
  <c r="AI1818"/>
  <c r="AF1817"/>
  <c r="AM1817"/>
  <c r="AD1787"/>
  <c r="AB1787"/>
  <c r="AL1785"/>
  <c r="AJ1784"/>
  <c r="AD1783"/>
  <c r="AB1783"/>
  <c r="AL1781"/>
  <c r="AJ1780"/>
  <c r="AD1779"/>
  <c r="AB1779"/>
  <c r="AL1777"/>
  <c r="AJ1776"/>
  <c r="AD1775"/>
  <c r="AB1775"/>
  <c r="AL1773"/>
  <c r="AI1787"/>
  <c r="AG1786"/>
  <c r="AE1785"/>
  <c r="AC1784"/>
  <c r="X1784"/>
  <c r="AO1782"/>
  <c r="AM1781"/>
  <c r="AK1780"/>
  <c r="AI1779"/>
  <c r="AG1778"/>
  <c r="AE1777"/>
  <c r="AC1776"/>
  <c r="X1776"/>
  <c r="AO1774"/>
  <c r="AM1773"/>
  <c r="AL1786"/>
  <c r="AJ1785"/>
  <c r="AD1784"/>
  <c r="AB1784"/>
  <c r="AL1782"/>
  <c r="AJ1781"/>
  <c r="AD1780"/>
  <c r="AB1780"/>
  <c r="AL1778"/>
  <c r="AJ1777"/>
  <c r="AD1776"/>
  <c r="AB1776"/>
  <c r="AL1774"/>
  <c r="AJ1773"/>
  <c r="AJ1789" s="1"/>
  <c r="AO1787"/>
  <c r="AM1786"/>
  <c r="AK1785"/>
  <c r="AI1784"/>
  <c r="AG1783"/>
  <c r="AE1782"/>
  <c r="AC1781"/>
  <c r="X1781"/>
  <c r="AO1779"/>
  <c r="AM1778"/>
  <c r="AK1777"/>
  <c r="AI1776"/>
  <c r="AG1775"/>
  <c r="AE1774"/>
  <c r="AC1773"/>
  <c r="AL1753"/>
  <c r="AK1752"/>
  <c r="AI1751"/>
  <c r="AG1750"/>
  <c r="AE1749"/>
  <c r="AC1748"/>
  <c r="X1748"/>
  <c r="AO1746"/>
  <c r="AI1744"/>
  <c r="AD1743"/>
  <c r="AB1743"/>
  <c r="AL1741"/>
  <c r="AJ1740"/>
  <c r="AD1739"/>
  <c r="AB1739"/>
  <c r="AL1737"/>
  <c r="AJ1736"/>
  <c r="AO1754"/>
  <c r="AM1753"/>
  <c r="AH1752"/>
  <c r="AF1751"/>
  <c r="AH1748"/>
  <c r="AF1747"/>
  <c r="AO1745"/>
  <c r="AI1743"/>
  <c r="AG1742"/>
  <c r="AE1741"/>
  <c r="AC1740"/>
  <c r="X1740"/>
  <c r="AM1737"/>
  <c r="AK1736"/>
  <c r="AE1735"/>
  <c r="AO1734"/>
  <c r="AH1732"/>
  <c r="AF1731"/>
  <c r="AL1730"/>
  <c r="AK1729"/>
  <c r="AJ1728"/>
  <c r="AE1727"/>
  <c r="AI1723"/>
  <c r="AD1722"/>
  <c r="AI1752"/>
  <c r="AG1751"/>
  <c r="AE1750"/>
  <c r="AC1749"/>
  <c r="X1749"/>
  <c r="AO1747"/>
  <c r="AM1746"/>
  <c r="AH1745"/>
  <c r="AG1744"/>
  <c r="AF1743"/>
  <c r="AH1740"/>
  <c r="AF1739"/>
  <c r="AH1736"/>
  <c r="AF1735"/>
  <c r="AL1734"/>
  <c r="AK1733"/>
  <c r="AI1732"/>
  <c r="AG1731"/>
  <c r="U1731"/>
  <c r="AL1729"/>
  <c r="AK1728"/>
  <c r="AJ1727"/>
  <c r="AE1726"/>
  <c r="AO1724"/>
  <c r="AI1722"/>
  <c r="AM1754"/>
  <c r="AK1753"/>
  <c r="AJ1752"/>
  <c r="AD1751"/>
  <c r="AB1751"/>
  <c r="AL1749"/>
  <c r="AJ1748"/>
  <c r="AD1747"/>
  <c r="AB1747"/>
  <c r="AM1745"/>
  <c r="AH1744"/>
  <c r="AG1743"/>
  <c r="AE1742"/>
  <c r="AC1741"/>
  <c r="X1741"/>
  <c r="AO1739"/>
  <c r="AM1738"/>
  <c r="AK1737"/>
  <c r="AI1736"/>
  <c r="AG1735"/>
  <c r="U1735"/>
  <c r="AL1733"/>
  <c r="AJ1732"/>
  <c r="AH1723"/>
  <c r="AC1722"/>
  <c r="AL1721"/>
  <c r="AK1720"/>
  <c r="AJ1719"/>
  <c r="X1719"/>
  <c r="AL1717"/>
  <c r="AJ1716"/>
  <c r="AM1715"/>
  <c r="AF1730"/>
  <c r="AF1729"/>
  <c r="AE1728"/>
  <c r="AG1727"/>
  <c r="AK1723"/>
  <c r="AL1720"/>
  <c r="AK1719"/>
  <c r="Y1719"/>
  <c r="AF1718"/>
  <c r="AO1716"/>
  <c r="AL1731"/>
  <c r="Z1731"/>
  <c r="AH1728"/>
  <c r="AI1720"/>
  <c r="AD1719"/>
  <c r="AO1718"/>
  <c r="AH1716"/>
  <c r="AG1715"/>
  <c r="AG1732"/>
  <c r="AK1727"/>
  <c r="AM1724"/>
  <c r="AO1723"/>
  <c r="AJ1722"/>
  <c r="AB1722"/>
  <c r="AC1721"/>
  <c r="X1721"/>
  <c r="AM1719"/>
  <c r="AA1719"/>
  <c r="AD1718"/>
  <c r="AB1718"/>
  <c r="AC1717"/>
  <c r="X1717"/>
  <c r="AL1715"/>
  <c r="AE1715"/>
  <c r="AO1714"/>
  <c r="AM1713"/>
  <c r="AK1712"/>
  <c r="AI1711"/>
  <c r="AG1710"/>
  <c r="AF1709"/>
  <c r="AL1707"/>
  <c r="AK1706"/>
  <c r="AH1712"/>
  <c r="AF1711"/>
  <c r="AO1709"/>
  <c r="AI1707"/>
  <c r="AD1706"/>
  <c r="AB1706"/>
  <c r="AO1713"/>
  <c r="AM1712"/>
  <c r="AK1711"/>
  <c r="AI1710"/>
  <c r="AD1709"/>
  <c r="AB1709"/>
  <c r="AC1708"/>
  <c r="X1708"/>
  <c r="AM1706"/>
  <c r="AJ1714"/>
  <c r="AD1713"/>
  <c r="AB1713"/>
  <c r="AL1711"/>
  <c r="AJ1710"/>
  <c r="AE1709"/>
  <c r="X1706"/>
  <c r="AM1705"/>
  <c r="AJ1705"/>
  <c r="AG1705"/>
  <c r="AE1686"/>
  <c r="AL1684"/>
  <c r="AJ1683"/>
  <c r="AD1682"/>
  <c r="AB1682"/>
  <c r="AN1680"/>
  <c r="AB1680"/>
  <c r="AD1679"/>
  <c r="AB1679"/>
  <c r="AL1677"/>
  <c r="AJ1676"/>
  <c r="AD1675"/>
  <c r="AB1675"/>
  <c r="AL1673"/>
  <c r="Z1673"/>
  <c r="AF1672"/>
  <c r="AM1670"/>
  <c r="AL1670" s="1"/>
  <c r="AJ1669"/>
  <c r="AD1668"/>
  <c r="AB1668"/>
  <c r="AK1666"/>
  <c r="AI1665"/>
  <c r="AG1664"/>
  <c r="U1664"/>
  <c r="AO1662"/>
  <c r="AM1661"/>
  <c r="AF1661"/>
  <c r="AF1686"/>
  <c r="AM1684"/>
  <c r="AK1683"/>
  <c r="AI1682"/>
  <c r="AE1681"/>
  <c r="AC1680"/>
  <c r="AM1679"/>
  <c r="AK1678"/>
  <c r="AI1677"/>
  <c r="AG1676"/>
  <c r="AE1675"/>
  <c r="AC1674"/>
  <c r="X1674"/>
  <c r="AK1672"/>
  <c r="AH1671"/>
  <c r="AE1670"/>
  <c r="AC1669"/>
  <c r="X1669"/>
  <c r="AO1667"/>
  <c r="AM1666"/>
  <c r="AL1666" s="1"/>
  <c r="AJ1665"/>
  <c r="AD1664"/>
  <c r="AN1663"/>
  <c r="AH1662"/>
  <c r="AK1686"/>
  <c r="AH1685"/>
  <c r="AF1684"/>
  <c r="AN1682"/>
  <c r="AF1681"/>
  <c r="AJ1679"/>
  <c r="AD1678"/>
  <c r="AB1678"/>
  <c r="AL1676"/>
  <c r="AJ1675"/>
  <c r="AD1674"/>
  <c r="AB1674"/>
  <c r="AH1672"/>
  <c r="AE1671"/>
  <c r="AM1860"/>
  <c r="AK1859"/>
  <c r="AI1858"/>
  <c r="AG1857"/>
  <c r="AD1861"/>
  <c r="AB1861"/>
  <c r="AL1859"/>
  <c r="AJ1858"/>
  <c r="AD1857"/>
  <c r="AB1857"/>
  <c r="AC1856"/>
  <c r="AI1861"/>
  <c r="AG1860"/>
  <c r="AE1859"/>
  <c r="AC1858"/>
  <c r="X1858"/>
  <c r="AL1860"/>
  <c r="AJ1859"/>
  <c r="AD1858"/>
  <c r="AB1858"/>
  <c r="AL1856"/>
  <c r="AG1855"/>
  <c r="U1855"/>
  <c r="AO1853"/>
  <c r="AI1852"/>
  <c r="W1852"/>
  <c r="AC1851"/>
  <c r="X1851"/>
  <c r="AO1849"/>
  <c r="AI1848"/>
  <c r="AG1847"/>
  <c r="AE1846"/>
  <c r="AC1845"/>
  <c r="X1845"/>
  <c r="AN1843"/>
  <c r="AB1843"/>
  <c r="AD1842"/>
  <c r="AB1842"/>
  <c r="AO1840"/>
  <c r="AM1839"/>
  <c r="AJ1838"/>
  <c r="X1838"/>
  <c r="AJ1836"/>
  <c r="X1836"/>
  <c r="AN1834"/>
  <c r="AB1834"/>
  <c r="AD1833"/>
  <c r="AH1831"/>
  <c r="AF1830"/>
  <c r="AN1828"/>
  <c r="AB1828"/>
  <c r="AD1827"/>
  <c r="AB1827"/>
  <c r="AL1855"/>
  <c r="Z1855"/>
  <c r="AF1854"/>
  <c r="AJ1852"/>
  <c r="X1852"/>
  <c r="AN1850"/>
  <c r="AH1849"/>
  <c r="V1849"/>
  <c r="AL1847"/>
  <c r="AJ1846"/>
  <c r="AD1845"/>
  <c r="AB1845"/>
  <c r="AO1843"/>
  <c r="AI1842"/>
  <c r="AF1841"/>
  <c r="AK1838"/>
  <c r="Y1838"/>
  <c r="AE1837"/>
  <c r="AO1836"/>
  <c r="AI1835"/>
  <c r="AG1834"/>
  <c r="U1834"/>
  <c r="AK1832"/>
  <c r="AI1831"/>
  <c r="AG1830"/>
  <c r="AE1829"/>
  <c r="AC1828"/>
  <c r="AM1827"/>
  <c r="AK1826"/>
  <c r="AK1854"/>
  <c r="AI1853"/>
  <c r="W1853"/>
  <c r="AC1852"/>
  <c r="AM1851"/>
  <c r="AK1850"/>
  <c r="AI1849"/>
  <c r="W1849"/>
  <c r="AC1848"/>
  <c r="X1848"/>
  <c r="AM1845"/>
  <c r="AJ1844"/>
  <c r="AD1843"/>
  <c r="AG1841"/>
  <c r="AE1840"/>
  <c r="AL1838"/>
  <c r="Z1838"/>
  <c r="AF1837"/>
  <c r="AL1836"/>
  <c r="Z1836"/>
  <c r="AF1835"/>
  <c r="AJ1833"/>
  <c r="X1833"/>
  <c r="AH1830"/>
  <c r="AF1829"/>
  <c r="AJ1827"/>
  <c r="AD1826"/>
  <c r="AH1854"/>
  <c r="AF1853"/>
  <c r="AL1852"/>
  <c r="Z1852"/>
  <c r="AF1851"/>
  <c r="AN1849"/>
  <c r="AB1849"/>
  <c r="AD1848"/>
  <c r="AB1848"/>
  <c r="AL1846"/>
  <c r="AJ1845"/>
  <c r="AC1844"/>
  <c r="X1844"/>
  <c r="AK1842"/>
  <c r="AH1841"/>
  <c r="AF1840"/>
  <c r="AM1838"/>
  <c r="AA1838"/>
  <c r="AG1837"/>
  <c r="U1837"/>
  <c r="AK1835"/>
  <c r="AI1834"/>
  <c r="W1834"/>
  <c r="AC1833"/>
  <c r="AM1832"/>
  <c r="AK1831"/>
  <c r="AI1830"/>
  <c r="AG1829"/>
  <c r="AE1828"/>
  <c r="AO1827"/>
  <c r="AM1826"/>
  <c r="AA1826"/>
  <c r="AI1825"/>
  <c r="AG1822"/>
  <c r="AD1821"/>
  <c r="AB1821"/>
  <c r="AH1819"/>
  <c r="AF1818"/>
  <c r="X1818"/>
  <c r="AI1817"/>
  <c r="AM1824"/>
  <c r="AK1823"/>
  <c r="AH1822"/>
  <c r="AE1821"/>
  <c r="AC1820"/>
  <c r="AM1819"/>
  <c r="AO1818"/>
  <c r="AN1824"/>
  <c r="AH1823"/>
  <c r="AE1822"/>
  <c r="AL1820"/>
  <c r="Z1820"/>
  <c r="AF1819"/>
  <c r="AG1826"/>
  <c r="AH1825"/>
  <c r="AC1824"/>
  <c r="X1824"/>
  <c r="AO1822"/>
  <c r="AG1821"/>
  <c r="AE1820"/>
  <c r="AO1819"/>
  <c r="AM1818"/>
  <c r="AJ1817"/>
  <c r="AB1818"/>
  <c r="AH1787"/>
  <c r="AF1786"/>
  <c r="AN1784"/>
  <c r="AH1783"/>
  <c r="AF1782"/>
  <c r="AN1780"/>
  <c r="AH1779"/>
  <c r="AF1778"/>
  <c r="AN1776"/>
  <c r="AH1775"/>
  <c r="AF1774"/>
  <c r="AM1787"/>
  <c r="AK1786"/>
  <c r="AI1785"/>
  <c r="AG1784"/>
  <c r="AE1783"/>
  <c r="AC1782"/>
  <c r="X1782"/>
  <c r="AO1780"/>
  <c r="AM1779"/>
  <c r="AK1778"/>
  <c r="AI1777"/>
  <c r="AG1776"/>
  <c r="AE1775"/>
  <c r="AC1774"/>
  <c r="X1774"/>
  <c r="AF1787"/>
  <c r="AN1785"/>
  <c r="AH1784"/>
  <c r="AF1783"/>
  <c r="AH1780"/>
  <c r="AF1779"/>
  <c r="AN1777"/>
  <c r="AH1776"/>
  <c r="AF1775"/>
  <c r="AN1773"/>
  <c r="AC1787"/>
  <c r="X1787"/>
  <c r="AO1785"/>
  <c r="AM1784"/>
  <c r="AK1783"/>
  <c r="AI1782"/>
  <c r="AG1781"/>
  <c r="AE1780"/>
  <c r="AC1779"/>
  <c r="X1779"/>
  <c r="AO1777"/>
  <c r="AM1776"/>
  <c r="AK1775"/>
  <c r="AI1774"/>
  <c r="AG1773"/>
  <c r="AF1754"/>
  <c r="AO1752"/>
  <c r="AM1751"/>
  <c r="AK1750"/>
  <c r="AI1749"/>
  <c r="AG1748"/>
  <c r="AE1747"/>
  <c r="AC1746"/>
  <c r="X1746"/>
  <c r="AM1744"/>
  <c r="AH1743"/>
  <c r="AF1742"/>
  <c r="AH1739"/>
  <c r="AF1738"/>
  <c r="AH1735"/>
  <c r="AC1754"/>
  <c r="X1754"/>
  <c r="AL1752"/>
  <c r="AJ1751"/>
  <c r="AD1750"/>
  <c r="AB1750"/>
  <c r="AL1748"/>
  <c r="AJ1747"/>
  <c r="AD1746"/>
  <c r="AB1746"/>
  <c r="AC1745"/>
  <c r="X1745"/>
  <c r="AM1743"/>
  <c r="AK1742"/>
  <c r="AI1741"/>
  <c r="AG1740"/>
  <c r="AE1739"/>
  <c r="AC1738"/>
  <c r="X1738"/>
  <c r="AO1736"/>
  <c r="AI1735"/>
  <c r="W1735"/>
  <c r="AC1734"/>
  <c r="X1734"/>
  <c r="AL1732"/>
  <c r="AJ1731"/>
  <c r="X1731"/>
  <c r="AO1729"/>
  <c r="AI1727"/>
  <c r="AD1726"/>
  <c r="AB1726"/>
  <c r="AC1725"/>
  <c r="X1725"/>
  <c r="AM1723"/>
  <c r="AH1722"/>
  <c r="AD1754"/>
  <c r="AB1754"/>
  <c r="AM1752"/>
  <c r="AK1751"/>
  <c r="AI1750"/>
  <c r="AG1749"/>
  <c r="AE1748"/>
  <c r="AC1747"/>
  <c r="X1747"/>
  <c r="AL1745"/>
  <c r="AK1744"/>
  <c r="AJ1743"/>
  <c r="AD1742"/>
  <c r="AB1742"/>
  <c r="AL1740"/>
  <c r="AJ1739"/>
  <c r="AD1738"/>
  <c r="AB1738"/>
  <c r="AL1736"/>
  <c r="AJ1735"/>
  <c r="X1735"/>
  <c r="AO1733"/>
  <c r="AM1732"/>
  <c r="AK1731"/>
  <c r="Y1731"/>
  <c r="AE1730"/>
  <c r="AO1728"/>
  <c r="AI1726"/>
  <c r="AD1725"/>
  <c r="AB1725"/>
  <c r="AC1724"/>
  <c r="X1724"/>
  <c r="AM1722"/>
  <c r="AO1753"/>
  <c r="AH1751"/>
  <c r="AF1750"/>
  <c r="AH1747"/>
  <c r="AF1746"/>
  <c r="AL1744"/>
  <c r="AK1743"/>
  <c r="AI1742"/>
  <c r="AG1741"/>
  <c r="AE1740"/>
  <c r="AC1739"/>
  <c r="X1739"/>
  <c r="AM1736"/>
  <c r="AK1735"/>
  <c r="Y1735"/>
  <c r="AE1734"/>
  <c r="AF1734"/>
  <c r="AK1732"/>
  <c r="AC1730"/>
  <c r="AE1729"/>
  <c r="AD1728"/>
  <c r="AD1727"/>
  <c r="AG1726"/>
  <c r="AK1722"/>
  <c r="AO1720"/>
  <c r="AN1719"/>
  <c r="AB1719"/>
  <c r="AE1718"/>
  <c r="AF1715"/>
  <c r="AJ1734"/>
  <c r="AO1732"/>
  <c r="AM1728"/>
  <c r="AJ1726"/>
  <c r="X1723"/>
  <c r="AE1721"/>
  <c r="AO1719"/>
  <c r="AJ1718"/>
  <c r="AE1717"/>
  <c r="AC1716"/>
  <c r="AJ1715"/>
  <c r="AH1727"/>
  <c r="AC1726"/>
  <c r="AE1725"/>
  <c r="AD1724"/>
  <c r="AD1723"/>
  <c r="AG1722"/>
  <c r="X1722"/>
  <c r="AM1720"/>
  <c r="AH1719"/>
  <c r="V1719"/>
  <c r="AC1718"/>
  <c r="X1718"/>
  <c r="AL1716"/>
  <c r="AK1715"/>
  <c r="AI1715"/>
  <c r="AD1735"/>
  <c r="AE1731"/>
  <c r="AJ1730"/>
  <c r="X1727"/>
  <c r="AG1721"/>
  <c r="AF1720"/>
  <c r="AH1718"/>
  <c r="AG1717"/>
  <c r="AE1716"/>
  <c r="AC1714"/>
  <c r="X1714"/>
  <c r="AO1712"/>
  <c r="AM1711"/>
  <c r="AK1710"/>
  <c r="AJ1709"/>
  <c r="AE1708"/>
  <c r="AO1706"/>
  <c r="AD1714"/>
  <c r="AB1714"/>
  <c r="AL1712"/>
  <c r="AJ1711"/>
  <c r="AD1710"/>
  <c r="AB1710"/>
  <c r="AC1709"/>
  <c r="X1709"/>
  <c r="AM1707"/>
  <c r="AH1706"/>
  <c r="AE1714"/>
  <c r="AC1713"/>
  <c r="X1713"/>
  <c r="AO1711"/>
  <c r="AM1710"/>
  <c r="AH1709"/>
  <c r="AG1708"/>
  <c r="AF1707"/>
  <c r="AH1713"/>
  <c r="AF1712"/>
  <c r="AI1709"/>
  <c r="AD1708"/>
  <c r="AB1708"/>
  <c r="AC1707"/>
  <c r="X1707"/>
  <c r="AD1705"/>
  <c r="AB1705"/>
  <c r="AK1705"/>
  <c r="AI1686"/>
  <c r="AF1685"/>
  <c r="AN1683"/>
  <c r="AH1682"/>
  <c r="AD1681"/>
  <c r="AB1681"/>
  <c r="AH1679"/>
  <c r="AF1678"/>
  <c r="AN1676"/>
  <c r="AH1675"/>
  <c r="AF1674"/>
  <c r="AJ1672"/>
  <c r="AC1671"/>
  <c r="X1671"/>
  <c r="AN1669"/>
  <c r="AH1668"/>
  <c r="AF1667"/>
  <c r="AM1665"/>
  <c r="AK1664"/>
  <c r="Y1664"/>
  <c r="AE1663"/>
  <c r="AC1662"/>
  <c r="X1662"/>
  <c r="AJ1686"/>
  <c r="AC1685"/>
  <c r="X1685"/>
  <c r="AO1683"/>
  <c r="AM1682"/>
  <c r="AI1681"/>
  <c r="AG1680"/>
  <c r="U1680"/>
  <c r="AO1678"/>
  <c r="AM1677"/>
  <c r="AK1676"/>
  <c r="AI1675"/>
  <c r="AG1674"/>
  <c r="AE1673"/>
  <c r="AO1672"/>
  <c r="AM1671"/>
  <c r="AL1671" s="1"/>
  <c r="AI1670"/>
  <c r="AG1669"/>
  <c r="AE1668"/>
  <c r="AC1667"/>
  <c r="X1667"/>
  <c r="AN1665"/>
  <c r="AH1664"/>
  <c r="V1664"/>
  <c r="AL1662"/>
  <c r="AO1686"/>
  <c r="AM1685"/>
  <c r="AL1685" s="1"/>
  <c r="AJ1684"/>
  <c r="AD1683"/>
  <c r="AB1683"/>
  <c r="AJ1681"/>
  <c r="AD1680"/>
  <c r="AN1679"/>
  <c r="AH1678"/>
  <c r="AF1677"/>
  <c r="AN1675"/>
  <c r="AH1674"/>
  <c r="AF1673"/>
  <c r="AL1672"/>
  <c r="AI1671"/>
  <c r="AF1670"/>
  <c r="AN1668"/>
  <c r="V10"/>
  <c r="V1802" s="1"/>
  <c r="U1802" s="1"/>
  <c r="AA1583"/>
  <c r="W1650"/>
  <c r="W74"/>
  <c r="W52"/>
  <c r="AH1598"/>
  <c r="AE1619"/>
  <c r="AH1619"/>
  <c r="AO1619"/>
  <c r="W45"/>
  <c r="P870" i="64"/>
  <c r="P363"/>
  <c r="P838"/>
  <c r="AI1697" i="1"/>
  <c r="AL1697"/>
  <c r="AL1699" s="1"/>
  <c r="AO1697"/>
  <c r="AO1699" s="1"/>
  <c r="AB1765"/>
  <c r="AB1767" s="1"/>
  <c r="AE1765"/>
  <c r="X1765"/>
  <c r="AC1765"/>
  <c r="AM1765"/>
  <c r="AA22"/>
  <c r="Z22" s="1"/>
  <c r="P823" i="64"/>
  <c r="V1658" i="1"/>
  <c r="W1667"/>
  <c r="AA1658"/>
  <c r="Z1675"/>
  <c r="Y1675" s="1"/>
  <c r="V1649"/>
  <c r="U1649" s="1"/>
  <c r="Z1658"/>
  <c r="V1668"/>
  <c r="U1668" s="1"/>
  <c r="U1652"/>
  <c r="Z1652"/>
  <c r="W1655"/>
  <c r="V1655" s="1"/>
  <c r="Y1847"/>
  <c r="AA1674"/>
  <c r="Z1674"/>
  <c r="U1670"/>
  <c r="V1670"/>
  <c r="Y1670"/>
  <c r="V1831"/>
  <c r="V1656"/>
  <c r="AA1656"/>
  <c r="V1657"/>
  <c r="U1657" s="1"/>
  <c r="W1844"/>
  <c r="Y1663"/>
  <c r="U1663"/>
  <c r="U1839"/>
  <c r="V1661"/>
  <c r="Y1844"/>
  <c r="V1844"/>
  <c r="W1839"/>
  <c r="Y1825"/>
  <c r="W1676"/>
  <c r="Z1830"/>
  <c r="Y1858"/>
  <c r="Z1818"/>
  <c r="AA1827"/>
  <c r="Z1827" s="1"/>
  <c r="Z1676"/>
  <c r="AA1830"/>
  <c r="W1830"/>
  <c r="AA1676"/>
  <c r="Y1827"/>
  <c r="AA1821"/>
  <c r="V1823"/>
  <c r="AA1840"/>
  <c r="Z1840" s="1"/>
  <c r="Y1840"/>
  <c r="AA1823"/>
  <c r="Z1823"/>
  <c r="U1681"/>
  <c r="Y1823"/>
  <c r="AA1822"/>
  <c r="W1840"/>
  <c r="V1840" s="1"/>
  <c r="Z1824"/>
  <c r="AA1824"/>
  <c r="U1669"/>
  <c r="W1824"/>
  <c r="AA1669"/>
  <c r="Y1669"/>
  <c r="Y1851"/>
  <c r="Z1854"/>
  <c r="U1854"/>
  <c r="AA1854"/>
  <c r="Y1854"/>
  <c r="Y1683"/>
  <c r="V1683"/>
  <c r="Y1845"/>
  <c r="V1835"/>
  <c r="W1860"/>
  <c r="V1860" s="1"/>
  <c r="Y1857"/>
  <c r="AA1832"/>
  <c r="U1660"/>
  <c r="W1856"/>
  <c r="V1856" s="1"/>
  <c r="U1856" s="1"/>
  <c r="W1819"/>
  <c r="Z1859"/>
  <c r="Y1860"/>
  <c r="AA1848"/>
  <c r="Z1848" s="1"/>
  <c r="W1848"/>
  <c r="V1848" s="1"/>
  <c r="U1685"/>
  <c r="Z1685"/>
  <c r="AA1713"/>
  <c r="AA1737"/>
  <c r="AA1677"/>
  <c r="W1682"/>
  <c r="V1713"/>
  <c r="Y1682"/>
  <c r="U1724"/>
  <c r="Z1682"/>
  <c r="AA1651"/>
  <c r="AA1742"/>
  <c r="Y1659"/>
  <c r="W1724"/>
  <c r="V1709"/>
  <c r="W1729"/>
  <c r="V1729" s="1"/>
  <c r="U1729" s="1"/>
  <c r="Z1720"/>
  <c r="AA1725"/>
  <c r="Z1715"/>
  <c r="V1750"/>
  <c r="U1750" s="1"/>
  <c r="V1741"/>
  <c r="U1754"/>
  <c r="W1725"/>
  <c r="AA1715"/>
  <c r="Y1754"/>
  <c r="Y1741"/>
  <c r="V1715"/>
  <c r="AA1741"/>
  <c r="W1737"/>
  <c r="W1732"/>
  <c r="Z1710"/>
  <c r="Z1728"/>
  <c r="W1749"/>
  <c r="W1750"/>
  <c r="V1746"/>
  <c r="W1730"/>
  <c r="Y1718"/>
  <c r="W1707"/>
  <c r="V1705"/>
  <c r="Z1705"/>
  <c r="Y1717"/>
  <c r="W1717"/>
  <c r="AA1717"/>
  <c r="AA1706"/>
  <c r="Y1743"/>
  <c r="Y1736"/>
  <c r="AA1736"/>
  <c r="Z1736" s="1"/>
  <c r="U1743"/>
  <c r="V1736"/>
  <c r="AA1722"/>
  <c r="W1714"/>
  <c r="Y1738"/>
  <c r="AA1714"/>
  <c r="U1727"/>
  <c r="Z1727"/>
  <c r="Y1727" s="1"/>
  <c r="AA1727"/>
  <c r="AA1733"/>
  <c r="Z1733" s="1"/>
  <c r="W1748"/>
  <c r="W1753"/>
  <c r="Z1753"/>
  <c r="AA1711"/>
  <c r="W1712"/>
  <c r="Z1712"/>
  <c r="Y1747"/>
  <c r="AA1708"/>
  <c r="AA1744"/>
  <c r="U1740"/>
  <c r="V1740"/>
  <c r="AA1734"/>
  <c r="Z1723"/>
  <c r="Y1740"/>
  <c r="W1723"/>
  <c r="Z1716"/>
  <c r="AA1723"/>
  <c r="V1723"/>
  <c r="AL1637"/>
  <c r="AB1639"/>
  <c r="AD1639"/>
  <c r="AG1649"/>
  <c r="AI1650"/>
  <c r="AK1651"/>
  <c r="AN1652"/>
  <c r="AF1654"/>
  <c r="AH1655"/>
  <c r="AO1656"/>
  <c r="AB1658"/>
  <c r="AD1658"/>
  <c r="AJ1659"/>
  <c r="AL1660"/>
  <c r="AO1637"/>
  <c r="X1639"/>
  <c r="AC1639"/>
  <c r="AC1641" s="1"/>
  <c r="AF1649"/>
  <c r="AH1650"/>
  <c r="AN1651"/>
  <c r="X1653"/>
  <c r="AC1653"/>
  <c r="AE1654"/>
  <c r="AG1655"/>
  <c r="AI1656"/>
  <c r="AM1657"/>
  <c r="AO1658"/>
  <c r="X1660"/>
  <c r="AC1660"/>
  <c r="AF1637"/>
  <c r="AH1638"/>
  <c r="AN1639"/>
  <c r="X1650"/>
  <c r="AC1650"/>
  <c r="AE1651"/>
  <c r="AG1652"/>
  <c r="AN1653"/>
  <c r="AF1655"/>
  <c r="AH1656"/>
  <c r="AL1657"/>
  <c r="AK1657" s="1"/>
  <c r="AB1659"/>
  <c r="AD1659"/>
  <c r="AJ1660"/>
  <c r="AM1637"/>
  <c r="AO1638"/>
  <c r="AB1649"/>
  <c r="AD1649"/>
  <c r="AJ1650"/>
  <c r="AL1651"/>
  <c r="AE1653"/>
  <c r="AG1654"/>
  <c r="AI1655"/>
  <c r="AL1656"/>
  <c r="AK1656" s="1"/>
  <c r="AE1658"/>
  <c r="AG1659"/>
  <c r="AI1660"/>
  <c r="AD1661"/>
  <c r="AJ1662"/>
  <c r="AL1663"/>
  <c r="AF1664"/>
  <c r="AH1665"/>
  <c r="AO1666"/>
  <c r="X1668"/>
  <c r="AC1668"/>
  <c r="AE1669"/>
  <c r="AG1670"/>
  <c r="AO1671"/>
  <c r="U1673"/>
  <c r="AG1673"/>
  <c r="AI1674"/>
  <c r="AK1675"/>
  <c r="AM1676"/>
  <c r="AO1677"/>
  <c r="X1679"/>
  <c r="AC1679"/>
  <c r="W1680"/>
  <c r="AI1680"/>
  <c r="AM1681"/>
  <c r="AL1681" s="1"/>
  <c r="AK1681" s="1"/>
  <c r="AO1682"/>
  <c r="X1684"/>
  <c r="AC1684"/>
  <c r="AE1685"/>
  <c r="AH1686"/>
  <c r="AG1661"/>
  <c r="AI1662"/>
  <c r="AK1663"/>
  <c r="X1665"/>
  <c r="AC1665"/>
  <c r="AE1666"/>
  <c r="AH1667"/>
  <c r="AL1669"/>
  <c r="AJ1670"/>
  <c r="AN1671"/>
  <c r="X1673"/>
  <c r="AL1674"/>
  <c r="AH1683"/>
  <c r="X1686"/>
  <c r="AL1664"/>
  <c r="AE1679"/>
  <c r="AC1683"/>
  <c r="AG1685"/>
  <c r="X1666"/>
  <c r="AD1670"/>
  <c r="AN1672"/>
  <c r="AJ1674"/>
  <c r="AB1677"/>
  <c r="AJ1685"/>
  <c r="AO1705"/>
  <c r="AD1711"/>
  <c r="AL1713"/>
  <c r="AC1711"/>
  <c r="AG1713"/>
  <c r="AL1706"/>
  <c r="AF1713"/>
  <c r="AB1707"/>
  <c r="AA89"/>
  <c r="AA1588" s="1"/>
  <c r="AA35"/>
  <c r="W35"/>
  <c r="AA104"/>
  <c r="AA1671" s="1"/>
  <c r="Z30"/>
  <c r="U38"/>
  <c r="Y38"/>
  <c r="U18"/>
  <c r="U1585" s="1"/>
  <c r="Y18"/>
  <c r="Y1585" s="1"/>
  <c r="W1583"/>
  <c r="AA74"/>
  <c r="Y86"/>
  <c r="V65"/>
  <c r="Z97"/>
  <c r="Z1589" s="1"/>
  <c r="AA56"/>
  <c r="AG1598"/>
  <c r="AN1619"/>
  <c r="AB1619"/>
  <c r="AD1619"/>
  <c r="AK1619"/>
  <c r="AM1811"/>
  <c r="AL1811"/>
  <c r="AK1811"/>
  <c r="AJ1811" s="1"/>
  <c r="W1653"/>
  <c r="P636" i="64"/>
  <c r="P405"/>
  <c r="P995"/>
  <c r="P935"/>
  <c r="P855"/>
  <c r="P1271"/>
  <c r="P273"/>
  <c r="P1221"/>
  <c r="P965"/>
  <c r="P1045"/>
  <c r="U72" i="1"/>
  <c r="Z104"/>
  <c r="Z1671" s="1"/>
  <c r="AE1697"/>
  <c r="AH1697"/>
  <c r="AK1697"/>
  <c r="AN1697"/>
  <c r="AL1765"/>
  <c r="AL1767" s="1"/>
  <c r="AH1765"/>
  <c r="AO1765"/>
  <c r="AI1765"/>
  <c r="W96"/>
  <c r="W1637" s="1"/>
  <c r="U26"/>
  <c r="U1800" s="1"/>
  <c r="Y1686"/>
  <c r="W1658"/>
  <c r="W1686"/>
  <c r="Z1686"/>
  <c r="Y1667"/>
  <c r="Z1668"/>
  <c r="Y1668" s="1"/>
  <c r="Z1684"/>
  <c r="Y1684" s="1"/>
  <c r="AA1684"/>
  <c r="W1678"/>
  <c r="U1665"/>
  <c r="AA1678"/>
  <c r="Z1678" s="1"/>
  <c r="Y1678" s="1"/>
  <c r="Y1674"/>
  <c r="U1655"/>
  <c r="Y1655"/>
  <c r="U1847"/>
  <c r="W1670"/>
  <c r="Y1656"/>
  <c r="AA1817"/>
  <c r="V1678"/>
  <c r="U1678" s="1"/>
  <c r="Y1831"/>
  <c r="W1817"/>
  <c r="V1817"/>
  <c r="AA1657"/>
  <c r="AA1654"/>
  <c r="Z1663"/>
  <c r="U1654"/>
  <c r="Y1842"/>
  <c r="U1842"/>
  <c r="Y1661"/>
  <c r="Z1839"/>
  <c r="AA1663"/>
  <c r="AA1842"/>
  <c r="W1654"/>
  <c r="V1839"/>
  <c r="AA1662"/>
  <c r="W1827"/>
  <c r="V1827" s="1"/>
  <c r="W1825"/>
  <c r="V1825" s="1"/>
  <c r="AA1841"/>
  <c r="U1676"/>
  <c r="U1858"/>
  <c r="V1662"/>
  <c r="U1662" s="1"/>
  <c r="AA1818"/>
  <c r="U1840"/>
  <c r="Y1822"/>
  <c r="Z1822"/>
  <c r="Y1676"/>
  <c r="W1858"/>
  <c r="V1841"/>
  <c r="U1841" s="1"/>
  <c r="U1821"/>
  <c r="V1822"/>
  <c r="U1827"/>
  <c r="Y1681"/>
  <c r="Y1818"/>
  <c r="U1824"/>
  <c r="Y1824"/>
  <c r="Z1861"/>
  <c r="AA1861"/>
  <c r="W1861"/>
  <c r="U1851"/>
  <c r="AA1851"/>
  <c r="V1854"/>
  <c r="AA1845"/>
  <c r="V1666"/>
  <c r="Y1666"/>
  <c r="W1666"/>
  <c r="V1832"/>
  <c r="U1832"/>
  <c r="Z1860"/>
  <c r="U1829"/>
  <c r="W1859"/>
  <c r="V1859" s="1"/>
  <c r="U1835"/>
  <c r="W1829"/>
  <c r="V1829" s="1"/>
  <c r="Y1856"/>
  <c r="Y1819"/>
  <c r="AA1859"/>
  <c r="AA1856"/>
  <c r="Z1856" s="1"/>
  <c r="AA1860"/>
  <c r="U1860"/>
  <c r="AA1660"/>
  <c r="Y1848"/>
  <c r="U1848"/>
  <c r="U1672"/>
  <c r="Y1685"/>
  <c r="AA1679"/>
  <c r="Z1737"/>
  <c r="Y1737"/>
  <c r="Z1713"/>
  <c r="U1659"/>
  <c r="V1682"/>
  <c r="Z1651"/>
  <c r="Y1651" s="1"/>
  <c r="Z1724"/>
  <c r="Y1724" s="1"/>
  <c r="V1659"/>
  <c r="Y1742"/>
  <c r="V1720"/>
  <c r="Z1730"/>
  <c r="U1709"/>
  <c r="Z1749"/>
  <c r="W1709"/>
  <c r="AA1750"/>
  <c r="U1737"/>
  <c r="W1715"/>
  <c r="AA1729"/>
  <c r="Z1729" s="1"/>
  <c r="Y1729" s="1"/>
  <c r="V1651"/>
  <c r="U1732"/>
  <c r="Z1707"/>
  <c r="V1724"/>
  <c r="U1707"/>
  <c r="U1741"/>
  <c r="W1726"/>
  <c r="Z1746"/>
  <c r="AA1728"/>
  <c r="Y1728"/>
  <c r="W1710"/>
  <c r="U1749"/>
  <c r="V1730"/>
  <c r="U1730"/>
  <c r="V1710"/>
  <c r="W1705"/>
  <c r="U1705"/>
  <c r="Y1705"/>
  <c r="Y1706"/>
  <c r="Z1743"/>
  <c r="W1706"/>
  <c r="W1743"/>
  <c r="U1722"/>
  <c r="Y1722"/>
  <c r="V1727"/>
  <c r="Y1714"/>
  <c r="W1738"/>
  <c r="Z1748"/>
  <c r="Y1748" s="1"/>
  <c r="W1733"/>
  <c r="V1733" s="1"/>
  <c r="U1714"/>
  <c r="V1753"/>
  <c r="Z1711"/>
  <c r="Y1712"/>
  <c r="AA1712"/>
  <c r="U1712"/>
  <c r="AA1747"/>
  <c r="Z1747" s="1"/>
  <c r="U1747"/>
  <c r="U1745"/>
  <c r="W1752"/>
  <c r="Z1708"/>
  <c r="W1708"/>
  <c r="W1744"/>
  <c r="Y1744"/>
  <c r="V1716"/>
  <c r="Y1716"/>
  <c r="Y1734"/>
  <c r="Z1734"/>
  <c r="V1734"/>
  <c r="U1723"/>
  <c r="AA1716"/>
  <c r="AH1637"/>
  <c r="AN1638"/>
  <c r="X1649"/>
  <c r="AC1649"/>
  <c r="AE1650"/>
  <c r="AG1651"/>
  <c r="AI1652"/>
  <c r="AL1653"/>
  <c r="AB1655"/>
  <c r="AD1655"/>
  <c r="AJ1656"/>
  <c r="AN1657"/>
  <c r="AF1659"/>
  <c r="AH1660"/>
  <c r="AK1637"/>
  <c r="AM1638"/>
  <c r="AO1639"/>
  <c r="AB1650"/>
  <c r="AD1650"/>
  <c r="AJ1651"/>
  <c r="AM1652"/>
  <c r="AO1653"/>
  <c r="X1655"/>
  <c r="AC1655"/>
  <c r="AE1656"/>
  <c r="AH1657"/>
  <c r="AK1658"/>
  <c r="AM1659"/>
  <c r="AO1660"/>
  <c r="AB1638"/>
  <c r="AD1638"/>
  <c r="AJ1639"/>
  <c r="AM1649"/>
  <c r="AO1650"/>
  <c r="X1652"/>
  <c r="AC1652"/>
  <c r="AJ1653"/>
  <c r="AL1654"/>
  <c r="AB1656"/>
  <c r="AD1656"/>
  <c r="AG1657"/>
  <c r="AN1658"/>
  <c r="AF1660"/>
  <c r="AI1637"/>
  <c r="AK1638"/>
  <c r="AM1639"/>
  <c r="AF1650"/>
  <c r="AH1651"/>
  <c r="AO1652"/>
  <c r="X1654"/>
  <c r="AC1654"/>
  <c r="AE1655"/>
  <c r="AG1656"/>
  <c r="AO1657"/>
  <c r="X1659"/>
  <c r="AC1659"/>
  <c r="AE1660"/>
  <c r="AJ1661"/>
  <c r="AF1662"/>
  <c r="AH1663"/>
  <c r="AB1665"/>
  <c r="AD1665"/>
  <c r="AJ1666"/>
  <c r="AM1667"/>
  <c r="AO1668"/>
  <c r="X1670"/>
  <c r="AC1670"/>
  <c r="AJ1671"/>
  <c r="AM1672"/>
  <c r="AC1673"/>
  <c r="AE1674"/>
  <c r="AG1675"/>
  <c r="AI1676"/>
  <c r="AK1677"/>
  <c r="AM1678"/>
  <c r="AO1679"/>
  <c r="AE1680"/>
  <c r="AG1681"/>
  <c r="AK1682"/>
  <c r="AM1683"/>
  <c r="AO1684"/>
  <c r="AB1686"/>
  <c r="AD1686"/>
  <c r="AN1661"/>
  <c r="X1661"/>
  <c r="AC1661"/>
  <c r="AE1662"/>
  <c r="AG1663"/>
  <c r="AA1664"/>
  <c r="AM1664"/>
  <c r="AO1665"/>
  <c r="AB1667"/>
  <c r="AD1667"/>
  <c r="AB1669"/>
  <c r="AH1669"/>
  <c r="AD1672"/>
  <c r="AD1676"/>
  <c r="AL1678"/>
  <c r="AH1680"/>
  <c r="AD1666"/>
  <c r="AI1668"/>
  <c r="AN1670"/>
  <c r="W1673"/>
  <c r="AK1674"/>
  <c r="AO1676"/>
  <c r="AK1680"/>
  <c r="X1683"/>
  <c r="AI1663"/>
  <c r="AJ1667"/>
  <c r="AB1670"/>
  <c r="AJ1678"/>
  <c r="AF1680"/>
  <c r="AL1682"/>
  <c r="AE1705"/>
  <c r="AF1706"/>
  <c r="AH1708"/>
  <c r="AB1711"/>
  <c r="AE1706"/>
  <c r="AK1708"/>
  <c r="X1711"/>
  <c r="AF1708"/>
  <c r="AH1710"/>
  <c r="AC1706"/>
  <c r="AI1708"/>
  <c r="W49"/>
  <c r="AA49"/>
  <c r="Z49" s="1"/>
  <c r="Y92"/>
  <c r="Y1627" s="1"/>
  <c r="AA81"/>
  <c r="U9"/>
  <c r="U1583" s="1"/>
  <c r="D34" i="10" s="1"/>
  <c r="V12" i="1"/>
  <c r="Z12"/>
  <c r="AC1598"/>
  <c r="AF1598"/>
  <c r="AM1619"/>
  <c r="AG1619"/>
  <c r="AI1811"/>
  <c r="AH1811"/>
  <c r="AG1811"/>
  <c r="AA96"/>
  <c r="AA1637" s="1"/>
  <c r="Z82"/>
  <c r="P733" i="64"/>
  <c r="P657"/>
  <c r="P259"/>
  <c r="P545"/>
  <c r="V104" i="1"/>
  <c r="V1671" s="1"/>
  <c r="V1585"/>
  <c r="AB1697"/>
  <c r="AB1699" s="1"/>
  <c r="X1699" s="1"/>
  <c r="AD1697"/>
  <c r="AG1697"/>
  <c r="AJ1697"/>
  <c r="AD1765"/>
  <c r="AN1765"/>
  <c r="AK1765"/>
  <c r="Y107"/>
  <c r="Y1653" s="1"/>
  <c r="V16"/>
  <c r="V1584" s="1"/>
  <c r="Z1667"/>
  <c r="AA1667"/>
  <c r="U1675"/>
  <c r="AA1686"/>
  <c r="U1667"/>
  <c r="V1667"/>
  <c r="Y1658"/>
  <c r="Z1649"/>
  <c r="Y1649"/>
  <c r="U1658"/>
  <c r="W1668"/>
  <c r="Y1652"/>
  <c r="AA1652"/>
  <c r="Y1665"/>
  <c r="W1665"/>
  <c r="V1665" s="1"/>
  <c r="Z1655"/>
  <c r="Z1831"/>
  <c r="Z1670"/>
  <c r="Z1847"/>
  <c r="W1847"/>
  <c r="Z1656"/>
  <c r="W1831"/>
  <c r="AA1670"/>
  <c r="AA1847"/>
  <c r="W1674"/>
  <c r="U1674"/>
  <c r="Z1657"/>
  <c r="Y1657" s="1"/>
  <c r="W1657"/>
  <c r="U1661"/>
  <c r="Z1842"/>
  <c r="Z1654"/>
  <c r="W1663"/>
  <c r="U1844"/>
  <c r="Y1839"/>
  <c r="W1842"/>
  <c r="AA1661"/>
  <c r="V1663"/>
  <c r="U1825"/>
  <c r="V1676"/>
  <c r="W1681"/>
  <c r="V1830"/>
  <c r="V1858"/>
  <c r="U1830"/>
  <c r="V1681"/>
  <c r="W1822"/>
  <c r="Y1662"/>
  <c r="W1823"/>
  <c r="Z1821"/>
  <c r="U1818"/>
  <c r="V1861"/>
  <c r="V1669"/>
  <c r="Z1669"/>
  <c r="Z1851"/>
  <c r="W1851"/>
  <c r="V1851" s="1"/>
  <c r="AA1683"/>
  <c r="Z1683" s="1"/>
  <c r="V1845"/>
  <c r="U1683"/>
  <c r="Y1832"/>
  <c r="AA1835"/>
  <c r="U1859"/>
  <c r="V1819"/>
  <c r="AA1819"/>
  <c r="Z1660"/>
  <c r="W1660"/>
  <c r="V1672"/>
  <c r="W1850"/>
  <c r="V1850" s="1"/>
  <c r="U1850" s="1"/>
  <c r="V1679"/>
  <c r="U1679" s="1"/>
  <c r="W1679"/>
  <c r="Z1709"/>
  <c r="Z1677"/>
  <c r="W1677"/>
  <c r="U1713"/>
  <c r="AA1724"/>
  <c r="V1725"/>
  <c r="U1677"/>
  <c r="V1677"/>
  <c r="Z1750"/>
  <c r="Y1750" s="1"/>
  <c r="AA1682"/>
  <c r="AA1754"/>
  <c r="Z1754" s="1"/>
  <c r="Y1720"/>
  <c r="Y1725"/>
  <c r="U1715"/>
  <c r="Z1725"/>
  <c r="AA1707"/>
  <c r="W1718"/>
  <c r="AA1746"/>
  <c r="U1742"/>
  <c r="U1728"/>
  <c r="V1732"/>
  <c r="W1746"/>
  <c r="AA1721"/>
  <c r="Z1721"/>
  <c r="Y1721"/>
  <c r="Y1732"/>
  <c r="U1717"/>
  <c r="V1717"/>
  <c r="V1721"/>
  <c r="U1721"/>
  <c r="W1721"/>
  <c r="Z1706"/>
  <c r="U1706"/>
  <c r="V1706"/>
  <c r="W1736"/>
  <c r="U1736"/>
  <c r="Z1722"/>
  <c r="V1722"/>
  <c r="U1748"/>
  <c r="V1738"/>
  <c r="AA1748"/>
  <c r="AA1751"/>
  <c r="V1714"/>
  <c r="Y1751"/>
  <c r="Z1751"/>
  <c r="Y1733"/>
  <c r="Z1738"/>
  <c r="U1733"/>
  <c r="AA1753"/>
  <c r="V1711"/>
  <c r="U1753"/>
  <c r="W1711"/>
  <c r="Y1711"/>
  <c r="V1712"/>
  <c r="W1747"/>
  <c r="V1747" s="1"/>
  <c r="AA1752"/>
  <c r="V1745"/>
  <c r="Z1752"/>
  <c r="V1752"/>
  <c r="U1744"/>
  <c r="Z1744"/>
  <c r="W1716"/>
  <c r="W1740"/>
  <c r="U1734"/>
  <c r="U1716"/>
  <c r="AB1736"/>
  <c r="Z1739"/>
  <c r="AA1739"/>
  <c r="W1739"/>
  <c r="AB1637"/>
  <c r="AD1637"/>
  <c r="AD1641" s="1"/>
  <c r="AJ1638"/>
  <c r="AL1639"/>
  <c r="AO1649"/>
  <c r="X1651"/>
  <c r="AC1651"/>
  <c r="AE1652"/>
  <c r="AH1653"/>
  <c r="AN1654"/>
  <c r="AF1656"/>
  <c r="AI1657"/>
  <c r="AL1658"/>
  <c r="AB1660"/>
  <c r="AD1660"/>
  <c r="AG1637"/>
  <c r="AI1638"/>
  <c r="AK1639"/>
  <c r="AN1649"/>
  <c r="AF1651"/>
  <c r="AH1652"/>
  <c r="AK1653"/>
  <c r="AM1654"/>
  <c r="AO1655"/>
  <c r="AB1657"/>
  <c r="AD1657"/>
  <c r="AG1658"/>
  <c r="AI1659"/>
  <c r="AK1660"/>
  <c r="AN1637"/>
  <c r="AF1639"/>
  <c r="AI1649"/>
  <c r="AK1650"/>
  <c r="AM1651"/>
  <c r="AF1653"/>
  <c r="AH1654"/>
  <c r="AN1655"/>
  <c r="X1657"/>
  <c r="AC1657"/>
  <c r="AJ1658"/>
  <c r="AL1659"/>
  <c r="AE1637"/>
  <c r="AE1641" s="1"/>
  <c r="AG1638"/>
  <c r="AI1639"/>
  <c r="AL1649"/>
  <c r="AB1651"/>
  <c r="AD1651"/>
  <c r="AJ1652"/>
  <c r="AM1653"/>
  <c r="AO1654"/>
  <c r="X1656"/>
  <c r="AC1656"/>
  <c r="AJ1657"/>
  <c r="AM1658"/>
  <c r="AO1659"/>
  <c r="AL1661"/>
  <c r="AB1663"/>
  <c r="AD1663"/>
  <c r="AB1664"/>
  <c r="AN1664"/>
  <c r="AF1666"/>
  <c r="AI1667"/>
  <c r="AK1668"/>
  <c r="AM1669"/>
  <c r="AF1671"/>
  <c r="AI1672"/>
  <c r="AO1673"/>
  <c r="X1675"/>
  <c r="AC1675"/>
  <c r="AE1676"/>
  <c r="AG1677"/>
  <c r="AI1678"/>
  <c r="AK1679"/>
  <c r="X1681"/>
  <c r="AC1681"/>
  <c r="AG1682"/>
  <c r="AI1683"/>
  <c r="AK1684"/>
  <c r="AN1685"/>
  <c r="AO1661"/>
  <c r="X1663"/>
  <c r="AC1663"/>
  <c r="W1664"/>
  <c r="AI1664"/>
  <c r="AK1665"/>
  <c r="AN1666"/>
  <c r="AJ1668"/>
  <c r="AD1669"/>
  <c r="AJ1673"/>
  <c r="AB1676"/>
  <c r="AF1682"/>
  <c r="AN1684"/>
  <c r="Z1664"/>
  <c r="AB1666"/>
  <c r="AC1672"/>
  <c r="AC1678"/>
  <c r="AE1684"/>
  <c r="AN1686"/>
  <c r="AO1664"/>
  <c r="AG1671"/>
  <c r="AD1673"/>
  <c r="AL1675"/>
  <c r="AD1684"/>
  <c r="AM1686"/>
  <c r="AJ1712"/>
  <c r="AE1712"/>
  <c r="AI1714"/>
  <c r="AH1714"/>
  <c r="U1643"/>
  <c r="U1637"/>
  <c r="U1589"/>
  <c r="Z43"/>
  <c r="V43"/>
  <c r="U1629"/>
  <c r="U1587"/>
  <c r="U1627"/>
  <c r="AO1632"/>
  <c r="AN1632" s="1"/>
  <c r="AM1632" s="1"/>
  <c r="AL1632" s="1"/>
  <c r="AK1632" s="1"/>
  <c r="AJ1632" s="1"/>
  <c r="AI1632" s="1"/>
  <c r="AH1632" s="1"/>
  <c r="AG1632" s="1"/>
  <c r="AF1632" s="1"/>
  <c r="AE1632" s="1"/>
  <c r="AD1632" s="1"/>
  <c r="AC1632" s="1"/>
  <c r="Z1627"/>
  <c r="Z1629"/>
  <c r="Z1587"/>
  <c r="Z1637"/>
  <c r="AA1653"/>
  <c r="W1627"/>
  <c r="W1584"/>
  <c r="W1800"/>
  <c r="AA1629"/>
  <c r="AA1592"/>
  <c r="W1690"/>
  <c r="V1589"/>
  <c r="V1643"/>
  <c r="V1637"/>
  <c r="AA1802"/>
  <c r="AA1811" s="1"/>
  <c r="W1592"/>
  <c r="Z1584"/>
  <c r="W1588"/>
  <c r="Y1643"/>
  <c r="Y1637"/>
  <c r="Y1589"/>
  <c r="Z60"/>
  <c r="V31"/>
  <c r="P858" i="64"/>
  <c r="P859" s="1"/>
  <c r="AA1585" i="1"/>
  <c r="Y1634"/>
  <c r="Y1632" s="1"/>
  <c r="AA1587"/>
  <c r="Z1638"/>
  <c r="P1260" i="64"/>
  <c r="P1262" s="1"/>
  <c r="W1801" i="1"/>
  <c r="V1627"/>
  <c r="V1629"/>
  <c r="V1587"/>
  <c r="W1587"/>
  <c r="W1585"/>
  <c r="F446" i="59"/>
  <c r="I426"/>
  <c r="H426"/>
  <c r="AB1789" i="1" l="1"/>
  <c r="AF1641"/>
  <c r="AE1863"/>
  <c r="AE1789"/>
  <c r="AI1863"/>
  <c r="AL1863"/>
  <c r="AH1863"/>
  <c r="Y1800"/>
  <c r="W1629"/>
  <c r="Y1587"/>
  <c r="Y1639"/>
  <c r="Y1641" s="1"/>
  <c r="Y1588"/>
  <c r="Y1690"/>
  <c r="AO1789"/>
  <c r="AA1634"/>
  <c r="AA1632" s="1"/>
  <c r="Z1632" s="1"/>
  <c r="Z1643"/>
  <c r="W1643"/>
  <c r="W1645" s="1"/>
  <c r="Z1690"/>
  <c r="Z1688" s="1"/>
  <c r="U1634"/>
  <c r="U1632" s="1"/>
  <c r="Y1629"/>
  <c r="AF1863"/>
  <c r="AG1756"/>
  <c r="AJ1641"/>
  <c r="AH1641"/>
  <c r="AA1643"/>
  <c r="AA1645" s="1"/>
  <c r="Y1592"/>
  <c r="AC1789"/>
  <c r="AF1789"/>
  <c r="X1789"/>
  <c r="AD1789"/>
  <c r="X1863"/>
  <c r="Z1800"/>
  <c r="Z1811" s="1"/>
  <c r="AJ1756"/>
  <c r="AB1756"/>
  <c r="AK1863"/>
  <c r="AJ1863" s="1"/>
  <c r="AI1789"/>
  <c r="AG1789"/>
  <c r="AH1789"/>
  <c r="AC1863"/>
  <c r="AD1756"/>
  <c r="AN1641"/>
  <c r="I51" i="28"/>
  <c r="G164"/>
  <c r="I164" s="1"/>
  <c r="Y1863" i="1"/>
  <c r="AB1641"/>
  <c r="U1863"/>
  <c r="AM1756"/>
  <c r="AM1641"/>
  <c r="AM1863"/>
  <c r="AN1688"/>
  <c r="AH1688"/>
  <c r="AO1688"/>
  <c r="AO1641"/>
  <c r="AG1863"/>
  <c r="AG1641"/>
  <c r="AH1756"/>
  <c r="AL1641"/>
  <c r="AM1789"/>
  <c r="AL1789"/>
  <c r="AD1863"/>
  <c r="AC1756"/>
  <c r="AI1756"/>
  <c r="AE1688"/>
  <c r="AI1688"/>
  <c r="AF1688"/>
  <c r="AM1688"/>
  <c r="AG1688"/>
  <c r="AE1756"/>
  <c r="AI1641"/>
  <c r="AC1688"/>
  <c r="AD1688"/>
  <c r="AF1756"/>
  <c r="AK1789"/>
  <c r="AL1688"/>
  <c r="AK1767"/>
  <c r="AJ1767" s="1"/>
  <c r="AI1767" s="1"/>
  <c r="AH1767" s="1"/>
  <c r="AG1767" s="1"/>
  <c r="AF1767" s="1"/>
  <c r="AE1767" s="1"/>
  <c r="AD1767" s="1"/>
  <c r="AC1767" s="1"/>
  <c r="AK1699"/>
  <c r="AJ1699" s="1"/>
  <c r="AI1699" s="1"/>
  <c r="AH1699" s="1"/>
  <c r="AG1699" s="1"/>
  <c r="AF1699" s="1"/>
  <c r="AE1699" s="1"/>
  <c r="AD1699" s="1"/>
  <c r="AC1699" s="1"/>
  <c r="AK1756"/>
  <c r="AK1641"/>
  <c r="AN1699"/>
  <c r="AM1699" s="1"/>
  <c r="AL1756"/>
  <c r="AK1688"/>
  <c r="AJ1688" s="1"/>
  <c r="X1688"/>
  <c r="V1634"/>
  <c r="V1632" s="1"/>
  <c r="V1588"/>
  <c r="X1767"/>
  <c r="W1688"/>
  <c r="V1756"/>
  <c r="V1863"/>
  <c r="U1756"/>
  <c r="W1756"/>
  <c r="X1756"/>
  <c r="W1863"/>
  <c r="X1641"/>
  <c r="W1589"/>
  <c r="W1598" s="1"/>
  <c r="Z1863"/>
  <c r="V1583"/>
  <c r="Z1592"/>
  <c r="AA1690"/>
  <c r="AA1688" s="1"/>
  <c r="Z1585"/>
  <c r="AA1589"/>
  <c r="AA1598" s="1"/>
  <c r="AB1688"/>
  <c r="Z1756"/>
  <c r="AA1756"/>
  <c r="AA1863"/>
  <c r="AB1863"/>
  <c r="Z1583"/>
  <c r="Y1756"/>
  <c r="U104"/>
  <c r="V1592"/>
  <c r="V1690"/>
  <c r="V1688" s="1"/>
  <c r="V1800"/>
  <c r="V1811" s="1"/>
  <c r="U1811" s="1"/>
  <c r="U1641"/>
  <c r="V1641"/>
  <c r="U43"/>
  <c r="Y43"/>
  <c r="J426" i="59"/>
  <c r="H422"/>
  <c r="B419"/>
  <c r="B418"/>
  <c r="Y1811" i="1" l="1"/>
  <c r="X1811" s="1"/>
  <c r="W1811" s="1"/>
  <c r="AA1641"/>
  <c r="Y1598"/>
  <c r="X1598" s="1"/>
  <c r="Y1688"/>
  <c r="Z1641"/>
  <c r="W1641"/>
  <c r="V1598"/>
  <c r="Z1598"/>
  <c r="U1671"/>
  <c r="U1592"/>
  <c r="U1598" s="1"/>
  <c r="U1690"/>
  <c r="U1688" l="1"/>
  <c r="F400" i="59"/>
  <c r="F365" l="1"/>
  <c r="J364"/>
  <c r="F364"/>
  <c r="F354"/>
  <c r="F353"/>
  <c r="J342"/>
  <c r="F342"/>
  <c r="J331" l="1"/>
  <c r="J332" s="1"/>
  <c r="F331"/>
  <c r="J320"/>
  <c r="F320"/>
  <c r="J319"/>
  <c r="F319"/>
  <c r="J313"/>
  <c r="F313"/>
  <c r="J298"/>
  <c r="F298"/>
  <c r="B298"/>
  <c r="F292"/>
  <c r="F287"/>
  <c r="J262"/>
  <c r="F262"/>
  <c r="J261"/>
  <c r="F261"/>
  <c r="J249"/>
  <c r="F249"/>
  <c r="J221"/>
  <c r="J218"/>
  <c r="I218"/>
  <c r="J217"/>
  <c r="H217" s="1"/>
  <c r="B217"/>
  <c r="J206"/>
  <c r="F206"/>
  <c r="J205"/>
  <c r="F205"/>
  <c r="J204"/>
  <c r="F204"/>
  <c r="H204" l="1"/>
  <c r="I204" s="1"/>
  <c r="H206"/>
  <c r="I206" s="1"/>
  <c r="J321"/>
  <c r="H319"/>
  <c r="I319" s="1"/>
  <c r="H320"/>
  <c r="I320" s="1"/>
  <c r="H331"/>
  <c r="H332" s="1"/>
  <c r="J264"/>
  <c r="I217"/>
  <c r="J300"/>
  <c r="H313"/>
  <c r="B198"/>
  <c r="F193"/>
  <c r="F188"/>
  <c r="I321" l="1"/>
  <c r="I331"/>
  <c r="I332" s="1"/>
  <c r="H321"/>
  <c r="I313"/>
  <c r="H183"/>
  <c r="B180"/>
  <c r="B179"/>
  <c r="I173"/>
  <c r="J334" l="1"/>
  <c r="I334"/>
  <c r="H334" s="1"/>
  <c r="J323"/>
  <c r="I323" s="1"/>
  <c r="H323" s="1"/>
  <c r="H146"/>
  <c r="H144"/>
  <c r="B136"/>
  <c r="F134"/>
  <c r="H172" l="1"/>
  <c r="I172"/>
  <c r="I175" s="1"/>
  <c r="H149"/>
  <c r="H151" s="1"/>
  <c r="J132"/>
  <c r="J131"/>
  <c r="F131"/>
  <c r="J130"/>
  <c r="F130"/>
  <c r="J129"/>
  <c r="F129"/>
  <c r="J128"/>
  <c r="F128"/>
  <c r="I125"/>
  <c r="H125"/>
  <c r="B125"/>
  <c r="J123"/>
  <c r="F123"/>
  <c r="J122"/>
  <c r="F122"/>
  <c r="H119"/>
  <c r="B115"/>
  <c r="B114"/>
  <c r="I111"/>
  <c r="H111"/>
  <c r="B111"/>
  <c r="J109"/>
  <c r="F109"/>
  <c r="J108"/>
  <c r="F108"/>
  <c r="J107"/>
  <c r="F107"/>
  <c r="J106"/>
  <c r="F106"/>
  <c r="J105"/>
  <c r="F105"/>
  <c r="J104"/>
  <c r="F104"/>
  <c r="J103"/>
  <c r="F103"/>
  <c r="J102"/>
  <c r="F102"/>
  <c r="B99"/>
  <c r="J97"/>
  <c r="F97"/>
  <c r="J96"/>
  <c r="F96"/>
  <c r="J95"/>
  <c r="F95"/>
  <c r="J94"/>
  <c r="F94"/>
  <c r="J93"/>
  <c r="F93"/>
  <c r="H90"/>
  <c r="B87"/>
  <c r="B86"/>
  <c r="J79"/>
  <c r="F79"/>
  <c r="J78"/>
  <c r="F78"/>
  <c r="J77"/>
  <c r="F77"/>
  <c r="J76"/>
  <c r="F76"/>
  <c r="J75"/>
  <c r="F75"/>
  <c r="J74"/>
  <c r="F74"/>
  <c r="J68"/>
  <c r="F68"/>
  <c r="J67"/>
  <c r="F67"/>
  <c r="J66"/>
  <c r="F66"/>
  <c r="J65"/>
  <c r="F65"/>
  <c r="J64"/>
  <c r="F64"/>
  <c r="J63"/>
  <c r="F63"/>
  <c r="J62"/>
  <c r="F62"/>
  <c r="J61"/>
  <c r="F61"/>
  <c r="J60"/>
  <c r="F60"/>
  <c r="J59"/>
  <c r="F59"/>
  <c r="J58"/>
  <c r="F58"/>
  <c r="J57"/>
  <c r="F57"/>
  <c r="J56"/>
  <c r="F56"/>
  <c r="J55"/>
  <c r="F55"/>
  <c r="J54"/>
  <c r="F54"/>
  <c r="J53"/>
  <c r="F53"/>
  <c r="J52"/>
  <c r="F52"/>
  <c r="J51"/>
  <c r="F51"/>
  <c r="B44"/>
  <c r="B43"/>
  <c r="H175" l="1"/>
  <c r="H57"/>
  <c r="I57" s="1"/>
  <c r="H61"/>
  <c r="I61" s="1"/>
  <c r="H54"/>
  <c r="I54" s="1"/>
  <c r="H58"/>
  <c r="I58" s="1"/>
  <c r="H66"/>
  <c r="I66" s="1"/>
  <c r="H51"/>
  <c r="I51" s="1"/>
  <c r="H55"/>
  <c r="I55" s="1"/>
  <c r="H63"/>
  <c r="I63" s="1"/>
  <c r="H67"/>
  <c r="I67" s="1"/>
  <c r="H76"/>
  <c r="I76" s="1"/>
  <c r="H52"/>
  <c r="I52" s="1"/>
  <c r="H60"/>
  <c r="I60" s="1"/>
  <c r="H64"/>
  <c r="I64" s="1"/>
  <c r="H68"/>
  <c r="I68" s="1"/>
  <c r="H77"/>
  <c r="I77" s="1"/>
  <c r="H97"/>
  <c r="I97" s="1"/>
  <c r="H122"/>
  <c r="I122" s="1"/>
  <c r="J99"/>
  <c r="H79"/>
  <c r="I79" s="1"/>
  <c r="H104"/>
  <c r="I104" s="1"/>
  <c r="H108"/>
  <c r="I108" s="1"/>
  <c r="H107"/>
  <c r="I107" s="1"/>
  <c r="J111"/>
  <c r="H78"/>
  <c r="I78" s="1"/>
  <c r="H94"/>
  <c r="I94" s="1"/>
  <c r="H123"/>
  <c r="J125"/>
  <c r="H128"/>
  <c r="I128" s="1"/>
  <c r="H93"/>
  <c r="I93" s="1"/>
  <c r="H109"/>
  <c r="I109" s="1"/>
  <c r="H53"/>
  <c r="I53" s="1"/>
  <c r="H56"/>
  <c r="I56" s="1"/>
  <c r="H59"/>
  <c r="I59" s="1"/>
  <c r="H62"/>
  <c r="I62" s="1"/>
  <c r="H65"/>
  <c r="I65" s="1"/>
  <c r="H74"/>
  <c r="H75"/>
  <c r="I75" s="1"/>
  <c r="J81"/>
  <c r="H95"/>
  <c r="H96"/>
  <c r="I96" s="1"/>
  <c r="H105"/>
  <c r="I105" s="1"/>
  <c r="H129"/>
  <c r="I129" s="1"/>
  <c r="H130"/>
  <c r="I130" s="1"/>
  <c r="H131"/>
  <c r="I131" s="1"/>
  <c r="J71"/>
  <c r="H177" l="1"/>
  <c r="I177"/>
  <c r="H124"/>
  <c r="I123"/>
  <c r="I124" s="1"/>
  <c r="J83"/>
  <c r="H99"/>
  <c r="I95"/>
  <c r="I99" s="1"/>
  <c r="H81"/>
  <c r="I71"/>
  <c r="H71"/>
  <c r="I74"/>
  <c r="I81" s="1"/>
  <c r="B36"/>
  <c r="J34"/>
  <c r="F34"/>
  <c r="J33"/>
  <c r="F33"/>
  <c r="J32"/>
  <c r="F32"/>
  <c r="B29"/>
  <c r="J27"/>
  <c r="F27"/>
  <c r="J26"/>
  <c r="F26"/>
  <c r="J25"/>
  <c r="F25"/>
  <c r="J19"/>
  <c r="F19"/>
  <c r="B16"/>
  <c r="J13"/>
  <c r="F13"/>
  <c r="J12"/>
  <c r="F12"/>
  <c r="J11"/>
  <c r="F11"/>
  <c r="B5"/>
  <c r="J153" i="29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29" s="1"/>
  <c r="J126"/>
  <c r="J114"/>
  <c r="J113"/>
  <c r="J112"/>
  <c r="J103"/>
  <c r="J102"/>
  <c r="J101"/>
  <c r="J100"/>
  <c r="J99"/>
  <c r="J96" s="1"/>
  <c r="J93"/>
  <c r="J92"/>
  <c r="J89" s="1"/>
  <c r="J86"/>
  <c r="J85"/>
  <c r="J84"/>
  <c r="J83"/>
  <c r="J82"/>
  <c r="J78"/>
  <c r="J75"/>
  <c r="J74"/>
  <c r="H64"/>
  <c r="H58"/>
  <c r="J47"/>
  <c r="J124" i="59" l="1"/>
  <c r="H83"/>
  <c r="H32"/>
  <c r="I32" s="1"/>
  <c r="J128" i="29"/>
  <c r="H65"/>
  <c r="H67" s="1"/>
  <c r="H25" i="59"/>
  <c r="I25" s="1"/>
  <c r="H13"/>
  <c r="I13" s="1"/>
  <c r="J77" i="29"/>
  <c r="J88"/>
  <c r="J95"/>
  <c r="H12" i="59"/>
  <c r="I12" s="1"/>
  <c r="H19"/>
  <c r="I19" s="1"/>
  <c r="I22" s="1"/>
  <c r="H22" s="1"/>
  <c r="J22"/>
  <c r="H26"/>
  <c r="I26" s="1"/>
  <c r="I83"/>
  <c r="H27"/>
  <c r="I27" s="1"/>
  <c r="H33"/>
  <c r="I33" s="1"/>
  <c r="H11"/>
  <c r="I11" s="1"/>
  <c r="H34"/>
  <c r="I34" s="1"/>
  <c r="J29"/>
  <c r="J36"/>
  <c r="J156" i="29"/>
  <c r="J155" s="1"/>
  <c r="B420" i="59"/>
  <c r="B181"/>
  <c r="B88"/>
  <c r="B116"/>
  <c r="B45"/>
  <c r="J42" i="29"/>
  <c r="I40"/>
  <c r="I39"/>
  <c r="I38"/>
  <c r="I37"/>
  <c r="I36"/>
  <c r="H36" i="59" l="1"/>
  <c r="H29"/>
  <c r="I36"/>
  <c r="I29"/>
  <c r="I35" i="29" l="1"/>
  <c r="I34"/>
  <c r="I33"/>
  <c r="J15" l="1"/>
  <c r="I15" s="1"/>
  <c r="J14" l="1"/>
  <c r="I14" l="1"/>
  <c r="J51"/>
  <c r="I51" s="1"/>
  <c r="D4"/>
  <c r="P1321" i="64" l="1"/>
  <c r="I173" i="28" l="1"/>
  <c r="I172" s="1"/>
  <c r="H153" l="1"/>
  <c r="G153" s="1"/>
  <c r="I153" s="1"/>
  <c r="H152"/>
  <c r="G152"/>
  <c r="H151"/>
  <c r="G151"/>
  <c r="H150"/>
  <c r="G150"/>
  <c r="G149"/>
  <c r="H148"/>
  <c r="G148"/>
  <c r="H147"/>
  <c r="G147"/>
  <c r="H146"/>
  <c r="G146"/>
  <c r="H143"/>
  <c r="G143"/>
  <c r="H142"/>
  <c r="G142"/>
  <c r="H141"/>
  <c r="G141"/>
  <c r="H140"/>
  <c r="G140"/>
  <c r="G139"/>
  <c r="G138"/>
  <c r="G137"/>
  <c r="H136"/>
  <c r="G136"/>
  <c r="H135"/>
  <c r="G135"/>
  <c r="H134"/>
  <c r="G134"/>
  <c r="H133"/>
  <c r="G133"/>
  <c r="H132"/>
  <c r="G132"/>
  <c r="H131"/>
  <c r="G131"/>
  <c r="H130"/>
  <c r="G130"/>
  <c r="H129"/>
  <c r="G129" s="1"/>
  <c r="I129" s="1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H119"/>
  <c r="G119"/>
  <c r="H118"/>
  <c r="G118"/>
  <c r="H117"/>
  <c r="G117"/>
  <c r="H116"/>
  <c r="G116"/>
  <c r="H115"/>
  <c r="G115"/>
  <c r="H112"/>
  <c r="G112"/>
  <c r="H111"/>
  <c r="G111"/>
  <c r="H110"/>
  <c r="G110"/>
  <c r="H109"/>
  <c r="G109"/>
  <c r="H108"/>
  <c r="G108"/>
  <c r="H107"/>
  <c r="G107"/>
  <c r="H106"/>
  <c r="G106"/>
  <c r="H105"/>
  <c r="G105"/>
  <c r="H104"/>
  <c r="G104"/>
  <c r="H103"/>
  <c r="G103" s="1"/>
  <c r="G102"/>
  <c r="H101"/>
  <c r="G101"/>
  <c r="H100"/>
  <c r="G100"/>
  <c r="H91"/>
  <c r="H92" s="1"/>
  <c r="G91"/>
  <c r="G85"/>
  <c r="H84"/>
  <c r="G84"/>
  <c r="H83"/>
  <c r="G83"/>
  <c r="H82"/>
  <c r="G82" s="1"/>
  <c r="I82" s="1"/>
  <c r="H81"/>
  <c r="G81" s="1"/>
  <c r="I81" s="1"/>
  <c r="H80"/>
  <c r="G80"/>
  <c r="H79"/>
  <c r="G79"/>
  <c r="G78"/>
  <c r="H77"/>
  <c r="G77"/>
  <c r="H75"/>
  <c r="G75"/>
  <c r="G74"/>
  <c r="G73"/>
  <c r="H72"/>
  <c r="G72"/>
  <c r="H71"/>
  <c r="G71"/>
  <c r="H70"/>
  <c r="G70"/>
  <c r="G69"/>
  <c r="H68"/>
  <c r="G68"/>
  <c r="H67"/>
  <c r="G67"/>
  <c r="H66"/>
  <c r="G66"/>
  <c r="H65"/>
  <c r="G65"/>
  <c r="H64"/>
  <c r="G64" s="1"/>
  <c r="H63"/>
  <c r="G63"/>
  <c r="H61"/>
  <c r="G61"/>
  <c r="H60"/>
  <c r="G60" s="1"/>
  <c r="I60" s="1"/>
  <c r="H59"/>
  <c r="G59"/>
  <c r="H58"/>
  <c r="G58"/>
  <c r="H57"/>
  <c r="G57"/>
  <c r="H56"/>
  <c r="G56"/>
  <c r="H55"/>
  <c r="G55"/>
  <c r="H54"/>
  <c r="G54"/>
  <c r="H53"/>
  <c r="H163" s="1"/>
  <c r="G53"/>
  <c r="G163" s="1"/>
  <c r="G52"/>
  <c r="H50"/>
  <c r="G50"/>
  <c r="H49"/>
  <c r="G49"/>
  <c r="H48"/>
  <c r="G48"/>
  <c r="H47"/>
  <c r="G47"/>
  <c r="H45"/>
  <c r="G45"/>
  <c r="G162" s="1"/>
  <c r="H43"/>
  <c r="G43"/>
  <c r="I151" l="1"/>
  <c r="I152"/>
  <c r="I131"/>
  <c r="I132"/>
  <c r="I133"/>
  <c r="I135"/>
  <c r="I136"/>
  <c r="I58"/>
  <c r="I59"/>
  <c r="I105"/>
  <c r="I106"/>
  <c r="I107"/>
  <c r="I109"/>
  <c r="I110"/>
  <c r="I111"/>
  <c r="I115"/>
  <c r="I116"/>
  <c r="I117"/>
  <c r="I119"/>
  <c r="I120"/>
  <c r="I121"/>
  <c r="I123"/>
  <c r="I124"/>
  <c r="I125"/>
  <c r="I127"/>
  <c r="I128"/>
  <c r="I83"/>
  <c r="I91"/>
  <c r="I80"/>
  <c r="I65"/>
  <c r="I67"/>
  <c r="I68"/>
  <c r="I84"/>
  <c r="I100"/>
  <c r="I101"/>
  <c r="I63"/>
  <c r="I146"/>
  <c r="I49"/>
  <c r="I50"/>
  <c r="I57"/>
  <c r="I79"/>
  <c r="I43"/>
  <c r="I163"/>
  <c r="I54"/>
  <c r="I56"/>
  <c r="I70"/>
  <c r="I75"/>
  <c r="I130"/>
  <c r="I134"/>
  <c r="I140"/>
  <c r="I141"/>
  <c r="I142"/>
  <c r="I143"/>
  <c r="I147"/>
  <c r="I148"/>
  <c r="I71"/>
  <c r="I72"/>
  <c r="I77"/>
  <c r="I104"/>
  <c r="I108"/>
  <c r="I112"/>
  <c r="I118"/>
  <c r="I122"/>
  <c r="I126"/>
  <c r="I150"/>
  <c r="I47"/>
  <c r="I48"/>
  <c r="I55"/>
  <c r="I66"/>
  <c r="I64"/>
  <c r="G92"/>
  <c r="I92" s="1"/>
  <c r="I53"/>
  <c r="I61"/>
  <c r="I103"/>
  <c r="I45"/>
  <c r="I188"/>
  <c r="P1318" i="64" l="1"/>
  <c r="H34" i="28"/>
  <c r="G34"/>
  <c r="I34" l="1"/>
  <c r="F19"/>
  <c r="F18"/>
  <c r="I16"/>
  <c r="H13" l="1"/>
  <c r="G13"/>
  <c r="H12"/>
  <c r="G12"/>
  <c r="H11"/>
  <c r="G11"/>
  <c r="F10"/>
  <c r="I180"/>
  <c r="I179"/>
  <c r="I178"/>
  <c r="I177"/>
  <c r="I176"/>
  <c r="I175"/>
  <c r="I174"/>
  <c r="B199" i="59"/>
  <c r="I13" i="28" l="1"/>
  <c r="I11"/>
  <c r="I12"/>
  <c r="J9" i="29" l="1"/>
  <c r="J16" i="59"/>
  <c r="I16"/>
  <c r="H16"/>
  <c r="G44" i="28" l="1"/>
  <c r="H44"/>
  <c r="H52"/>
  <c r="I52" s="1"/>
  <c r="G62"/>
  <c r="H62"/>
  <c r="H69"/>
  <c r="I69" s="1"/>
  <c r="H73"/>
  <c r="I73" s="1"/>
  <c r="H74"/>
  <c r="I74" s="1"/>
  <c r="H78"/>
  <c r="I78" s="1"/>
  <c r="H85"/>
  <c r="I85" s="1"/>
  <c r="H249" i="59"/>
  <c r="J219"/>
  <c r="H219" s="1"/>
  <c r="H218" s="1"/>
  <c r="J106" i="29"/>
  <c r="J108" s="1"/>
  <c r="J10" s="1"/>
  <c r="J117"/>
  <c r="J116" s="1"/>
  <c r="J119"/>
  <c r="J121"/>
  <c r="G15" i="28"/>
  <c r="H15"/>
  <c r="F132" i="59"/>
  <c r="H205"/>
  <c r="I205" s="1"/>
  <c r="H162" i="28"/>
  <c r="I162" s="1"/>
  <c r="I187" s="1"/>
  <c r="P1317" i="64" s="1"/>
  <c r="H261" i="59"/>
  <c r="I261" s="1"/>
  <c r="H262"/>
  <c r="I262" s="1"/>
  <c r="H298"/>
  <c r="I298" s="1"/>
  <c r="I300" s="1"/>
  <c r="H342"/>
  <c r="G35" i="28"/>
  <c r="G17"/>
  <c r="G157"/>
  <c r="G159" s="1"/>
  <c r="G20"/>
  <c r="H35"/>
  <c r="H17"/>
  <c r="H157"/>
  <c r="H159" s="1"/>
  <c r="H20"/>
  <c r="H102"/>
  <c r="I102" s="1"/>
  <c r="H139"/>
  <c r="I139" s="1"/>
  <c r="H138"/>
  <c r="I138" s="1"/>
  <c r="H137"/>
  <c r="I137" s="1"/>
  <c r="H149"/>
  <c r="I149" s="1"/>
  <c r="H103" i="59"/>
  <c r="I103" s="1"/>
  <c r="H106"/>
  <c r="I106" s="1"/>
  <c r="H102"/>
  <c r="I102" s="1"/>
  <c r="B218"/>
  <c r="B219"/>
  <c r="I437"/>
  <c r="J437" s="1"/>
  <c r="F17" i="57"/>
  <c r="F20" s="1"/>
  <c r="E34" i="10"/>
  <c r="E35"/>
  <c r="E46"/>
  <c r="D46"/>
  <c r="D35"/>
  <c r="AP42" i="1"/>
  <c r="AQ42" s="1"/>
  <c r="AP62"/>
  <c r="AQ62" s="1"/>
  <c r="AP47"/>
  <c r="AQ47" s="1"/>
  <c r="AP91"/>
  <c r="AQ91" s="1"/>
  <c r="AP39"/>
  <c r="AQ39" s="1"/>
  <c r="AP13"/>
  <c r="AQ13" s="1"/>
  <c r="AP108"/>
  <c r="AQ108" s="1"/>
  <c r="AP89"/>
  <c r="AQ89" s="1"/>
  <c r="AP80"/>
  <c r="AQ80" s="1"/>
  <c r="AP68"/>
  <c r="AQ68" s="1"/>
  <c r="AP53"/>
  <c r="AQ53" s="1"/>
  <c r="AP46"/>
  <c r="AQ46" s="1"/>
  <c r="AP33"/>
  <c r="AQ33" s="1"/>
  <c r="AP84"/>
  <c r="AQ84" s="1"/>
  <c r="AP56"/>
  <c r="AQ56" s="1"/>
  <c r="AP103"/>
  <c r="AQ103" s="1"/>
  <c r="AP77"/>
  <c r="AQ77" s="1"/>
  <c r="AP75"/>
  <c r="AQ75" s="1"/>
  <c r="AP55"/>
  <c r="AQ55" s="1"/>
  <c r="AP87"/>
  <c r="AQ87" s="1"/>
  <c r="AP66"/>
  <c r="AQ66" s="1"/>
  <c r="AP59"/>
  <c r="AQ59" s="1"/>
  <c r="AP41"/>
  <c r="AQ41" s="1"/>
  <c r="AP94"/>
  <c r="AQ94" s="1"/>
  <c r="AP29"/>
  <c r="AQ29" s="1"/>
  <c r="AP100"/>
  <c r="AQ100" s="1"/>
  <c r="AP92"/>
  <c r="AQ92" s="1"/>
  <c r="AP73"/>
  <c r="AQ73" s="1"/>
  <c r="AP98"/>
  <c r="AQ98" s="1"/>
  <c r="AP76"/>
  <c r="AQ76" s="1"/>
  <c r="AP106"/>
  <c r="AQ106" s="1"/>
  <c r="AP81"/>
  <c r="AQ81" s="1"/>
  <c r="AP57"/>
  <c r="AQ57" s="1"/>
  <c r="AP24"/>
  <c r="AQ24" s="1"/>
  <c r="AP10"/>
  <c r="AQ10" s="1"/>
  <c r="AP60"/>
  <c r="AQ60" s="1"/>
  <c r="AP70"/>
  <c r="AQ70" s="1"/>
  <c r="AP58"/>
  <c r="AQ58" s="1"/>
  <c r="AP48"/>
  <c r="AQ48" s="1"/>
  <c r="AP44"/>
  <c r="AQ44" s="1"/>
  <c r="AP35"/>
  <c r="AQ35" s="1"/>
  <c r="AP21"/>
  <c r="AQ21" s="1"/>
  <c r="AP85"/>
  <c r="AQ85" s="1"/>
  <c r="AP72"/>
  <c r="AQ72" s="1"/>
  <c r="AP36"/>
  <c r="AQ36" s="1"/>
  <c r="AP95"/>
  <c r="AQ95" s="1"/>
  <c r="AP90"/>
  <c r="AQ90" s="1"/>
  <c r="AP67"/>
  <c r="AQ67" s="1"/>
  <c r="AP50"/>
  <c r="AQ50" s="1"/>
  <c r="AP71"/>
  <c r="AQ71" s="1"/>
  <c r="AP61"/>
  <c r="AQ61" s="1"/>
  <c r="AP17"/>
  <c r="AQ17" s="1"/>
  <c r="AP11"/>
  <c r="AQ11" s="1"/>
  <c r="AP82"/>
  <c r="AQ82" s="1"/>
  <c r="AP99"/>
  <c r="AQ99" s="1"/>
  <c r="AP63"/>
  <c r="AQ63" s="1"/>
  <c r="AP32"/>
  <c r="AQ32" s="1"/>
  <c r="AP28"/>
  <c r="AQ28" s="1"/>
  <c r="AP37"/>
  <c r="AQ37" s="1"/>
  <c r="AP133"/>
  <c r="AQ133" s="1"/>
  <c r="AP137"/>
  <c r="AQ137" s="1"/>
  <c r="AP134"/>
  <c r="AQ134" s="1"/>
  <c r="AP43"/>
  <c r="AQ43" s="1"/>
  <c r="AP109"/>
  <c r="AQ109" s="1"/>
  <c r="AP131"/>
  <c r="AQ131" s="1"/>
  <c r="AP140"/>
  <c r="AQ140" s="1"/>
  <c r="AP135"/>
  <c r="AQ135" s="1"/>
  <c r="AP132"/>
  <c r="AQ132" s="1"/>
  <c r="AP130"/>
  <c r="AQ130" s="1"/>
  <c r="AP117"/>
  <c r="AQ117" s="1"/>
  <c r="AP141"/>
  <c r="AQ141" s="1"/>
  <c r="AP116"/>
  <c r="AQ116" s="1"/>
  <c r="AP124"/>
  <c r="AQ124" s="1"/>
  <c r="AP151"/>
  <c r="AQ151" s="1"/>
  <c r="AP158"/>
  <c r="AQ158" s="1"/>
  <c r="AP171"/>
  <c r="AQ171" s="1"/>
  <c r="AP153"/>
  <c r="AQ153" s="1"/>
  <c r="AP161"/>
  <c r="AQ161" s="1"/>
  <c r="AP119"/>
  <c r="AQ119" s="1"/>
  <c r="AP142"/>
  <c r="AQ142" s="1"/>
  <c r="AP129"/>
  <c r="AQ129" s="1"/>
  <c r="AP114"/>
  <c r="AQ114" s="1"/>
  <c r="AP136"/>
  <c r="AQ136" s="1"/>
  <c r="AP126"/>
  <c r="AQ126" s="1"/>
  <c r="AP156"/>
  <c r="AQ156" s="1"/>
  <c r="AP121"/>
  <c r="AQ121" s="1"/>
  <c r="AP115"/>
  <c r="AQ115" s="1"/>
  <c r="AP113"/>
  <c r="AQ113" s="1"/>
  <c r="AP127"/>
  <c r="AQ127" s="1"/>
  <c r="AP110"/>
  <c r="AQ110" s="1"/>
  <c r="AP139"/>
  <c r="AQ139" s="1"/>
  <c r="AP125"/>
  <c r="AQ125" s="1"/>
  <c r="AP120"/>
  <c r="AQ120" s="1"/>
  <c r="AP112"/>
  <c r="AQ112" s="1"/>
  <c r="AP128"/>
  <c r="AQ128" s="1"/>
  <c r="AP138"/>
  <c r="AQ138" s="1"/>
  <c r="AP143"/>
  <c r="AQ143" s="1"/>
  <c r="AP118"/>
  <c r="AQ118" s="1"/>
  <c r="AP111"/>
  <c r="AQ111" s="1"/>
  <c r="AP155"/>
  <c r="AQ155" s="1"/>
  <c r="AP168"/>
  <c r="AQ168" s="1"/>
  <c r="AP174"/>
  <c r="AQ174" s="1"/>
  <c r="AP160"/>
  <c r="AQ160" s="1"/>
  <c r="AP162"/>
  <c r="AQ162" s="1"/>
  <c r="AP122"/>
  <c r="AQ122" s="1"/>
  <c r="AP173"/>
  <c r="AQ173" s="1"/>
  <c r="AP146"/>
  <c r="AQ146" s="1"/>
  <c r="AP165"/>
  <c r="AQ165" s="1"/>
  <c r="AP166"/>
  <c r="AQ166" s="1"/>
  <c r="AP163"/>
  <c r="AQ163" s="1"/>
  <c r="AP150"/>
  <c r="AQ150" s="1"/>
  <c r="AP148"/>
  <c r="AQ148" s="1"/>
  <c r="AP147"/>
  <c r="AQ147" s="1"/>
  <c r="AP170"/>
  <c r="AQ170" s="1"/>
  <c r="AP157"/>
  <c r="AQ157" s="1"/>
  <c r="AP164"/>
  <c r="AQ164" s="1"/>
  <c r="AP159"/>
  <c r="AQ159" s="1"/>
  <c r="AP149"/>
  <c r="AQ149" s="1"/>
  <c r="AP172"/>
  <c r="AQ172" s="1"/>
  <c r="AP154"/>
  <c r="AQ154" s="1"/>
  <c r="AP169"/>
  <c r="AQ169" s="1"/>
  <c r="AP144"/>
  <c r="AQ144" s="1"/>
  <c r="AP167"/>
  <c r="AQ167" s="1"/>
  <c r="AP152"/>
  <c r="AQ152" s="1"/>
  <c r="AP145"/>
  <c r="AQ145" s="1"/>
  <c r="AP192"/>
  <c r="AQ192" s="1"/>
  <c r="AP215"/>
  <c r="AQ215" s="1"/>
  <c r="AP200"/>
  <c r="AQ200" s="1"/>
  <c r="AP273"/>
  <c r="AQ273" s="1"/>
  <c r="AP211"/>
  <c r="AQ211" s="1"/>
  <c r="AP233"/>
  <c r="AQ233" s="1"/>
  <c r="AP181"/>
  <c r="AQ181" s="1"/>
  <c r="AP266"/>
  <c r="AQ266" s="1"/>
  <c r="AP254"/>
  <c r="AQ254" s="1"/>
  <c r="AP185"/>
  <c r="AQ185" s="1"/>
  <c r="AP190"/>
  <c r="AQ190" s="1"/>
  <c r="AP288"/>
  <c r="AQ288" s="1"/>
  <c r="AP290"/>
  <c r="AQ290" s="1"/>
  <c r="AP183"/>
  <c r="AQ183" s="1"/>
  <c r="AP237"/>
  <c r="AQ237" s="1"/>
  <c r="AP270"/>
  <c r="AQ270" s="1"/>
  <c r="AP221"/>
  <c r="AQ221" s="1"/>
  <c r="AP217"/>
  <c r="AQ217" s="1"/>
  <c r="AP176"/>
  <c r="AQ176" s="1"/>
  <c r="AP234"/>
  <c r="AQ234" s="1"/>
  <c r="AP298"/>
  <c r="AQ298" s="1"/>
  <c r="AP248"/>
  <c r="AQ248" s="1"/>
  <c r="AP292"/>
  <c r="AQ292" s="1"/>
  <c r="AP279"/>
  <c r="AQ279" s="1"/>
  <c r="AP247"/>
  <c r="AQ247" s="1"/>
  <c r="AP197"/>
  <c r="AQ197" s="1"/>
  <c r="AP231"/>
  <c r="AQ231" s="1"/>
  <c r="AP295"/>
  <c r="AQ295" s="1"/>
  <c r="AP258"/>
  <c r="AQ258" s="1"/>
  <c r="AP204"/>
  <c r="AQ204" s="1"/>
  <c r="AP242"/>
  <c r="AQ242" s="1"/>
  <c r="AP269"/>
  <c r="AQ269" s="1"/>
  <c r="AP189"/>
  <c r="AQ189" s="1"/>
  <c r="AP289"/>
  <c r="AQ289" s="1"/>
  <c r="AP246"/>
  <c r="AQ246" s="1"/>
  <c r="AP207"/>
  <c r="AQ207" s="1"/>
  <c r="AP263"/>
  <c r="AQ263" s="1"/>
  <c r="AP282"/>
  <c r="AQ282" s="1"/>
  <c r="AP199"/>
  <c r="AQ199" s="1"/>
  <c r="AP187"/>
  <c r="AQ187" s="1"/>
  <c r="AP293"/>
  <c r="AQ293" s="1"/>
  <c r="AP177"/>
  <c r="AQ177" s="1"/>
  <c r="AP235"/>
  <c r="AQ235" s="1"/>
  <c r="AP175"/>
  <c r="AQ175" s="1"/>
  <c r="AP206"/>
  <c r="AQ206" s="1"/>
  <c r="AP300"/>
  <c r="AQ300" s="1"/>
  <c r="AP245"/>
  <c r="AQ245" s="1"/>
  <c r="AP230"/>
  <c r="AQ230" s="1"/>
  <c r="AP256"/>
  <c r="AQ256" s="1"/>
  <c r="AP284"/>
  <c r="AQ284" s="1"/>
  <c r="AP291"/>
  <c r="AQ291" s="1"/>
  <c r="AP222"/>
  <c r="AQ222" s="1"/>
  <c r="AP294"/>
  <c r="AQ294" s="1"/>
  <c r="AP318"/>
  <c r="AQ318" s="1"/>
  <c r="AP272"/>
  <c r="AQ272" s="1"/>
  <c r="AP311"/>
  <c r="AQ311" s="1"/>
  <c r="AP276"/>
  <c r="AQ276" s="1"/>
  <c r="AP271"/>
  <c r="AQ271" s="1"/>
  <c r="AP259"/>
  <c r="AQ259" s="1"/>
  <c r="AP225"/>
  <c r="AQ225" s="1"/>
  <c r="AP182"/>
  <c r="AQ182" s="1"/>
  <c r="AP286"/>
  <c r="AQ286" s="1"/>
  <c r="AP218"/>
  <c r="AQ218" s="1"/>
  <c r="AP203"/>
  <c r="AQ203" s="1"/>
  <c r="AP196"/>
  <c r="AQ196" s="1"/>
  <c r="AP287"/>
  <c r="AQ287" s="1"/>
  <c r="AP274"/>
  <c r="AQ274" s="1"/>
  <c r="AP321"/>
  <c r="AQ321" s="1"/>
  <c r="AP314"/>
  <c r="AQ314" s="1"/>
  <c r="AP285"/>
  <c r="AQ285" s="1"/>
  <c r="AP261"/>
  <c r="AQ261" s="1"/>
  <c r="AP260"/>
  <c r="AQ260" s="1"/>
  <c r="AP241"/>
  <c r="AQ241" s="1"/>
  <c r="AP249"/>
  <c r="AQ249" s="1"/>
  <c r="AP240"/>
  <c r="AQ240" s="1"/>
  <c r="AP193"/>
  <c r="AQ193" s="1"/>
  <c r="AP212"/>
  <c r="AQ212" s="1"/>
  <c r="AP255"/>
  <c r="AQ255" s="1"/>
  <c r="AP243"/>
  <c r="AQ243" s="1"/>
  <c r="AP195"/>
  <c r="AQ195" s="1"/>
  <c r="AP252"/>
  <c r="AQ252" s="1"/>
  <c r="AP229"/>
  <c r="AQ229" s="1"/>
  <c r="AP214"/>
  <c r="AQ214" s="1"/>
  <c r="AP178"/>
  <c r="AQ178" s="1"/>
  <c r="AP297"/>
  <c r="AQ297" s="1"/>
  <c r="AP267"/>
  <c r="AQ267" s="1"/>
  <c r="AP239"/>
  <c r="AQ239" s="1"/>
  <c r="AP180"/>
  <c r="AQ180" s="1"/>
  <c r="AP296"/>
  <c r="AQ296" s="1"/>
  <c r="AP277"/>
  <c r="AQ277" s="1"/>
  <c r="AP262"/>
  <c r="AQ262" s="1"/>
  <c r="AP250"/>
  <c r="AQ250" s="1"/>
  <c r="AP236"/>
  <c r="AQ236" s="1"/>
  <c r="AP216"/>
  <c r="AQ216" s="1"/>
  <c r="AP194"/>
  <c r="AQ194" s="1"/>
  <c r="AP280"/>
  <c r="AQ280" s="1"/>
  <c r="AP257"/>
  <c r="AQ257" s="1"/>
  <c r="AP202"/>
  <c r="AQ202" s="1"/>
  <c r="AP253"/>
  <c r="AQ253" s="1"/>
  <c r="AP186"/>
  <c r="AQ186" s="1"/>
  <c r="AP198"/>
  <c r="AQ198" s="1"/>
  <c r="AP210"/>
  <c r="AQ210" s="1"/>
  <c r="AP299"/>
  <c r="AQ299" s="1"/>
  <c r="AP264"/>
  <c r="AQ264" s="1"/>
  <c r="AP301"/>
  <c r="AQ301" s="1"/>
  <c r="AP275"/>
  <c r="AQ275" s="1"/>
  <c r="AP224"/>
  <c r="AQ224" s="1"/>
  <c r="AP208"/>
  <c r="AQ208" s="1"/>
  <c r="AP219"/>
  <c r="AQ219" s="1"/>
  <c r="AP191"/>
  <c r="AQ191" s="1"/>
  <c r="AP268"/>
  <c r="AQ268" s="1"/>
  <c r="AP232"/>
  <c r="AQ232" s="1"/>
  <c r="AP209"/>
  <c r="AQ209" s="1"/>
  <c r="AP223"/>
  <c r="AQ223" s="1"/>
  <c r="AP213"/>
  <c r="AQ213" s="1"/>
  <c r="AP201"/>
  <c r="AQ201" s="1"/>
  <c r="AP188"/>
  <c r="AQ188" s="1"/>
  <c r="AP179"/>
  <c r="AQ179" s="1"/>
  <c r="AP265"/>
  <c r="AQ265" s="1"/>
  <c r="AP316"/>
  <c r="AQ316" s="1"/>
  <c r="AP281"/>
  <c r="AQ281" s="1"/>
  <c r="AP278"/>
  <c r="AQ278" s="1"/>
  <c r="AP251"/>
  <c r="AQ251" s="1"/>
  <c r="AP238"/>
  <c r="AQ238" s="1"/>
  <c r="AP205"/>
  <c r="AQ205" s="1"/>
  <c r="AP184"/>
  <c r="AQ184" s="1"/>
  <c r="AP220"/>
  <c r="AQ220" s="1"/>
  <c r="AP326"/>
  <c r="AQ326" s="1"/>
  <c r="AP330"/>
  <c r="AQ330" s="1"/>
  <c r="AP308"/>
  <c r="AQ308" s="1"/>
  <c r="AP307"/>
  <c r="AQ307" s="1"/>
  <c r="AP303"/>
  <c r="AQ303" s="1"/>
  <c r="AP244"/>
  <c r="AQ244" s="1"/>
  <c r="AP322"/>
  <c r="AQ322" s="1"/>
  <c r="AP305"/>
  <c r="AQ305" s="1"/>
  <c r="AP319"/>
  <c r="AQ319" s="1"/>
  <c r="AP309"/>
  <c r="AQ309" s="1"/>
  <c r="AP283"/>
  <c r="AQ283" s="1"/>
  <c r="AP328"/>
  <c r="AQ328" s="1"/>
  <c r="AP327"/>
  <c r="AQ327" s="1"/>
  <c r="AP304"/>
  <c r="AQ304" s="1"/>
  <c r="AP320"/>
  <c r="AQ320" s="1"/>
  <c r="AP317"/>
  <c r="AQ317" s="1"/>
  <c r="AP306"/>
  <c r="AQ306" s="1"/>
  <c r="AP310"/>
  <c r="AQ310" s="1"/>
  <c r="AP302"/>
  <c r="AQ302" s="1"/>
  <c r="AP323"/>
  <c r="AQ323" s="1"/>
  <c r="AP315"/>
  <c r="AQ315" s="1"/>
  <c r="AP331"/>
  <c r="AQ331" s="1"/>
  <c r="AP325"/>
  <c r="AQ325" s="1"/>
  <c r="AP329"/>
  <c r="AQ329" s="1"/>
  <c r="AP336"/>
  <c r="AQ336" s="1"/>
  <c r="AP324"/>
  <c r="AQ324" s="1"/>
  <c r="AP334"/>
  <c r="AQ334" s="1"/>
  <c r="AP335"/>
  <c r="AQ335" s="1"/>
  <c r="AP333"/>
  <c r="AQ333" s="1"/>
  <c r="AP338"/>
  <c r="AQ338" s="1"/>
  <c r="AP337"/>
  <c r="AQ337" s="1"/>
  <c r="AP332"/>
  <c r="AQ332" s="1"/>
  <c r="AP340"/>
  <c r="AQ340" s="1"/>
  <c r="AP343"/>
  <c r="AQ343" s="1"/>
  <c r="AP344"/>
  <c r="AQ344" s="1"/>
  <c r="AP342"/>
  <c r="AQ342" s="1"/>
  <c r="AP347"/>
  <c r="AQ347" s="1"/>
  <c r="AP345"/>
  <c r="AQ345" s="1"/>
  <c r="AP346"/>
  <c r="AQ346" s="1"/>
  <c r="AP354"/>
  <c r="AQ354" s="1"/>
  <c r="AP350"/>
  <c r="AQ350" s="1"/>
  <c r="AP348"/>
  <c r="AQ348" s="1"/>
  <c r="AP360"/>
  <c r="AQ360" s="1"/>
  <c r="AP365"/>
  <c r="AQ365" s="1"/>
  <c r="AP349"/>
  <c r="AQ349" s="1"/>
  <c r="AP359"/>
  <c r="AQ359" s="1"/>
  <c r="AP370"/>
  <c r="AQ370" s="1"/>
  <c r="AP361"/>
  <c r="AQ361" s="1"/>
  <c r="AP355"/>
  <c r="AQ355" s="1"/>
  <c r="AP351"/>
  <c r="AQ351" s="1"/>
  <c r="AP358"/>
  <c r="AQ358" s="1"/>
  <c r="AP352"/>
  <c r="AQ352" s="1"/>
  <c r="AP356"/>
  <c r="AQ356" s="1"/>
  <c r="AP357"/>
  <c r="AQ357" s="1"/>
  <c r="AP368"/>
  <c r="AQ368" s="1"/>
  <c r="AP366"/>
  <c r="AQ366" s="1"/>
  <c r="AP353"/>
  <c r="AQ353" s="1"/>
  <c r="AP367"/>
  <c r="AQ367" s="1"/>
  <c r="AP371"/>
  <c r="AQ371" s="1"/>
  <c r="AP369"/>
  <c r="AQ369" s="1"/>
  <c r="AP363"/>
  <c r="AQ363" s="1"/>
  <c r="AP364"/>
  <c r="AQ364" s="1"/>
  <c r="AP425"/>
  <c r="AQ425" s="1"/>
  <c r="AP375"/>
  <c r="AQ375" s="1"/>
  <c r="AP442"/>
  <c r="AQ442" s="1"/>
  <c r="AP379"/>
  <c r="AQ379" s="1"/>
  <c r="AP431"/>
  <c r="AQ431" s="1"/>
  <c r="AP390"/>
  <c r="AQ390" s="1"/>
  <c r="AP410"/>
  <c r="AQ410" s="1"/>
  <c r="AP412"/>
  <c r="AQ412" s="1"/>
  <c r="AP443"/>
  <c r="AQ443" s="1"/>
  <c r="AP408"/>
  <c r="AQ408" s="1"/>
  <c r="AP447"/>
  <c r="AQ447" s="1"/>
  <c r="AP362"/>
  <c r="AQ362" s="1"/>
  <c r="AP381"/>
  <c r="AQ381" s="1"/>
  <c r="AP378"/>
  <c r="AQ378" s="1"/>
  <c r="AP414"/>
  <c r="AQ414" s="1"/>
  <c r="AP397"/>
  <c r="AQ397" s="1"/>
  <c r="AP445"/>
  <c r="AQ445" s="1"/>
  <c r="AP407"/>
  <c r="AQ407" s="1"/>
  <c r="AP434"/>
  <c r="AQ434" s="1"/>
  <c r="AP385"/>
  <c r="AQ385" s="1"/>
  <c r="AP401"/>
  <c r="AQ401" s="1"/>
  <c r="AP382"/>
  <c r="AQ382" s="1"/>
  <c r="AP416"/>
  <c r="AQ416" s="1"/>
  <c r="AP386"/>
  <c r="AQ386" s="1"/>
  <c r="AP404"/>
  <c r="AQ404" s="1"/>
  <c r="AP402"/>
  <c r="AQ402" s="1"/>
  <c r="AP388"/>
  <c r="AQ388" s="1"/>
  <c r="AP400"/>
  <c r="AQ400" s="1"/>
  <c r="AP432"/>
  <c r="AQ432" s="1"/>
  <c r="AP392"/>
  <c r="AQ392" s="1"/>
  <c r="AP427"/>
  <c r="AQ427" s="1"/>
  <c r="AP441"/>
  <c r="AQ441" s="1"/>
  <c r="AP389"/>
  <c r="AQ389" s="1"/>
  <c r="AP395"/>
  <c r="AQ395" s="1"/>
  <c r="AP418"/>
  <c r="AQ418" s="1"/>
  <c r="AP415"/>
  <c r="AQ415" s="1"/>
  <c r="AP384"/>
  <c r="AQ384" s="1"/>
  <c r="AP374"/>
  <c r="AQ374" s="1"/>
  <c r="AP406"/>
  <c r="AQ406" s="1"/>
  <c r="AP387"/>
  <c r="AQ387" s="1"/>
  <c r="AP393"/>
  <c r="AQ393" s="1"/>
  <c r="AP438"/>
  <c r="AQ438" s="1"/>
  <c r="AP428"/>
  <c r="AQ428" s="1"/>
  <c r="AP424"/>
  <c r="AQ424" s="1"/>
  <c r="AP396"/>
  <c r="AQ396" s="1"/>
  <c r="AP437"/>
  <c r="AQ437" s="1"/>
  <c r="AP420"/>
  <c r="AQ420" s="1"/>
  <c r="AP399"/>
  <c r="AQ399" s="1"/>
  <c r="AP446"/>
  <c r="AQ446" s="1"/>
  <c r="AP422"/>
  <c r="AQ422" s="1"/>
  <c r="AP413"/>
  <c r="AQ413" s="1"/>
  <c r="AP376"/>
  <c r="AQ376" s="1"/>
  <c r="AP411"/>
  <c r="AQ411" s="1"/>
  <c r="AP391"/>
  <c r="AQ391" s="1"/>
  <c r="AP377"/>
  <c r="AQ377" s="1"/>
  <c r="AP417"/>
  <c r="AQ417" s="1"/>
  <c r="AP409"/>
  <c r="AQ409" s="1"/>
  <c r="AP403"/>
  <c r="AQ403" s="1"/>
  <c r="AP383"/>
  <c r="AQ383" s="1"/>
  <c r="AP373"/>
  <c r="AQ373" s="1"/>
  <c r="AP430"/>
  <c r="AQ430" s="1"/>
  <c r="AP440"/>
  <c r="AQ440" s="1"/>
  <c r="AP429"/>
  <c r="AQ429" s="1"/>
  <c r="AP419"/>
  <c r="AQ419" s="1"/>
  <c r="AP435"/>
  <c r="AQ435" s="1"/>
  <c r="AP423"/>
  <c r="AQ423" s="1"/>
  <c r="AP398"/>
  <c r="AQ398" s="1"/>
  <c r="AP444"/>
  <c r="AQ444" s="1"/>
  <c r="AP436"/>
  <c r="AQ436" s="1"/>
  <c r="AP421"/>
  <c r="AQ421" s="1"/>
  <c r="AP405"/>
  <c r="AQ405" s="1"/>
  <c r="AP394"/>
  <c r="AQ394" s="1"/>
  <c r="AP380"/>
  <c r="AQ380" s="1"/>
  <c r="AP372"/>
  <c r="AQ372" s="1"/>
  <c r="AP439"/>
  <c r="AQ439" s="1"/>
  <c r="AP433"/>
  <c r="AQ433" s="1"/>
  <c r="AP451"/>
  <c r="AQ451" s="1"/>
  <c r="AP448"/>
  <c r="AQ448" s="1"/>
  <c r="AP455"/>
  <c r="AQ455" s="1"/>
  <c r="AP449"/>
  <c r="AQ449" s="1"/>
  <c r="AP461"/>
  <c r="AQ461" s="1"/>
  <c r="AP464"/>
  <c r="AQ464" s="1"/>
  <c r="AP456"/>
  <c r="AQ456" s="1"/>
  <c r="AP452"/>
  <c r="AQ452" s="1"/>
  <c r="AP466"/>
  <c r="AQ466" s="1"/>
  <c r="AP454"/>
  <c r="AQ454" s="1"/>
  <c r="AP453"/>
  <c r="AQ453" s="1"/>
  <c r="AP458"/>
  <c r="AQ458" s="1"/>
  <c r="AP463"/>
  <c r="AQ463" s="1"/>
  <c r="AP462"/>
  <c r="AQ462" s="1"/>
  <c r="AP459"/>
  <c r="AQ459" s="1"/>
  <c r="AP460"/>
  <c r="AQ460" s="1"/>
  <c r="AP480"/>
  <c r="AQ480" s="1"/>
  <c r="AP482"/>
  <c r="AQ482" s="1"/>
  <c r="AP474"/>
  <c r="AQ474" s="1"/>
  <c r="AP476"/>
  <c r="AQ476" s="1"/>
  <c r="AP467"/>
  <c r="AQ467" s="1"/>
  <c r="AP457"/>
  <c r="AQ457" s="1"/>
  <c r="AP477"/>
  <c r="AQ477" s="1"/>
  <c r="AP472"/>
  <c r="AQ472" s="1"/>
  <c r="AP469"/>
  <c r="AQ469" s="1"/>
  <c r="AP479"/>
  <c r="AQ479" s="1"/>
  <c r="AP470"/>
  <c r="AQ470" s="1"/>
  <c r="AP468"/>
  <c r="AQ468" s="1"/>
  <c r="AP450"/>
  <c r="AQ450" s="1"/>
  <c r="AP475"/>
  <c r="AQ475" s="1"/>
  <c r="AP471"/>
  <c r="AQ471" s="1"/>
  <c r="AP481"/>
  <c r="AQ481" s="1"/>
  <c r="AP473"/>
  <c r="AQ473" s="1"/>
  <c r="AP478"/>
  <c r="AQ478" s="1"/>
  <c r="AP483"/>
  <c r="AQ483" s="1"/>
  <c r="AP465"/>
  <c r="AQ465" s="1"/>
  <c r="AP485"/>
  <c r="AQ485" s="1"/>
  <c r="AP504"/>
  <c r="AQ504" s="1"/>
  <c r="AP495"/>
  <c r="AQ495" s="1"/>
  <c r="AP493"/>
  <c r="AQ493" s="1"/>
  <c r="AP492"/>
  <c r="AQ492" s="1"/>
  <c r="AP489"/>
  <c r="AQ489" s="1"/>
  <c r="AP505"/>
  <c r="AQ505" s="1"/>
  <c r="AP484"/>
  <c r="AQ484" s="1"/>
  <c r="AP496"/>
  <c r="AQ496" s="1"/>
  <c r="AP501"/>
  <c r="AQ501" s="1"/>
  <c r="AP497"/>
  <c r="AQ497" s="1"/>
  <c r="AP487"/>
  <c r="AQ487" s="1"/>
  <c r="AP486"/>
  <c r="AQ486" s="1"/>
  <c r="AP506"/>
  <c r="AQ506" s="1"/>
  <c r="AP503"/>
  <c r="AQ503" s="1"/>
  <c r="AP498"/>
  <c r="AQ498" s="1"/>
  <c r="AP500"/>
  <c r="AQ500" s="1"/>
  <c r="AP490"/>
  <c r="AQ490" s="1"/>
  <c r="AP509"/>
  <c r="AQ509" s="1"/>
  <c r="AP507"/>
  <c r="AQ507" s="1"/>
  <c r="AP494"/>
  <c r="AQ494" s="1"/>
  <c r="AP502"/>
  <c r="AQ502" s="1"/>
  <c r="AP510"/>
  <c r="AQ510" s="1"/>
  <c r="AP499"/>
  <c r="AQ499" s="1"/>
  <c r="AP488"/>
  <c r="AQ488" s="1"/>
  <c r="AP511"/>
  <c r="AQ511" s="1"/>
  <c r="AP508"/>
  <c r="AQ508" s="1"/>
  <c r="AP491"/>
  <c r="AQ491" s="1"/>
  <c r="AP512"/>
  <c r="AQ512" s="1"/>
  <c r="AP529"/>
  <c r="AQ529" s="1"/>
  <c r="AP521"/>
  <c r="AQ521" s="1"/>
  <c r="AP513"/>
  <c r="AQ513" s="1"/>
  <c r="AP519"/>
  <c r="AQ519" s="1"/>
  <c r="AP520"/>
  <c r="AQ520" s="1"/>
  <c r="AP516"/>
  <c r="AQ516" s="1"/>
  <c r="AP525"/>
  <c r="AQ525" s="1"/>
  <c r="AP522"/>
  <c r="AQ522" s="1"/>
  <c r="AP517"/>
  <c r="AQ517" s="1"/>
  <c r="AP528"/>
  <c r="AQ528" s="1"/>
  <c r="AP526"/>
  <c r="AQ526" s="1"/>
  <c r="AP527"/>
  <c r="AQ527" s="1"/>
  <c r="AP523"/>
  <c r="AQ523" s="1"/>
  <c r="AP524"/>
  <c r="AQ524" s="1"/>
  <c r="AP518"/>
  <c r="AQ518" s="1"/>
  <c r="AP514"/>
  <c r="AQ514" s="1"/>
  <c r="AP515"/>
  <c r="AQ515" s="1"/>
  <c r="AP531"/>
  <c r="AQ531" s="1"/>
  <c r="AP538"/>
  <c r="AQ538" s="1"/>
  <c r="AP536"/>
  <c r="AQ536" s="1"/>
  <c r="AP532"/>
  <c r="AQ532" s="1"/>
  <c r="AP530"/>
  <c r="AQ530" s="1"/>
  <c r="AP533"/>
  <c r="AQ533" s="1"/>
  <c r="AP534"/>
  <c r="AQ534" s="1"/>
  <c r="AP537"/>
  <c r="AQ537" s="1"/>
  <c r="AP535"/>
  <c r="AQ535" s="1"/>
  <c r="AP544"/>
  <c r="AQ544" s="1"/>
  <c r="AP543"/>
  <c r="AQ543" s="1"/>
  <c r="AP539"/>
  <c r="AQ539" s="1"/>
  <c r="AP541"/>
  <c r="AQ541" s="1"/>
  <c r="AP540"/>
  <c r="AQ540" s="1"/>
  <c r="AP542"/>
  <c r="AQ542" s="1"/>
  <c r="AP547"/>
  <c r="AQ547" s="1"/>
  <c r="AP546"/>
  <c r="AQ546" s="1"/>
  <c r="AP548"/>
  <c r="AQ548" s="1"/>
  <c r="AP553"/>
  <c r="AQ553" s="1"/>
  <c r="AP556"/>
  <c r="AQ556" s="1"/>
  <c r="AP552"/>
  <c r="AQ552" s="1"/>
  <c r="AP569"/>
  <c r="AQ569" s="1"/>
  <c r="AP563"/>
  <c r="AQ563" s="1"/>
  <c r="AP560"/>
  <c r="AQ560" s="1"/>
  <c r="AP565"/>
  <c r="AQ565" s="1"/>
  <c r="AP549"/>
  <c r="AQ549" s="1"/>
  <c r="AP554"/>
  <c r="AQ554" s="1"/>
  <c r="AP545"/>
  <c r="AQ545" s="1"/>
  <c r="AP557"/>
  <c r="AQ557" s="1"/>
  <c r="AP562"/>
  <c r="AQ562" s="1"/>
  <c r="AP559"/>
  <c r="AQ559" s="1"/>
  <c r="AP555"/>
  <c r="AQ555" s="1"/>
  <c r="AP567"/>
  <c r="AQ567" s="1"/>
  <c r="AP550"/>
  <c r="AQ550" s="1"/>
  <c r="AP564"/>
  <c r="AQ564" s="1"/>
  <c r="AP568"/>
  <c r="AQ568" s="1"/>
  <c r="AP558"/>
  <c r="AQ558" s="1"/>
  <c r="AP566"/>
  <c r="AQ566" s="1"/>
  <c r="AP573"/>
  <c r="AQ573" s="1"/>
  <c r="AP561"/>
  <c r="AQ561" s="1"/>
  <c r="AP570"/>
  <c r="AQ570" s="1"/>
  <c r="AP572"/>
  <c r="AQ572" s="1"/>
  <c r="AP571"/>
  <c r="AQ571" s="1"/>
  <c r="AP574"/>
  <c r="AQ574" s="1"/>
  <c r="AP575"/>
  <c r="AQ575" s="1"/>
  <c r="AP576"/>
  <c r="AQ576" s="1"/>
  <c r="AP578"/>
  <c r="AQ578" s="1"/>
  <c r="AP579"/>
  <c r="AQ579" s="1"/>
  <c r="AP586"/>
  <c r="AQ586" s="1"/>
  <c r="AP582"/>
  <c r="AQ582" s="1"/>
  <c r="AP583"/>
  <c r="AQ583" s="1"/>
  <c r="AP593"/>
  <c r="AQ593" s="1"/>
  <c r="AP577"/>
  <c r="AQ577" s="1"/>
  <c r="AP590"/>
  <c r="AQ590" s="1"/>
  <c r="AP581"/>
  <c r="AQ581" s="1"/>
  <c r="AP587"/>
  <c r="AQ587" s="1"/>
  <c r="AP589"/>
  <c r="AQ589" s="1"/>
  <c r="AP584"/>
  <c r="AQ584" s="1"/>
  <c r="AP585"/>
  <c r="AQ585" s="1"/>
  <c r="AP591"/>
  <c r="AQ591" s="1"/>
  <c r="AP588"/>
  <c r="AQ588" s="1"/>
  <c r="AP597"/>
  <c r="AQ597" s="1"/>
  <c r="AP592"/>
  <c r="AQ592" s="1"/>
  <c r="AP595"/>
  <c r="AQ595" s="1"/>
  <c r="AP594"/>
  <c r="AQ594" s="1"/>
  <c r="AP596"/>
  <c r="AQ596" s="1"/>
  <c r="AP580"/>
  <c r="AQ580" s="1"/>
  <c r="AP598"/>
  <c r="AQ598" s="1"/>
  <c r="AP599"/>
  <c r="AQ599" s="1"/>
  <c r="AP612"/>
  <c r="AQ612" s="1"/>
  <c r="AP620"/>
  <c r="AQ620" s="1"/>
  <c r="AP617"/>
  <c r="AQ617" s="1"/>
  <c r="AP601"/>
  <c r="AQ601" s="1"/>
  <c r="AP615"/>
  <c r="AQ615" s="1"/>
  <c r="AP616"/>
  <c r="AQ616" s="1"/>
  <c r="AP600"/>
  <c r="AQ600" s="1"/>
  <c r="AP621"/>
  <c r="AQ621" s="1"/>
  <c r="AP614"/>
  <c r="AQ614" s="1"/>
  <c r="AP610"/>
  <c r="AQ610" s="1"/>
  <c r="AP606"/>
  <c r="AQ606" s="1"/>
  <c r="AP619"/>
  <c r="AQ619" s="1"/>
  <c r="AP622"/>
  <c r="AQ622" s="1"/>
  <c r="AP623"/>
  <c r="AQ623" s="1"/>
  <c r="AP625"/>
  <c r="AQ625" s="1"/>
  <c r="AP626"/>
  <c r="AQ626" s="1"/>
  <c r="AP629"/>
  <c r="AQ629" s="1"/>
  <c r="AP630"/>
  <c r="AQ630" s="1"/>
  <c r="AP618"/>
  <c r="AQ618" s="1"/>
  <c r="AP631"/>
  <c r="AQ631" s="1"/>
  <c r="AP602"/>
  <c r="AQ602" s="1"/>
  <c r="AP603"/>
  <c r="AQ603" s="1"/>
  <c r="AP604"/>
  <c r="AQ604" s="1"/>
  <c r="AP605"/>
  <c r="AQ605" s="1"/>
  <c r="AP627"/>
  <c r="AQ627" s="1"/>
  <c r="AP613"/>
  <c r="AQ613" s="1"/>
  <c r="AP628"/>
  <c r="AQ628" s="1"/>
  <c r="AP624"/>
  <c r="AQ624" s="1"/>
  <c r="AP609"/>
  <c r="AQ609" s="1"/>
  <c r="AP608"/>
  <c r="AQ608" s="1"/>
  <c r="AP611"/>
  <c r="AQ611" s="1"/>
  <c r="AP633"/>
  <c r="AQ633" s="1"/>
  <c r="AP632"/>
  <c r="AQ632" s="1"/>
  <c r="AP607"/>
  <c r="AQ607" s="1"/>
  <c r="AP635"/>
  <c r="AQ635" s="1"/>
  <c r="AP634"/>
  <c r="AQ634" s="1"/>
  <c r="AP636"/>
  <c r="AQ636" s="1"/>
  <c r="AP637"/>
  <c r="AQ637" s="1"/>
  <c r="AP644"/>
  <c r="AQ644" s="1"/>
  <c r="AP640"/>
  <c r="AQ640" s="1"/>
  <c r="AP639"/>
  <c r="AQ639" s="1"/>
  <c r="AP643"/>
  <c r="AQ643" s="1"/>
  <c r="AP649"/>
  <c r="AQ649" s="1"/>
  <c r="AP646"/>
  <c r="AQ646" s="1"/>
  <c r="AP647"/>
  <c r="AQ647" s="1"/>
  <c r="AP641"/>
  <c r="AQ641" s="1"/>
  <c r="AP638"/>
  <c r="AQ638" s="1"/>
  <c r="AP650"/>
  <c r="AQ650" s="1"/>
  <c r="AP648"/>
  <c r="AQ648" s="1"/>
  <c r="AP642"/>
  <c r="AQ642" s="1"/>
  <c r="AP645"/>
  <c r="AQ645" s="1"/>
  <c r="AP651"/>
  <c r="AQ651" s="1"/>
  <c r="AP656"/>
  <c r="AQ656" s="1"/>
  <c r="AP655"/>
  <c r="AQ655" s="1"/>
  <c r="AP653"/>
  <c r="AQ653" s="1"/>
  <c r="AP663"/>
  <c r="AQ663" s="1"/>
  <c r="AP666"/>
  <c r="AQ666" s="1"/>
  <c r="AP662"/>
  <c r="AQ662" s="1"/>
  <c r="AP657"/>
  <c r="AQ657" s="1"/>
  <c r="AP671"/>
  <c r="AQ671" s="1"/>
  <c r="AP665"/>
  <c r="AQ665" s="1"/>
  <c r="AP660"/>
  <c r="AQ660" s="1"/>
  <c r="AP664"/>
  <c r="AQ664" s="1"/>
  <c r="AP673"/>
  <c r="AQ673" s="1"/>
  <c r="AP669"/>
  <c r="AQ669" s="1"/>
  <c r="AP672"/>
  <c r="AQ672" s="1"/>
  <c r="AP667"/>
  <c r="AQ667" s="1"/>
  <c r="AP659"/>
  <c r="AQ659" s="1"/>
  <c r="AP668"/>
  <c r="AQ668" s="1"/>
  <c r="AP658"/>
  <c r="AQ658" s="1"/>
  <c r="AP661"/>
  <c r="AQ661" s="1"/>
  <c r="AP670"/>
  <c r="AQ670" s="1"/>
  <c r="AP694"/>
  <c r="AQ694" s="1"/>
  <c r="AP710"/>
  <c r="AQ710" s="1"/>
  <c r="AP773"/>
  <c r="AQ773" s="1"/>
  <c r="AP680"/>
  <c r="AQ680" s="1"/>
  <c r="AP744"/>
  <c r="AQ744" s="1"/>
  <c r="AP686"/>
  <c r="AQ686" s="1"/>
  <c r="AP742"/>
  <c r="AQ742" s="1"/>
  <c r="AP756"/>
  <c r="AQ756" s="1"/>
  <c r="AP697"/>
  <c r="AQ697" s="1"/>
  <c r="AP782"/>
  <c r="AQ782" s="1"/>
  <c r="AP689"/>
  <c r="AQ689" s="1"/>
  <c r="AP747"/>
  <c r="AQ747" s="1"/>
  <c r="AP688"/>
  <c r="AQ688" s="1"/>
  <c r="AP683"/>
  <c r="AQ683" s="1"/>
  <c r="AP757"/>
  <c r="AQ757" s="1"/>
  <c r="AP736"/>
  <c r="AQ736" s="1"/>
  <c r="AP731"/>
  <c r="AQ731" s="1"/>
  <c r="AP677"/>
  <c r="AQ677" s="1"/>
  <c r="AP796"/>
  <c r="AQ796" s="1"/>
  <c r="AP678"/>
  <c r="AQ678" s="1"/>
  <c r="AP720"/>
  <c r="AQ720" s="1"/>
  <c r="AP705"/>
  <c r="AQ705" s="1"/>
  <c r="AP695"/>
  <c r="AQ695" s="1"/>
  <c r="AP714"/>
  <c r="AQ714" s="1"/>
  <c r="AP692"/>
  <c r="AQ692" s="1"/>
  <c r="AP738"/>
  <c r="AQ738" s="1"/>
  <c r="AP733"/>
  <c r="AQ733" s="1"/>
  <c r="AP675"/>
  <c r="AQ675" s="1"/>
  <c r="AP789"/>
  <c r="AQ789" s="1"/>
  <c r="AP749"/>
  <c r="AQ749" s="1"/>
  <c r="AP726"/>
  <c r="AQ726" s="1"/>
  <c r="AP685"/>
  <c r="AQ685" s="1"/>
  <c r="AP784"/>
  <c r="AQ784" s="1"/>
  <c r="AP779"/>
  <c r="AQ779" s="1"/>
  <c r="AP781"/>
  <c r="AQ781" s="1"/>
  <c r="AP790"/>
  <c r="AQ790" s="1"/>
  <c r="AP766"/>
  <c r="AQ766" s="1"/>
  <c r="AP696"/>
  <c r="AQ696" s="1"/>
  <c r="AP691"/>
  <c r="AQ691" s="1"/>
  <c r="AP804"/>
  <c r="AQ804" s="1"/>
  <c r="AP780"/>
  <c r="AQ780" s="1"/>
  <c r="AP700"/>
  <c r="AQ700" s="1"/>
  <c r="AP729"/>
  <c r="AQ729" s="1"/>
  <c r="AP746"/>
  <c r="AQ746" s="1"/>
  <c r="AP770"/>
  <c r="AQ770" s="1"/>
  <c r="AP682"/>
  <c r="AQ682" s="1"/>
  <c r="AP759"/>
  <c r="AQ759" s="1"/>
  <c r="AP783"/>
  <c r="AQ783" s="1"/>
  <c r="AP776"/>
  <c r="AQ776" s="1"/>
  <c r="AP750"/>
  <c r="AQ750" s="1"/>
  <c r="AP679"/>
  <c r="AQ679" s="1"/>
  <c r="AP763"/>
  <c r="AQ763" s="1"/>
  <c r="AP735"/>
  <c r="AQ735" s="1"/>
  <c r="AP701"/>
  <c r="AQ701" s="1"/>
  <c r="AP687"/>
  <c r="AQ687" s="1"/>
  <c r="AP797"/>
  <c r="AQ797" s="1"/>
  <c r="AP810"/>
  <c r="AQ810" s="1"/>
  <c r="AP799"/>
  <c r="AQ799" s="1"/>
  <c r="AP775"/>
  <c r="AQ775" s="1"/>
  <c r="AP792"/>
  <c r="AQ792" s="1"/>
  <c r="AP762"/>
  <c r="AQ762" s="1"/>
  <c r="AP722"/>
  <c r="AQ722" s="1"/>
  <c r="AP748"/>
  <c r="AQ748" s="1"/>
  <c r="AP709"/>
  <c r="AQ709" s="1"/>
  <c r="AP807"/>
  <c r="AQ807" s="1"/>
  <c r="AP801"/>
  <c r="AQ801" s="1"/>
  <c r="AP793"/>
  <c r="AQ793" s="1"/>
  <c r="AP774"/>
  <c r="AQ774" s="1"/>
  <c r="AP768"/>
  <c r="AQ768" s="1"/>
  <c r="AP751"/>
  <c r="AQ751" s="1"/>
  <c r="AP721"/>
  <c r="AQ721" s="1"/>
  <c r="AP717"/>
  <c r="AQ717" s="1"/>
  <c r="AP713"/>
  <c r="AQ713" s="1"/>
  <c r="AP699"/>
  <c r="AQ699" s="1"/>
  <c r="AP765"/>
  <c r="AQ765" s="1"/>
  <c r="AP791"/>
  <c r="AQ791" s="1"/>
  <c r="AP785"/>
  <c r="AQ785" s="1"/>
  <c r="AP788"/>
  <c r="AQ788" s="1"/>
  <c r="AP745"/>
  <c r="AQ745" s="1"/>
  <c r="AP698"/>
  <c r="AQ698" s="1"/>
  <c r="AP758"/>
  <c r="AQ758" s="1"/>
  <c r="AP734"/>
  <c r="AQ734" s="1"/>
  <c r="AP715"/>
  <c r="AQ715" s="1"/>
  <c r="AP706"/>
  <c r="AQ706" s="1"/>
  <c r="AP703"/>
  <c r="AQ703" s="1"/>
  <c r="AP795"/>
  <c r="AQ795" s="1"/>
  <c r="AP769"/>
  <c r="AQ769" s="1"/>
  <c r="AP725"/>
  <c r="AQ725" s="1"/>
  <c r="AP803"/>
  <c r="AQ803" s="1"/>
  <c r="AP723"/>
  <c r="AQ723" s="1"/>
  <c r="AP718"/>
  <c r="AQ718" s="1"/>
  <c r="AP702"/>
  <c r="AQ702" s="1"/>
  <c r="AP674"/>
  <c r="AQ674" s="1"/>
  <c r="AP740"/>
  <c r="AQ740" s="1"/>
  <c r="AP755"/>
  <c r="AQ755" s="1"/>
  <c r="AP719"/>
  <c r="AQ719" s="1"/>
  <c r="AP690"/>
  <c r="AQ690" s="1"/>
  <c r="AP809"/>
  <c r="AQ809" s="1"/>
  <c r="AP794"/>
  <c r="AQ794" s="1"/>
  <c r="AP760"/>
  <c r="AQ760" s="1"/>
  <c r="AP777"/>
  <c r="AQ777" s="1"/>
  <c r="AP727"/>
  <c r="AQ727" s="1"/>
  <c r="AP681"/>
  <c r="AQ681" s="1"/>
  <c r="AP805"/>
  <c r="AQ805" s="1"/>
  <c r="AP786"/>
  <c r="AQ786" s="1"/>
  <c r="AP752"/>
  <c r="AQ752" s="1"/>
  <c r="AP712"/>
  <c r="AQ712" s="1"/>
  <c r="AP711"/>
  <c r="AQ711" s="1"/>
  <c r="AP753"/>
  <c r="AQ753" s="1"/>
  <c r="AP730"/>
  <c r="AQ730" s="1"/>
  <c r="AP704"/>
  <c r="AQ704" s="1"/>
  <c r="AP676"/>
  <c r="AQ676" s="1"/>
  <c r="AP728"/>
  <c r="AQ728" s="1"/>
  <c r="AP741"/>
  <c r="AQ741" s="1"/>
  <c r="AP764"/>
  <c r="AQ764" s="1"/>
  <c r="AP798"/>
  <c r="AQ798" s="1"/>
  <c r="AP767"/>
  <c r="AQ767" s="1"/>
  <c r="AP761"/>
  <c r="AQ761" s="1"/>
  <c r="AP739"/>
  <c r="AQ739" s="1"/>
  <c r="AP772"/>
  <c r="AQ772" s="1"/>
  <c r="AP737"/>
  <c r="AQ737" s="1"/>
  <c r="AP707"/>
  <c r="AQ707" s="1"/>
  <c r="AP693"/>
  <c r="AQ693" s="1"/>
  <c r="AP716"/>
  <c r="AQ716" s="1"/>
  <c r="AP708"/>
  <c r="AQ708" s="1"/>
  <c r="AP743"/>
  <c r="AQ743" s="1"/>
  <c r="AP806"/>
  <c r="AQ806" s="1"/>
  <c r="AP724"/>
  <c r="AQ724" s="1"/>
  <c r="AP684"/>
  <c r="AQ684" s="1"/>
  <c r="AP732"/>
  <c r="AQ732" s="1"/>
  <c r="AP754"/>
  <c r="AQ754" s="1"/>
  <c r="AP802"/>
  <c r="AQ802" s="1"/>
  <c r="AP808"/>
  <c r="AQ808" s="1"/>
  <c r="AP822"/>
  <c r="AQ822" s="1"/>
  <c r="AP816"/>
  <c r="AQ816" s="1"/>
  <c r="AP824"/>
  <c r="AQ824" s="1"/>
  <c r="AP841"/>
  <c r="AQ841" s="1"/>
  <c r="AP813"/>
  <c r="AQ813" s="1"/>
  <c r="AP815"/>
  <c r="AQ815" s="1"/>
  <c r="AP771"/>
  <c r="AQ771" s="1"/>
  <c r="AP778"/>
  <c r="AQ778" s="1"/>
  <c r="AP800"/>
  <c r="AQ800" s="1"/>
  <c r="AP828"/>
  <c r="AQ828" s="1"/>
  <c r="AP838"/>
  <c r="AQ838" s="1"/>
  <c r="AP833"/>
  <c r="AQ833" s="1"/>
  <c r="AP811"/>
  <c r="AQ811" s="1"/>
  <c r="AP812"/>
  <c r="AQ812" s="1"/>
  <c r="AP787"/>
  <c r="AQ787" s="1"/>
  <c r="AP829"/>
  <c r="AQ829" s="1"/>
  <c r="AP814"/>
  <c r="AQ814" s="1"/>
  <c r="AP827"/>
  <c r="AQ827" s="1"/>
  <c r="AP839"/>
  <c r="AQ839" s="1"/>
  <c r="AP820"/>
  <c r="AQ820" s="1"/>
  <c r="AP835"/>
  <c r="AQ835" s="1"/>
  <c r="AP823"/>
  <c r="AQ823" s="1"/>
  <c r="AP825"/>
  <c r="AQ825" s="1"/>
  <c r="AP836"/>
  <c r="AQ836" s="1"/>
  <c r="AP830"/>
  <c r="AQ830" s="1"/>
  <c r="AP842"/>
  <c r="AQ842" s="1"/>
  <c r="AP817"/>
  <c r="AQ817" s="1"/>
  <c r="AP837"/>
  <c r="AQ837" s="1"/>
  <c r="AP831"/>
  <c r="AQ831" s="1"/>
  <c r="AP818"/>
  <c r="AQ818" s="1"/>
  <c r="AP840"/>
  <c r="AQ840" s="1"/>
  <c r="AP834"/>
  <c r="AQ834" s="1"/>
  <c r="AP832"/>
  <c r="AQ832" s="1"/>
  <c r="AP826"/>
  <c r="AQ826" s="1"/>
  <c r="AP821"/>
  <c r="AQ821" s="1"/>
  <c r="AP856"/>
  <c r="AQ856" s="1"/>
  <c r="AP877"/>
  <c r="AQ877" s="1"/>
  <c r="AP872"/>
  <c r="AQ872" s="1"/>
  <c r="AP865"/>
  <c r="AQ865" s="1"/>
  <c r="AP874"/>
  <c r="AQ874" s="1"/>
  <c r="AP879"/>
  <c r="AQ879" s="1"/>
  <c r="AP819"/>
  <c r="AQ819" s="1"/>
  <c r="AP863"/>
  <c r="AQ863" s="1"/>
  <c r="AP871"/>
  <c r="AQ871" s="1"/>
  <c r="AP848"/>
  <c r="AQ848" s="1"/>
  <c r="AP861"/>
  <c r="AQ861" s="1"/>
  <c r="AP866"/>
  <c r="AQ866" s="1"/>
  <c r="AP875"/>
  <c r="AQ875" s="1"/>
  <c r="AP846"/>
  <c r="AQ846" s="1"/>
  <c r="AP882"/>
  <c r="AQ882" s="1"/>
  <c r="AP873"/>
  <c r="AQ873" s="1"/>
  <c r="AP888"/>
  <c r="AQ888" s="1"/>
  <c r="AP885"/>
  <c r="AQ885" s="1"/>
  <c r="AP844"/>
  <c r="AQ844" s="1"/>
  <c r="AP847"/>
  <c r="AQ847" s="1"/>
  <c r="AP883"/>
  <c r="AQ883" s="1"/>
  <c r="AP886"/>
  <c r="AQ886" s="1"/>
  <c r="AP855"/>
  <c r="AQ855" s="1"/>
  <c r="AP894"/>
  <c r="AQ894" s="1"/>
  <c r="AP860"/>
  <c r="AQ860" s="1"/>
  <c r="AP869"/>
  <c r="AQ869" s="1"/>
  <c r="AP859"/>
  <c r="AQ859" s="1"/>
  <c r="AP853"/>
  <c r="AQ853" s="1"/>
  <c r="AP862"/>
  <c r="AQ862" s="1"/>
  <c r="AP852"/>
  <c r="AQ852" s="1"/>
  <c r="AP845"/>
  <c r="AQ845" s="1"/>
  <c r="AP870"/>
  <c r="AQ870" s="1"/>
  <c r="AP867"/>
  <c r="AQ867" s="1"/>
  <c r="AP864"/>
  <c r="AQ864" s="1"/>
  <c r="AP850"/>
  <c r="AQ850" s="1"/>
  <c r="AP854"/>
  <c r="AQ854" s="1"/>
  <c r="AP851"/>
  <c r="AQ851" s="1"/>
  <c r="AP878"/>
  <c r="AQ878" s="1"/>
  <c r="AP868"/>
  <c r="AQ868" s="1"/>
  <c r="AP857"/>
  <c r="AQ857" s="1"/>
  <c r="AP893"/>
  <c r="AQ893" s="1"/>
  <c r="AP891"/>
  <c r="AQ891" s="1"/>
  <c r="AP889"/>
  <c r="AQ889" s="1"/>
  <c r="AP884"/>
  <c r="AQ884" s="1"/>
  <c r="AP892"/>
  <c r="AQ892" s="1"/>
  <c r="AP887"/>
  <c r="AQ887" s="1"/>
  <c r="AP849"/>
  <c r="AQ849" s="1"/>
  <c r="AP890"/>
  <c r="AQ890" s="1"/>
  <c r="AP881"/>
  <c r="AQ881" s="1"/>
  <c r="AP858"/>
  <c r="AQ858" s="1"/>
  <c r="AP876"/>
  <c r="AQ876" s="1"/>
  <c r="AP880"/>
  <c r="AQ880" s="1"/>
  <c r="AP895"/>
  <c r="AQ895" s="1"/>
  <c r="AP901"/>
  <c r="AQ901" s="1"/>
  <c r="AP907"/>
  <c r="AQ907" s="1"/>
  <c r="AP903"/>
  <c r="AQ903" s="1"/>
  <c r="AP902"/>
  <c r="AQ902" s="1"/>
  <c r="AP898"/>
  <c r="AQ898" s="1"/>
  <c r="AP896"/>
  <c r="AQ896" s="1"/>
  <c r="AP899"/>
  <c r="AQ899" s="1"/>
  <c r="AP897"/>
  <c r="AQ897" s="1"/>
  <c r="AP900"/>
  <c r="AQ900" s="1"/>
  <c r="AP913"/>
  <c r="AQ913" s="1"/>
  <c r="AP905"/>
  <c r="AQ905" s="1"/>
  <c r="AP919"/>
  <c r="AQ919" s="1"/>
  <c r="AP906"/>
  <c r="AQ906" s="1"/>
  <c r="AP912"/>
  <c r="AQ912" s="1"/>
  <c r="AP904"/>
  <c r="AQ904" s="1"/>
  <c r="AP922"/>
  <c r="AQ922" s="1"/>
  <c r="AP914"/>
  <c r="AQ914" s="1"/>
  <c r="AP910"/>
  <c r="AQ910" s="1"/>
  <c r="AP915"/>
  <c r="AQ915" s="1"/>
  <c r="AP920"/>
  <c r="AQ920" s="1"/>
  <c r="AP917"/>
  <c r="AQ917" s="1"/>
  <c r="AP918"/>
  <c r="AQ918" s="1"/>
  <c r="AP916"/>
  <c r="AQ916" s="1"/>
  <c r="AP911"/>
  <c r="AQ911" s="1"/>
  <c r="AP923"/>
  <c r="AQ923" s="1"/>
  <c r="AP909"/>
  <c r="AQ909" s="1"/>
  <c r="AP908"/>
  <c r="AQ908" s="1"/>
  <c r="AP921"/>
  <c r="AQ921" s="1"/>
  <c r="AP925"/>
  <c r="AQ925" s="1"/>
  <c r="AP926"/>
  <c r="AQ926" s="1"/>
  <c r="AP932"/>
  <c r="AQ932" s="1"/>
  <c r="AP944"/>
  <c r="AQ944" s="1"/>
  <c r="AP939"/>
  <c r="AQ939" s="1"/>
  <c r="AP927"/>
  <c r="AQ927" s="1"/>
  <c r="AP931"/>
  <c r="AQ931" s="1"/>
  <c r="AP929"/>
  <c r="AQ929" s="1"/>
  <c r="AP959"/>
  <c r="AQ959" s="1"/>
  <c r="AP949"/>
  <c r="AQ949" s="1"/>
  <c r="AP987"/>
  <c r="AQ987" s="1"/>
  <c r="AP943"/>
  <c r="AQ943" s="1"/>
  <c r="AP941"/>
  <c r="AQ941" s="1"/>
  <c r="AP938"/>
  <c r="AQ938" s="1"/>
  <c r="AP928"/>
  <c r="AQ928" s="1"/>
  <c r="AP930"/>
  <c r="AQ930" s="1"/>
  <c r="AP976"/>
  <c r="AQ976" s="1"/>
  <c r="AP965"/>
  <c r="AQ965" s="1"/>
  <c r="AP956"/>
  <c r="AQ956" s="1"/>
  <c r="AP942"/>
  <c r="AQ942" s="1"/>
  <c r="AP935"/>
  <c r="AQ935" s="1"/>
  <c r="AP946"/>
  <c r="AQ946" s="1"/>
  <c r="AP988"/>
  <c r="AQ988" s="1"/>
  <c r="AP969"/>
  <c r="AQ969" s="1"/>
  <c r="AP955"/>
  <c r="AQ955" s="1"/>
  <c r="AP983"/>
  <c r="AQ983" s="1"/>
  <c r="AP940"/>
  <c r="AQ940" s="1"/>
  <c r="AP937"/>
  <c r="AQ937" s="1"/>
  <c r="AP954"/>
  <c r="AQ954" s="1"/>
  <c r="AP936"/>
  <c r="AQ936" s="1"/>
  <c r="AP934"/>
  <c r="AQ934" s="1"/>
  <c r="AP933"/>
  <c r="AQ933" s="1"/>
  <c r="AP1016"/>
  <c r="AQ1016" s="1"/>
  <c r="AP968"/>
  <c r="AQ968" s="1"/>
  <c r="AP1013"/>
  <c r="AQ1013" s="1"/>
  <c r="AP958"/>
  <c r="AQ958" s="1"/>
  <c r="AP963"/>
  <c r="AQ963" s="1"/>
  <c r="AP953"/>
  <c r="AQ953" s="1"/>
  <c r="AP1017"/>
  <c r="AQ1017" s="1"/>
  <c r="AP1007"/>
  <c r="AQ1007" s="1"/>
  <c r="AP998"/>
  <c r="AQ998" s="1"/>
  <c r="AP985"/>
  <c r="AQ985" s="1"/>
  <c r="AP981"/>
  <c r="AQ981" s="1"/>
  <c r="AP978"/>
  <c r="AQ978" s="1"/>
  <c r="AP967"/>
  <c r="AQ967" s="1"/>
  <c r="AP1006"/>
  <c r="AQ1006" s="1"/>
  <c r="AP975"/>
  <c r="AQ975" s="1"/>
  <c r="AP974"/>
  <c r="AQ974" s="1"/>
  <c r="AP960"/>
  <c r="AQ960" s="1"/>
  <c r="AP980"/>
  <c r="AQ980" s="1"/>
  <c r="AP979"/>
  <c r="AQ979" s="1"/>
  <c r="AP964"/>
  <c r="AQ964" s="1"/>
  <c r="AP945"/>
  <c r="AQ945" s="1"/>
  <c r="AP950"/>
  <c r="AQ950" s="1"/>
  <c r="AP952"/>
  <c r="AQ952" s="1"/>
  <c r="AP1011"/>
  <c r="AQ1011" s="1"/>
  <c r="AP1014"/>
  <c r="AQ1014" s="1"/>
  <c r="AP1000"/>
  <c r="AQ1000" s="1"/>
  <c r="AP992"/>
  <c r="AQ992" s="1"/>
  <c r="AP1012"/>
  <c r="AQ1012" s="1"/>
  <c r="AP986"/>
  <c r="AQ986" s="1"/>
  <c r="AP977"/>
  <c r="AQ977" s="1"/>
  <c r="AP970"/>
  <c r="AQ970" s="1"/>
  <c r="AP966"/>
  <c r="AQ966" s="1"/>
  <c r="AP948"/>
  <c r="AQ948" s="1"/>
  <c r="AP989"/>
  <c r="AQ989" s="1"/>
  <c r="AP984"/>
  <c r="AQ984" s="1"/>
  <c r="AP951"/>
  <c r="AQ951" s="1"/>
  <c r="AP961"/>
  <c r="AQ961" s="1"/>
  <c r="AP957"/>
  <c r="AQ957" s="1"/>
  <c r="AP947"/>
  <c r="AQ947" s="1"/>
  <c r="AP971"/>
  <c r="AQ971" s="1"/>
  <c r="AP982"/>
  <c r="AQ982" s="1"/>
  <c r="AP1038"/>
  <c r="AQ1038" s="1"/>
  <c r="AP1075"/>
  <c r="AQ1075" s="1"/>
  <c r="AP993"/>
  <c r="AQ993" s="1"/>
  <c r="AP1048"/>
  <c r="AQ1048" s="1"/>
  <c r="AP1020"/>
  <c r="AQ1020" s="1"/>
  <c r="AP1092"/>
  <c r="AQ1092" s="1"/>
  <c r="AP1002"/>
  <c r="AQ1002" s="1"/>
  <c r="AP996"/>
  <c r="AQ996" s="1"/>
  <c r="AP995"/>
  <c r="AQ995" s="1"/>
  <c r="AP1025"/>
  <c r="AQ1025" s="1"/>
  <c r="AP1098"/>
  <c r="AQ1098" s="1"/>
  <c r="AP1117"/>
  <c r="AQ1117" s="1"/>
  <c r="AP1023"/>
  <c r="AQ1023" s="1"/>
  <c r="AP1043"/>
  <c r="AQ1043" s="1"/>
  <c r="AP1042"/>
  <c r="AQ1042" s="1"/>
  <c r="AP1063"/>
  <c r="AQ1063" s="1"/>
  <c r="AP1087"/>
  <c r="AQ1087" s="1"/>
  <c r="AP1034"/>
  <c r="AQ1034" s="1"/>
  <c r="AP1073"/>
  <c r="AQ1073" s="1"/>
  <c r="AP1029"/>
  <c r="AQ1029" s="1"/>
  <c r="AP1018"/>
  <c r="AQ1018" s="1"/>
  <c r="AP1070"/>
  <c r="AQ1070" s="1"/>
  <c r="AP1062"/>
  <c r="AQ1062" s="1"/>
  <c r="AP1105"/>
  <c r="AQ1105" s="1"/>
  <c r="AP1010"/>
  <c r="AQ1010" s="1"/>
  <c r="AP962"/>
  <c r="AQ962" s="1"/>
  <c r="AP1001"/>
  <c r="AQ1001" s="1"/>
  <c r="AP1036"/>
  <c r="AQ1036" s="1"/>
  <c r="AP1067"/>
  <c r="AQ1067" s="1"/>
  <c r="AP1022"/>
  <c r="AQ1022" s="1"/>
  <c r="AP1044"/>
  <c r="AQ1044" s="1"/>
  <c r="AP1116"/>
  <c r="AQ1116" s="1"/>
  <c r="AP1083"/>
  <c r="AQ1083" s="1"/>
  <c r="AP1003"/>
  <c r="AQ1003" s="1"/>
  <c r="AP999"/>
  <c r="AQ999" s="1"/>
  <c r="AP972"/>
  <c r="AQ972" s="1"/>
  <c r="AP973"/>
  <c r="AQ973" s="1"/>
  <c r="AP1046"/>
  <c r="AQ1046" s="1"/>
  <c r="AP1061"/>
  <c r="AQ1061" s="1"/>
  <c r="AP1055"/>
  <c r="AQ1055" s="1"/>
  <c r="AP1084"/>
  <c r="AQ1084" s="1"/>
  <c r="AP1068"/>
  <c r="AQ1068" s="1"/>
  <c r="AP1072"/>
  <c r="AQ1072" s="1"/>
  <c r="AP1071"/>
  <c r="AQ1071" s="1"/>
  <c r="AP1005"/>
  <c r="AQ1005" s="1"/>
  <c r="AP1085"/>
  <c r="AQ1085" s="1"/>
  <c r="AP1060"/>
  <c r="AQ1060" s="1"/>
  <c r="AP1015"/>
  <c r="AQ1015" s="1"/>
  <c r="AP1009"/>
  <c r="AQ1009" s="1"/>
  <c r="AP994"/>
  <c r="AQ994" s="1"/>
  <c r="AP1004"/>
  <c r="AQ1004" s="1"/>
  <c r="AP1096"/>
  <c r="AQ1096" s="1"/>
  <c r="AP1090"/>
  <c r="AQ1090" s="1"/>
  <c r="AP1030"/>
  <c r="AQ1030" s="1"/>
  <c r="AP1053"/>
  <c r="AQ1053" s="1"/>
  <c r="AP1037"/>
  <c r="AQ1037" s="1"/>
  <c r="AP1106"/>
  <c r="AQ1106" s="1"/>
  <c r="AP1035"/>
  <c r="AQ1035" s="1"/>
  <c r="AP1008"/>
  <c r="AQ1008" s="1"/>
  <c r="AP990"/>
  <c r="AQ990" s="1"/>
  <c r="AP997"/>
  <c r="AQ997" s="1"/>
  <c r="AP1115"/>
  <c r="AQ1115" s="1"/>
  <c r="AP1108"/>
  <c r="AQ1108" s="1"/>
  <c r="AP1100"/>
  <c r="AQ1100" s="1"/>
  <c r="AP1056"/>
  <c r="AQ1056" s="1"/>
  <c r="AP1107"/>
  <c r="AQ1107" s="1"/>
  <c r="AP1103"/>
  <c r="AQ1103" s="1"/>
  <c r="AP1076"/>
  <c r="AQ1076" s="1"/>
  <c r="AP1066"/>
  <c r="AQ1066" s="1"/>
  <c r="AP1059"/>
  <c r="AQ1059" s="1"/>
  <c r="AP1054"/>
  <c r="AQ1054" s="1"/>
  <c r="AP1039"/>
  <c r="AQ1039" s="1"/>
  <c r="AP1080"/>
  <c r="AQ1080" s="1"/>
  <c r="AP1118"/>
  <c r="AQ1118" s="1"/>
  <c r="AP1110"/>
  <c r="AQ1110" s="1"/>
  <c r="AP1089"/>
  <c r="AQ1089" s="1"/>
  <c r="AP1031"/>
  <c r="AQ1031" s="1"/>
  <c r="AP1058"/>
  <c r="AQ1058" s="1"/>
  <c r="AP1021"/>
  <c r="AQ1021" s="1"/>
  <c r="AP991"/>
  <c r="AQ991" s="1"/>
  <c r="AP1111"/>
  <c r="AQ1111" s="1"/>
  <c r="AP1102"/>
  <c r="AQ1102" s="1"/>
  <c r="AP1086"/>
  <c r="AQ1086" s="1"/>
  <c r="AP1047"/>
  <c r="AQ1047" s="1"/>
  <c r="AP1109"/>
  <c r="AQ1109" s="1"/>
  <c r="AP1104"/>
  <c r="AQ1104" s="1"/>
  <c r="AP1088"/>
  <c r="AQ1088" s="1"/>
  <c r="AP1065"/>
  <c r="AQ1065" s="1"/>
  <c r="AP1074"/>
  <c r="AQ1074" s="1"/>
  <c r="AP1069"/>
  <c r="AQ1069" s="1"/>
  <c r="AP1040"/>
  <c r="AQ1040" s="1"/>
  <c r="AP1026"/>
  <c r="AQ1026" s="1"/>
  <c r="AP1120"/>
  <c r="AQ1120" s="1"/>
  <c r="AP1113"/>
  <c r="AQ1113" s="1"/>
  <c r="AP1028"/>
  <c r="AQ1028" s="1"/>
  <c r="AP1033"/>
  <c r="AQ1033" s="1"/>
  <c r="AP1078"/>
  <c r="AQ1078" s="1"/>
  <c r="AP1041"/>
  <c r="AQ1041" s="1"/>
  <c r="AP1019"/>
  <c r="AQ1019" s="1"/>
  <c r="AP1097"/>
  <c r="AQ1097" s="1"/>
  <c r="AP1079"/>
  <c r="AQ1079" s="1"/>
  <c r="AP1112"/>
  <c r="AQ1112" s="1"/>
  <c r="AP1064"/>
  <c r="AQ1064" s="1"/>
  <c r="AP1057"/>
  <c r="AQ1057" s="1"/>
  <c r="AP1114"/>
  <c r="AQ1114" s="1"/>
  <c r="AP1095"/>
  <c r="AQ1095" s="1"/>
  <c r="AP1077"/>
  <c r="AQ1077" s="1"/>
  <c r="AP1045"/>
  <c r="AQ1045" s="1"/>
  <c r="AP1099"/>
  <c r="AQ1099" s="1"/>
  <c r="AP1024"/>
  <c r="AQ1024" s="1"/>
  <c r="AP1027"/>
  <c r="AQ1027" s="1"/>
  <c r="AP1032"/>
  <c r="AQ1032" s="1"/>
  <c r="AP1081"/>
  <c r="AQ1081" s="1"/>
  <c r="AP1049"/>
  <c r="AQ1049" s="1"/>
  <c r="AP1050"/>
  <c r="AQ1050" s="1"/>
  <c r="AP1091"/>
  <c r="AQ1091" s="1"/>
  <c r="AP1101"/>
  <c r="AQ1101" s="1"/>
  <c r="AP1093"/>
  <c r="AQ1093" s="1"/>
  <c r="AP1051"/>
  <c r="AQ1051" s="1"/>
  <c r="AP1094"/>
  <c r="AQ1094" s="1"/>
  <c r="AP1119"/>
  <c r="AQ1119" s="1"/>
  <c r="AP1122"/>
  <c r="AQ1122" s="1"/>
  <c r="AP1052"/>
  <c r="AQ1052" s="1"/>
  <c r="AP1082"/>
  <c r="AQ1082" s="1"/>
  <c r="AP1126"/>
  <c r="AQ1126" s="1"/>
  <c r="AP1125"/>
  <c r="AQ1125" s="1"/>
  <c r="AP1127"/>
  <c r="AQ1127" s="1"/>
  <c r="AP1123"/>
  <c r="AQ1123" s="1"/>
  <c r="AP1140"/>
  <c r="AQ1140" s="1"/>
  <c r="AP1128"/>
  <c r="AQ1128" s="1"/>
  <c r="AP1157"/>
  <c r="AQ1157" s="1"/>
  <c r="AP1139"/>
  <c r="AQ1139" s="1"/>
  <c r="AP1160"/>
  <c r="AQ1160" s="1"/>
  <c r="AP1138"/>
  <c r="AQ1138" s="1"/>
  <c r="AP1129"/>
  <c r="AQ1129" s="1"/>
  <c r="AP1131"/>
  <c r="AQ1131" s="1"/>
  <c r="AP1133"/>
  <c r="AQ1133" s="1"/>
  <c r="AP1151"/>
  <c r="AQ1151" s="1"/>
  <c r="AP1137"/>
  <c r="AQ1137" s="1"/>
  <c r="AP1150"/>
  <c r="AQ1150" s="1"/>
  <c r="AP1135"/>
  <c r="AQ1135" s="1"/>
  <c r="AP1154"/>
  <c r="AQ1154" s="1"/>
  <c r="AP1199"/>
  <c r="AQ1199" s="1"/>
  <c r="AP1169"/>
  <c r="AQ1169" s="1"/>
  <c r="AP1167"/>
  <c r="AQ1167" s="1"/>
  <c r="AP1168"/>
  <c r="AQ1168" s="1"/>
  <c r="AP1204"/>
  <c r="AQ1204" s="1"/>
  <c r="AP1146"/>
  <c r="AQ1146" s="1"/>
  <c r="AP1132"/>
  <c r="AQ1132" s="1"/>
  <c r="AP1147"/>
  <c r="AQ1147" s="1"/>
  <c r="AP1153"/>
  <c r="AQ1153" s="1"/>
  <c r="AP1145"/>
  <c r="AQ1145" s="1"/>
  <c r="AP1201"/>
  <c r="AQ1201" s="1"/>
  <c r="AP1179"/>
  <c r="AQ1179" s="1"/>
  <c r="AP1189"/>
  <c r="AQ1189" s="1"/>
  <c r="AP1173"/>
  <c r="AQ1173" s="1"/>
  <c r="AP1162"/>
  <c r="AQ1162" s="1"/>
  <c r="AP1159"/>
  <c r="AQ1159" s="1"/>
  <c r="AP1149"/>
  <c r="AQ1149" s="1"/>
  <c r="AP1155"/>
  <c r="AQ1155" s="1"/>
  <c r="AP1186"/>
  <c r="AQ1186" s="1"/>
  <c r="AP1175"/>
  <c r="AQ1175" s="1"/>
  <c r="AP1134"/>
  <c r="AQ1134" s="1"/>
  <c r="AP1202"/>
  <c r="AQ1202" s="1"/>
  <c r="AP1200"/>
  <c r="AQ1200" s="1"/>
  <c r="AP1174"/>
  <c r="AQ1174" s="1"/>
  <c r="AP1156"/>
  <c r="AQ1156" s="1"/>
  <c r="AP1144"/>
  <c r="AQ1144" s="1"/>
  <c r="AP1148"/>
  <c r="AQ1148" s="1"/>
  <c r="AP1136"/>
  <c r="AQ1136" s="1"/>
  <c r="AP1158"/>
  <c r="AQ1158" s="1"/>
  <c r="AP1166"/>
  <c r="AQ1166" s="1"/>
  <c r="AP1206"/>
  <c r="AQ1206" s="1"/>
  <c r="AP1203"/>
  <c r="AQ1203" s="1"/>
  <c r="AP1172"/>
  <c r="AQ1172" s="1"/>
  <c r="AP1196"/>
  <c r="AQ1196" s="1"/>
  <c r="AP1152"/>
  <c r="AQ1152" s="1"/>
  <c r="AP1130"/>
  <c r="AQ1130" s="1"/>
  <c r="AP1163"/>
  <c r="AQ1163" s="1"/>
  <c r="AP1143"/>
  <c r="AQ1143" s="1"/>
  <c r="AP1161"/>
  <c r="AQ1161" s="1"/>
  <c r="AP1211"/>
  <c r="AQ1211" s="1"/>
  <c r="AP1197"/>
  <c r="AQ1197" s="1"/>
  <c r="AP1194"/>
  <c r="AQ1194" s="1"/>
  <c r="AP1185"/>
  <c r="AQ1185" s="1"/>
  <c r="AP1215"/>
  <c r="AQ1215" s="1"/>
  <c r="AP1210"/>
  <c r="AQ1210" s="1"/>
  <c r="AP1198"/>
  <c r="AQ1198" s="1"/>
  <c r="AP1183"/>
  <c r="AQ1183" s="1"/>
  <c r="AP1213"/>
  <c r="AQ1213" s="1"/>
  <c r="AP1180"/>
  <c r="AQ1180" s="1"/>
  <c r="AP1176"/>
  <c r="AQ1176" s="1"/>
  <c r="AP1165"/>
  <c r="AQ1165" s="1"/>
  <c r="AP1219"/>
  <c r="AQ1219" s="1"/>
  <c r="AP1195"/>
  <c r="AQ1195" s="1"/>
  <c r="AP1207"/>
  <c r="AQ1207" s="1"/>
  <c r="AP1184"/>
  <c r="AQ1184" s="1"/>
  <c r="AP1214"/>
  <c r="AQ1214" s="1"/>
  <c r="AP1142"/>
  <c r="AQ1142" s="1"/>
  <c r="AP1141"/>
  <c r="AQ1141" s="1"/>
  <c r="AP1191"/>
  <c r="AQ1191" s="1"/>
  <c r="AP1181"/>
  <c r="AQ1181" s="1"/>
  <c r="AP1223"/>
  <c r="AQ1223" s="1"/>
  <c r="AP1170"/>
  <c r="AQ1170" s="1"/>
  <c r="AP1208"/>
  <c r="AQ1208" s="1"/>
  <c r="AP1190"/>
  <c r="AQ1190" s="1"/>
  <c r="AP1188"/>
  <c r="AQ1188" s="1"/>
  <c r="AP1177"/>
  <c r="AQ1177" s="1"/>
  <c r="AP1192"/>
  <c r="AQ1192" s="1"/>
  <c r="AP1205"/>
  <c r="AQ1205" s="1"/>
  <c r="AP1212"/>
  <c r="AQ1212" s="1"/>
  <c r="AP1209"/>
  <c r="AQ1209" s="1"/>
  <c r="AP1187"/>
  <c r="AQ1187" s="1"/>
  <c r="AP1171"/>
  <c r="AQ1171" s="1"/>
  <c r="AP1182"/>
  <c r="AQ1182" s="1"/>
  <c r="AP1216"/>
  <c r="AQ1216" s="1"/>
  <c r="AP1193"/>
  <c r="AQ1193" s="1"/>
  <c r="AP1178"/>
  <c r="AQ1178" s="1"/>
  <c r="AP1220"/>
  <c r="AQ1220" s="1"/>
  <c r="AP1218"/>
  <c r="AQ1218" s="1"/>
  <c r="AP1222"/>
  <c r="AQ1222" s="1"/>
  <c r="AP1217"/>
  <c r="AQ1217" s="1"/>
  <c r="AP1164"/>
  <c r="AQ1164" s="1"/>
  <c r="AP1221"/>
  <c r="AQ1221" s="1"/>
  <c r="AP1236"/>
  <c r="AQ1236" s="1"/>
  <c r="AP1224"/>
  <c r="AQ1224" s="1"/>
  <c r="AP1229"/>
  <c r="AQ1229" s="1"/>
  <c r="AP1240"/>
  <c r="AQ1240" s="1"/>
  <c r="AP1226"/>
  <c r="AQ1226" s="1"/>
  <c r="AP1230"/>
  <c r="AQ1230" s="1"/>
  <c r="AP1231"/>
  <c r="AQ1231" s="1"/>
  <c r="AP1225"/>
  <c r="AQ1225" s="1"/>
  <c r="AP1232"/>
  <c r="AQ1232" s="1"/>
  <c r="AP1239"/>
  <c r="AQ1239" s="1"/>
  <c r="AP1261"/>
  <c r="AQ1261" s="1"/>
  <c r="AP1245"/>
  <c r="AQ1245" s="1"/>
  <c r="AP1271"/>
  <c r="AQ1271" s="1"/>
  <c r="AP1234"/>
  <c r="AQ1234" s="1"/>
  <c r="AP1264"/>
  <c r="AQ1264" s="1"/>
  <c r="AP1228"/>
  <c r="AQ1228" s="1"/>
  <c r="AP1227"/>
  <c r="AQ1227" s="1"/>
  <c r="AP1235"/>
  <c r="AQ1235" s="1"/>
  <c r="AP1237"/>
  <c r="AQ1237" s="1"/>
  <c r="AP1272"/>
  <c r="AQ1272" s="1"/>
  <c r="AP1255"/>
  <c r="AQ1255" s="1"/>
  <c r="AP1242"/>
  <c r="AQ1242" s="1"/>
  <c r="AP1249"/>
  <c r="AQ1249" s="1"/>
  <c r="AP1246"/>
  <c r="AQ1246" s="1"/>
  <c r="AP1233"/>
  <c r="AQ1233" s="1"/>
  <c r="AP1270"/>
  <c r="AQ1270" s="1"/>
  <c r="AP1243"/>
  <c r="AQ1243" s="1"/>
  <c r="AP1244"/>
  <c r="AQ1244" s="1"/>
  <c r="AP1301"/>
  <c r="AQ1301" s="1"/>
  <c r="AP1266"/>
  <c r="AQ1266" s="1"/>
  <c r="AP1273"/>
  <c r="AQ1273" s="1"/>
  <c r="AP1290"/>
  <c r="AQ1290" s="1"/>
  <c r="AP1253"/>
  <c r="AQ1253" s="1"/>
  <c r="AP1267"/>
  <c r="AQ1267" s="1"/>
  <c r="AP1241"/>
  <c r="AQ1241" s="1"/>
  <c r="AP1284"/>
  <c r="AQ1284" s="1"/>
  <c r="AP1316"/>
  <c r="AQ1316" s="1"/>
  <c r="AP1259"/>
  <c r="AQ1259" s="1"/>
  <c r="AP1295"/>
  <c r="AQ1295" s="1"/>
  <c r="AP1294"/>
  <c r="AQ1294" s="1"/>
  <c r="AP1310"/>
  <c r="AQ1310" s="1"/>
  <c r="AP1269"/>
  <c r="AQ1269" s="1"/>
  <c r="AP1258"/>
  <c r="AQ1258" s="1"/>
  <c r="AP1292"/>
  <c r="AQ1292" s="1"/>
  <c r="AP1257"/>
  <c r="AQ1257" s="1"/>
  <c r="AP1262"/>
  <c r="AQ1262" s="1"/>
  <c r="AP1303"/>
  <c r="AQ1303" s="1"/>
  <c r="AP1308"/>
  <c r="AQ1308" s="1"/>
  <c r="AP1277"/>
  <c r="AQ1277" s="1"/>
  <c r="AP1304"/>
  <c r="AQ1304" s="1"/>
  <c r="AP1309"/>
  <c r="AQ1309" s="1"/>
  <c r="AP1268"/>
  <c r="AQ1268" s="1"/>
  <c r="AP1248"/>
  <c r="AQ1248" s="1"/>
  <c r="AP1260"/>
  <c r="AQ1260" s="1"/>
  <c r="AP1311"/>
  <c r="AQ1311" s="1"/>
  <c r="AP1291"/>
  <c r="AQ1291" s="1"/>
  <c r="AP1286"/>
  <c r="AQ1286" s="1"/>
  <c r="AP1263"/>
  <c r="AQ1263" s="1"/>
  <c r="AP1305"/>
  <c r="AQ1305" s="1"/>
  <c r="AP1278"/>
  <c r="AQ1278" s="1"/>
  <c r="AP1312"/>
  <c r="AQ1312" s="1"/>
  <c r="AP1298"/>
  <c r="AQ1298" s="1"/>
  <c r="AP1285"/>
  <c r="AQ1285" s="1"/>
  <c r="AP1289"/>
  <c r="AQ1289" s="1"/>
  <c r="AP1279"/>
  <c r="AQ1279" s="1"/>
  <c r="AP1293"/>
  <c r="AQ1293" s="1"/>
  <c r="AP1302"/>
  <c r="AQ1302" s="1"/>
  <c r="AP1247"/>
  <c r="AQ1247" s="1"/>
  <c r="AP1254"/>
  <c r="AQ1254" s="1"/>
  <c r="AP1313"/>
  <c r="AQ1313" s="1"/>
  <c r="AP1314"/>
  <c r="AQ1314" s="1"/>
  <c r="AP1306"/>
  <c r="AQ1306" s="1"/>
  <c r="AP1274"/>
  <c r="AQ1274" s="1"/>
  <c r="AP1317"/>
  <c r="AQ1317" s="1"/>
  <c r="AP1250"/>
  <c r="AQ1250" s="1"/>
  <c r="AP1251"/>
  <c r="AQ1251" s="1"/>
  <c r="AP1252"/>
  <c r="AQ1252" s="1"/>
  <c r="AP1256"/>
  <c r="AQ1256" s="1"/>
  <c r="AP1265"/>
  <c r="AQ1265" s="1"/>
  <c r="AP1315"/>
  <c r="AQ1315" s="1"/>
  <c r="AP1318"/>
  <c r="AQ1318" s="1"/>
  <c r="AP1296"/>
  <c r="AQ1296" s="1"/>
  <c r="AP1307"/>
  <c r="AQ1307" s="1"/>
  <c r="AP1276"/>
  <c r="AQ1276" s="1"/>
  <c r="AP1283"/>
  <c r="AQ1283" s="1"/>
  <c r="AP1327"/>
  <c r="AQ1327" s="1"/>
  <c r="AP1331"/>
  <c r="AQ1331" s="1"/>
  <c r="AP1347"/>
  <c r="AQ1347" s="1"/>
  <c r="AP1330"/>
  <c r="AQ1330" s="1"/>
  <c r="AP1325"/>
  <c r="AQ1325" s="1"/>
  <c r="AP1275"/>
  <c r="AQ1275" s="1"/>
  <c r="AP1282"/>
  <c r="AQ1282" s="1"/>
  <c r="AP1299"/>
  <c r="AQ1299" s="1"/>
  <c r="AP1335"/>
  <c r="AQ1335" s="1"/>
  <c r="AP1300"/>
  <c r="AQ1300" s="1"/>
  <c r="AP1341"/>
  <c r="AQ1341" s="1"/>
  <c r="AP1323"/>
  <c r="AQ1323" s="1"/>
  <c r="AP1346"/>
  <c r="AQ1346" s="1"/>
  <c r="AP1288"/>
  <c r="AQ1288" s="1"/>
  <c r="AP1280"/>
  <c r="AQ1280" s="1"/>
  <c r="AP1281"/>
  <c r="AQ1281" s="1"/>
  <c r="AP1287"/>
  <c r="AQ1287" s="1"/>
  <c r="AP1297"/>
  <c r="AQ1297" s="1"/>
  <c r="AP1334"/>
  <c r="AQ1334" s="1"/>
  <c r="AP1319"/>
  <c r="AQ1319" s="1"/>
  <c r="AP1337"/>
  <c r="AQ1337" s="1"/>
  <c r="AP1326"/>
  <c r="AQ1326" s="1"/>
  <c r="AP1351"/>
  <c r="AQ1351" s="1"/>
  <c r="AP1348"/>
  <c r="AQ1348" s="1"/>
  <c r="AP1342"/>
  <c r="AQ1342" s="1"/>
  <c r="AP1350"/>
  <c r="AQ1350" s="1"/>
  <c r="AP1320"/>
  <c r="AQ1320" s="1"/>
  <c r="AP1332"/>
  <c r="AQ1332" s="1"/>
  <c r="AP1338"/>
  <c r="AQ1338" s="1"/>
  <c r="AP1333"/>
  <c r="AQ1333" s="1"/>
  <c r="AP1328"/>
  <c r="AQ1328" s="1"/>
  <c r="AP1324"/>
  <c r="AQ1324" s="1"/>
  <c r="AP1322"/>
  <c r="AQ1322" s="1"/>
  <c r="AP1344"/>
  <c r="AQ1344" s="1"/>
  <c r="AP1336"/>
  <c r="AQ1336" s="1"/>
  <c r="AP1321"/>
  <c r="AQ1321" s="1"/>
  <c r="AP1345"/>
  <c r="AQ1345" s="1"/>
  <c r="AP1329"/>
  <c r="AQ1329" s="1"/>
  <c r="AP1340"/>
  <c r="AQ1340" s="1"/>
  <c r="AP1339"/>
  <c r="AQ1339" s="1"/>
  <c r="AP1349"/>
  <c r="AQ1349" s="1"/>
  <c r="AP1343"/>
  <c r="AQ1343" s="1"/>
  <c r="AP1352"/>
  <c r="AQ1352" s="1"/>
  <c r="AP1359"/>
  <c r="AQ1359" s="1"/>
  <c r="AP1375"/>
  <c r="AQ1375" s="1"/>
  <c r="AP1362"/>
  <c r="AQ1362" s="1"/>
  <c r="AP1376"/>
  <c r="AQ1376" s="1"/>
  <c r="AP1371"/>
  <c r="AQ1371" s="1"/>
  <c r="AP1368"/>
  <c r="AQ1368" s="1"/>
  <c r="AP1379"/>
  <c r="AQ1379" s="1"/>
  <c r="AP1372"/>
  <c r="AQ1372" s="1"/>
  <c r="AP1377"/>
  <c r="AQ1377" s="1"/>
  <c r="AP1370"/>
  <c r="AQ1370" s="1"/>
  <c r="AP1363"/>
  <c r="AQ1363" s="1"/>
  <c r="AP1374"/>
  <c r="AQ1374" s="1"/>
  <c r="AP1367"/>
  <c r="AQ1367" s="1"/>
  <c r="AP1369"/>
  <c r="AQ1369" s="1"/>
  <c r="AP1391"/>
  <c r="AQ1391" s="1"/>
  <c r="AP1386"/>
  <c r="AQ1386" s="1"/>
  <c r="AP1393"/>
  <c r="AQ1393" s="1"/>
  <c r="AP1381"/>
  <c r="AQ1381" s="1"/>
  <c r="AP1353"/>
  <c r="AQ1353" s="1"/>
  <c r="AP1388"/>
  <c r="AQ1388" s="1"/>
  <c r="AP1380"/>
  <c r="AQ1380" s="1"/>
  <c r="AP1364"/>
  <c r="AQ1364" s="1"/>
  <c r="AP1382"/>
  <c r="AQ1382" s="1"/>
  <c r="AP1392"/>
  <c r="AQ1392" s="1"/>
  <c r="AP1354"/>
  <c r="AQ1354" s="1"/>
  <c r="AP1365"/>
  <c r="AQ1365" s="1"/>
  <c r="AP1366"/>
  <c r="AQ1366" s="1"/>
  <c r="AP1387"/>
  <c r="AQ1387" s="1"/>
  <c r="AP1384"/>
  <c r="AQ1384" s="1"/>
  <c r="AP1385"/>
  <c r="AQ1385" s="1"/>
  <c r="AP1378"/>
  <c r="AQ1378" s="1"/>
  <c r="AP1361"/>
  <c r="AQ1361" s="1"/>
  <c r="AP1356"/>
  <c r="AQ1356" s="1"/>
  <c r="AP1390"/>
  <c r="AQ1390" s="1"/>
  <c r="AP1389"/>
  <c r="AQ1389" s="1"/>
  <c r="AP1383"/>
  <c r="AQ1383" s="1"/>
  <c r="AP1355"/>
  <c r="AQ1355" s="1"/>
  <c r="AP1373"/>
  <c r="AQ1373" s="1"/>
  <c r="AP1357"/>
  <c r="AQ1357" s="1"/>
  <c r="AP1360"/>
  <c r="AQ1360" s="1"/>
  <c r="AP1358"/>
  <c r="AQ1358" s="1"/>
  <c r="AP1397"/>
  <c r="AQ1397" s="1"/>
  <c r="AP1395"/>
  <c r="AQ1395" s="1"/>
  <c r="AP1394"/>
  <c r="AQ1394" s="1"/>
  <c r="AP1402"/>
  <c r="AQ1402" s="1"/>
  <c r="AP1396"/>
  <c r="AQ1396" s="1"/>
  <c r="AP1406"/>
  <c r="AQ1406" s="1"/>
  <c r="AP1400"/>
  <c r="AQ1400" s="1"/>
  <c r="AP1431"/>
  <c r="AQ1431" s="1"/>
  <c r="AP1430"/>
  <c r="AQ1430" s="1"/>
  <c r="AP1409"/>
  <c r="AQ1409" s="1"/>
  <c r="AP1432"/>
  <c r="AQ1432" s="1"/>
  <c r="AP1401"/>
  <c r="AQ1401" s="1"/>
  <c r="AP1399"/>
  <c r="AQ1399" s="1"/>
  <c r="AP1428"/>
  <c r="AQ1428" s="1"/>
  <c r="AP1418"/>
  <c r="AQ1418" s="1"/>
  <c r="AP1424"/>
  <c r="AQ1424" s="1"/>
  <c r="AP1420"/>
  <c r="AQ1420" s="1"/>
  <c r="AP1410"/>
  <c r="AQ1410" s="1"/>
  <c r="AP1408"/>
  <c r="AQ1408" s="1"/>
  <c r="AP1398"/>
  <c r="AQ1398" s="1"/>
  <c r="AP1415"/>
  <c r="AQ1415" s="1"/>
  <c r="AP1411"/>
  <c r="AQ1411" s="1"/>
  <c r="AP1427"/>
  <c r="AQ1427" s="1"/>
  <c r="AP1419"/>
  <c r="AQ1419" s="1"/>
  <c r="AP1405"/>
  <c r="AQ1405" s="1"/>
  <c r="AP1407"/>
  <c r="AQ1407" s="1"/>
  <c r="AP1414"/>
  <c r="AQ1414" s="1"/>
  <c r="AP1412"/>
  <c r="AQ1412" s="1"/>
  <c r="AP1403"/>
  <c r="AQ1403" s="1"/>
  <c r="AP1404"/>
  <c r="AQ1404" s="1"/>
  <c r="AP1423"/>
  <c r="AQ1423" s="1"/>
  <c r="AP1417"/>
  <c r="AQ1417" s="1"/>
  <c r="AP1422"/>
  <c r="AQ1422" s="1"/>
  <c r="AP1426"/>
  <c r="AQ1426" s="1"/>
  <c r="AP1413"/>
  <c r="AQ1413" s="1"/>
  <c r="AP1416"/>
  <c r="AQ1416" s="1"/>
  <c r="AP1429"/>
  <c r="AQ1429" s="1"/>
  <c r="AP1425"/>
  <c r="AQ1425" s="1"/>
  <c r="AP1433"/>
  <c r="AQ1433" s="1"/>
  <c r="AP1421"/>
  <c r="AQ1421" s="1"/>
  <c r="AP1453"/>
  <c r="AQ1453" s="1"/>
  <c r="AP1462"/>
  <c r="AQ1462" s="1"/>
  <c r="AP1447"/>
  <c r="AQ1447" s="1"/>
  <c r="AP1443"/>
  <c r="AQ1443" s="1"/>
  <c r="AP1464"/>
  <c r="AQ1464" s="1"/>
  <c r="AP1466"/>
  <c r="AQ1466" s="1"/>
  <c r="AP1449"/>
  <c r="AQ1449" s="1"/>
  <c r="AP1450"/>
  <c r="AQ1450" s="1"/>
  <c r="AP1452"/>
  <c r="AQ1452" s="1"/>
  <c r="AP1444"/>
  <c r="AQ1444" s="1"/>
  <c r="AP1434"/>
  <c r="AQ1434" s="1"/>
  <c r="AP1457"/>
  <c r="AQ1457" s="1"/>
  <c r="AP1442"/>
  <c r="AQ1442" s="1"/>
  <c r="AP1459"/>
  <c r="AQ1459" s="1"/>
  <c r="AP1461"/>
  <c r="AQ1461" s="1"/>
  <c r="AP1441"/>
  <c r="AQ1441" s="1"/>
  <c r="AP1465"/>
  <c r="AQ1465" s="1"/>
  <c r="AP1445"/>
  <c r="AQ1445" s="1"/>
  <c r="AP1460"/>
  <c r="AQ1460" s="1"/>
  <c r="AP1456"/>
  <c r="AQ1456" s="1"/>
  <c r="AP1463"/>
  <c r="AQ1463" s="1"/>
  <c r="AP1438"/>
  <c r="AQ1438" s="1"/>
  <c r="AP1439"/>
  <c r="AQ1439" s="1"/>
  <c r="AP1446"/>
  <c r="AQ1446" s="1"/>
  <c r="AP1458"/>
  <c r="AQ1458" s="1"/>
  <c r="AP1451"/>
  <c r="AQ1451" s="1"/>
  <c r="AP1469"/>
  <c r="AQ1469" s="1"/>
  <c r="AP1455"/>
  <c r="AQ1455" s="1"/>
  <c r="AP1448"/>
  <c r="AQ1448" s="1"/>
  <c r="AP1454"/>
  <c r="AQ1454" s="1"/>
  <c r="AP1436"/>
  <c r="AQ1436" s="1"/>
  <c r="AP1440"/>
  <c r="AQ1440" s="1"/>
  <c r="AP1467"/>
  <c r="AQ1467" s="1"/>
  <c r="AP1468"/>
  <c r="AQ1468" s="1"/>
  <c r="AP1470"/>
  <c r="AQ1470" s="1"/>
  <c r="AP1473"/>
  <c r="AQ1473" s="1"/>
  <c r="AP1481"/>
  <c r="AQ1481" s="1"/>
  <c r="AP1476"/>
  <c r="AQ1476" s="1"/>
  <c r="AP1471"/>
  <c r="AQ1471" s="1"/>
  <c r="AP1482"/>
  <c r="AQ1482" s="1"/>
  <c r="AP1487"/>
  <c r="AQ1487" s="1"/>
  <c r="AP1475"/>
  <c r="AQ1475" s="1"/>
  <c r="AP1499"/>
  <c r="AQ1499" s="1"/>
  <c r="AP1491"/>
  <c r="AQ1491" s="1"/>
  <c r="AP1472"/>
  <c r="AQ1472" s="1"/>
  <c r="AP1483"/>
  <c r="AQ1483" s="1"/>
  <c r="AP1497"/>
  <c r="AQ1497" s="1"/>
  <c r="AP1474"/>
  <c r="AQ1474" s="1"/>
  <c r="AP1508"/>
  <c r="AQ1508" s="1"/>
  <c r="AP1509"/>
  <c r="AQ1509" s="1"/>
  <c r="AP1513"/>
  <c r="AQ1513" s="1"/>
  <c r="AP1485"/>
  <c r="AQ1485" s="1"/>
  <c r="AP1488"/>
  <c r="AQ1488" s="1"/>
  <c r="AP1494"/>
  <c r="AQ1494" s="1"/>
  <c r="AP1489"/>
  <c r="AQ1489" s="1"/>
  <c r="AP1478"/>
  <c r="AQ1478" s="1"/>
  <c r="AP1490"/>
  <c r="AQ1490" s="1"/>
  <c r="AP1496"/>
  <c r="AQ1496" s="1"/>
  <c r="AP1484"/>
  <c r="AQ1484" s="1"/>
  <c r="AP1486"/>
  <c r="AQ1486" s="1"/>
  <c r="AP1479"/>
  <c r="AQ1479" s="1"/>
  <c r="AP1493"/>
  <c r="AQ1493" s="1"/>
  <c r="AP1498"/>
  <c r="AQ1498" s="1"/>
  <c r="AP1503"/>
  <c r="AQ1503" s="1"/>
  <c r="AP1512"/>
  <c r="AQ1512" s="1"/>
  <c r="AP1480"/>
  <c r="AQ1480" s="1"/>
  <c r="AP1495"/>
  <c r="AQ1495" s="1"/>
  <c r="AP1492"/>
  <c r="AQ1492" s="1"/>
  <c r="AP1520"/>
  <c r="AQ1520" s="1"/>
  <c r="AP1528"/>
  <c r="AQ1528" s="1"/>
  <c r="AP1514"/>
  <c r="AQ1514" s="1"/>
  <c r="AP1526"/>
  <c r="AQ1526" s="1"/>
  <c r="AP1505"/>
  <c r="AQ1505" s="1"/>
  <c r="AP1507"/>
  <c r="AQ1507" s="1"/>
  <c r="AP1477"/>
  <c r="AQ1477" s="1"/>
  <c r="AP1519"/>
  <c r="AQ1519" s="1"/>
  <c r="AP1506"/>
  <c r="AQ1506" s="1"/>
  <c r="AP1525"/>
  <c r="AQ1525" s="1"/>
  <c r="AP1510"/>
  <c r="AQ1510" s="1"/>
  <c r="AP1515"/>
  <c r="AQ1515" s="1"/>
  <c r="AP1501"/>
  <c r="AQ1501" s="1"/>
  <c r="AP1522"/>
  <c r="AQ1522" s="1"/>
  <c r="AP1516"/>
  <c r="AQ1516" s="1"/>
  <c r="AP1530"/>
  <c r="AQ1530" s="1"/>
  <c r="AP1518"/>
  <c r="AQ1518" s="1"/>
  <c r="AP1511"/>
  <c r="AQ1511" s="1"/>
  <c r="AP1500"/>
  <c r="AQ1500" s="1"/>
  <c r="AP1547"/>
  <c r="AQ1547" s="1"/>
  <c r="AP1540"/>
  <c r="AQ1540" s="1"/>
  <c r="AP1535"/>
  <c r="AQ1535" s="1"/>
  <c r="AP1524"/>
  <c r="AQ1524" s="1"/>
  <c r="AP1542"/>
  <c r="AQ1542" s="1"/>
  <c r="AP1546"/>
  <c r="AQ1546" s="1"/>
  <c r="AP1517"/>
  <c r="AQ1517" s="1"/>
  <c r="AP1529"/>
  <c r="AQ1529" s="1"/>
  <c r="AP1521"/>
  <c r="AQ1521" s="1"/>
  <c r="AP1502"/>
  <c r="AQ1502" s="1"/>
  <c r="AP1527"/>
  <c r="AQ1527" s="1"/>
  <c r="AP1536"/>
  <c r="AQ1536" s="1"/>
  <c r="AP1523"/>
  <c r="AQ1523" s="1"/>
  <c r="AP1531"/>
  <c r="AQ1531" s="1"/>
  <c r="AP1537"/>
  <c r="AQ1537" s="1"/>
  <c r="AP1545"/>
  <c r="AQ1545" s="1"/>
  <c r="AP1538"/>
  <c r="AQ1538" s="1"/>
  <c r="AP1539"/>
  <c r="AQ1539" s="1"/>
  <c r="AP1541"/>
  <c r="AQ1541" s="1"/>
  <c r="AP1532"/>
  <c r="AQ1532" s="1"/>
  <c r="AP1533"/>
  <c r="AQ1533" s="1"/>
  <c r="AP1543"/>
  <c r="AQ1543" s="1"/>
  <c r="AP1544"/>
  <c r="AQ1544" s="1"/>
  <c r="AP1534"/>
  <c r="AQ1534" s="1"/>
  <c r="AP1554"/>
  <c r="AQ1554" s="1"/>
  <c r="AP1551"/>
  <c r="AQ1551" s="1"/>
  <c r="AP1552"/>
  <c r="AQ1552" s="1"/>
  <c r="AP1553"/>
  <c r="AQ1553" s="1"/>
  <c r="AP1550"/>
  <c r="AQ1550" s="1"/>
  <c r="AP1549"/>
  <c r="AQ1549" s="1"/>
  <c r="AP1548"/>
  <c r="AQ1548" s="1"/>
  <c r="H132" i="59" l="1"/>
  <c r="I132" s="1"/>
  <c r="J105" i="29"/>
  <c r="I44" i="28"/>
  <c r="H264" i="59"/>
  <c r="I35" i="28"/>
  <c r="I15"/>
  <c r="G46" i="10"/>
  <c r="H300" i="59"/>
  <c r="J123" i="29"/>
  <c r="J11" s="1"/>
  <c r="J13" s="1"/>
  <c r="G35" i="10"/>
  <c r="E37"/>
  <c r="I264" i="59"/>
  <c r="I17" i="28"/>
  <c r="I157"/>
  <c r="I159" s="1"/>
  <c r="I62"/>
  <c r="G34" i="10"/>
  <c r="I110" i="59"/>
  <c r="H110"/>
  <c r="I20" i="28"/>
  <c r="I10" i="29"/>
  <c r="H155" i="28"/>
  <c r="I342" i="59"/>
  <c r="I249"/>
  <c r="D37" i="10"/>
  <c r="G155" i="28"/>
  <c r="I11" i="29" l="1"/>
  <c r="I155" i="28"/>
  <c r="G37" i="10"/>
  <c r="D39" s="1"/>
  <c r="J110" i="59"/>
  <c r="J17" i="29"/>
  <c r="J50"/>
  <c r="E39" i="10" l="1"/>
  <c r="J25" i="29"/>
  <c r="J54"/>
  <c r="I29" i="28"/>
  <c r="J20" i="29"/>
  <c r="J55"/>
  <c r="I55" s="1"/>
  <c r="J22"/>
  <c r="J24"/>
  <c r="J21" l="1"/>
  <c r="J26"/>
  <c r="E40" i="62" l="1"/>
  <c r="F40" s="1"/>
  <c r="G40" s="1"/>
  <c r="H40" s="1"/>
  <c r="I40" s="1"/>
  <c r="J40" s="1"/>
  <c r="K40" s="1"/>
  <c r="L40" s="1"/>
  <c r="M40" s="1"/>
  <c r="N40" s="1"/>
  <c r="O40" s="1"/>
  <c r="P40" s="1"/>
  <c r="H459" i="59"/>
  <c r="G459"/>
  <c r="G460" l="1"/>
  <c r="H460"/>
  <c r="H461" l="1"/>
  <c r="G461"/>
  <c r="G462" l="1"/>
  <c r="H462"/>
  <c r="AP8" i="1"/>
  <c r="AQ8" s="1"/>
  <c r="AP9"/>
  <c r="AQ9" s="1"/>
  <c r="AP12"/>
  <c r="AQ12" s="1"/>
  <c r="AP14"/>
  <c r="AQ14" s="1"/>
  <c r="AP15"/>
  <c r="AQ15" s="1"/>
  <c r="AP16"/>
  <c r="AQ16" s="1"/>
  <c r="AP18"/>
  <c r="AQ18" s="1"/>
  <c r="AP19"/>
  <c r="AQ19" s="1"/>
  <c r="AP20"/>
  <c r="AQ20" s="1"/>
  <c r="AP22"/>
  <c r="AQ22" s="1"/>
  <c r="AP23"/>
  <c r="AQ23" s="1"/>
  <c r="AP25"/>
  <c r="AQ25" s="1"/>
  <c r="AP26"/>
  <c r="AQ26" s="1"/>
  <c r="AP27"/>
  <c r="AQ27" s="1"/>
  <c r="AP30"/>
  <c r="AQ30" s="1"/>
  <c r="AP31"/>
  <c r="AQ31" s="1"/>
  <c r="AP34"/>
  <c r="AQ34" s="1"/>
  <c r="AP38"/>
  <c r="AQ38" s="1"/>
  <c r="AP40"/>
  <c r="AQ40" s="1"/>
  <c r="AP45"/>
  <c r="AQ45" s="1"/>
  <c r="AP49"/>
  <c r="AQ49" s="1"/>
  <c r="AP51"/>
  <c r="AQ51" s="1"/>
  <c r="AP52"/>
  <c r="AQ52" s="1"/>
  <c r="AP64"/>
  <c r="AQ64" s="1"/>
  <c r="AP65"/>
  <c r="AQ65" s="1"/>
  <c r="AP69"/>
  <c r="AQ69" s="1"/>
  <c r="AP74"/>
  <c r="AQ74" s="1"/>
  <c r="AP78"/>
  <c r="AQ78" s="1"/>
  <c r="AP79"/>
  <c r="AQ79" s="1"/>
  <c r="AP83"/>
  <c r="AQ83" s="1"/>
  <c r="AP86"/>
  <c r="AQ86" s="1"/>
  <c r="AP88"/>
  <c r="AQ88" s="1"/>
  <c r="AP93"/>
  <c r="AQ93" s="1"/>
  <c r="AP96"/>
  <c r="AQ96" s="1"/>
  <c r="AP97"/>
  <c r="AQ97" s="1"/>
  <c r="AP101"/>
  <c r="AQ101" s="1"/>
  <c r="AP102"/>
  <c r="AQ102" s="1"/>
  <c r="AP104"/>
  <c r="AQ104" s="1"/>
  <c r="AP105"/>
  <c r="AQ105" s="1"/>
  <c r="AP107"/>
  <c r="AQ107" s="1"/>
  <c r="I293" i="59" l="1"/>
  <c r="H293"/>
  <c r="I239"/>
  <c r="I241" s="1"/>
  <c r="I432" s="1"/>
  <c r="H239"/>
  <c r="AM1571" i="1"/>
  <c r="V1575"/>
  <c r="AN1574"/>
  <c r="AB1576"/>
  <c r="X1574"/>
  <c r="Z1574"/>
  <c r="AD1574"/>
  <c r="U1573"/>
  <c r="G463" i="59"/>
  <c r="H463"/>
  <c r="W1574" i="1"/>
  <c r="AK1574"/>
  <c r="AF1573"/>
  <c r="V1574"/>
  <c r="AH1573"/>
  <c r="AJ1573"/>
  <c r="AA1573"/>
  <c r="W1572"/>
  <c r="AK1576"/>
  <c r="AG1572"/>
  <c r="X1572"/>
  <c r="AO1572"/>
  <c r="AC1572"/>
  <c r="Y1571"/>
  <c r="AK1572"/>
  <c r="AI1571"/>
  <c r="AH1571"/>
  <c r="X1573"/>
  <c r="AN1572"/>
  <c r="AL1576"/>
  <c r="Y1575"/>
  <c r="AA1571"/>
  <c r="AK1571"/>
  <c r="AD1573"/>
  <c r="AC1571"/>
  <c r="AI1573"/>
  <c r="AB1571"/>
  <c r="AE1576"/>
  <c r="AD1575"/>
  <c r="AH1572"/>
  <c r="AN1576"/>
  <c r="AL1575"/>
  <c r="X1575"/>
  <c r="AA1572"/>
  <c r="V1571"/>
  <c r="AM1572"/>
  <c r="AF1575"/>
  <c r="AF1572"/>
  <c r="AN1575"/>
  <c r="AG1573"/>
  <c r="X1576"/>
  <c r="AG1575"/>
  <c r="AJ1574"/>
  <c r="AO1573"/>
  <c r="AH1575"/>
  <c r="AI1574"/>
  <c r="Y1576"/>
  <c r="Y1572"/>
  <c r="U1574"/>
  <c r="Z1575"/>
  <c r="Z1571"/>
  <c r="W1573"/>
  <c r="AF1571"/>
  <c r="AE1571"/>
  <c r="AC1574"/>
  <c r="AI1576"/>
  <c r="AB1574"/>
  <c r="AC1573"/>
  <c r="W1576"/>
  <c r="AH1574"/>
  <c r="AL1571"/>
  <c r="AC1575"/>
  <c r="V1572"/>
  <c r="AM1574"/>
  <c r="AD1572"/>
  <c r="AE1573"/>
  <c r="V1576"/>
  <c r="AM1576"/>
  <c r="AL1574"/>
  <c r="AL1572"/>
  <c r="AG1574"/>
  <c r="AG1576"/>
  <c r="AJ1575"/>
  <c r="AJ1571"/>
  <c r="AO1574"/>
  <c r="AA1575"/>
  <c r="AO1576"/>
  <c r="AF1576"/>
  <c r="Y1573"/>
  <c r="U1575"/>
  <c r="U1571"/>
  <c r="Z1576"/>
  <c r="Z1572"/>
  <c r="AA1574"/>
  <c r="W1571"/>
  <c r="AD1571"/>
  <c r="AA1576"/>
  <c r="AC1576"/>
  <c r="AE1572"/>
  <c r="AB1575"/>
  <c r="AI1575"/>
  <c r="AB1572"/>
  <c r="AL1573"/>
  <c r="AE1574"/>
  <c r="AN1571"/>
  <c r="AH1576"/>
  <c r="X1571"/>
  <c r="V1573"/>
  <c r="AM1575"/>
  <c r="AI1572"/>
  <c r="AN1573"/>
  <c r="AK1575"/>
  <c r="AK1573"/>
  <c r="AM1573"/>
  <c r="AG1571"/>
  <c r="AF1574"/>
  <c r="AJ1576"/>
  <c r="AJ1572"/>
  <c r="AO1575"/>
  <c r="AO1571"/>
  <c r="AD1576"/>
  <c r="AB1573"/>
  <c r="AE1575"/>
  <c r="W1575"/>
  <c r="Y1574"/>
  <c r="U1576"/>
  <c r="U1572"/>
  <c r="Z1573"/>
  <c r="I363" i="59"/>
  <c r="I250"/>
  <c r="I252" s="1"/>
  <c r="I431" s="1"/>
  <c r="H207"/>
  <c r="H209" s="1"/>
  <c r="H212"/>
  <c r="H214" s="1"/>
  <c r="H244"/>
  <c r="H246" s="1"/>
  <c r="H277"/>
  <c r="H279" s="1"/>
  <c r="H303"/>
  <c r="H305" s="1"/>
  <c r="H337"/>
  <c r="H339" s="1"/>
  <c r="H358"/>
  <c r="H360" s="1"/>
  <c r="H385"/>
  <c r="H387" s="1"/>
  <c r="I193"/>
  <c r="I195" s="1"/>
  <c r="I430" s="1"/>
  <c r="I224"/>
  <c r="I255"/>
  <c r="I257" s="1"/>
  <c r="I282"/>
  <c r="I284" s="1"/>
  <c r="I308"/>
  <c r="I310" s="1"/>
  <c r="I370"/>
  <c r="I372" s="1"/>
  <c r="I390"/>
  <c r="I392" s="1"/>
  <c r="H363"/>
  <c r="H367" s="1"/>
  <c r="H428" s="1"/>
  <c r="I207"/>
  <c r="I209" s="1"/>
  <c r="H193"/>
  <c r="H195" s="1"/>
  <c r="H430" s="1"/>
  <c r="H234"/>
  <c r="H236" s="1"/>
  <c r="H272"/>
  <c r="H292"/>
  <c r="H295" s="1"/>
  <c r="H326"/>
  <c r="H328" s="1"/>
  <c r="H353"/>
  <c r="H355" s="1"/>
  <c r="H380"/>
  <c r="H382" s="1"/>
  <c r="H400"/>
  <c r="H402" s="1"/>
  <c r="I212"/>
  <c r="I214" s="1"/>
  <c r="I244"/>
  <c r="I246" s="1"/>
  <c r="I277"/>
  <c r="I303"/>
  <c r="I337"/>
  <c r="I358"/>
  <c r="I360" s="1"/>
  <c r="I385"/>
  <c r="I387" s="1"/>
  <c r="H198"/>
  <c r="I343"/>
  <c r="I345" s="1"/>
  <c r="H188"/>
  <c r="H190" s="1"/>
  <c r="H229"/>
  <c r="H231" s="1"/>
  <c r="H267"/>
  <c r="H269" s="1"/>
  <c r="H287"/>
  <c r="H289" s="1"/>
  <c r="H314"/>
  <c r="H316" s="1"/>
  <c r="H348"/>
  <c r="H350" s="1"/>
  <c r="H375"/>
  <c r="H377" s="1"/>
  <c r="H395"/>
  <c r="H397" s="1"/>
  <c r="I198"/>
  <c r="I234"/>
  <c r="I272"/>
  <c r="I274" s="1"/>
  <c r="I292"/>
  <c r="I326"/>
  <c r="I328" s="1"/>
  <c r="I353"/>
  <c r="I380"/>
  <c r="I382" s="1"/>
  <c r="I400"/>
  <c r="I402" s="1"/>
  <c r="H250"/>
  <c r="H224"/>
  <c r="H226" s="1"/>
  <c r="H255"/>
  <c r="H257" s="1"/>
  <c r="H282"/>
  <c r="H284" s="1"/>
  <c r="H308"/>
  <c r="H310" s="1"/>
  <c r="H343"/>
  <c r="H370"/>
  <c r="H372" s="1"/>
  <c r="H390"/>
  <c r="H392" s="1"/>
  <c r="I188"/>
  <c r="I229"/>
  <c r="I231" s="1"/>
  <c r="I267"/>
  <c r="I287"/>
  <c r="I314"/>
  <c r="I348"/>
  <c r="I350" s="1"/>
  <c r="I375"/>
  <c r="I377" s="1"/>
  <c r="I395"/>
  <c r="I397" s="1"/>
  <c r="I295" l="1"/>
  <c r="AH1578" i="1"/>
  <c r="G76" i="28"/>
  <c r="G160" s="1"/>
  <c r="J292" i="59"/>
  <c r="J293"/>
  <c r="AA1578" i="1"/>
  <c r="U1578"/>
  <c r="V1578"/>
  <c r="Y1578"/>
  <c r="J363" i="59"/>
  <c r="Z1578" i="1"/>
  <c r="X1578"/>
  <c r="AG1578"/>
  <c r="J193" i="59"/>
  <c r="J195" s="1"/>
  <c r="J430"/>
  <c r="AI1578" i="1"/>
  <c r="J353" i="59"/>
  <c r="J355" s="1"/>
  <c r="J234"/>
  <c r="J236" s="1"/>
  <c r="W1578" i="1"/>
  <c r="AN1578"/>
  <c r="J207" i="59"/>
  <c r="J209" s="1"/>
  <c r="J385"/>
  <c r="J387" s="1"/>
  <c r="J255"/>
  <c r="J257" s="1"/>
  <c r="H241"/>
  <c r="H432" s="1"/>
  <c r="J432" s="1"/>
  <c r="P1322" i="64" s="1"/>
  <c r="I190" i="28" s="1"/>
  <c r="J239" i="59"/>
  <c r="J241" s="1"/>
  <c r="AB1578" i="1"/>
  <c r="J400" i="59"/>
  <c r="J402" s="1"/>
  <c r="J229"/>
  <c r="J231" s="1"/>
  <c r="J395"/>
  <c r="J397" s="1"/>
  <c r="J326"/>
  <c r="J328" s="1"/>
  <c r="AO1578" i="1"/>
  <c r="AM1578"/>
  <c r="J282" i="59"/>
  <c r="J284" s="1"/>
  <c r="J272"/>
  <c r="J274" s="1"/>
  <c r="AJ1578" i="1"/>
  <c r="G464" i="59"/>
  <c r="H464"/>
  <c r="I355"/>
  <c r="J375"/>
  <c r="J377" s="1"/>
  <c r="H274"/>
  <c r="J244"/>
  <c r="J246" s="1"/>
  <c r="J358"/>
  <c r="J360" s="1"/>
  <c r="I236"/>
  <c r="J212"/>
  <c r="J214" s="1"/>
  <c r="J308"/>
  <c r="J310" s="1"/>
  <c r="J380"/>
  <c r="J382" s="1"/>
  <c r="J348"/>
  <c r="J350" s="1"/>
  <c r="AL1578" i="1"/>
  <c r="AE1578"/>
  <c r="AC1578"/>
  <c r="AK1578"/>
  <c r="AD1578"/>
  <c r="AF1578"/>
  <c r="J277" i="59"/>
  <c r="J279" s="1"/>
  <c r="I279"/>
  <c r="J224"/>
  <c r="J226" s="1"/>
  <c r="I226"/>
  <c r="J370"/>
  <c r="J372" s="1"/>
  <c r="J267"/>
  <c r="J269" s="1"/>
  <c r="I269"/>
  <c r="J303"/>
  <c r="J305" s="1"/>
  <c r="I305"/>
  <c r="J390"/>
  <c r="J392" s="1"/>
  <c r="J287"/>
  <c r="J289" s="1"/>
  <c r="I289"/>
  <c r="J250"/>
  <c r="J252" s="1"/>
  <c r="H252"/>
  <c r="H431" s="1"/>
  <c r="J431" s="1"/>
  <c r="J198"/>
  <c r="I201"/>
  <c r="J337"/>
  <c r="J339" s="1"/>
  <c r="I339"/>
  <c r="J314"/>
  <c r="J316" s="1"/>
  <c r="I316"/>
  <c r="J188"/>
  <c r="J190" s="1"/>
  <c r="I190"/>
  <c r="H345"/>
  <c r="J343"/>
  <c r="J345" s="1"/>
  <c r="J295" l="1"/>
  <c r="G465"/>
  <c r="H465"/>
  <c r="G466" l="1"/>
  <c r="H466"/>
  <c r="H467" l="1"/>
  <c r="G467"/>
  <c r="G468" l="1"/>
  <c r="H468"/>
  <c r="H469" l="1"/>
  <c r="G469"/>
  <c r="B25" i="37"/>
  <c r="N48" i="58"/>
  <c r="N45"/>
  <c r="N49" s="1"/>
  <c r="O60" i="41"/>
  <c r="N60"/>
  <c r="L45" i="58"/>
  <c r="L49" s="1"/>
  <c r="L48"/>
  <c r="J48"/>
  <c r="H48"/>
  <c r="F48"/>
  <c r="D48"/>
  <c r="P45"/>
  <c r="P49" s="1"/>
  <c r="J49"/>
  <c r="H49"/>
  <c r="F49"/>
  <c r="D49"/>
  <c r="P48"/>
  <c r="S133" s="1"/>
  <c r="S134" l="1"/>
  <c r="I365" i="59"/>
  <c r="P1314" i="64"/>
  <c r="I186" i="28" s="1"/>
  <c r="G470" i="59"/>
  <c r="H470"/>
  <c r="J365" l="1"/>
  <c r="J367" s="1"/>
  <c r="H89" i="28"/>
  <c r="I367" i="59"/>
  <c r="I408" s="1"/>
  <c r="I416" s="1"/>
  <c r="H471"/>
  <c r="G471"/>
  <c r="H94" i="28" l="1"/>
  <c r="H18" s="1"/>
  <c r="H76"/>
  <c r="H87" s="1"/>
  <c r="I428" i="59"/>
  <c r="J428" s="1"/>
  <c r="H472"/>
  <c r="G472"/>
  <c r="H160" i="28" l="1"/>
  <c r="I160" s="1"/>
  <c r="P1313" i="64" s="1"/>
  <c r="I76" i="28"/>
  <c r="G473" i="59"/>
  <c r="H473"/>
  <c r="G474" l="1"/>
  <c r="H474"/>
  <c r="H475" l="1"/>
  <c r="G475"/>
  <c r="H476" l="1"/>
  <c r="G476"/>
  <c r="H477" l="1"/>
  <c r="G477"/>
  <c r="H478" l="1"/>
  <c r="G478"/>
  <c r="G479" l="1"/>
  <c r="H479"/>
  <c r="H480" l="1"/>
  <c r="G480"/>
  <c r="G481" l="1"/>
  <c r="H481"/>
  <c r="G482" l="1"/>
  <c r="H482"/>
  <c r="G483" l="1"/>
  <c r="H483"/>
  <c r="H484" l="1"/>
  <c r="G484"/>
  <c r="G485" l="1"/>
  <c r="H485"/>
  <c r="H486" l="1"/>
  <c r="G486"/>
  <c r="G487" l="1"/>
  <c r="H487"/>
  <c r="G488" l="1"/>
  <c r="H488"/>
  <c r="G489" l="1"/>
  <c r="H489"/>
  <c r="G490" l="1"/>
  <c r="H490"/>
  <c r="H491" l="1"/>
  <c r="G491"/>
  <c r="G492" l="1"/>
  <c r="H492"/>
  <c r="H493" l="1"/>
  <c r="G493"/>
  <c r="H494" l="1"/>
  <c r="G494"/>
  <c r="H495" l="1"/>
  <c r="G495"/>
  <c r="G496" l="1"/>
  <c r="H496"/>
  <c r="H497" l="1"/>
  <c r="G497"/>
  <c r="G498" l="1"/>
  <c r="H498"/>
  <c r="H499" l="1"/>
  <c r="G499"/>
  <c r="H199" s="1"/>
  <c r="P1316" i="64" l="1"/>
  <c r="H429" i="59"/>
  <c r="H201"/>
  <c r="G46" i="28" s="1"/>
  <c r="G89" s="1"/>
  <c r="J199" i="59"/>
  <c r="H408" l="1"/>
  <c r="H416" s="1"/>
  <c r="I46" i="28"/>
  <c r="J201" i="59"/>
  <c r="J408" s="1"/>
  <c r="J416" s="1"/>
  <c r="P1315" i="64"/>
  <c r="J429" i="59"/>
  <c r="G161" i="28"/>
  <c r="I161" s="1"/>
  <c r="I183" l="1"/>
  <c r="I89"/>
  <c r="I87" s="1"/>
  <c r="G94"/>
  <c r="G87"/>
  <c r="I94" l="1"/>
  <c r="G18"/>
  <c r="I18" s="1"/>
  <c r="S138" i="58" l="1"/>
  <c r="H433" i="59" s="1"/>
  <c r="G165" i="28" l="1"/>
  <c r="G167" s="1"/>
  <c r="G19" s="1"/>
  <c r="H435" i="59"/>
  <c r="AO1856" i="1" l="1"/>
  <c r="AO1737"/>
  <c r="AO1846"/>
  <c r="AO1835"/>
  <c r="AN1716"/>
  <c r="AN1708"/>
  <c r="AO1722"/>
  <c r="AO1751"/>
  <c r="AO1854"/>
  <c r="AO1749"/>
  <c r="AO1710"/>
  <c r="AO1832"/>
  <c r="AO1725"/>
  <c r="AN1714"/>
  <c r="AN1846"/>
  <c r="AN1739"/>
  <c r="AN1734"/>
  <c r="AN1752"/>
  <c r="AO1823"/>
  <c r="AO1860"/>
  <c r="AO1859"/>
  <c r="AO1738"/>
  <c r="AO1727"/>
  <c r="AN1851"/>
  <c r="AN1848"/>
  <c r="AN1827"/>
  <c r="AN1841"/>
  <c r="AN1723"/>
  <c r="AN1847"/>
  <c r="AN1844"/>
  <c r="AN1825"/>
  <c r="AN1745"/>
  <c r="AN1753"/>
  <c r="AO1707"/>
  <c r="AO1845"/>
  <c r="AO1842"/>
  <c r="AO1829"/>
  <c r="AN1856"/>
  <c r="AN1751"/>
  <c r="AN1854"/>
  <c r="AN1831"/>
  <c r="AN1832"/>
  <c r="AN1727"/>
  <c r="AN1721"/>
  <c r="AN1724"/>
  <c r="AN1786"/>
  <c r="AN1705"/>
  <c r="AN1710"/>
  <c r="AN1728"/>
  <c r="AN1732"/>
  <c r="AN1750"/>
  <c r="AN1746"/>
  <c r="AN1749"/>
  <c r="AN1729"/>
  <c r="AN1713"/>
  <c r="AO1758" l="1"/>
  <c r="AO1593"/>
  <c r="AO1598" s="1"/>
  <c r="AO1721"/>
  <c r="AO1764"/>
  <c r="AO1767" s="1"/>
  <c r="AO1806"/>
  <c r="AO1861"/>
  <c r="AN1858"/>
  <c r="AO1831"/>
  <c r="AO1865"/>
  <c r="AO1808"/>
  <c r="AO1839"/>
  <c r="AO1800"/>
  <c r="AN1742"/>
  <c r="AN1801"/>
  <c r="AN1707"/>
  <c r="AN1741"/>
  <c r="AN1737"/>
  <c r="AN1711"/>
  <c r="AN1808"/>
  <c r="AN1865"/>
  <c r="AN1845"/>
  <c r="AN1725"/>
  <c r="AN1717"/>
  <c r="AN1744"/>
  <c r="AN1706"/>
  <c r="AN1733"/>
  <c r="AN1722"/>
  <c r="AN1829"/>
  <c r="AN1823"/>
  <c r="AN1726"/>
  <c r="AN1807"/>
  <c r="AN1860"/>
  <c r="AN1819"/>
  <c r="AN1839"/>
  <c r="AN1740"/>
  <c r="AN1743"/>
  <c r="AN1738"/>
  <c r="AN1840"/>
  <c r="AN1791"/>
  <c r="AN1709"/>
  <c r="AN1730"/>
  <c r="AN1781"/>
  <c r="AN1842"/>
  <c r="AN1712"/>
  <c r="AN1764"/>
  <c r="AN1767" s="1"/>
  <c r="AM1767" s="1"/>
  <c r="AN1803"/>
  <c r="AN1758"/>
  <c r="AN1593"/>
  <c r="AN1800"/>
  <c r="AN1718"/>
  <c r="AN1715"/>
  <c r="AN1754"/>
  <c r="AN1806"/>
  <c r="AN1861"/>
  <c r="AN1748"/>
  <c r="AN1594"/>
  <c r="AN1736"/>
  <c r="AN1747"/>
  <c r="AN1835"/>
  <c r="AN1859"/>
  <c r="AO1863" l="1"/>
  <c r="AO1756"/>
  <c r="AO1811"/>
  <c r="AN1789"/>
  <c r="AN1756"/>
  <c r="AN1598"/>
  <c r="AN1863"/>
  <c r="AN1811"/>
  <c r="P29" i="62" l="1"/>
  <c r="P35" s="1"/>
  <c r="P28"/>
  <c r="P34" s="1"/>
  <c r="P44" l="1"/>
  <c r="P18"/>
  <c r="P27"/>
  <c r="O29"/>
  <c r="O35" s="1"/>
  <c r="O28"/>
  <c r="O34" s="1"/>
  <c r="S139" i="58" l="1"/>
  <c r="I433" i="59" s="1"/>
  <c r="O18" i="62"/>
  <c r="O27"/>
  <c r="O44"/>
  <c r="P30"/>
  <c r="P33"/>
  <c r="J433" i="59" l="1"/>
  <c r="J435" s="1"/>
  <c r="I435"/>
  <c r="H165" i="28"/>
  <c r="P36" i="62"/>
  <c r="P43"/>
  <c r="O30"/>
  <c r="O33"/>
  <c r="H167" i="28" l="1"/>
  <c r="H19" s="1"/>
  <c r="I19" s="1"/>
  <c r="I165"/>
  <c r="P45" i="62"/>
  <c r="O36"/>
  <c r="O43"/>
  <c r="I167" i="28" l="1"/>
  <c r="I184"/>
  <c r="P1319" i="64" s="1"/>
  <c r="O45" i="62"/>
  <c r="N29" l="1"/>
  <c r="N35" s="1"/>
  <c r="N28"/>
  <c r="N34" s="1"/>
  <c r="M29"/>
  <c r="M35" s="1"/>
  <c r="M28"/>
  <c r="M34" s="1"/>
  <c r="N44" l="1"/>
  <c r="N18"/>
  <c r="N27"/>
  <c r="M44"/>
  <c r="M27"/>
  <c r="M18"/>
  <c r="M30" l="1"/>
  <c r="M33"/>
  <c r="N30"/>
  <c r="N33"/>
  <c r="N36" l="1"/>
  <c r="N43"/>
  <c r="N45" s="1"/>
  <c r="M43"/>
  <c r="M45" s="1"/>
  <c r="M36"/>
  <c r="L29" l="1"/>
  <c r="L28"/>
  <c r="L27" l="1"/>
  <c r="L18"/>
  <c r="L35"/>
  <c r="L34"/>
  <c r="L44" l="1"/>
  <c r="L30"/>
  <c r="L33"/>
  <c r="L36" l="1"/>
  <c r="L43"/>
  <c r="L45" s="1"/>
  <c r="K29" l="1"/>
  <c r="K28"/>
  <c r="J27" l="1"/>
  <c r="J18"/>
  <c r="J29"/>
  <c r="K35"/>
  <c r="K27"/>
  <c r="K18"/>
  <c r="J28"/>
  <c r="K34"/>
  <c r="K44" l="1"/>
  <c r="J34"/>
  <c r="J35"/>
  <c r="K30"/>
  <c r="K33"/>
  <c r="J30"/>
  <c r="J33"/>
  <c r="I29"/>
  <c r="I35" s="1"/>
  <c r="I28"/>
  <c r="I34" l="1"/>
  <c r="I44" s="1"/>
  <c r="J43"/>
  <c r="J36"/>
  <c r="I27"/>
  <c r="I18"/>
  <c r="K36"/>
  <c r="K43"/>
  <c r="K45" s="1"/>
  <c r="J44"/>
  <c r="J45" l="1"/>
  <c r="I30"/>
  <c r="I33"/>
  <c r="I43" l="1"/>
  <c r="I45" s="1"/>
  <c r="I36"/>
  <c r="H29" l="1"/>
  <c r="H28"/>
  <c r="G27" l="1"/>
  <c r="G18"/>
  <c r="G29"/>
  <c r="H35"/>
  <c r="G28"/>
  <c r="H34"/>
  <c r="H27"/>
  <c r="H18"/>
  <c r="H44" l="1"/>
  <c r="H30"/>
  <c r="H33"/>
  <c r="G34"/>
  <c r="G30"/>
  <c r="G33"/>
  <c r="G35"/>
  <c r="F29"/>
  <c r="F28"/>
  <c r="E29" l="1"/>
  <c r="G44"/>
  <c r="F27"/>
  <c r="F18"/>
  <c r="H43"/>
  <c r="H45" s="1"/>
  <c r="H36"/>
  <c r="E28"/>
  <c r="E34" s="1"/>
  <c r="F34"/>
  <c r="E27"/>
  <c r="E18"/>
  <c r="F35"/>
  <c r="E35" s="1"/>
  <c r="G43"/>
  <c r="G36"/>
  <c r="G45" l="1"/>
  <c r="F44"/>
  <c r="D35"/>
  <c r="D44" s="1"/>
  <c r="P1307" i="64"/>
  <c r="E44" i="62"/>
  <c r="F30"/>
  <c r="F33"/>
  <c r="E30"/>
  <c r="E33"/>
  <c r="P1308" i="64" l="1"/>
  <c r="D43" i="62"/>
  <c r="D45" s="1"/>
  <c r="D36"/>
  <c r="P1306" i="64"/>
  <c r="E43" i="62"/>
  <c r="E45" s="1"/>
  <c r="E36"/>
  <c r="F43"/>
  <c r="F45" s="1"/>
  <c r="F36"/>
  <c r="P49"/>
  <c r="I38" i="59" s="1"/>
  <c r="P1309" i="64" l="1"/>
  <c r="P48" i="62"/>
  <c r="H38" i="59" s="1"/>
  <c r="I40"/>
  <c r="H36" i="28"/>
  <c r="H38" s="1"/>
  <c r="H10" s="1"/>
  <c r="P50" i="62" l="1"/>
  <c r="O50"/>
  <c r="N50" l="1"/>
  <c r="H40" i="59"/>
  <c r="J38"/>
  <c r="J40" s="1"/>
  <c r="G36" i="28"/>
  <c r="I36" l="1"/>
  <c r="G38"/>
  <c r="G10" s="1"/>
  <c r="F50" i="62" l="1"/>
  <c r="L50"/>
  <c r="G50"/>
  <c r="D50"/>
  <c r="E50"/>
  <c r="M50"/>
  <c r="I50"/>
  <c r="K50"/>
  <c r="J50"/>
  <c r="H50"/>
  <c r="H59" i="29"/>
  <c r="H61" s="1"/>
  <c r="I38" i="28"/>
  <c r="I171"/>
  <c r="I182" s="1"/>
  <c r="I10"/>
  <c r="H9" i="29" l="1"/>
  <c r="H68"/>
  <c r="H70" s="1"/>
  <c r="I9" l="1"/>
  <c r="H13"/>
  <c r="H17" s="1"/>
  <c r="H31"/>
  <c r="H32"/>
  <c r="I32" s="1"/>
  <c r="H42" l="1"/>
  <c r="I31"/>
  <c r="I42" s="1"/>
  <c r="I13"/>
  <c r="I17" s="1"/>
  <c r="I24" l="1"/>
  <c r="I22"/>
  <c r="H22" s="1"/>
  <c r="I25"/>
  <c r="H25" s="1"/>
  <c r="I20"/>
  <c r="H20" s="1"/>
  <c r="I50"/>
  <c r="I54"/>
  <c r="I26" l="1"/>
  <c r="H26" s="1"/>
  <c r="I21"/>
  <c r="H21" s="1"/>
  <c r="H24" s="1"/>
  <c r="H28" l="1"/>
  <c r="H25" i="41" l="1"/>
  <c r="H28" s="1"/>
  <c r="H29" l="1"/>
  <c r="I19"/>
  <c r="I25" s="1"/>
  <c r="J19" l="1"/>
  <c r="J25" s="1"/>
  <c r="I28"/>
  <c r="I29"/>
  <c r="J29" l="1"/>
  <c r="K19"/>
  <c r="K25" s="1"/>
  <c r="J28"/>
  <c r="L19" l="1"/>
  <c r="L25" s="1"/>
  <c r="K28"/>
  <c r="K29"/>
  <c r="L28" l="1"/>
  <c r="L29"/>
  <c r="M19"/>
  <c r="M25" s="1"/>
  <c r="N19" l="1"/>
  <c r="N25" s="1"/>
  <c r="M28"/>
  <c r="M29"/>
  <c r="N29" l="1"/>
  <c r="O19"/>
  <c r="O25" s="1"/>
  <c r="N28"/>
  <c r="P19" l="1"/>
  <c r="P25" s="1"/>
  <c r="O28"/>
  <c r="O29"/>
  <c r="P28" l="1"/>
  <c r="P29"/>
  <c r="Q19"/>
  <c r="Q25" s="1"/>
  <c r="R19" l="1"/>
  <c r="R25" s="1"/>
  <c r="Q28"/>
  <c r="Q29"/>
  <c r="R29" l="1"/>
  <c r="S19"/>
  <c r="S25" s="1"/>
  <c r="R28"/>
  <c r="T19" l="1"/>
  <c r="T25" s="1"/>
  <c r="S28"/>
  <c r="S29"/>
  <c r="T28" l="1"/>
  <c r="T29"/>
  <c r="Y1644" i="1" l="1"/>
  <c r="T32" i="41"/>
  <c r="Z1644" i="1"/>
  <c r="Z1645" s="1"/>
  <c r="T33" i="41"/>
  <c r="V1644" i="1" s="1"/>
  <c r="V1645" s="1"/>
  <c r="AB1644" l="1"/>
  <c r="Y1645"/>
  <c r="I185" i="28"/>
  <c r="I192" s="1"/>
  <c r="I27" s="1"/>
  <c r="P1312" i="64"/>
  <c r="U1644" i="1"/>
  <c r="AB1645" l="1"/>
  <c r="P1329" i="64"/>
  <c r="I26" i="28"/>
  <c r="U1645" i="1"/>
  <c r="X1644"/>
  <c r="P1324" i="64"/>
  <c r="P1327"/>
  <c r="J134" i="59" l="1"/>
  <c r="X1645" i="1"/>
  <c r="P1328" i="64"/>
  <c r="H134" i="59" l="1"/>
  <c r="H136" s="1"/>
  <c r="G14" i="28" l="1"/>
  <c r="H133" i="59"/>
  <c r="I134"/>
  <c r="I136" s="1"/>
  <c r="J136" s="1"/>
  <c r="G22" i="28" l="1"/>
  <c r="I133" i="59"/>
  <c r="J133" s="1"/>
  <c r="H14" i="28"/>
  <c r="H22" s="1"/>
  <c r="I14" l="1"/>
  <c r="I22" s="1"/>
  <c r="I23" s="1"/>
  <c r="G23" l="1"/>
  <c r="G26" s="1"/>
  <c r="H23" l="1"/>
  <c r="H26" s="1"/>
  <c r="D52" i="58"/>
  <c r="F52" s="1"/>
  <c r="H52" s="1"/>
  <c r="D53"/>
  <c r="F53" s="1"/>
  <c r="H53" s="1"/>
  <c r="D56" l="1"/>
  <c r="D55"/>
  <c r="J53"/>
  <c r="H56"/>
  <c r="J52"/>
  <c r="H55"/>
  <c r="F56"/>
  <c r="F55"/>
  <c r="J55" l="1"/>
  <c r="L52"/>
  <c r="L53"/>
  <c r="J56"/>
  <c r="L56" l="1"/>
  <c r="N53"/>
  <c r="L55"/>
  <c r="N52"/>
  <c r="P53" l="1"/>
  <c r="P56" s="1"/>
  <c r="N56"/>
  <c r="P52"/>
  <c r="P55" s="1"/>
  <c r="N55"/>
</calcChain>
</file>

<file path=xl/sharedStrings.xml><?xml version="1.0" encoding="utf-8"?>
<sst xmlns="http://schemas.openxmlformats.org/spreadsheetml/2006/main" count="21126" uniqueCount="4939">
  <si>
    <t>0-283.21.29</t>
  </si>
  <si>
    <t>NYS CORP TAX SURCHARGE-ELEC</t>
  </si>
  <si>
    <t>SOFTWARE DEVELOPMENT-GAS</t>
  </si>
  <si>
    <t>0-184.11.00</t>
  </si>
  <si>
    <t>LOST REVENUE RESERVE DEFERRAL-ELEC</t>
  </si>
  <si>
    <t>Property Tax Refunds owed to customers</t>
  </si>
  <si>
    <t>DERIVATIVE LIABILITY - LONG TERM</t>
  </si>
  <si>
    <t>ASGA Gross-Up Reg Asset State</t>
  </si>
  <si>
    <t>Low Income Program - Electric</t>
  </si>
  <si>
    <t>DEF CREDITS - DARS INSURANCE PREMIUMS &amp; WARRANTIES</t>
  </si>
  <si>
    <t>PE254264</t>
  </si>
  <si>
    <t>PE254265</t>
  </si>
  <si>
    <t>PE254370</t>
  </si>
  <si>
    <t>PAYROLL-RELOCATION</t>
  </si>
  <si>
    <t>GENERAL-VAC PAY ACCR</t>
  </si>
  <si>
    <t>Primary Total</t>
  </si>
  <si>
    <t>P&amp;L Receiving</t>
  </si>
  <si>
    <t>FERC PC</t>
  </si>
  <si>
    <t>FERC PC Desc</t>
  </si>
  <si>
    <t>P&amp;L Total</t>
  </si>
  <si>
    <t>Costs to Capital</t>
  </si>
  <si>
    <t>PC</t>
  </si>
  <si>
    <t>Environ Def Elec JP 2010</t>
  </si>
  <si>
    <t>Environ Def Gas JP 2010</t>
  </si>
  <si>
    <t>NCR Leftover Bal Environ Elec</t>
  </si>
  <si>
    <t>NCR Leftover Bal Environ Gas</t>
  </si>
  <si>
    <t>Reg Asset NBC reclass to 254016</t>
  </si>
  <si>
    <t>808002-11</t>
  </si>
  <si>
    <t>GSC Deferral 9/2010-8/2011</t>
  </si>
  <si>
    <t>NCR Leftover Bal Storm</t>
  </si>
  <si>
    <t>BE030409</t>
  </si>
  <si>
    <t>Pension Electric</t>
  </si>
  <si>
    <t>Pension Deferral: Electric</t>
  </si>
  <si>
    <t>NCR Medicare Elec - JP Pg 7 thru RY4</t>
  </si>
  <si>
    <t>BE030598</t>
  </si>
  <si>
    <t>801216-11</t>
  </si>
  <si>
    <t>Variable Rate Debt Deferral - Electric</t>
  </si>
  <si>
    <t>BE030596</t>
  </si>
  <si>
    <t>Management Audit Dererral - Electric</t>
  </si>
  <si>
    <t>BE030599</t>
  </si>
  <si>
    <t>Commodity Working Capital</t>
  </si>
  <si>
    <t>Working Capital Allowance - O&amp;M</t>
  </si>
  <si>
    <t>BC030422</t>
  </si>
  <si>
    <t>Unamortized Loss of Reacquired Debt - Long Term</t>
  </si>
  <si>
    <t>Loss on Reacquired Debt</t>
  </si>
  <si>
    <t>Gain / Loss on Reacquired Debt</t>
  </si>
  <si>
    <t>ELECTRIC:</t>
  </si>
  <si>
    <t>GAS:</t>
  </si>
  <si>
    <t>Total to Not in RTBS:</t>
  </si>
  <si>
    <t>0-286.01.36</t>
  </si>
  <si>
    <t>Non-Qualified Directors Trust</t>
  </si>
  <si>
    <t>ACCUMULATED DEF INVEST TAX CREDITS-GAS</t>
  </si>
  <si>
    <t>PE254280   Amort Debt Discount</t>
  </si>
  <si>
    <t>PE254281   Amort-Loss ReacqDebt</t>
  </si>
  <si>
    <t>PE254320   Allow Funds Constr</t>
  </si>
  <si>
    <t>PG2511     Sales Non Firm/Non I</t>
  </si>
  <si>
    <t>Total Rate Base:</t>
  </si>
  <si>
    <t>Deferred Gas Derivative Hedge</t>
  </si>
  <si>
    <t>0-146.02.00</t>
  </si>
  <si>
    <t>0-243.11.18</t>
  </si>
  <si>
    <t>Power Supply Cost Reconciliation Def</t>
  </si>
  <si>
    <t>0-243.11.19</t>
  </si>
  <si>
    <t>Contrib to ASGA Per 03-M-0084 dtd 9/24/03</t>
  </si>
  <si>
    <t>0-243.11.21</t>
  </si>
  <si>
    <t>Adj to Transfer to Items Not in RB: Bonus Depreciation included in Accel Depr</t>
  </si>
  <si>
    <t>238200</t>
  </si>
  <si>
    <t>DIVIDENDS PAYABLE - PREFERRED STOCK</t>
  </si>
  <si>
    <t>BT010343</t>
  </si>
  <si>
    <t>ARO - Reg Liab - I254670</t>
  </si>
  <si>
    <t>ARO - Net Plant - I118/119</t>
  </si>
  <si>
    <t>BT010351</t>
  </si>
  <si>
    <t>ARO - Net Plant I118/119</t>
  </si>
  <si>
    <t>ACCUM PROV-AMORT OF ELEC PLANT</t>
  </si>
  <si>
    <t>POR Incremental Costs</t>
  </si>
  <si>
    <t>ENVIRONMENTAL - OTH LIAB</t>
  </si>
  <si>
    <t>Env OL</t>
  </si>
  <si>
    <t>TRANSFER TO CURRENT - ASGA REFUND DIT</t>
  </si>
  <si>
    <t>HISTORICAL BOOK RATE CHANGE DEFERRAL</t>
  </si>
  <si>
    <t>RECLASS -DERIVATIVE ASSET-SHORT TERM</t>
  </si>
  <si>
    <t>BG030168</t>
  </si>
  <si>
    <t>BG030172</t>
  </si>
  <si>
    <t>ACCRUED UTILITY REVENUES - GAS</t>
  </si>
  <si>
    <t>POR Costs</t>
  </si>
  <si>
    <t>PURCHASE OF RECEIVABLES INCREMENTAL COSTS</t>
  </si>
  <si>
    <t>SERP</t>
  </si>
  <si>
    <t>PENSION OBLIGATION - SERP</t>
  </si>
  <si>
    <t>RECLASS -DERIVATIVE ASSET-LONG TERM</t>
  </si>
  <si>
    <t>181000</t>
  </si>
  <si>
    <t>UNAMORTIZED DEBT EXPENSE</t>
  </si>
  <si>
    <t>181200</t>
  </si>
  <si>
    <t>0-149.28.73</t>
  </si>
  <si>
    <t>BT010072</t>
  </si>
  <si>
    <t>DEFERRED COMPENSATION - STOCK OPTIONS</t>
  </si>
  <si>
    <t>PE255510   Maint Superv &amp; Eng</t>
  </si>
  <si>
    <t>PG254030   Depreciation Expense</t>
  </si>
  <si>
    <t>PG254040   Amortizations</t>
  </si>
  <si>
    <t>BT010020</t>
  </si>
  <si>
    <t>Retired Non-Mass Asset Property-Fed Only</t>
  </si>
  <si>
    <t>BT010190</t>
  </si>
  <si>
    <t>Power Partner Low Inc Program Fund Def-2006</t>
  </si>
  <si>
    <t>NCR - PPLIP</t>
  </si>
  <si>
    <t>Deferred Gas Costs - $10.5 Million</t>
  </si>
  <si>
    <t>Deferred Gas Costs</t>
  </si>
  <si>
    <t>0-149.28.03</t>
  </si>
  <si>
    <t>Deferred Gas Costs - $12.5 Mill NCR</t>
  </si>
  <si>
    <t>NCR</t>
  </si>
  <si>
    <t>0-149.28.06</t>
  </si>
  <si>
    <t>Gas Def Property Taxes in Excess of Threshold</t>
  </si>
  <si>
    <t>OCI-FAS 133 TREASURY CF SETT - SIT</t>
  </si>
  <si>
    <t>Medicare Part D NCR</t>
  </si>
  <si>
    <t>RDM - Electric</t>
  </si>
  <si>
    <t>Pre-Cap Amortization - Electric</t>
  </si>
  <si>
    <t>BE030904</t>
  </si>
  <si>
    <t>RDM - Gas</t>
  </si>
  <si>
    <t>BT010159</t>
  </si>
  <si>
    <t>BT010182</t>
  </si>
  <si>
    <t>0-283.21.66</t>
  </si>
  <si>
    <t>0-283.21.75</t>
  </si>
  <si>
    <t>Medicare Subsidy Amortization</t>
  </si>
  <si>
    <t>CCS CHANGE DRAWER CLEARING CONTROL</t>
  </si>
  <si>
    <t>SOFTWARE DEVELOPMENT-ELEC</t>
  </si>
  <si>
    <t>0-184.12.00</t>
  </si>
  <si>
    <t>Def Tax Grossup 3</t>
  </si>
  <si>
    <t>SQPM Def Tax</t>
  </si>
  <si>
    <t>SQPM  Deferred Tax</t>
  </si>
  <si>
    <t>Other Regulatory Liabilities - PBA - Merger - Elec</t>
  </si>
  <si>
    <t>808030</t>
  </si>
  <si>
    <t>PBA - Merger Electric</t>
  </si>
  <si>
    <t xml:space="preserve">Other Regulatory Liabilities - PBA - Merger - Gas  </t>
  </si>
  <si>
    <t>808230</t>
  </si>
  <si>
    <t>PBA - Merger Gas</t>
  </si>
  <si>
    <t>800146-a</t>
  </si>
  <si>
    <t>Gross Plant</t>
  </si>
  <si>
    <t>Percent by Dept</t>
  </si>
  <si>
    <t>Freeze for Table</t>
  </si>
  <si>
    <t>Derivative Current Tax Reclass - Fed - Elec</t>
  </si>
  <si>
    <t>0-184.22.28</t>
  </si>
  <si>
    <t>DEFERRED REVENUE SBC-ELEC</t>
  </si>
  <si>
    <t>0-184.22.30</t>
  </si>
  <si>
    <t>Misc K-1</t>
  </si>
  <si>
    <t>MISCELLANEOUS K-1'S</t>
  </si>
  <si>
    <t>Ptax pd v ac</t>
  </si>
  <si>
    <t>RECLASS - INCOME TAXES - FEDERAL - CURRENT - GAS</t>
  </si>
  <si>
    <t>RECLASS - INCOME TAXES - STATE - CURRENT - GAS</t>
  </si>
  <si>
    <t>NCR - Bill Mitigation Deferral - PSC 84</t>
  </si>
  <si>
    <t>0-149.29.86</t>
  </si>
  <si>
    <t>NCR - Bill Mitigation Deferral - PSC 86</t>
  </si>
  <si>
    <t>FERC 636 Transition Costs - Def Debits</t>
  </si>
  <si>
    <t>Other Regulatory Assets - Deferred Gas Costs - Prior Year</t>
  </si>
  <si>
    <t xml:space="preserve">Environmental Remediation Def </t>
  </si>
  <si>
    <t>PE259010   Supervision</t>
  </si>
  <si>
    <t>Gas Hedges Losses total only 97-G-0600</t>
  </si>
  <si>
    <t>UNFUNDED FUT FIT-LONGTERM</t>
  </si>
  <si>
    <t xml:space="preserve">Unfunded FIT - FIT - Reclass Only </t>
  </si>
  <si>
    <t>0-283.21.60</t>
  </si>
  <si>
    <t>R11Marcy South</t>
  </si>
  <si>
    <t>R11MTA Surcharge</t>
  </si>
  <si>
    <t>R11Repair Allowance</t>
  </si>
  <si>
    <t>R11Restricted Stock</t>
  </si>
  <si>
    <t>R11Restructuring Costs</t>
  </si>
  <si>
    <t>R11Revolver Facility</t>
  </si>
  <si>
    <t>R11Tree Trimming</t>
  </si>
  <si>
    <t>580400</t>
  </si>
  <si>
    <t>580420</t>
  </si>
  <si>
    <t>580430</t>
  </si>
  <si>
    <t>Debt</t>
  </si>
  <si>
    <t>Cost of Preferred - $</t>
  </si>
  <si>
    <t>Total Preferred</t>
  </si>
  <si>
    <t>0-149.21.00</t>
  </si>
  <si>
    <t>Superfund Site Remediation</t>
  </si>
  <si>
    <t>OPEBs</t>
  </si>
  <si>
    <t>Formulas</t>
  </si>
  <si>
    <t>0-149.51.98</t>
  </si>
  <si>
    <t>N8 Included in Electric Rate Base (ASGA)</t>
  </si>
  <si>
    <t>Capital Structure and Cost of Debt &amp; Preferred</t>
  </si>
  <si>
    <t>Short Term Debt Supporting IB-CWIP</t>
  </si>
  <si>
    <t>Balance w/o STD Supporting CWIP</t>
  </si>
  <si>
    <t>Total Per Books</t>
  </si>
  <si>
    <t>Capital Structure - $</t>
  </si>
  <si>
    <t>Short Term Debt</t>
  </si>
  <si>
    <t>Customer Deposits &amp; Deferred Compensation &amp; Closed Cycle GAC</t>
  </si>
  <si>
    <t>Total Debt</t>
  </si>
  <si>
    <t>Capital Structure - %</t>
  </si>
  <si>
    <t>Cost of Debt - $</t>
  </si>
  <si>
    <t>580310</t>
  </si>
  <si>
    <t>580336</t>
  </si>
  <si>
    <t>580320</t>
  </si>
  <si>
    <t>580330</t>
  </si>
  <si>
    <t>580338</t>
  </si>
  <si>
    <t>580300</t>
  </si>
  <si>
    <t>Transformers &amp; Meters-ends</t>
  </si>
  <si>
    <t>Gain/Loss on Reacquired Debt - State</t>
  </si>
  <si>
    <t>MTA Surcharge  Amortization</t>
  </si>
  <si>
    <t>PBA Merger Order</t>
  </si>
  <si>
    <t>Storm Costs - Hung</t>
  </si>
  <si>
    <t>Superfund Site Remediation Costs</t>
  </si>
  <si>
    <t>PLANT AUCTION ADMIN COSTS-ELEC REG</t>
  </si>
  <si>
    <t>0-286.01.18</t>
  </si>
  <si>
    <t>MARK TO MARKET ACCT REC-ELEC</t>
  </si>
  <si>
    <t>0-286.01.21</t>
  </si>
  <si>
    <t>ENERGY TAX REFORM DEFERRED REVENUE-ELEC</t>
  </si>
  <si>
    <t>Elec %</t>
  </si>
  <si>
    <t>Gas %</t>
  </si>
  <si>
    <t>Cost of Debt and Preferred - %</t>
  </si>
  <si>
    <t>Preferred</t>
  </si>
  <si>
    <t>0-283.22.27</t>
  </si>
  <si>
    <t>NM2 - ASGA</t>
  </si>
  <si>
    <t>C3</t>
  </si>
  <si>
    <t>Unamortized Premium &amp; Discount</t>
  </si>
  <si>
    <t>C7</t>
  </si>
  <si>
    <t>Current Mortgage Bonds</t>
  </si>
  <si>
    <t>C8</t>
  </si>
  <si>
    <t>Nuclear Fuel (Not in Process)</t>
  </si>
  <si>
    <t>R6</t>
  </si>
  <si>
    <t>R10Energy Supply Reconciliation</t>
  </si>
  <si>
    <t>R10PSC Assessment</t>
  </si>
  <si>
    <t>Seneca Lake Deferral Doc 95-T-0248</t>
  </si>
  <si>
    <t>0-183.88.00</t>
  </si>
  <si>
    <t>Contributions in Aid of Construction</t>
  </si>
  <si>
    <t>0-183.89.00</t>
  </si>
  <si>
    <t>Payroll-Related Costs</t>
  </si>
  <si>
    <t>Environmental - Other Liab</t>
  </si>
  <si>
    <t>BT010071</t>
  </si>
  <si>
    <t>BT010033</t>
  </si>
  <si>
    <t>BT010034</t>
  </si>
  <si>
    <t>BT010264</t>
  </si>
  <si>
    <t>BT010038</t>
  </si>
  <si>
    <t>PLANT IN SERVICE - ELECTRIC</t>
  </si>
  <si>
    <t>R</t>
  </si>
  <si>
    <t>nanana</t>
  </si>
  <si>
    <t>PLANT IN SERVICE - COMMON</t>
  </si>
  <si>
    <t>PRO UNDER CAP LEASES-GAS</t>
  </si>
  <si>
    <t>PLANT HELD-FUTURE USE-ELECTRIC</t>
  </si>
  <si>
    <t>PG259301</t>
  </si>
  <si>
    <t>PG259302</t>
  </si>
  <si>
    <t>OTHER A/R -PAYROLL ADVANCES</t>
  </si>
  <si>
    <t>Other Regulatory Liabilities - Excess Deferred Income Taxes</t>
  </si>
  <si>
    <t>Excess Def Inc Taxes Pa/Cust - ITC - LT</t>
  </si>
  <si>
    <t>REVOLVER FACILITY</t>
  </si>
  <si>
    <t>Econ Devlp</t>
  </si>
  <si>
    <t>ECONOMIC DEVELOPMENT DEFERRAL</t>
  </si>
  <si>
    <t>Katz</t>
  </si>
  <si>
    <t>OTH REG ASSETS</t>
  </si>
  <si>
    <t>UNCONTROLLABLE STORM COSTS-ELEC</t>
  </si>
  <si>
    <t>ECONOMIC DEVELOPMENT INCENTIVES</t>
  </si>
  <si>
    <t>SFAS 106 POST RETIREMENT BENEFITS-ELEC</t>
  </si>
  <si>
    <t>0-183.43.01</t>
  </si>
  <si>
    <t>PG258510</t>
  </si>
  <si>
    <t>PG258560</t>
  </si>
  <si>
    <t>PG258590</t>
  </si>
  <si>
    <t>PG258610</t>
  </si>
  <si>
    <t>PG258630</t>
  </si>
  <si>
    <t>PG258650</t>
  </si>
  <si>
    <t>PG258700</t>
  </si>
  <si>
    <t>PG258710</t>
  </si>
  <si>
    <t>PG258740</t>
  </si>
  <si>
    <t>PG258750</t>
  </si>
  <si>
    <t>PG258770</t>
  </si>
  <si>
    <t>PG258780</t>
  </si>
  <si>
    <t>PG258790</t>
  </si>
  <si>
    <t>PG258800</t>
  </si>
  <si>
    <t>PG258850</t>
  </si>
  <si>
    <t>PG258860</t>
  </si>
  <si>
    <t>PG258870</t>
  </si>
  <si>
    <t>OTH REGULATORY LIAB-UNFUNDED FUTURE INC TAXES</t>
  </si>
  <si>
    <t>Preferred Stock</t>
  </si>
  <si>
    <t>C15</t>
  </si>
  <si>
    <t>Common Equity</t>
  </si>
  <si>
    <t>C16</t>
  </si>
  <si>
    <t>Short Term Notes</t>
  </si>
  <si>
    <t>C17</t>
  </si>
  <si>
    <t>SFAS-106 - OPEBs</t>
  </si>
  <si>
    <t>ACRS DEPR ACQUIS PREM-GAS-CNY</t>
  </si>
  <si>
    <t>UNAMORTIZED LOSS OF REACQ DEBT-LONG TERM</t>
  </si>
  <si>
    <t>ASBESTOS ABATEMENT DEDUCTION-ELEC</t>
  </si>
  <si>
    <t>Asbestos Abatement</t>
  </si>
  <si>
    <t>0-283.22.04</t>
  </si>
  <si>
    <t>0-283.22.05</t>
  </si>
  <si>
    <t>BT010268</t>
  </si>
  <si>
    <t>Medicare Subsidy Flowthrough</t>
  </si>
  <si>
    <t>PE255540   Maint of Misc Oth Ge</t>
  </si>
  <si>
    <t>R&amp;D Def</t>
  </si>
  <si>
    <t>R&amp;D DEFERRAL</t>
  </si>
  <si>
    <t>SARBANES-OXLEY DEFFERAL</t>
  </si>
  <si>
    <t>BT010286</t>
  </si>
  <si>
    <t>BT010110</t>
  </si>
  <si>
    <t>BT010167</t>
  </si>
  <si>
    <t>BT010172</t>
  </si>
  <si>
    <t>BT010181</t>
  </si>
  <si>
    <t>PMJ CIRCULATION CHARGES DEFERRED</t>
  </si>
  <si>
    <t>GAS STORED-NONCUR-INTERSTATE</t>
  </si>
  <si>
    <t>ACCUMULATED PROVISION FOR DEPRECIATION-ARO-GAS</t>
  </si>
  <si>
    <t>BT010117</t>
  </si>
  <si>
    <t>NB of Delaware Cty - Depository</t>
  </si>
  <si>
    <t>0-149.29.73</t>
  </si>
  <si>
    <t>590480</t>
  </si>
  <si>
    <t>EEPS accruing NCR transfer from EBCAP</t>
  </si>
  <si>
    <t>ACCUM DEF INC TAX-OTH PROP-STATE-ELECTRIC</t>
  </si>
  <si>
    <t>ACCUM DEF INC TAX-OTH PROP-STATE-GAS</t>
  </si>
  <si>
    <t>ACCUM DEF INC TAXES - OTHER</t>
  </si>
  <si>
    <t>ACCUM DEF INC TAX-OTH-FEDERAL-ELECTRIC</t>
  </si>
  <si>
    <t>TEMP MTA SURCHARGE-GAS</t>
  </si>
  <si>
    <t>PSA General Assessment 2009</t>
  </si>
  <si>
    <t>809008-GEN</t>
  </si>
  <si>
    <t>MHP Meter cost</t>
  </si>
  <si>
    <t>0-149.99.05</t>
  </si>
  <si>
    <t>0-283.22.03</t>
  </si>
  <si>
    <t>PAYROLL DEDUCTIONS - UNIFORM - GENERAL MAINTENANC</t>
  </si>
  <si>
    <t>OTH REG LIAB - EXCESS EARNINGS (ESM)</t>
  </si>
  <si>
    <t>2004 Economic Development Deferral</t>
  </si>
  <si>
    <t>Economic Development</t>
  </si>
  <si>
    <t>0-149.99.06</t>
  </si>
  <si>
    <t>2005 Economic Development Deferral - Electric</t>
  </si>
  <si>
    <t>0-242.98.05</t>
  </si>
  <si>
    <t>BT010035</t>
  </si>
  <si>
    <t>Miscellaneous K-1'S</t>
  </si>
  <si>
    <t>Niagara Mohawk Transmission Wheeling - NCR</t>
  </si>
  <si>
    <t>Defer 2003 IRS Audit</t>
  </si>
  <si>
    <t>0-149.21.01</t>
  </si>
  <si>
    <t>809009-GEN</t>
  </si>
  <si>
    <t>MISCELLANEOUS PAID IN CAPITAL</t>
  </si>
  <si>
    <t>MISC PAID IN CAP-(POST MERGER)</t>
  </si>
  <si>
    <t>RECLASS-PROM NOTE  DUE IN 1 YR (LTD) (WITH 224991</t>
  </si>
  <si>
    <t>OTH NONCURENT LIAB-ARO - ELEC</t>
  </si>
  <si>
    <t>0-149.55.00</t>
  </si>
  <si>
    <t>Asset Retirement Obligation - Trans Adjust</t>
  </si>
  <si>
    <t xml:space="preserve">Other Regulatory Assets </t>
  </si>
  <si>
    <t>Other</t>
  </si>
  <si>
    <t>Other Regulatory Assets - Site Remediation</t>
  </si>
  <si>
    <t>Multiple: 282.11.10/282.11.06/282.11.04/IBO Costs/NIRP Costs/WM Costs</t>
  </si>
  <si>
    <t>SFAS 158 - POST RETIREMENT BENEFITS</t>
  </si>
  <si>
    <t>PANDEMIC COSTS</t>
  </si>
  <si>
    <t>0-242.56.34</t>
  </si>
  <si>
    <t>Other Def Cr - CNY Gross Up - Gas - Other</t>
  </si>
  <si>
    <t>Other Regulatory Liabilities - ASGA</t>
  </si>
  <si>
    <t>Environmental Remediation</t>
  </si>
  <si>
    <t>0-183.62.00</t>
  </si>
  <si>
    <t>RESERVE OBSOLETE M&amp;S GENERATION</t>
  </si>
  <si>
    <t>Reclass Other Reg Assets - Unfund Future FIT - El (w/182396)</t>
  </si>
  <si>
    <t>MFC</t>
  </si>
  <si>
    <t>This Study  Alloc Code</t>
  </si>
  <si>
    <t>R&amp;D Tax Credit</t>
  </si>
  <si>
    <t>BE030594</t>
  </si>
  <si>
    <t>Excess Deferred Income Tax Payable to Customers - G</t>
  </si>
  <si>
    <t>BE030359</t>
  </si>
  <si>
    <t>(e)</t>
  </si>
  <si>
    <t>ACCUM DEFERRED INC TAXES - STATE - ELECTRIC</t>
  </si>
  <si>
    <t>ACCUM DEFERRED INC TAXES - STATE - GAS</t>
  </si>
  <si>
    <t>Reclass GSC Deferral Calculation</t>
  </si>
  <si>
    <t>GSC Deferral</t>
  </si>
  <si>
    <t>0-242.39.01</t>
  </si>
  <si>
    <t>Electric - 2002 Excess Earnings Due to Cust</t>
  </si>
  <si>
    <t>BT010120</t>
  </si>
  <si>
    <t>BT010128</t>
  </si>
  <si>
    <t>BT010174</t>
  </si>
  <si>
    <t>BT010188</t>
  </si>
  <si>
    <t>DEF CREDITS - MISCELLANEOUS - OTHER</t>
  </si>
  <si>
    <t>CURRENT TAX RECLASS - FEDERAL - ELECTRIC</t>
  </si>
  <si>
    <t>CURRENT TAX RECLASS - STATE - ELECTRIC</t>
  </si>
  <si>
    <t>RECLASS - ADIT - STATE - CURR - ELECTRIC</t>
  </si>
  <si>
    <t>ADIT - FAS106 OBLIGATION STATE GAS CURRENT</t>
  </si>
  <si>
    <t>Type/Cat</t>
  </si>
  <si>
    <t>Type Name</t>
  </si>
  <si>
    <t>Category Name</t>
  </si>
  <si>
    <t>A1</t>
  </si>
  <si>
    <t>All Other</t>
  </si>
  <si>
    <t>Tax Depreciation</t>
  </si>
  <si>
    <t>ACCUM DEF INC TAX-OTH-STATE-ELEC-NONOP</t>
  </si>
  <si>
    <t>Clearing Accounts</t>
  </si>
  <si>
    <t>Excess Deferred Taxes New York Other Property</t>
  </si>
  <si>
    <t>Excess Deferred Taxes New York Reg NCR</t>
  </si>
  <si>
    <t>GRT Passback Amortization</t>
  </si>
  <si>
    <t>MTA Surcharge Deferred - Fed</t>
  </si>
  <si>
    <t>MTA Surcharge Deferred - State</t>
  </si>
  <si>
    <t>NCR Bill Mitigation Deferral</t>
  </si>
  <si>
    <t>Sub-Acct Description</t>
  </si>
  <si>
    <t>This Study Short Name</t>
  </si>
  <si>
    <t>Category 1 &amp; 2</t>
  </si>
  <si>
    <t>Accruing NCR</t>
  </si>
  <si>
    <t>SFAS-109 Account</t>
  </si>
  <si>
    <t>Major Cat</t>
  </si>
  <si>
    <t>0-286.01.03</t>
  </si>
  <si>
    <t>0-242.56.32</t>
  </si>
  <si>
    <t>Other Def Cr - LT Gross Up - Gas - CNY</t>
  </si>
  <si>
    <t>Stock Options - Accrual vs Vesting</t>
  </si>
  <si>
    <t>Workers Comp Reserve</t>
  </si>
  <si>
    <t>Workers Comp Reserve - State</t>
  </si>
  <si>
    <t>Revenue Enhancement Warranty</t>
  </si>
  <si>
    <t>Int Expense Def 1997-99 Irs Audit - State</t>
  </si>
  <si>
    <t>PG258920   Maintenance of Services</t>
  </si>
  <si>
    <t>PG258930   Maint of Meter &amp; Reg</t>
  </si>
  <si>
    <t>BT010287</t>
  </si>
  <si>
    <t>Property Tax Paid vs Expense</t>
  </si>
  <si>
    <t>BT010175</t>
  </si>
  <si>
    <t>BT010209</t>
  </si>
  <si>
    <t>BT010224</t>
  </si>
  <si>
    <t>BT010225</t>
  </si>
  <si>
    <t>BE030182</t>
  </si>
  <si>
    <t>BT010177</t>
  </si>
  <si>
    <t>BT010109</t>
  </si>
  <si>
    <t>BT010032</t>
  </si>
  <si>
    <t>BT010238</t>
  </si>
  <si>
    <t>BT010253</t>
  </si>
  <si>
    <t>Excess Deferred Income Tax</t>
  </si>
  <si>
    <t>Revolver Facility</t>
  </si>
  <si>
    <t>A/R-MISCELLANEOUS (FROM SD TO CCS)</t>
  </si>
  <si>
    <t>0-184.22.31</t>
  </si>
  <si>
    <t>NCR-GAS</t>
  </si>
  <si>
    <t>Tax Item-4</t>
  </si>
  <si>
    <t>PE2544     Consol Bill Rev Elec</t>
  </si>
  <si>
    <t>PG2570     Firm Rev NY St Ast</t>
  </si>
  <si>
    <t>PG2544     Consol Bill Rev Gas</t>
  </si>
  <si>
    <t>0-184.22.18</t>
  </si>
  <si>
    <t>DEFERRED GAS COSTS-DIFF GSC AND ACTUAL</t>
  </si>
  <si>
    <t>0-283.22.33</t>
  </si>
  <si>
    <t>NCR-BILL MITIGATION DEFERRAL</t>
  </si>
  <si>
    <t>0-283.22.36</t>
  </si>
  <si>
    <t>GAS PENSION DEFERRAL-2003</t>
  </si>
  <si>
    <t>0-283.22.37</t>
  </si>
  <si>
    <t>DEFERRED GAS PROPERTY TAXES</t>
  </si>
  <si>
    <t>PG258560   Mains Expenses</t>
  </si>
  <si>
    <t>PG258590   Other Expenses</t>
  </si>
  <si>
    <t>PG258630   Maintenance of Mains</t>
  </si>
  <si>
    <t>PG258650   Maint of Meas &amp; Reg</t>
  </si>
  <si>
    <t>Defer June 2006 Flood Cost - Elec</t>
  </si>
  <si>
    <t>2005 R&amp;D Tax Credit</t>
  </si>
  <si>
    <t>Debt Adjustment</t>
  </si>
  <si>
    <t>Reacq Debt Adj</t>
  </si>
  <si>
    <t>Market to Market Derivative Disallowance</t>
  </si>
  <si>
    <t>NBC</t>
  </si>
  <si>
    <t>0-243.11.04</t>
  </si>
  <si>
    <t>NM2 ASGA - Other Reg Liabilities</t>
  </si>
  <si>
    <t>0-243.11.14</t>
  </si>
  <si>
    <t>Power Partner Basic Serv Charge Deferral</t>
  </si>
  <si>
    <t>OCI - FAS 133 Mark to Market</t>
  </si>
  <si>
    <t>DEF INTERCO GAIN AMORT-PLANE-GAS</t>
  </si>
  <si>
    <t>809002</t>
  </si>
  <si>
    <t>808013</t>
  </si>
  <si>
    <t>2008 Commodity ESM</t>
  </si>
  <si>
    <t xml:space="preserve"> 2008 $5m Accelerated ESM through the NBC</t>
  </si>
  <si>
    <t>Tax Item-2</t>
  </si>
  <si>
    <t>Tax Item-3</t>
  </si>
  <si>
    <t>PG258880</t>
  </si>
  <si>
    <t>PG258890</t>
  </si>
  <si>
    <t>PG258910</t>
  </si>
  <si>
    <t>PG258920</t>
  </si>
  <si>
    <t>PG258930</t>
  </si>
  <si>
    <t>PG259010</t>
  </si>
  <si>
    <t>0-286.01.48</t>
  </si>
  <si>
    <t>NYPA-HYDRO PREF POWER RATE</t>
  </si>
  <si>
    <t>ACCRUED UTILITY REVENUES - ELECTRIC</t>
  </si>
  <si>
    <t>Unbilled Revenue</t>
  </si>
  <si>
    <t>NY State Income Taxes - Gas - GSC Offset</t>
  </si>
  <si>
    <t>Deferred Income Taxes</t>
  </si>
  <si>
    <t>R12</t>
  </si>
  <si>
    <t>Deferred Investment Tax Credit</t>
  </si>
  <si>
    <t>R13</t>
  </si>
  <si>
    <t>MISC CUR &amp; ACCR LIAB-RENEWABLE PORTFOLIO STANDARD</t>
  </si>
  <si>
    <t>OTH REG LIAB - ECONOMIC DEVELOPMENT</t>
  </si>
  <si>
    <t>PE255520   Maint of Structure</t>
  </si>
  <si>
    <t>PE255530   Maint of Gen &amp; Elec</t>
  </si>
  <si>
    <t>MISC CUR &amp; ACCR LIAB - PERFORMANCE PLUS PLAN</t>
  </si>
  <si>
    <t>PSC Supplemental Assessment 2009</t>
  </si>
  <si>
    <t>0-307.01-00</t>
  </si>
  <si>
    <t>0-307.02.00</t>
  </si>
  <si>
    <t>Various</t>
  </si>
  <si>
    <t>Temp MTA Tax Surcharge Deferred 2008 -2009 Elec</t>
  </si>
  <si>
    <t>Temp MTA Tax Surcharge Deferred 2008 -2009 Gas</t>
  </si>
  <si>
    <t>Temp MTA Tax Surcharge Deferred - Tax Entries</t>
  </si>
  <si>
    <t>808013-09</t>
  </si>
  <si>
    <t>Power Partner Low Inc Program Fund 2009</t>
  </si>
  <si>
    <t>Gas Transition Surcharge - Pension</t>
  </si>
  <si>
    <t>808001-09</t>
  </si>
  <si>
    <t>Gas Pension Income - 2009</t>
  </si>
  <si>
    <t>808012-09</t>
  </si>
  <si>
    <t>2009 SOX Costs - Gas</t>
  </si>
  <si>
    <t>807020-09</t>
  </si>
  <si>
    <t>Transmission Integrity 2009</t>
  </si>
  <si>
    <t>Gas Transition Surcharge - Flood</t>
  </si>
  <si>
    <t>Gas Transition Surcharge - Xmsn integrity</t>
  </si>
  <si>
    <t>Other Regulatory Assests Non Bypassable Charge</t>
  </si>
  <si>
    <t>MFC Undercollection - Electric Deferral</t>
  </si>
  <si>
    <t>MFC - Electric NCR</t>
  </si>
  <si>
    <t>PY Wholesale Margin Refund</t>
  </si>
  <si>
    <t>Wholesale Margin Sep05-Aug08</t>
  </si>
  <si>
    <t>0-286.01.33</t>
  </si>
  <si>
    <t>ACCOUNTS PAYABLE - PAYROLL</t>
  </si>
  <si>
    <t>PAYROLL DEDUCTIONS - UNITED WAY</t>
  </si>
  <si>
    <t>DEFERRED COMP DIRECTORS PENSION-ELEC</t>
  </si>
  <si>
    <t>ACCUM DEFERRED INC TAXES-FEDERAL-ELECTRIC-NONOP</t>
  </si>
  <si>
    <t>BT010193</t>
  </si>
  <si>
    <t>BT010194</t>
  </si>
  <si>
    <t>BT010206</t>
  </si>
  <si>
    <t>BT010195</t>
  </si>
  <si>
    <t>BT010236</t>
  </si>
  <si>
    <t>BT010039</t>
  </si>
  <si>
    <t>BT010207</t>
  </si>
  <si>
    <t>BT010053</t>
  </si>
  <si>
    <t>BT010057</t>
  </si>
  <si>
    <t>BT010121</t>
  </si>
  <si>
    <t>NCR O&amp;E</t>
  </si>
  <si>
    <t>NCR Flood</t>
  </si>
  <si>
    <t>Purch Pwr</t>
  </si>
  <si>
    <t>TOTALS:</t>
  </si>
  <si>
    <t>O&amp;M-E</t>
  </si>
  <si>
    <t>O&amp;M-G</t>
  </si>
  <si>
    <t>Purch Gas</t>
  </si>
  <si>
    <t>Balance Sheet reclass</t>
  </si>
  <si>
    <t>NCR-GAS PENSION INCOME</t>
  </si>
  <si>
    <t>RESTR STOCK</t>
  </si>
  <si>
    <t>Excess Earnings 2005</t>
  </si>
  <si>
    <t>NCR Property Tax Refunds owed to customers</t>
  </si>
  <si>
    <t>0-243.11.60</t>
  </si>
  <si>
    <t>NiMo DIT Trans to ASGA</t>
  </si>
  <si>
    <t>NiMo DOE D&amp;D</t>
  </si>
  <si>
    <t>UNAMORTIZED DEBT EXPENSE-MEDIUM TERM BONDS</t>
  </si>
  <si>
    <t>181400</t>
  </si>
  <si>
    <t>UNAMORTIZED DEBT EXPENSE-POLLUTION CONTROL BONDS</t>
  </si>
  <si>
    <t>OTH REGULATORY ASSETS-ENVIRONMENTAL</t>
  </si>
  <si>
    <t>KINTIGH, PUTNAM &amp; CLINTON PROPERTY TAX REFUNDS</t>
  </si>
  <si>
    <t>Unfunded FIT - FAS 109</t>
  </si>
  <si>
    <t>ASGA</t>
  </si>
  <si>
    <t>ACCUM DEFERRED INC TAXES-STATE-CURRENT-GAS</t>
  </si>
  <si>
    <t>0-283.21.98</t>
  </si>
  <si>
    <t>ACCUMULATED DEPRECIATION-GAS MANUAL ADJUSTMENT</t>
  </si>
  <si>
    <t>ACCUMULATED DEPRECIATION RESERVE - COMMON</t>
  </si>
  <si>
    <t>UNDEPRECIATED RETIREMENT - COMMON</t>
  </si>
  <si>
    <t>BG030181</t>
  </si>
  <si>
    <t>Transmision Integrity Deferral 2006</t>
  </si>
  <si>
    <t>BG030184</t>
  </si>
  <si>
    <t>BG030165</t>
  </si>
  <si>
    <t>BG030559</t>
  </si>
  <si>
    <t>OTH COMPRE INC-FAS 133 RECLASSIFICATIONS-FIT</t>
  </si>
  <si>
    <t>OTH COMPRE INC-FAS 133 TREASURY RECLASSIFICATN-FI</t>
  </si>
  <si>
    <t>OTHER COMPREHENSIVE INC-FAS 133 MARK TO MARKET-SI</t>
  </si>
  <si>
    <t>OTH COMPRE INC-FAS 133 TREASURY MARK TO MARKET-SI</t>
  </si>
  <si>
    <t>OTHER COMPREHENSIVE INC-FAS 133 RECLASS-SIT</t>
  </si>
  <si>
    <t>OTHER COMPRE INC-FAS 133 TREASURY RECLASS-SIT</t>
  </si>
  <si>
    <t>0-283.21.30</t>
  </si>
  <si>
    <t>Inc Tax on Lower Book Depr Exp vs. Amt in Rates</t>
  </si>
  <si>
    <t>PG258040   Natl Gas City Gate</t>
  </si>
  <si>
    <t>PG258051   Purch Gas Cost Adj</t>
  </si>
  <si>
    <t>PG258850   Maint Superv &amp; Eng</t>
  </si>
  <si>
    <t>PG258880   Maint of Compr Sta</t>
  </si>
  <si>
    <t>PG258890   Maint Meas &amp; Reg-Gen</t>
  </si>
  <si>
    <t>PG258910   Maint Meas &amp; Reg-Cty</t>
  </si>
  <si>
    <t>PG258940   Maint of Oth Equip</t>
  </si>
  <si>
    <t>PG259050   Misc. Customer Acct</t>
  </si>
  <si>
    <t>PG259090   Inform and Instruct</t>
  </si>
  <si>
    <t>PG258500   Oper Superv &amp; Eng</t>
  </si>
  <si>
    <t>0-242.98.04</t>
  </si>
  <si>
    <t>PG2572     Firm-Annual Rev Deco</t>
  </si>
  <si>
    <t>PE255600   Oper Superv &amp; Eng</t>
  </si>
  <si>
    <t>PE255611   Load Disp-Reliabilit</t>
  </si>
  <si>
    <t>ESM Pension Allocation Adj - 2005-2006</t>
  </si>
  <si>
    <t>NCR ESM Pension Allocation Adj 2005-2006</t>
  </si>
  <si>
    <t>Merchant Function Charge - Electric</t>
  </si>
  <si>
    <t>NCR Gas Main Integrity</t>
  </si>
  <si>
    <t>ESM on 2007-2008 LEA Settlement &amp; Conversion Transaction Service</t>
  </si>
  <si>
    <t>NCR on ESM Flood Reserve</t>
  </si>
  <si>
    <t>ESM on 2002, 2003, 2006 Auction Revenues</t>
  </si>
  <si>
    <t>NCR on ESM-2002, 2003, 2006 Auction Revenues</t>
  </si>
  <si>
    <t>809013</t>
  </si>
  <si>
    <t>ESM adj on Occupancy Loader Excess Charges</t>
  </si>
  <si>
    <t>NCR on ASGA ESM Tax Component 2003-2005</t>
  </si>
  <si>
    <t>PE254270   Interest LTD</t>
  </si>
  <si>
    <t>PE254310   Other Interest Expense</t>
  </si>
  <si>
    <t>PRE254310  IC Oth Interst Exp E</t>
  </si>
  <si>
    <t>510120</t>
  </si>
  <si>
    <t>809008-CC</t>
  </si>
  <si>
    <t>PSA Supplemental Assessment 2009 -NCR</t>
  </si>
  <si>
    <t>809009-CC</t>
  </si>
  <si>
    <t>808003-10</t>
  </si>
  <si>
    <t>Gas MFC 7/2009-6/2010</t>
  </si>
  <si>
    <t>OCI - FAS 133 Reclassifications</t>
  </si>
  <si>
    <t>Items Not in Rate Base</t>
  </si>
  <si>
    <t>Items Accruing Non-Cash Return</t>
  </si>
  <si>
    <t>PE255620   Station Expenses</t>
  </si>
  <si>
    <t>PE255630   Overhead Line Expense</t>
  </si>
  <si>
    <t>PE255670   Rents</t>
  </si>
  <si>
    <t>PE259090   Inform and Instruct</t>
  </si>
  <si>
    <t>FLOOD INSURANCE RECOVERY</t>
  </si>
  <si>
    <t>Flood Ins</t>
  </si>
  <si>
    <t>2005 Earnings Sharing - Electric</t>
  </si>
  <si>
    <t>0-242.99.01</t>
  </si>
  <si>
    <t>2004 Gas EDP Deferral</t>
  </si>
  <si>
    <t>SQPM Penalties Elec</t>
  </si>
  <si>
    <t>800166</t>
  </si>
  <si>
    <t>SQPM Penalties Gas</t>
  </si>
  <si>
    <t>M&amp;S - INVENTORY FUEL</t>
  </si>
  <si>
    <t>PRELIMINARY ENGINEERING - GAS</t>
  </si>
  <si>
    <t>RG Liabilities -DSO EL HDG</t>
  </si>
  <si>
    <t>DSO</t>
  </si>
  <si>
    <t>Energy Efficiency</t>
  </si>
  <si>
    <t>IRS Audit</t>
  </si>
  <si>
    <t>TAXES ACCRUED-GAS-FERC FIN 48 - INTEREST</t>
  </si>
  <si>
    <t>FIN 48 Reclass</t>
  </si>
  <si>
    <t>OTH DEF CREDITS-DEFERRED COMPENSATION</t>
  </si>
  <si>
    <t>Deferred Comp - Putnam</t>
  </si>
  <si>
    <t>OTH REGULATORY LIAB-DSO ELECTRIC HEDGES (GAINS)</t>
  </si>
  <si>
    <t>0-286.01.25</t>
  </si>
  <si>
    <t>MFC Undercollection</t>
  </si>
  <si>
    <t>MTA Sales Credit</t>
  </si>
  <si>
    <t>TAXES ACCRUED-GAS-FERC FIN 48 - DEFERRED</t>
  </si>
  <si>
    <r>
      <t xml:space="preserve">General Ledger Balances from SAP - </t>
    </r>
    <r>
      <rPr>
        <b/>
        <u/>
        <sz val="20"/>
        <rFont val="Arial"/>
        <family val="2"/>
      </rPr>
      <t>NYSEG</t>
    </r>
  </si>
  <si>
    <t>PE254561</t>
  </si>
  <si>
    <t>Superfund Site Remediation - Gas</t>
  </si>
  <si>
    <t>0-149.28.05</t>
  </si>
  <si>
    <t>TAXES ACCRUED - NYS INCOME TAX - MTA</t>
  </si>
  <si>
    <t>BT010011</t>
  </si>
  <si>
    <t>BT010016</t>
  </si>
  <si>
    <t>BT010029</t>
  </si>
  <si>
    <t>BT010030</t>
  </si>
  <si>
    <t>BT010031</t>
  </si>
  <si>
    <t>BT010024</t>
  </si>
  <si>
    <t>BT010043</t>
  </si>
  <si>
    <t>BTHUNGDT</t>
  </si>
  <si>
    <t>REVOLVER</t>
  </si>
  <si>
    <t>RECLASS - ADIT - STATE - CURR - GAS</t>
  </si>
  <si>
    <t>FLOOD COSTS 2006</t>
  </si>
  <si>
    <t>Flood</t>
  </si>
  <si>
    <t>TRANSMISSION INTEGRITY DEFERRAL</t>
  </si>
  <si>
    <t>Trans Integ</t>
  </si>
  <si>
    <t>RDM</t>
  </si>
  <si>
    <t>Excess Earnings</t>
  </si>
  <si>
    <t>SBC</t>
  </si>
  <si>
    <t>RESTRUCTURING COSTS</t>
  </si>
  <si>
    <t>DEFERRED REVENUE - SBC</t>
  </si>
  <si>
    <t>UNAMORTIZED DISCOUNT ON DEBT</t>
  </si>
  <si>
    <t>226500</t>
  </si>
  <si>
    <t>UNAMORTIZED DISCOUNT ON DEBT - MTD-SERIES A</t>
  </si>
  <si>
    <t>February</t>
  </si>
  <si>
    <t>April</t>
  </si>
  <si>
    <t>0-243.11.15</t>
  </si>
  <si>
    <t>MISC CUR&amp;ACCRD ASSETS -MISC</t>
  </si>
  <si>
    <t>NBWC True-up</t>
  </si>
  <si>
    <t>Non-Utility Property</t>
  </si>
  <si>
    <t>Other Investments</t>
  </si>
  <si>
    <t>A/P-RETENTIONS-CONTRACTS</t>
  </si>
  <si>
    <t>A/P-WHOLESALE PURCHASED GAS</t>
  </si>
  <si>
    <t>A/P TO AFFILIATE-AUTOMATIC CLEARING</t>
  </si>
  <si>
    <t>GAS STORED-DOMINION TRANSMISSION</t>
  </si>
  <si>
    <t>M&amp;S - RECON - STOCK MATERIALS</t>
  </si>
  <si>
    <t>M&amp;S - RECON- MATERIALS RECEIVED CLEARING</t>
  </si>
  <si>
    <t>0-186.01.07</t>
  </si>
  <si>
    <t>0-186.01.08</t>
  </si>
  <si>
    <t>0-186.01.10</t>
  </si>
  <si>
    <t>RESERVE OBSOLETE M&amp;S GENERATION-ELEC</t>
  </si>
  <si>
    <t>GRT Refund Receivable</t>
  </si>
  <si>
    <t>Unit of Property</t>
  </si>
  <si>
    <t>GRT Refund</t>
  </si>
  <si>
    <t>BT010354</t>
  </si>
  <si>
    <t>BT010355</t>
  </si>
  <si>
    <t>0-283.21.13</t>
  </si>
  <si>
    <t>PROPERTY TAX PAID VS ACCRUED</t>
  </si>
  <si>
    <t>Adjustment to Working Capital - O&amp;M:</t>
  </si>
  <si>
    <t>ACCOUNTS RECEIVABLE ACCRUALS - MISCELLANEOUS</t>
  </si>
  <si>
    <t>OTHER A/R -GREEN POWER</t>
  </si>
  <si>
    <t>OTHER A/R - PAYROLL CLAIMS</t>
  </si>
  <si>
    <t>ARO-Other Liability</t>
  </si>
  <si>
    <t>ARO - Other Liab-I230010/030</t>
  </si>
  <si>
    <t>ARO - Other Liab</t>
  </si>
  <si>
    <t>PE255691   Maint-Comp Hardware</t>
  </si>
  <si>
    <t>PE255692   Maint-Comp Software</t>
  </si>
  <si>
    <t>PE255693   Maint-Commun Equipmn</t>
  </si>
  <si>
    <t>PE255700   Maint Station Exp</t>
  </si>
  <si>
    <t>PE255710   Maint Overhead Line</t>
  </si>
  <si>
    <t>PE255720   Maint Underground</t>
  </si>
  <si>
    <t>PE255730   Maint of Misc Transm</t>
  </si>
  <si>
    <t>PE255800   Oper Superv &amp; Eng</t>
  </si>
  <si>
    <t>PE255840   Underground Line Exp</t>
  </si>
  <si>
    <t>PE255850   Street Light &amp; Sign</t>
  </si>
  <si>
    <t>PE255870   Customer Install Exp</t>
  </si>
  <si>
    <t>PE255880   Misc. Distrib Exp</t>
  </si>
  <si>
    <t>PE255900   Maint Superv &amp; Eng</t>
  </si>
  <si>
    <t>NEIL Refunds NiMo DOE D&amp;D</t>
  </si>
  <si>
    <t>2007 ASGA Refund to Customers</t>
  </si>
  <si>
    <t>INVESTMENT TAX CREDIT-GAS-CNY</t>
  </si>
  <si>
    <t>Purchase of receivables</t>
  </si>
  <si>
    <t>Misc Fed Ben</t>
  </si>
  <si>
    <t>0-286.01.17</t>
  </si>
  <si>
    <t>ACCUM DEF SIT TAXES-GROSS REC TAX UNBILLED REV-GAS</t>
  </si>
  <si>
    <t>The Calculation of Tax Depreciation for the property record</t>
  </si>
  <si>
    <t>The calculation is a comparison of the Tax Depreciation with and</t>
  </si>
  <si>
    <t>without the special Bonus Depreciation</t>
  </si>
  <si>
    <t>Addition</t>
  </si>
  <si>
    <t xml:space="preserve">Tax </t>
  </si>
  <si>
    <t>Vintage</t>
  </si>
  <si>
    <t>Year</t>
  </si>
  <si>
    <t>2010 WITH</t>
  </si>
  <si>
    <t>2010 W/O</t>
  </si>
  <si>
    <t>2011 WITH</t>
  </si>
  <si>
    <t>2011 W/O</t>
  </si>
  <si>
    <t xml:space="preserve">TOTAL WITH </t>
  </si>
  <si>
    <t>TOTAL W/O</t>
  </si>
  <si>
    <t>DIFFERENCE</t>
  </si>
  <si>
    <t>@ 35%</t>
  </si>
  <si>
    <t>ADFIT @12/31</t>
  </si>
  <si>
    <t>Average Balance</t>
  </si>
  <si>
    <t>WITH = Total Depreciation when Bonus Depreciation is Claimed</t>
  </si>
  <si>
    <t>W/O = Total Depreciation when no Bonus Depreciation is Claimed</t>
  </si>
  <si>
    <t>Low Income Program 2010 Bill Reduction</t>
  </si>
  <si>
    <t>Low Income Program 2010 Arrears Forgive</t>
  </si>
  <si>
    <t>BE030903</t>
  </si>
  <si>
    <t>Amort Elec Cost To Achieve Austerity</t>
  </si>
  <si>
    <t>NCR Leftover -CTA Austerity</t>
  </si>
  <si>
    <t>BE030246</t>
  </si>
  <si>
    <t>OPEB Electric</t>
  </si>
  <si>
    <t>Opeb Deferral</t>
  </si>
  <si>
    <t>CONSTRUCTION WORK IN PROGRESS - ELECTRIC</t>
  </si>
  <si>
    <t>CONSTRUCTION WORK IN PROGRESS - GAS</t>
  </si>
  <si>
    <t>DERIVATIVE CURRENT TAX RECLASS - STATE - ELEC</t>
  </si>
  <si>
    <t>OTH DEF CREDITS-MARCY-SO FACILITIES CHARGE</t>
  </si>
  <si>
    <t>Marcy South</t>
  </si>
  <si>
    <t>Other Regulatory Liabilities - Miscellaneous - Electric</t>
  </si>
  <si>
    <t>BE030295</t>
  </si>
  <si>
    <t>NEIL Premium Refund - Electric</t>
  </si>
  <si>
    <t>0-286.01.31</t>
  </si>
  <si>
    <t>BT010204</t>
  </si>
  <si>
    <t>BT010220</t>
  </si>
  <si>
    <t>USE TAX RESERVE</t>
  </si>
  <si>
    <t>Use Tax Res</t>
  </si>
  <si>
    <t>FAS 158 - OPEB</t>
  </si>
  <si>
    <t>ADIT - FEDERAL - CURRENT - GAS</t>
  </si>
  <si>
    <t>ADIT - STATE - CURRENT - GAS</t>
  </si>
  <si>
    <t>Excess Deferred Income Tax Payable Non NCR Items-Electric</t>
  </si>
  <si>
    <t>Excess Deferred Income Tax Payable Non NCR Items-Gas</t>
  </si>
  <si>
    <t>PURCHASED POWER DEFERRAL-ELEC</t>
  </si>
  <si>
    <t>OTH REG LIAB - PURCHASE OF RECEIVABLES-ELECTRIC</t>
  </si>
  <si>
    <t>OTH REG LIAB - PURCHASE OF RECEIVABLES-GAS</t>
  </si>
  <si>
    <t>Incr Maint / CRO Deferral - Electric</t>
  </si>
  <si>
    <t>PBA-IBERDROLA MERGER ELECTRIC</t>
  </si>
  <si>
    <t>PBA-IBERDROLA MERGER GAS</t>
  </si>
  <si>
    <t>R7</t>
  </si>
  <si>
    <t>BC030561</t>
  </si>
  <si>
    <t>Other Regulatory Assets - Unfunded Federal Income Tax</t>
  </si>
  <si>
    <t>Other Regulatory Assets - Asset Retirement Obligation - Electric</t>
  </si>
  <si>
    <t>FAS 143 ARO Electric</t>
  </si>
  <si>
    <t>Pension Gas</t>
  </si>
  <si>
    <t>807020-RY1</t>
  </si>
  <si>
    <t>BG030410</t>
  </si>
  <si>
    <t>BG030598</t>
  </si>
  <si>
    <t>BG030596</t>
  </si>
  <si>
    <t>BG030182</t>
  </si>
  <si>
    <t>BG030599</t>
  </si>
  <si>
    <t>Pension Deferral: Gas</t>
  </si>
  <si>
    <t>Gas Pipeline Integ Deferral</t>
  </si>
  <si>
    <t>ENVIRONMENTAL RESERVE RECLASS CURRENT</t>
  </si>
  <si>
    <t>ENVIRONMENTAL RESERVE RECLASS TO OFFSET 228992</t>
  </si>
  <si>
    <t>OTH COMPRE INC-FAS 133 TRANSITION-FIT</t>
  </si>
  <si>
    <t>OTH COMPRE INC-FAS 133 MARK TO MARKET</t>
  </si>
  <si>
    <t>OTH COMPRE INC-FAS 133 TREASURY MARK TO MARKET</t>
  </si>
  <si>
    <t>RECLASS DEFERRED TAX ASSET TO CURRENT - GAS</t>
  </si>
  <si>
    <t>R11Non-Qualified Retiree Trust (net of related liability)</t>
  </si>
  <si>
    <t>Contra Account - Pension Credit</t>
  </si>
  <si>
    <t>0-183.15.00</t>
  </si>
  <si>
    <t>GAC SURCHARGE ADJ DEFERRAL</t>
  </si>
  <si>
    <t>0-183.23.00</t>
  </si>
  <si>
    <t>A&amp;S CHIP RESERVES-GAS</t>
  </si>
  <si>
    <t>0-182.06.00</t>
  </si>
  <si>
    <t>0-182.10.00</t>
  </si>
  <si>
    <t>INSURANCE RESERVES</t>
  </si>
  <si>
    <t>PG258790   Customer Install Exp</t>
  </si>
  <si>
    <t>Positive Benefit Adjustment</t>
  </si>
  <si>
    <t>Env Remed</t>
  </si>
  <si>
    <t>ENVIRONMENTAL REMEDIATION-GAS</t>
  </si>
  <si>
    <t>0-186.01.52</t>
  </si>
  <si>
    <t>PG259120   Demo and Selling</t>
  </si>
  <si>
    <t>PG259200   Admin &amp; Gen Salaries</t>
  </si>
  <si>
    <t>PG259210   Offfice Supp &amp; Exp</t>
  </si>
  <si>
    <t>PG259230   Outside Services Emp</t>
  </si>
  <si>
    <t>PG259260   Empl Pension &amp; Ben</t>
  </si>
  <si>
    <t>NBC Mitigation</t>
  </si>
  <si>
    <t>OTH REGULATORY LIAB-SALE OF GENERATION ASSETS GAI</t>
  </si>
  <si>
    <t>PE259350   Maint of Gen Plt</t>
  </si>
  <si>
    <t>PE254030   Depreciation Expense</t>
  </si>
  <si>
    <t>PE254040   Amortizations</t>
  </si>
  <si>
    <t>2008 Powertax</t>
  </si>
  <si>
    <t>PG254191   AFUDC</t>
  </si>
  <si>
    <t>PG254261   Donations</t>
  </si>
  <si>
    <t>OTH COMPRE INC-FAS 87 NON QUAL PENSION</t>
  </si>
  <si>
    <t>OTH COMPRE INC-FAS 87 NON QUAL PENSION-FIT</t>
  </si>
  <si>
    <t>OTH COMPRE INC-FAS 133 TRANSITION</t>
  </si>
  <si>
    <t>808002-12</t>
  </si>
  <si>
    <t>BG030090</t>
  </si>
  <si>
    <t>GSC Deferral 9/2010-8/2012</t>
  </si>
  <si>
    <t>GSC 8/11 Filing</t>
  </si>
  <si>
    <t>BE030925</t>
  </si>
  <si>
    <t>807045-11</t>
  </si>
  <si>
    <t>MFC Undercollection  - Electric Deferral 2011</t>
  </si>
  <si>
    <t>Executive Compensation</t>
  </si>
  <si>
    <t>Non-Qualified Retiree Trust (net of related liability)</t>
  </si>
  <si>
    <t>Seneca Sale Gain</t>
  </si>
  <si>
    <t>Economic Development-Gas</t>
  </si>
  <si>
    <t>ACF</t>
  </si>
  <si>
    <t>Seneca</t>
  </si>
  <si>
    <t>OTH A/R -MISCELLANEOUS A/R</t>
  </si>
  <si>
    <t>PG259320</t>
  </si>
  <si>
    <t>PG254180</t>
  </si>
  <si>
    <t>PG254264</t>
  </si>
  <si>
    <t>PG254370</t>
  </si>
  <si>
    <t>ACCUM PROV-UNCOLLECTIBLE ACCTS-SUNDRY-ELECTRIC</t>
  </si>
  <si>
    <t>A/P-PURCHASED GAS BY MARKETER</t>
  </si>
  <si>
    <t>RECLASS - ADIT - FEDERAL - CURRENT - ELECTRIC</t>
  </si>
  <si>
    <t>RECLASS - ADIT - STATE - CURRENT - ELECTRIC</t>
  </si>
  <si>
    <t>RECLASS - OTHER REG LIAB - ADIT - GAS</t>
  </si>
  <si>
    <t>OCI-FAS 133 TREASURY CF SETT - FIT</t>
  </si>
  <si>
    <t>0-242.58.15</t>
  </si>
  <si>
    <t>Unbilled Revenue Pool</t>
  </si>
  <si>
    <t>0-286.01.04</t>
  </si>
  <si>
    <t>OTH REG LIAB - ECONOMIC DEVELOPMENT-GAS</t>
  </si>
  <si>
    <t>801232</t>
  </si>
  <si>
    <t>Economic Development Gas</t>
  </si>
  <si>
    <t>Def Income Taxes - $45.8 Mill Amort - Year 1</t>
  </si>
  <si>
    <t>0-149.99.01</t>
  </si>
  <si>
    <t>Property Tax Deferral</t>
  </si>
  <si>
    <t>0-149.99.02</t>
  </si>
  <si>
    <t>0-243.11.05</t>
  </si>
  <si>
    <t>Deferred Tax Gross Up Rel to NM2 ASG</t>
  </si>
  <si>
    <t>0-243.11.06</t>
  </si>
  <si>
    <t>NCR on ASGA 243.11.04</t>
  </si>
  <si>
    <t>165300</t>
  </si>
  <si>
    <t>ACCUM PROV-DEPR-ELEC-NON-POOL INCLUDING LAND</t>
  </si>
  <si>
    <t>0-186.01.13</t>
  </si>
  <si>
    <t>0-186.01.14</t>
  </si>
  <si>
    <t>0-186.01.15</t>
  </si>
  <si>
    <t>0-186.01.16</t>
  </si>
  <si>
    <t>0-186.01.17</t>
  </si>
  <si>
    <t>NCR on Orphan Economic Dev</t>
  </si>
  <si>
    <t>Annual Add per JP App G 56-2b</t>
  </si>
  <si>
    <t>801249</t>
  </si>
  <si>
    <t>801250</t>
  </si>
  <si>
    <t>BG030921</t>
  </si>
  <si>
    <t>Customer Share of Pretax Gain</t>
  </si>
  <si>
    <t>Operational Savings</t>
  </si>
  <si>
    <t>Other Regulatory Liabilities - SENECA Assets Sale Gain</t>
  </si>
  <si>
    <t>Lost Revenues Related to Corning Diesel</t>
  </si>
  <si>
    <t>OTH REG ASSETS-UNCONTROLLABLE/EXONGENOUS COSTS-EL</t>
  </si>
  <si>
    <t>OTH NONCUR LIAB-ACCUM PROV-LT PENSION OBLIG</t>
  </si>
  <si>
    <t>Other Reg Assets Uncollable/Exongenous Costs- Gas</t>
  </si>
  <si>
    <t>BG030925</t>
  </si>
  <si>
    <t>RESTRUCTURING CHARGES-ELEC</t>
  </si>
  <si>
    <t>DEFERRED COMP DIRECTORS PENSION-GAS</t>
  </si>
  <si>
    <t>0-182.20.01</t>
  </si>
  <si>
    <t>OCI - FAS 133 Treasury CF SETT</t>
  </si>
  <si>
    <t>ACCUMULATED DEPRECIATION RESERVE - ELECTRIC</t>
  </si>
  <si>
    <t>UNDEPRECIATED RETIREMENT - ELECTRIC</t>
  </si>
  <si>
    <t>BE030208</t>
  </si>
  <si>
    <t>ACCUM DEF INC TAX-OTH-STATE-ELECTRIC</t>
  </si>
  <si>
    <t>808005</t>
  </si>
  <si>
    <t xml:space="preserve">2008 ESM Commodity </t>
  </si>
  <si>
    <t>808007</t>
  </si>
  <si>
    <t>2008 Earnings Sharing - Electric</t>
  </si>
  <si>
    <t>Other Regulatory Liabilities - Gas Hedges (Gains)</t>
  </si>
  <si>
    <t>Environmenta Remediation</t>
  </si>
  <si>
    <t>NCR-PPLIP</t>
  </si>
  <si>
    <t>NCR-Environment</t>
  </si>
  <si>
    <t>TAXES ACCRUED - FEDERAL HIGHWAY USE</t>
  </si>
  <si>
    <t>0-242.50.22</t>
  </si>
  <si>
    <t>Other Def Cr - ADR - LT Gross Up - Gas</t>
  </si>
  <si>
    <t>0-149.49.27</t>
  </si>
  <si>
    <t>ACCUM DEFERRED INC TAXES - FEDERAL</t>
  </si>
  <si>
    <t>ACCUM DEFERRED INC TAXES - FEDERAL - ELECTRIC</t>
  </si>
  <si>
    <t>BE030566</t>
  </si>
  <si>
    <t>RECLASS DEFERRED TAX ASSET TO CURRENT - ELECTRIC</t>
  </si>
  <si>
    <t>0-149.29.75</t>
  </si>
  <si>
    <t>NCR - Bill Mitigation Deferral - PSC 75</t>
  </si>
  <si>
    <t>PG2516     Interruptible Sales</t>
  </si>
  <si>
    <t>PG254950   Damaged Billing Process</t>
  </si>
  <si>
    <t>BT010213</t>
  </si>
  <si>
    <t>BT010221</t>
  </si>
  <si>
    <t>BT010288</t>
  </si>
  <si>
    <t>Deferred Gas Costs - 1.5 M</t>
  </si>
  <si>
    <t>Deferral - non-cash</t>
  </si>
  <si>
    <t>OTH REGULATORY LIAB-DEF UNBILLED REVENUE</t>
  </si>
  <si>
    <t>PE259302   Misc. General Expenses</t>
  </si>
  <si>
    <t>ADIT - FAS 109 - FED - OTH PROP - GAS</t>
  </si>
  <si>
    <t>ADIT - FAS 109 - STATE - OTH PROP - ELEC</t>
  </si>
  <si>
    <t>ADIT - FAS 109 - STATE - OTH PROP - GAS</t>
  </si>
  <si>
    <t>BT010010</t>
  </si>
  <si>
    <t>ADIT - FAS 109 - FED - OTH - ELEC</t>
  </si>
  <si>
    <t>ADIT - FAS 109 - GROSS-UP - FED - ELEC</t>
  </si>
  <si>
    <t>ADIT - FAS 109 - GROSS-UP - FED - GAS</t>
  </si>
  <si>
    <t>ADIT - FAS 109 - GROSS-UP - STATE - ELEC</t>
  </si>
  <si>
    <t>R10Capitalized Installation Costs</t>
  </si>
  <si>
    <t>PE254191   AFUDC</t>
  </si>
  <si>
    <t>PE254261   Donations</t>
  </si>
  <si>
    <t>PE254263   OID-Penalties</t>
  </si>
  <si>
    <t>PE254264   OID-Civic&amp;Political</t>
  </si>
  <si>
    <t>PE254265   OID-Other Deductions</t>
  </si>
  <si>
    <t>PE254092   Inc Tax Oth Inc&amp;DedE</t>
  </si>
  <si>
    <t>Bonus Depreciation</t>
  </si>
  <si>
    <t>Vegetation Management</t>
  </si>
  <si>
    <t>Delivery</t>
  </si>
  <si>
    <t>Commodity</t>
  </si>
  <si>
    <t>Adjustment to Electric: Include ASGA per Case #05-E-1222 &amp; 09-E-0715</t>
  </si>
  <si>
    <t>PG2523     Rental Income</t>
  </si>
  <si>
    <t>DEFERRED GAS COSTS - OUTREACH &amp; EDUCATION</t>
  </si>
  <si>
    <t>Outreach &amp; Ed</t>
  </si>
  <si>
    <t>Pandemic</t>
  </si>
  <si>
    <t>0-184.22.12</t>
  </si>
  <si>
    <t>0-149.99.99</t>
  </si>
  <si>
    <t>ACCUM DEFERRED INC TAXES - FEDERAL-CURRENT</t>
  </si>
  <si>
    <t>WORKER'S COMPENSATION RESERVE</t>
  </si>
  <si>
    <t>0-286.01.32</t>
  </si>
  <si>
    <t>ACCUM DEF INC TAX-OTH-STATE-GAS</t>
  </si>
  <si>
    <t>ACCUM DEF INC TAX-OTH-STATE-ELECTRIC-NONOP</t>
  </si>
  <si>
    <t>ACCUM PROV-UNCOLLECTIBLE ACCTS-SUNDRY</t>
  </si>
  <si>
    <t>MISC CUR&amp;ACCRD ASSETS -OTH BILLING CHARGES</t>
  </si>
  <si>
    <t>OTH REG ASSETS - NON-BYPASSABLE CHARGE-NBC</t>
  </si>
  <si>
    <t>OTHER REGULATORY ASSETS - STORM COSTS</t>
  </si>
  <si>
    <t>OTH WIP - MANU MATL &amp; SUPP (NO STORES EXP)</t>
  </si>
  <si>
    <t>"PSC" Allocator:</t>
  </si>
  <si>
    <t>Total Assessment (2%)</t>
  </si>
  <si>
    <t>Medicare Subsidy</t>
  </si>
  <si>
    <t>S81999</t>
  </si>
  <si>
    <t>GSC Deferral 2005</t>
  </si>
  <si>
    <t>2005 LIRA Gas Cost</t>
  </si>
  <si>
    <t>Total Deferred taxes</t>
  </si>
  <si>
    <t>PURTA Refund</t>
  </si>
  <si>
    <t>A&amp;S Reserve</t>
  </si>
  <si>
    <t xml:space="preserve">Bad Debt </t>
  </si>
  <si>
    <t>Restructuring</t>
  </si>
  <si>
    <t>ASGA Refund</t>
  </si>
  <si>
    <t>MHP Meter Costs</t>
  </si>
  <si>
    <t>ENV-OTH LIAB</t>
  </si>
  <si>
    <t>PAY OVRHD CAPTLZD-PLANT IN SERV</t>
  </si>
  <si>
    <t>Interest-Bearing CWIP</t>
  </si>
  <si>
    <t>N2</t>
  </si>
  <si>
    <t>Direct Assign Items Not in RB</t>
  </si>
  <si>
    <t>N3</t>
  </si>
  <si>
    <t>PE2570     FS - NY State Assessment</t>
  </si>
  <si>
    <t>(2009 Rate Case)</t>
  </si>
  <si>
    <t>PE255440   Maint of Elect Plt</t>
  </si>
  <si>
    <t>PE255450   Maint of Misc Hyd Pl</t>
  </si>
  <si>
    <t>PE255460   Oper Superv &amp; Eng</t>
  </si>
  <si>
    <t>PE255490   Misc. Oth Pwr Gen</t>
  </si>
  <si>
    <t>PE255680   Maint Superv &amp; Eng</t>
  </si>
  <si>
    <t>PE255690   Maint of Structure</t>
  </si>
  <si>
    <t>LIP</t>
  </si>
  <si>
    <t>Ptax Def</t>
  </si>
  <si>
    <t>VERP CTA</t>
  </si>
  <si>
    <t>FAS106 OPEB Reg Liab FAS 158</t>
  </si>
  <si>
    <t>ISO Costs Deferred</t>
  </si>
  <si>
    <t>807020-08</t>
  </si>
  <si>
    <t>Transmission Integrity 2008</t>
  </si>
  <si>
    <t>808002-09</t>
  </si>
  <si>
    <t>GSC Deferral 9/2008-8/2009</t>
  </si>
  <si>
    <t>2009 gsc Refund of 2008 Gas Year</t>
  </si>
  <si>
    <t>Working Capital - O&amp;M</t>
  </si>
  <si>
    <t>R9</t>
  </si>
  <si>
    <t>Unfunded Future ITC Liability - Electric</t>
  </si>
  <si>
    <t>Other Regulatory Assets - Gas Hedges (Losses)</t>
  </si>
  <si>
    <t>DERIVATIVE CURRENT TAX RECLASS - FED - GAS</t>
  </si>
  <si>
    <t>0-283.22.28</t>
  </si>
  <si>
    <t>PG2599     Regulatory Rev Activ</t>
  </si>
  <si>
    <t>182.02.00/182.04.00</t>
  </si>
  <si>
    <t>182.18.01/183.39.00</t>
  </si>
  <si>
    <t>182.18.02/183.40.00</t>
  </si>
  <si>
    <t>183.43.00/283.22.26</t>
  </si>
  <si>
    <t>184.22.29/184.22.35</t>
  </si>
  <si>
    <t>186.01.21/186.01.05</t>
  </si>
  <si>
    <t>186.01.22/186.01.06</t>
  </si>
  <si>
    <t>EDF Liab 2006</t>
  </si>
  <si>
    <t>2006 Environ Remed - Per Plan - Electric</t>
  </si>
  <si>
    <t>NCR on NM2 Cost and DOE D &amp; D</t>
  </si>
  <si>
    <t>BE030307</t>
  </si>
  <si>
    <t>Excess DIT &gt; 7.1% (NYS)</t>
  </si>
  <si>
    <t>Casualty Loss</t>
  </si>
  <si>
    <t>Prepaid Insurance</t>
  </si>
  <si>
    <t>Repair Allowance</t>
  </si>
  <si>
    <t>OTH NONCURENT LIAB-ARO - GAS</t>
  </si>
  <si>
    <t>Asset Retirement Obligation</t>
  </si>
  <si>
    <t>231010</t>
  </si>
  <si>
    <t>NOTES PAYABLE</t>
  </si>
  <si>
    <t>ACCOUNTS PAYABLE - REGULAR</t>
  </si>
  <si>
    <t>Accounts Payable</t>
  </si>
  <si>
    <t>ACCOUNT PAYABLE - MISCELLANEOUS</t>
  </si>
  <si>
    <t>0-282.11.18</t>
  </si>
  <si>
    <t>RECLASS-INCOME TAXES-STATE-CURRENT-ELECTRIC</t>
  </si>
  <si>
    <t>RECLASS-INCOME TAXES-STATE-CURRENT-GAS</t>
  </si>
  <si>
    <t>RECLASS-ACCUM DEFER INC TX-STATE-CURRENT-ELECTRIC</t>
  </si>
  <si>
    <t>RECLASS-ACCUM DEFER INC TX-STATE-CURRENT-GAS</t>
  </si>
  <si>
    <t>CUSTOMER DEPOSITS (CCS)</t>
  </si>
  <si>
    <t>Adjustment to Prepayments (R7):</t>
  </si>
  <si>
    <t>BT010226</t>
  </si>
  <si>
    <t>BT010240</t>
  </si>
  <si>
    <t>Vacation Accrual</t>
  </si>
  <si>
    <t>BT010241</t>
  </si>
  <si>
    <t>BT010244</t>
  </si>
  <si>
    <t>0-146.52.04</t>
  </si>
  <si>
    <t>Coal Tar Site Liability - Gas</t>
  </si>
  <si>
    <t>ARO-other liab I230010/030</t>
  </si>
  <si>
    <t>ARO</t>
  </si>
  <si>
    <t>BT010303</t>
  </si>
  <si>
    <t>Allocator</t>
  </si>
  <si>
    <t>Allocation Method</t>
  </si>
  <si>
    <t>Nonutility</t>
  </si>
  <si>
    <t>CWIP</t>
  </si>
  <si>
    <t>Sarb-Oxley</t>
  </si>
  <si>
    <t>SARBANES-OXLEY DEFERRAL</t>
  </si>
  <si>
    <t>MISC DEF DEBITS-PREPAID PENSION PLANS</t>
  </si>
  <si>
    <t>Accrued Pension</t>
  </si>
  <si>
    <t>TAXES ACCRUED-ELEC-FERC FIN 48 - DEFERRED</t>
  </si>
  <si>
    <t>FAS 143 ARO</t>
  </si>
  <si>
    <t>VACATION PAY ACCRUED-GAS</t>
  </si>
  <si>
    <t>Tompkins Trust Company - Depository</t>
  </si>
  <si>
    <t>Charter One - Depository</t>
  </si>
  <si>
    <t>0-149.49.26</t>
  </si>
  <si>
    <t>EE &amp; AEIP Incentive Plan</t>
  </si>
  <si>
    <t>BT010124</t>
  </si>
  <si>
    <t>FAS106 OPEB Joint Proposal</t>
  </si>
  <si>
    <t>BT010091</t>
  </si>
  <si>
    <t>Mgmt Audit</t>
  </si>
  <si>
    <t>Var Rate Debt</t>
  </si>
  <si>
    <t>Incr Maint/CRO</t>
  </si>
  <si>
    <t>Pension Expense Joint Proposal</t>
  </si>
  <si>
    <t>BT010166</t>
  </si>
  <si>
    <t>Gas Pipeline Integrity Deferal</t>
  </si>
  <si>
    <t xml:space="preserve">Pre-Cap Amortization </t>
  </si>
  <si>
    <t>Theoretical Dep Reserve Amort - Fed</t>
  </si>
  <si>
    <t>BT010378</t>
  </si>
  <si>
    <t>Theoretical Dep Reserve Amort - State</t>
  </si>
  <si>
    <t>Low Income Program</t>
  </si>
  <si>
    <t>BT010125</t>
  </si>
  <si>
    <t>VERP COA</t>
  </si>
  <si>
    <t>PROPERTY TAX REFUNDS</t>
  </si>
  <si>
    <t>RECLASS - ADIT - STATE - CURR - ELEC</t>
  </si>
  <si>
    <t>Derivative</t>
  </si>
  <si>
    <t>Other Def Cr - ACRS - LT Gross Up - Gas</t>
  </si>
  <si>
    <t>GAS STORED-TENNESSEE GAS PIPELINE</t>
  </si>
  <si>
    <t>MISC CUR&amp;ACCRD ASSETS -ASSOC CO BILLING</t>
  </si>
  <si>
    <t>OTHER REGULATORY ASSETS - ELECTRIC</t>
  </si>
  <si>
    <t>OTHER REGULATORY ASSETS - GAS</t>
  </si>
  <si>
    <t>OTH REG ASSETS-UNCONTROLLABLE/EXONGENOUS COSTS-GA</t>
  </si>
  <si>
    <t>OTH REG ASSET-UNFUNDED FEDERAL INCOME TAX</t>
  </si>
  <si>
    <t>OTH REGULATORY ASSETS-ASSET RETIREMENT-ELEC</t>
  </si>
  <si>
    <t>OTH REG ASSET-ASSET RETIREMENT OBLIG (ARO)-GAS</t>
  </si>
  <si>
    <t>OTH REGULATORY ASSETS-DSO ELEC HEDGES (LOSSES)</t>
  </si>
  <si>
    <t>OTH REG ASSETS - GCA - CURRENT PERIOD</t>
  </si>
  <si>
    <t>OTH REG ASSETS - GCA - PRIOR PERIOD</t>
  </si>
  <si>
    <t>RECLASS OTH REG ASSET-UNFUND FUT FIT-EL(W/ 182397</t>
  </si>
  <si>
    <t>RECLASS OTH REG ASSET-UNFUND FUT FIT-EL(W/ 182396</t>
  </si>
  <si>
    <t>ACCUM PROV-DEPREC-NONUTILITY PROP</t>
  </si>
  <si>
    <t>DEPREC- NOP-UNDEPREC GAIN/LOSS CLEAR</t>
  </si>
  <si>
    <t>MISC CUR&amp;ACCRD LIAB-BLDG SRV LEASE PYMT-PLATTS</t>
  </si>
  <si>
    <t>ARO - Reg Liab I254670</t>
  </si>
  <si>
    <t>PE259020   Meter Reading Expense</t>
  </si>
  <si>
    <t>PE259030   Customer Records</t>
  </si>
  <si>
    <t>REVENUE ENHANCEMENT WARRANTY</t>
  </si>
  <si>
    <t>Gain / Loss on Surplus Sales</t>
  </si>
  <si>
    <t>Calculation of ASGA to Include in Electric Rate Base per Order in Case #09-E-0715:</t>
  </si>
  <si>
    <t>Def Deb / (Cr)</t>
  </si>
  <si>
    <t>PSC Fee Assessment Deferral</t>
  </si>
  <si>
    <t>BT010353</t>
  </si>
  <si>
    <t>RECLASS TCI TO MARKETABLE SECURITIES (WITH 224992</t>
  </si>
  <si>
    <t>0-243.11.12</t>
  </si>
  <si>
    <t>235000</t>
  </si>
  <si>
    <t>CUSTOMER DEPOSITS</t>
  </si>
  <si>
    <t>Customer Deposits</t>
  </si>
  <si>
    <t>235100</t>
  </si>
  <si>
    <t>CUSTOMER DEPOSITS - INTERCO - E CHOICE &amp; T-GAS</t>
  </si>
  <si>
    <t>TAXES ACCRUED</t>
  </si>
  <si>
    <t>TAXES ACCRUED - RECLASS OLO</t>
  </si>
  <si>
    <t>808003-11</t>
  </si>
  <si>
    <t>GRT on Unbilled Revenue - State</t>
  </si>
  <si>
    <t>BT010272</t>
  </si>
  <si>
    <t>0-186.01.20</t>
  </si>
  <si>
    <t>0-186.01.23</t>
  </si>
  <si>
    <t>0-186.01.29</t>
  </si>
  <si>
    <t>0-186.01.30</t>
  </si>
  <si>
    <t>0-186.01.31</t>
  </si>
  <si>
    <t>2003 Gas Def Property Taxes in Excess of Threshold and NCR</t>
  </si>
  <si>
    <t>Gas Pension Income - 2006</t>
  </si>
  <si>
    <t>Transmision Integrity Deferral</t>
  </si>
  <si>
    <t>Variable Rate Debt</t>
  </si>
  <si>
    <t>Management Audit</t>
  </si>
  <si>
    <t>801217-11</t>
  </si>
  <si>
    <t>Incremental Maintenance</t>
  </si>
  <si>
    <t>Seneca Pipeline Integrity Initiative</t>
  </si>
  <si>
    <t>GSC Deferral 9/2005-8/2006</t>
  </si>
  <si>
    <t>GSC Deferral 9/2006-8/2007</t>
  </si>
  <si>
    <t>FAS 143 ARO Gas</t>
  </si>
  <si>
    <t>0-283.20.29</t>
  </si>
  <si>
    <t>Property Tax Pd vs Accrued</t>
  </si>
  <si>
    <t>Prepaid Property Taxes</t>
  </si>
  <si>
    <t>NM2</t>
  </si>
  <si>
    <t>NYPA / NCR</t>
  </si>
  <si>
    <t>Pension - Regulatory Asset FAS158</t>
  </si>
  <si>
    <t>Gas Supply Cost Deferral</t>
  </si>
  <si>
    <t>PG2508     Miscellaneous Revenue</t>
  </si>
  <si>
    <t>ACCUM DEF INC TAX-OTH PROP-STATE-GAS-NONOP</t>
  </si>
  <si>
    <t>0-243.11.96</t>
  </si>
  <si>
    <t>0-283.20.80</t>
  </si>
  <si>
    <t>0-286.01.30</t>
  </si>
  <si>
    <t>0-149.28.98</t>
  </si>
  <si>
    <t>2004 GSC Annual Recon Receivable</t>
  </si>
  <si>
    <t>0-149.28.99</t>
  </si>
  <si>
    <t>2003 GSC Annual Recon Receivable</t>
  </si>
  <si>
    <t>C18</t>
  </si>
  <si>
    <t>Bill Mitigation Deferral - PSC 82</t>
  </si>
  <si>
    <t>0-149.28.84</t>
  </si>
  <si>
    <t>Bill Mitigation Deferral - PSC 84</t>
  </si>
  <si>
    <t>0-149.28.86</t>
  </si>
  <si>
    <t>Bill Mitigation Deferral - PSC 86</t>
  </si>
  <si>
    <t>0-149.28.90</t>
  </si>
  <si>
    <t>(JP Amount of $33,405 amortized over 40 mos. is transferred to Rate Base on summary sheet)</t>
  </si>
  <si>
    <t>Gas Pipeline Integrity</t>
  </si>
  <si>
    <t>SIR</t>
  </si>
  <si>
    <t>Plant In Service</t>
  </si>
  <si>
    <t>283.20.23/183.23.00</t>
  </si>
  <si>
    <t>0-283.21.20</t>
  </si>
  <si>
    <t>PAYROLL ALLOWANCE SHORTFALL-GAS</t>
  </si>
  <si>
    <t>NONUTILITY PROPERTY</t>
  </si>
  <si>
    <t>Revenues</t>
  </si>
  <si>
    <t>Commodity Hedge Margin Account</t>
  </si>
  <si>
    <t>Tenn Gas Pipeline Refund - Receivables</t>
  </si>
  <si>
    <t>Tenn Gas Pipeline Refund - Receivable</t>
  </si>
  <si>
    <t>Excess Deferred Taxes New York JP</t>
  </si>
  <si>
    <t>ASGA Gross-Up Reg Asset Fed</t>
  </si>
  <si>
    <t>Low Income Program Electric</t>
  </si>
  <si>
    <t>Low Income Program - Gas</t>
  </si>
  <si>
    <t>Def Tax Grossup 1</t>
  </si>
  <si>
    <t>Def Tax Grossup 2</t>
  </si>
  <si>
    <t>BT010009</t>
  </si>
  <si>
    <t>BT010069</t>
  </si>
  <si>
    <t>BT010269</t>
  </si>
  <si>
    <t>Subtotal</t>
  </si>
  <si>
    <t>PE255370   Hydraulic Expenses</t>
  </si>
  <si>
    <t>PE255380   Electric Expenses</t>
  </si>
  <si>
    <t>StandBy Revenue Loss - 2007</t>
  </si>
  <si>
    <t>807023</t>
  </si>
  <si>
    <t>ESM Refund Allocation</t>
  </si>
  <si>
    <t>807170</t>
  </si>
  <si>
    <t>OPEB Contribution</t>
  </si>
  <si>
    <t>DOE D&amp;D NM2 Fees -2006</t>
  </si>
  <si>
    <t>ADIT - FEDERAL - CURRENT - ELECTRIC</t>
  </si>
  <si>
    <t>Other Curr</t>
  </si>
  <si>
    <t>ADIT - STATE - CURRENT - ELECTRIC</t>
  </si>
  <si>
    <t>RECLASS - INCOME TAXES - FEDERAL - CURRENT - ELECTRIC</t>
  </si>
  <si>
    <t>RECLASS - INCOME TAXES - STATE - CURRENT - ELECTRIC</t>
  </si>
  <si>
    <t>Saylor Rd - Seneca Lake</t>
  </si>
  <si>
    <t>PE255720</t>
  </si>
  <si>
    <t>PE255730</t>
  </si>
  <si>
    <t>PE255800</t>
  </si>
  <si>
    <t>PE255801</t>
  </si>
  <si>
    <t>PE255820</t>
  </si>
  <si>
    <t>MISC DEF DEBITS-OTHER</t>
  </si>
  <si>
    <t>RECLASS-ACCUM DEFERRED INC TAX-FERC 283</t>
  </si>
  <si>
    <t>SFAS-109</t>
  </si>
  <si>
    <t>RECLASS-ACCUM DEFER INC TX-FED-ELEC(W/ACCT 190991</t>
  </si>
  <si>
    <t>CTA Efficiency</t>
  </si>
  <si>
    <t>0-183.38.00</t>
  </si>
  <si>
    <t>INTEREST ON POLLUTION CONTROL NOTES</t>
  </si>
  <si>
    <t>Interest on Pollution Control Notes</t>
  </si>
  <si>
    <t>BE030959</t>
  </si>
  <si>
    <t>BE030192</t>
  </si>
  <si>
    <t>Bonus Depreciation - NCR Elec</t>
  </si>
  <si>
    <t>BE030915</t>
  </si>
  <si>
    <t>NCR on SBC NYSERDA Liability</t>
  </si>
  <si>
    <t>BE030595</t>
  </si>
  <si>
    <t>Vegitation Management Elec</t>
  </si>
  <si>
    <t>BE030588</t>
  </si>
  <si>
    <t>Bonus Depreciation - NCR Gas</t>
  </si>
  <si>
    <t>ACCUM PROV-AMORT OF GAS PLANT</t>
  </si>
  <si>
    <t>ACCUM PROV-AMORT OF COMMON PLANT</t>
  </si>
  <si>
    <t>Capitalized Storm</t>
  </si>
  <si>
    <t>Hung Deferred Taxes</t>
  </si>
  <si>
    <t>Excess Deferred Income Tax Payable to Customer (NCR) - Electric</t>
  </si>
  <si>
    <t>Excess Deferred Income Tax Payable to Customer (NCR) - Gas</t>
  </si>
  <si>
    <t>Non-Int Bearing Cust Advances</t>
  </si>
  <si>
    <t>S</t>
  </si>
  <si>
    <t>Asset &amp; Liability Side Sched</t>
  </si>
  <si>
    <t>Reg Asset &amp; Liabilities</t>
  </si>
  <si>
    <t>T</t>
  </si>
  <si>
    <t>Def Tax Side Sched</t>
  </si>
  <si>
    <t>Def Taxes</t>
  </si>
  <si>
    <t>Electric</t>
  </si>
  <si>
    <t>Gas</t>
  </si>
  <si>
    <t>Total</t>
  </si>
  <si>
    <t/>
  </si>
  <si>
    <t>A&amp;G</t>
  </si>
  <si>
    <t>C</t>
  </si>
  <si>
    <t>E</t>
  </si>
  <si>
    <t>G</t>
  </si>
  <si>
    <t>MTA</t>
  </si>
  <si>
    <t>N</t>
  </si>
  <si>
    <t>Not in RTBS</t>
  </si>
  <si>
    <t>NetPlant</t>
  </si>
  <si>
    <t>"Common Plant" Allocator:</t>
  </si>
  <si>
    <t>Unfunded Future ITC Liability - Gas</t>
  </si>
  <si>
    <t>0-242.40.99</t>
  </si>
  <si>
    <t>GEN CONSTRUCTION ELECT OH</t>
  </si>
  <si>
    <t>GEN CONSTRUCTION GAS OH</t>
  </si>
  <si>
    <t>0-286.01.19</t>
  </si>
  <si>
    <t>CURR &amp; ACCR LIABILITY-EEPS GAS</t>
  </si>
  <si>
    <t>ARO - Reg Assets - I182355/36</t>
  </si>
  <si>
    <t>BT010323</t>
  </si>
  <si>
    <t>Deferred Gas Costs - GSC Calc YE 8/30/04</t>
  </si>
  <si>
    <t>0-146.67.00</t>
  </si>
  <si>
    <t>Balance at</t>
  </si>
  <si>
    <t>OCI-FAS 133 Reclassification</t>
  </si>
  <si>
    <t>BT010137</t>
  </si>
  <si>
    <t>OCI-FAS133 Treasury CF SETT</t>
  </si>
  <si>
    <t>BT010138</t>
  </si>
  <si>
    <t>OCI-FAS 133 Treasury Reclassification</t>
  </si>
  <si>
    <t>BT010140</t>
  </si>
  <si>
    <t>OCI-FAS 87 Non Qualified Pension</t>
  </si>
  <si>
    <t>BT010141</t>
  </si>
  <si>
    <t>Multiple: 184.22.32/184.22.33/186.01.50/186.01.51/183.68.00/183.69.00/186.01.11/186.01.12</t>
  </si>
  <si>
    <t>Multiple: 282.11.09/282.11.05/282.11.03/IBO Costs/NIRP Costs</t>
  </si>
  <si>
    <t>CUSTOMER A/R - WHOLESALE TO OTH ELEC UTILITIES</t>
  </si>
  <si>
    <t>0-149.28.08</t>
  </si>
  <si>
    <t>Deferred Gas Pension Income - 2004</t>
  </si>
  <si>
    <t>0-283.22.02</t>
  </si>
  <si>
    <t>DSS/HEAP PAYMENT CLEARING</t>
  </si>
  <si>
    <t>ADIT - FAS 109 - GROSS-UP - STATE - GAS</t>
  </si>
  <si>
    <t>Workman's Comp Reserve</t>
  </si>
  <si>
    <t>Tracks 253040</t>
  </si>
  <si>
    <t>R11Asbestos Abatement</t>
  </si>
  <si>
    <t>R11Capitalized Installation Costs</t>
  </si>
  <si>
    <t>R11Capitalized Interest</t>
  </si>
  <si>
    <t>R11Capitalized Pension</t>
  </si>
  <si>
    <t>MISC CUR&amp;ACCRD LIAB-PROJECT SHARE</t>
  </si>
  <si>
    <t>RECLASS - OTHER REG LIAB - ADIT - ELEC</t>
  </si>
  <si>
    <t xml:space="preserve">Other Reg Liabilities - Asset Retirement Obligation - Gas </t>
  </si>
  <si>
    <t>Asset Retire Obligation - Transition Adjust</t>
  </si>
  <si>
    <t>Reclass Oth Reg Liab - ASGA - Electric (w/Acct 254995)</t>
  </si>
  <si>
    <t>Reclass of Deferred Tax ASGA</t>
  </si>
  <si>
    <t>Reclass Oth Reg Liab - ASGA - Electric (w/Acct 254994)</t>
  </si>
  <si>
    <t>0-283.21.14</t>
  </si>
  <si>
    <t>OCI - FAS 87 Non Qualified Pension</t>
  </si>
  <si>
    <t>Restricted Stock - Accrual vs Vesting</t>
  </si>
  <si>
    <t>DEFERRED INTERCOMPANY GAIN-CONDO-ELEC</t>
  </si>
  <si>
    <t>NCR Medicare Gas - JP Pg 7 thru RY4</t>
  </si>
  <si>
    <t>Gas R&amp;D Deferral</t>
  </si>
  <si>
    <t>Variable Rate Debt Deferral - Gas</t>
  </si>
  <si>
    <t>Management Audit Dererral - Gas</t>
  </si>
  <si>
    <t>Amort Pre-cap Costs Gas ends 12/2013</t>
  </si>
  <si>
    <t>Incr Maint / CRO Deferral - Gas</t>
  </si>
  <si>
    <t>Economic Development Expenditures Deferral RY1</t>
  </si>
  <si>
    <t>BE030902</t>
  </si>
  <si>
    <t>801224</t>
  </si>
  <si>
    <t>Amort ASGA ends 12/2013</t>
  </si>
  <si>
    <t>Balance Sheet Reclass</t>
  </si>
  <si>
    <t>0-149.49.12</t>
  </si>
  <si>
    <t>PE2575     RA - NY State Assessment</t>
  </si>
  <si>
    <t>NCR Elec PPLIP Orphan</t>
  </si>
  <si>
    <t>Gas MFC 7/2010 - 6/2011</t>
  </si>
  <si>
    <t>Commodity Hedge Margin Account, Net of Collateral Accounts</t>
  </si>
  <si>
    <t>Net</t>
  </si>
  <si>
    <t>RG&amp;E</t>
  </si>
  <si>
    <t xml:space="preserve">Accounts </t>
  </si>
  <si>
    <t>0-283.20.95</t>
  </si>
  <si>
    <t>Alloc Name</t>
  </si>
  <si>
    <t>A/R-CUSTOMERS (WMS)</t>
  </si>
  <si>
    <t>ACCUM PROV-UNCOLL ACCTS-CREDIT -NYSEG</t>
  </si>
  <si>
    <t>A/R FR AFFILIATE-AUTOMATIC CLEARING</t>
  </si>
  <si>
    <t>Cost To/From Affiliates</t>
  </si>
  <si>
    <t>Desc</t>
  </si>
  <si>
    <t>To Affiliates</t>
  </si>
  <si>
    <t>From Affliates</t>
  </si>
  <si>
    <t>(Net) Affiliates Total</t>
  </si>
  <si>
    <t>Reconciliation</t>
  </si>
  <si>
    <t>Primary</t>
  </si>
  <si>
    <t>Less P&amp;L</t>
  </si>
  <si>
    <t>Less Capital</t>
  </si>
  <si>
    <t>Less Fleet/Stores</t>
  </si>
  <si>
    <t>Less Affiliates</t>
  </si>
  <si>
    <t>Reconciliation Total</t>
  </si>
  <si>
    <t>"Pension" Allocator:</t>
  </si>
  <si>
    <t>Total by Department</t>
  </si>
  <si>
    <t>Payroll Charged to Cap</t>
  </si>
  <si>
    <t>Payroll Charged to Exp</t>
  </si>
  <si>
    <t>Cap-E</t>
  </si>
  <si>
    <t>Cap-G</t>
  </si>
  <si>
    <t>Data = TME 6/30/09 Actuals</t>
  </si>
  <si>
    <t>(Updates Automatically from Rate Base detail)</t>
  </si>
  <si>
    <t>NYS INTRA DAY METER READING DEFERRAL-GAS</t>
  </si>
  <si>
    <t>PG259020   Meter Reading Expense</t>
  </si>
  <si>
    <t>PG259030   Customer Records</t>
  </si>
  <si>
    <t>Gas Pension Income NCR</t>
  </si>
  <si>
    <t>BT010156</t>
  </si>
  <si>
    <t>0-184.22.19</t>
  </si>
  <si>
    <t>0-283.21.33</t>
  </si>
  <si>
    <t>INT DEF 1987-88 IRS AUDIT-GAS</t>
  </si>
  <si>
    <t>Transformers and Meters</t>
  </si>
  <si>
    <t>Property Tax Refunds Owed to Customers-2007</t>
  </si>
  <si>
    <t>NMII EXPENSED ADDITIONS-ELEC</t>
  </si>
  <si>
    <t>0-184.22.14</t>
  </si>
  <si>
    <t>DEF COMPENSATION STOCK OPTION-ELEC</t>
  </si>
  <si>
    <t>0-184.22.15</t>
  </si>
  <si>
    <t>DEF COMPENSATION STOCK OPTION-GAS</t>
  </si>
  <si>
    <t>0-184.22.17</t>
  </si>
  <si>
    <t>RESTRUCTURING CHARGES-GAS</t>
  </si>
  <si>
    <t>ADIT-OTH-REG-FEDERAL-ELECTRIC</t>
  </si>
  <si>
    <t>ADIT-OTH-REG-FEDERAL-GAS</t>
  </si>
  <si>
    <t>EDF Liab 2004 Electric</t>
  </si>
  <si>
    <t>0-149.49.20</t>
  </si>
  <si>
    <t>Power Partner Low Inc Program Fund Deferral Y2</t>
  </si>
  <si>
    <t>0-149.49.21</t>
  </si>
  <si>
    <t>Power Partner Low Inc Program Fund Def-2005</t>
  </si>
  <si>
    <t>MISC CUR &amp; ACCRD ASSETS - UBS / ABN AMRO</t>
  </si>
  <si>
    <t>0-149.48.03</t>
  </si>
  <si>
    <t>NCR - NYPA Ancillaries Net Deferral</t>
  </si>
  <si>
    <t>2007 Earnings Sharing - Electric</t>
  </si>
  <si>
    <t>Other Regulatory Liabilities - Reclass</t>
  </si>
  <si>
    <t>AMII</t>
  </si>
  <si>
    <t>O &amp; E Cost</t>
  </si>
  <si>
    <t>0-286.01.40</t>
  </si>
  <si>
    <t>INCOME TAX POST 2000 LOSS ON REACQUIRED DEBT-GAS</t>
  </si>
  <si>
    <t>JPMC - Refund Checking Account</t>
  </si>
  <si>
    <t>JPMC - CCS REFUND CHECKING ACCOUNT-CLEARING</t>
  </si>
  <si>
    <t>A/R - CUSTOMER (CCS)</t>
  </si>
  <si>
    <t>TAXES ACCRUED - EMPLOYER SOCIAL SECURITY</t>
  </si>
  <si>
    <t>0-183.66.00</t>
  </si>
  <si>
    <t>PG258770   Meas &amp; Reg Sta-City</t>
  </si>
  <si>
    <t>PG259010   Supervision</t>
  </si>
  <si>
    <t>Misc rev</t>
  </si>
  <si>
    <t>PG254270   Interest LTD</t>
  </si>
  <si>
    <t>Retired Non-Mass Asset Property-State Only</t>
  </si>
  <si>
    <t>BT010197</t>
  </si>
  <si>
    <t>BT010198</t>
  </si>
  <si>
    <t>BT010229</t>
  </si>
  <si>
    <t>PLANT - ASSET RETIREMENT OBLIGATION - ELECTRIC</t>
  </si>
  <si>
    <t>PLANT - ASSET RETIREMENT OBLIGATION - GAS</t>
  </si>
  <si>
    <t>ACCUMULATED PROVISION FOR DEPRECIATION-ARO-ELEC</t>
  </si>
  <si>
    <t>PG2510     Unbilled Revenue</t>
  </si>
  <si>
    <t>Total Stores P&amp;L</t>
  </si>
  <si>
    <t>Stores Electric Capital</t>
  </si>
  <si>
    <t>Stores Gas Capital</t>
  </si>
  <si>
    <t>Total Stores Capital</t>
  </si>
  <si>
    <t>0-149.29.76</t>
  </si>
  <si>
    <t>NCR - Bill Mitigation Deferral - PSC 76</t>
  </si>
  <si>
    <t>0-149.29.79</t>
  </si>
  <si>
    <t>NCR - Bill Mitigation Deferral - PSC 79</t>
  </si>
  <si>
    <t>0-149.29.82</t>
  </si>
  <si>
    <t>NCR - Bill Mitigation Deferral - PSC 82</t>
  </si>
  <si>
    <t>0-149.29.84</t>
  </si>
  <si>
    <t>0-184.21.10</t>
  </si>
  <si>
    <t>PROFIT ECO DEV PROGRAM-ELEC</t>
  </si>
  <si>
    <t>DEF INTERCO GAIN AMORT-PLANE-ELECT</t>
  </si>
  <si>
    <t>DEF CREDITS - UTILITY BILLING DISPUTES</t>
  </si>
  <si>
    <t>TAXES ACCRUED - EMPLOYER MEDICARE</t>
  </si>
  <si>
    <t>TAXES ACCRUED - REAL PROPERTY</t>
  </si>
  <si>
    <t>TAXES ACCRUED - UNBILLED REVENUE TAX</t>
  </si>
  <si>
    <t>TAXES ACCRUED - FEDERAL INCOME TAXES</t>
  </si>
  <si>
    <t>TAXES ACCRUED - GROSS INCOME STATE - OPERATING</t>
  </si>
  <si>
    <t>TAXES ACCRUED - PA CAPITAL STOCKS TAX</t>
  </si>
  <si>
    <t>TAXES ACCRUED - PA NET INCOME TAX</t>
  </si>
  <si>
    <t>Deferred Gas Costs - GSC Calc YE 8/30/05</t>
  </si>
  <si>
    <t>0-242.51.12</t>
  </si>
  <si>
    <t>Other Def Cr - ACRS - LT Gross Up - Electric</t>
  </si>
  <si>
    <t>NCR - Bill Mitigation Deferral - PSC 73</t>
  </si>
  <si>
    <t>0-283.22.23</t>
  </si>
  <si>
    <t>BILL MITIGATION DEFERRAL-GAS</t>
  </si>
  <si>
    <t>BoNY  Brewster- Depositor</t>
  </si>
  <si>
    <t>Book Depreciation - State</t>
  </si>
  <si>
    <t>SIT Depreciation on Post 1999 Assets</t>
  </si>
  <si>
    <t>SIT Depreciation on Pre 2000 Assets</t>
  </si>
  <si>
    <t>Tax Depreciation - State Adjustment</t>
  </si>
  <si>
    <t>0-243.11.57</t>
  </si>
  <si>
    <t>Corning Diesel Lost Revenue</t>
  </si>
  <si>
    <t>0-149.28.13</t>
  </si>
  <si>
    <t>Accelerated Depreciation</t>
  </si>
  <si>
    <t>RESTRICTED STOCK</t>
  </si>
  <si>
    <t>0-286.01.14</t>
  </si>
  <si>
    <t>Multiple: 283.20.43/286.01.23/286.01.24/283.30.67/283.30.63/283.30.64/283.30.53/283.30.54/183.06.00/183.07.00/186.01.03/186.01.04/283.21.95/Loss Re Debt/283.20.42/283.21.96</t>
  </si>
  <si>
    <t>Multiple: 283.21.44/283.21.45/286.01.01/282.11.09/IBO Costs/NIRP Costs</t>
  </si>
  <si>
    <t>Multiple: 286.01.02/282.11.10/IBO Costs/NIRP Costs/WM Costs</t>
  </si>
  <si>
    <t>North American Electric Reliability Council</t>
  </si>
  <si>
    <t>ESM on 2007 NBC/DSO</t>
  </si>
  <si>
    <t>R10Property Tax Deferral</t>
  </si>
  <si>
    <t>R11Property Tax Deferral</t>
  </si>
  <si>
    <t>ASGA Gross-Up</t>
  </si>
  <si>
    <t>Environmental Remediation - MGP</t>
  </si>
  <si>
    <t>Excess Deferred Taxes New York</t>
  </si>
  <si>
    <t>Excess Deferred Taxes New York Other</t>
  </si>
  <si>
    <t>Excess Deferred Taxes New York Other 2 Non-NCR</t>
  </si>
  <si>
    <t>Excess Deferred Taxes New York Reg Non-NCR</t>
  </si>
  <si>
    <t>Gain/Loss on Reacquired Debt - Fed</t>
  </si>
  <si>
    <t>0-149.08.02</t>
  </si>
  <si>
    <t>New York State Income Taxes - Gas</t>
  </si>
  <si>
    <t>NYS Tax Plan 2000</t>
  </si>
  <si>
    <t>0-149.08.04</t>
  </si>
  <si>
    <t>NCR - New York State Income Taxes - Gas</t>
  </si>
  <si>
    <t>0-149.08.05</t>
  </si>
  <si>
    <t>NMII DECOMMISIONING INT FUND</t>
  </si>
  <si>
    <t>EXCESS INTERRUPTIBLE SALES MARGIN</t>
  </si>
  <si>
    <t>0-183.53.00</t>
  </si>
  <si>
    <t>EXCESS GAS REVENUE-ARCHER DANIELS</t>
  </si>
  <si>
    <t>Repair Allowance - State</t>
  </si>
  <si>
    <t>PG259020</t>
  </si>
  <si>
    <t>PG259030</t>
  </si>
  <si>
    <t>PG259050</t>
  </si>
  <si>
    <t>PG259080</t>
  </si>
  <si>
    <t>PG259100</t>
  </si>
  <si>
    <t>PG259120</t>
  </si>
  <si>
    <t>PG259160</t>
  </si>
  <si>
    <t>PG259200</t>
  </si>
  <si>
    <t>PG259280</t>
  </si>
  <si>
    <t>MISC CUR&amp;ACCRD LIAB-STK OPTION AWARD PLAN</t>
  </si>
  <si>
    <t>MISC CUR &amp; ACCR LIAB - EXECUTIVE INCENTIVE PLAN</t>
  </si>
  <si>
    <t>MISC CUR &amp; ACCR LIAB - MISCELLANEOUS</t>
  </si>
  <si>
    <t>MISC CUR&amp;ACCRD LIAB-A&amp;S AND CHIP RESERVE</t>
  </si>
  <si>
    <t>A&amp;S CHIP</t>
  </si>
  <si>
    <t>0-283.22.10</t>
  </si>
  <si>
    <t>DEFERRED INTERCOMPANY GAIN-CONDO-GAS</t>
  </si>
  <si>
    <t>BT010136</t>
  </si>
  <si>
    <t>MISC CUR &amp; ACCRD ASSETS-ROSENTHAL COLLINS</t>
  </si>
  <si>
    <t>0-242.50.12</t>
  </si>
  <si>
    <t>POWER PARTNER LOW INCOME PROGRAM FUNDING-ELEC</t>
  </si>
  <si>
    <t>0-283.22.30</t>
  </si>
  <si>
    <t>ENVIRONMENTAL REMEDIATION-ELEC</t>
  </si>
  <si>
    <t>Other Def Cr - ADR - LT Gross Up - Electric</t>
  </si>
  <si>
    <t>Unamortized Debt Expense</t>
  </si>
  <si>
    <t>N1</t>
  </si>
  <si>
    <t>Not in Rate Base</t>
  </si>
  <si>
    <t>Unused Accounts</t>
  </si>
  <si>
    <t>A2</t>
  </si>
  <si>
    <t>EB-Cap</t>
  </si>
  <si>
    <t>C1</t>
  </si>
  <si>
    <t>Capitalization</t>
  </si>
  <si>
    <t>Long Term Debt</t>
  </si>
  <si>
    <t>C11</t>
  </si>
  <si>
    <t>Customer Deposits &amp; Advances</t>
  </si>
  <si>
    <t>C12</t>
  </si>
  <si>
    <t>Deferred Compensation</t>
  </si>
  <si>
    <t>C13</t>
  </si>
  <si>
    <t>Closed Cycle GAC &amp; Refunds</t>
  </si>
  <si>
    <t>C14</t>
  </si>
  <si>
    <t>Unfunded Future Income Taxes - Current (offset ASGA)</t>
  </si>
  <si>
    <t>AEIP</t>
  </si>
  <si>
    <t>Mgt Audit</t>
  </si>
  <si>
    <t>VRD</t>
  </si>
  <si>
    <t>Incr Maint</t>
  </si>
  <si>
    <t>Theoretical Reserve</t>
  </si>
  <si>
    <t xml:space="preserve">PSC Temporary Assessment - Accrued Payable </t>
  </si>
  <si>
    <t xml:space="preserve">Average </t>
  </si>
  <si>
    <t>Item Description</t>
  </si>
  <si>
    <t>RECLASS-OTH REG LIAB-ADIT-GAS (W/ ACCT 283992)</t>
  </si>
  <si>
    <t>Current year net income</t>
  </si>
  <si>
    <t>Reg Asset</t>
  </si>
  <si>
    <t>0-146.52.03</t>
  </si>
  <si>
    <t>NCR Gas Pen</t>
  </si>
  <si>
    <t>MGP ENVIRON REMEDIATION-ELEC</t>
  </si>
  <si>
    <t>0-186.01.44</t>
  </si>
  <si>
    <t>MGP ENVIRON REMEDIATION-GAS</t>
  </si>
  <si>
    <t>0-186.01.47</t>
  </si>
  <si>
    <t>DEF REVENUE LEAST COST PATHING-GAS</t>
  </si>
  <si>
    <t>0-186.01.50</t>
  </si>
  <si>
    <t>Restructuring Costs</t>
  </si>
  <si>
    <t>Bonus Depr</t>
  </si>
  <si>
    <t>PRE255550  IC Purch Power E</t>
  </si>
  <si>
    <t>Seneca Lake Tax Gain/Loss 1 - State</t>
  </si>
  <si>
    <t>Seneca Lake Tax Gain/Loss 1 - Fed</t>
  </si>
  <si>
    <t>BT010388</t>
  </si>
  <si>
    <t>0-282.11.16</t>
  </si>
  <si>
    <t>Exchange Bank - Nichols -</t>
  </si>
  <si>
    <t>ACCUM DEF INC TAX-OTH-STATE-GAS-NONOP</t>
  </si>
  <si>
    <t>RECLASS-OTHER REG LIAB-ADIT-ELEC (WITH ACCT 28399</t>
  </si>
  <si>
    <t>RECLASS-OTH REG LIAB-ADIT-ELEC (W/ ACCT 283990)</t>
  </si>
  <si>
    <t>RECLASS-OTH REG LIAB-ADIT-GAS (W/ ACCT 283993)</t>
  </si>
  <si>
    <t>0-149.28.01</t>
  </si>
  <si>
    <t>Other Regulatory Assets - Deferred Gas Costs</t>
  </si>
  <si>
    <t>Gross</t>
  </si>
  <si>
    <t>Gross-Up</t>
  </si>
  <si>
    <t>R&amp;D Credit</t>
  </si>
  <si>
    <t>MARKET TO MARKET ACCT REC-ELEC</t>
  </si>
  <si>
    <t>0-283.22.14</t>
  </si>
  <si>
    <t>0-283.22.25</t>
  </si>
  <si>
    <t>NYPA-NCR-ELEC</t>
  </si>
  <si>
    <t>Capitalized Interest Amortization</t>
  </si>
  <si>
    <t>CIAC Amortization - Fed</t>
  </si>
  <si>
    <t>Contributions in Aid of Construction (CIAC)</t>
  </si>
  <si>
    <t>808014</t>
  </si>
  <si>
    <t>EDF Liab 2008 Electric</t>
  </si>
  <si>
    <t>807008</t>
  </si>
  <si>
    <t>2007 PPLIP</t>
  </si>
  <si>
    <t>Tax Item</t>
  </si>
  <si>
    <t>Commodity ESM</t>
  </si>
  <si>
    <t>808141</t>
  </si>
  <si>
    <t>808142</t>
  </si>
  <si>
    <t>Temp MTA Tax Surcharge Deferred</t>
  </si>
  <si>
    <t>MTA Surcharge</t>
  </si>
  <si>
    <t>MARK TO MARKET ACCT REC-GAS</t>
  </si>
  <si>
    <t>OTH REGULATORY ASSETS-PENSION</t>
  </si>
  <si>
    <t>DEF CREDITS - FAS 112 POSTEMPL BEN LIAB</t>
  </si>
  <si>
    <t>SFAS-112</t>
  </si>
  <si>
    <t>ACCUM DEF INC TAX-OTH PROP-FEDERAL-GAS-NONOP</t>
  </si>
  <si>
    <t>PREPAYMENTS - REAL PROPERTY</t>
  </si>
  <si>
    <t>0-149.99.03</t>
  </si>
  <si>
    <t>2004 Outreach &amp; Education Costs</t>
  </si>
  <si>
    <t>Outreach &amp; Education</t>
  </si>
  <si>
    <t>OTH A/R -PROPERTY TAX REFUND-COUNTY</t>
  </si>
  <si>
    <t>OTH A/R -PROPERTY TAX REFUND-TOWN</t>
  </si>
  <si>
    <t>0-283.21.97</t>
  </si>
  <si>
    <t>809014</t>
  </si>
  <si>
    <t>809016</t>
  </si>
  <si>
    <t>809017</t>
  </si>
  <si>
    <t>809022</t>
  </si>
  <si>
    <t>809023</t>
  </si>
  <si>
    <t>NCR - ESM adj on Occupancy Loader Excess Charges</t>
  </si>
  <si>
    <t>R11Mixed Use 263(a)</t>
  </si>
  <si>
    <t>R11NOL Def Tax Asset</t>
  </si>
  <si>
    <t>R11R&amp;D Tax Credit</t>
  </si>
  <si>
    <t>807005</t>
  </si>
  <si>
    <t>ACCOUNTS PAYABLE - PAYROLL CLEARING</t>
  </si>
  <si>
    <t>A/P-PAYMENT REQUEST CLEARING</t>
  </si>
  <si>
    <t>OTH REGULATORY ASSETS-GAS HEDGES (LOSSES)</t>
  </si>
  <si>
    <t>OCI-FAS 87 NON QUAL PENSION-SIT</t>
  </si>
  <si>
    <t>"NetPlant" Allocator:</t>
  </si>
  <si>
    <t>"RTBS" Allocator:</t>
  </si>
  <si>
    <t>"PropTax" Allocator:</t>
  </si>
  <si>
    <t>Total PropTax Exp</t>
  </si>
  <si>
    <t>INTEREST EXPENSE - SHORT TERM DEBT</t>
  </si>
  <si>
    <t>INT EXP- REVOLVER - FEES</t>
  </si>
  <si>
    <t>INTEREST EXPENSE - CUSTOMER DEPOSITS</t>
  </si>
  <si>
    <t>INTEREST EXPENSE - MISCELLANEOUS</t>
  </si>
  <si>
    <t>INT EXP-WEEKLY AUCTION PERCENT FEES</t>
  </si>
  <si>
    <t>ACCUM DEFERRED INC TAXES-STATE-ELECTRIC-NONOP</t>
  </si>
  <si>
    <t>RECLASS - CASH (WITH ACCOUNT 131991)</t>
  </si>
  <si>
    <t>RECLASS - CASH (WITH ACCOUNT 131990)</t>
  </si>
  <si>
    <t>WORKING FUNDS - REGULAR</t>
  </si>
  <si>
    <t>Working Funds</t>
  </si>
  <si>
    <t xml:space="preserve">Power Partner Low Income Prog Def </t>
  </si>
  <si>
    <t>0-243.11.16</t>
  </si>
  <si>
    <t>PE255920   Maint Station Equip</t>
  </si>
  <si>
    <t>PE255930   Maint Overhead line</t>
  </si>
  <si>
    <t>PE255950   Maint of Line Transf</t>
  </si>
  <si>
    <t>ACCUM DEF INC TAX-OTH-FEDERAL-GAS-NONOP</t>
  </si>
  <si>
    <t>Medicare Part D Subsidy Pmts Recd Fed</t>
  </si>
  <si>
    <t>BT010381</t>
  </si>
  <si>
    <t>Theoretical Reserve Tax Gross Up</t>
  </si>
  <si>
    <t>YTD Total</t>
  </si>
  <si>
    <t>PE2571     FS-Interim Rev Decou</t>
  </si>
  <si>
    <t>PE2572     FS-Annual Rev Decoup</t>
  </si>
  <si>
    <t>PE2576     RA-Interim Rev Decou</t>
  </si>
  <si>
    <t>Other Regulatory Assets - Gas</t>
  </si>
  <si>
    <t>PE2532     Pole Attachments</t>
  </si>
  <si>
    <t>808002-10</t>
  </si>
  <si>
    <t>GSC Deferral 9/2009-8/2010</t>
  </si>
  <si>
    <t>808002-08</t>
  </si>
  <si>
    <t>808005-09</t>
  </si>
  <si>
    <t xml:space="preserve">2009 ESM Commodity </t>
  </si>
  <si>
    <t>2006 ESM  Transfer to ASGA</t>
  </si>
  <si>
    <t>2006 PPLIP Transfer to ASGA</t>
  </si>
  <si>
    <t>2006 Environmental Remediation Transfer to ASGA</t>
  </si>
  <si>
    <t>BT030562</t>
  </si>
  <si>
    <t>NCR - Environ Remed - Electric</t>
  </si>
  <si>
    <t>Lost Revenues Related to NUCOR</t>
  </si>
  <si>
    <t>PG2515     Firm Sales</t>
  </si>
  <si>
    <t>O&amp;M</t>
  </si>
  <si>
    <t>Pension</t>
  </si>
  <si>
    <t>PropTax</t>
  </si>
  <si>
    <t>Property Tax</t>
  </si>
  <si>
    <t>PSC</t>
  </si>
  <si>
    <t>RTBS</t>
  </si>
  <si>
    <t>Source</t>
  </si>
  <si>
    <t>General Ledger Account</t>
  </si>
  <si>
    <t>Bill Mitigation Deferral - Non Residential (90)</t>
  </si>
  <si>
    <t>0-149.28.97</t>
  </si>
  <si>
    <t>Implementation Costs - Phase 2A/B - GAS</t>
  </si>
  <si>
    <t>Gas Phase 2A/B</t>
  </si>
  <si>
    <t>Monthly Amortization @ 40 Mos.</t>
  </si>
  <si>
    <t>0-282.20.83</t>
  </si>
  <si>
    <t>OCI - FAS 133 Treasury Reclassifications</t>
  </si>
  <si>
    <t>Net (Gains) &amp; Losses on Hedges</t>
  </si>
  <si>
    <t>R10Net (Gains) &amp; Losses on Hedges</t>
  </si>
  <si>
    <t>BDEFAULT</t>
  </si>
  <si>
    <t>0-242.58.16</t>
  </si>
  <si>
    <t>Due to Customers - GSC - Deferral</t>
  </si>
  <si>
    <t>0-242.98.02</t>
  </si>
  <si>
    <t>2002 Excess Earnings - booked 12/04</t>
  </si>
  <si>
    <t>0-242.98.03</t>
  </si>
  <si>
    <t>2003 Excess Earnings - booked 12/04</t>
  </si>
  <si>
    <t>807016</t>
  </si>
  <si>
    <t>ASGA Transmission Revenues above $28.2M</t>
  </si>
  <si>
    <t>807022</t>
  </si>
  <si>
    <t>Hist Bk Rt</t>
  </si>
  <si>
    <t>EXCESS DEFERRED TAX GROSS-UP NON NCR ITEMS</t>
  </si>
  <si>
    <t>MISC PAID IN CAP-EE MERGER COST</t>
  </si>
  <si>
    <t>211310</t>
  </si>
  <si>
    <t>MISC PAID IN CAP-EQUITY INFUSION</t>
  </si>
  <si>
    <t>211320</t>
  </si>
  <si>
    <t>MISC PAID IN CAP-RESTRICTED STOCK</t>
  </si>
  <si>
    <t>Restricted Stock</t>
  </si>
  <si>
    <t>214000</t>
  </si>
  <si>
    <t>CAPITAL STOCK EXPENSE</t>
  </si>
  <si>
    <t>214100</t>
  </si>
  <si>
    <t>CAP STK EXPENSE-PREFERRED STK</t>
  </si>
  <si>
    <t>DEFERRED COMPENSATION</t>
  </si>
  <si>
    <t>215100</t>
  </si>
  <si>
    <t>PE255550   Purchase Power</t>
  </si>
  <si>
    <t>NCR ASGA Ptax Contribution &amp; NCR-IBO/WMS</t>
  </si>
  <si>
    <t>807006</t>
  </si>
  <si>
    <t>ASGA Credit per JP 10/26/06</t>
  </si>
  <si>
    <t>0-149.49.14</t>
  </si>
  <si>
    <t>PAYROLL DEDUCTIONS-401K/PSOP EMPLOYER CONTRIBUTIO</t>
  </si>
  <si>
    <t>PAYROLL DEDUCTIONS - SAVINGS PLUS PLAN (401K)</t>
  </si>
  <si>
    <t>Capitalized Pension Gain Amortization</t>
  </si>
  <si>
    <t>Capitalized Syracuse Storm Amortization</t>
  </si>
  <si>
    <t>BE030188</t>
  </si>
  <si>
    <t>Storm Revenue Reserve - Monthly</t>
  </si>
  <si>
    <t>181450</t>
  </si>
  <si>
    <t>UNAMORTIZED DEBT EXPENSE-LONG TERM-BOND INSURANCE</t>
  </si>
  <si>
    <t>UNDISTRIBUTED BILLING</t>
  </si>
  <si>
    <t>Storm O&amp;M Expenses</t>
  </si>
  <si>
    <t>Storm NCR</t>
  </si>
  <si>
    <t>Stray Voltage - Electric</t>
  </si>
  <si>
    <t>BE030186</t>
  </si>
  <si>
    <t>BE030155</t>
  </si>
  <si>
    <t>BG030177</t>
  </si>
  <si>
    <t>BT010103</t>
  </si>
  <si>
    <t>0-184.22.23</t>
  </si>
  <si>
    <t>MPG ENVIRON REMEDIATION-GAS</t>
  </si>
  <si>
    <t>LONG TERM INCENTIVE PLAN-GAS</t>
  </si>
  <si>
    <t>0-184.22.20</t>
  </si>
  <si>
    <t>SUPERFUND ENVIRON REMEDIATION-ELEC</t>
  </si>
  <si>
    <t>0-184.22.22</t>
  </si>
  <si>
    <t>MPG ENVIRON REMEDIATION-ELEC</t>
  </si>
  <si>
    <t>Reclass Balances</t>
  </si>
  <si>
    <t>0-242.40.00</t>
  </si>
  <si>
    <t>Other Regulatory Liabilities - Unfunded Future Income Taxes</t>
  </si>
  <si>
    <t>Excess Def Income Taxes Pay/Cust - ITC - LT</t>
  </si>
  <si>
    <t>BE030369</t>
  </si>
  <si>
    <t>Pension - FAS 158</t>
  </si>
  <si>
    <t>Other Regulatory assets - Pension</t>
  </si>
  <si>
    <t>Unit of Property - Fed</t>
  </si>
  <si>
    <t>Unit of Property - State</t>
  </si>
  <si>
    <t>Coal Tar Investigation Costs</t>
  </si>
  <si>
    <t>Def Revenue Least Cost Pathing</t>
  </si>
  <si>
    <t>Market To Market Derivative Disallowance</t>
  </si>
  <si>
    <t>A/R ACCRUALS - MISCELLANEOUS ENERGY &amp; DERIVATIVE</t>
  </si>
  <si>
    <t>OTH A/R - TENASKA OPTIMIZATION</t>
  </si>
  <si>
    <t>ACCUM PROV FOR UNCOLL ACCTS - CR-DISPUTES</t>
  </si>
  <si>
    <t>MISC CUR &amp; ACCR LIAB - TCC AUCTION</t>
  </si>
  <si>
    <t>TAXES ACCRUED-ELEC-GAAP FIN 48 - DEFERRED</t>
  </si>
  <si>
    <t>TAXES ACCRUED-GAS-GAAP FIN 48 - DEFERRED</t>
  </si>
  <si>
    <t>PE2502     Regular No Heat</t>
  </si>
  <si>
    <t>PE2508     Miscellaneous Revenue</t>
  </si>
  <si>
    <t>PE2510     Unbilled Revenue</t>
  </si>
  <si>
    <t>RESERVE FOR COUNTERPARTY EXPOSURE</t>
  </si>
  <si>
    <t>0-186.01.26</t>
  </si>
  <si>
    <t>MISC CUR &amp; ACCR LIAB-EDRP CURTAILMENT PAYMENTS</t>
  </si>
  <si>
    <t>Curtailment Payments</t>
  </si>
  <si>
    <t>NYSEG</t>
  </si>
  <si>
    <t>Veg Mgmt Electric</t>
  </si>
  <si>
    <t>( $ 000 )</t>
  </si>
  <si>
    <t>Defer June 2006 Flood Cost - Gas</t>
  </si>
  <si>
    <t>RECL-FROM LTD TO MARKETABLE SECURITIES (W/136992)</t>
  </si>
  <si>
    <t>NOTES PAYABLE-INTERCOMPANY (W/TRADING PARTNER)</t>
  </si>
  <si>
    <t>INTERCOMPANY - INTEREST ACCRUED</t>
  </si>
  <si>
    <t>CURRENT LIABILITY - EEPS</t>
  </si>
  <si>
    <t>PG254310   Other Interest Expense</t>
  </si>
  <si>
    <t>PE2511     Non Retail Access</t>
  </si>
  <si>
    <t>PE254561   Damaged Billing Process</t>
  </si>
  <si>
    <t>PE2520     Transmission Revenue</t>
  </si>
  <si>
    <t>PE2522     IPP Revenue</t>
  </si>
  <si>
    <t>PE2523     Rental Income</t>
  </si>
  <si>
    <t>PE2525     Retail Access Services</t>
  </si>
  <si>
    <t>PE2528     Late Payment Penalties</t>
  </si>
  <si>
    <t>Deferred Unbilled Revenue</t>
  </si>
  <si>
    <t xml:space="preserve">Adjustment: Commodity Hedge Margin Account Elec &amp; Gas Reallocation </t>
  </si>
  <si>
    <t>Adjustment to Include:  Deferred taxes tracking PSC General Assess Deferral</t>
  </si>
  <si>
    <t>NYPA Ancillaries</t>
  </si>
  <si>
    <t>BT010389</t>
  </si>
  <si>
    <t>Senecal Lake Deferral</t>
  </si>
  <si>
    <t>0-149.28.07</t>
  </si>
  <si>
    <t>Gas - Over Refunded ETR</t>
  </si>
  <si>
    <t>Asset Retirement Obligation - Gas Trans Adjust</t>
  </si>
  <si>
    <t>Other Regulatory Assets - DSO Electric Hedges (Losses)</t>
  </si>
  <si>
    <t>BE030149</t>
  </si>
  <si>
    <t>CFD</t>
  </si>
  <si>
    <t>FAS 71 CFD</t>
  </si>
  <si>
    <t>BG030247</t>
  </si>
  <si>
    <t>BG030153</t>
  </si>
  <si>
    <t>BG030158</t>
  </si>
  <si>
    <t>NCR Prior Year GSC</t>
  </si>
  <si>
    <t>PE254150   Revenues-Merchandising</t>
  </si>
  <si>
    <t>GAS STORED-CUR-CNY-FSS</t>
  </si>
  <si>
    <t>ADIT-REG-FEDERAL-ELECTRIC</t>
  </si>
  <si>
    <t>ADIT-REG-FEDERAL-GAS</t>
  </si>
  <si>
    <t>ADIT-REG-STATE-ELECTRIC</t>
  </si>
  <si>
    <t>ADIT-REG-STATE-GAS</t>
  </si>
  <si>
    <t>OCI-FAS 133 TREASURY CF SETT</t>
  </si>
  <si>
    <t>0-283.21.99</t>
  </si>
  <si>
    <t>0-243.11.51</t>
  </si>
  <si>
    <t>Def Income Taxes - ETR &amp; SBC 1</t>
  </si>
  <si>
    <t>0-243.11.52</t>
  </si>
  <si>
    <t>New York State Electric &amp; Gas Corporation</t>
  </si>
  <si>
    <t xml:space="preserve">Average Non-Interest Bearing Construction Work in Progress </t>
  </si>
  <si>
    <t>(Excludes Suspended CWIP that is Not Accruing AFDC)</t>
  </si>
  <si>
    <t>Common</t>
  </si>
  <si>
    <t>March</t>
  </si>
  <si>
    <t>Total CWIP</t>
  </si>
  <si>
    <t>Purchased Power &amp; Gas Expense - Full Year</t>
  </si>
  <si>
    <t>Percent of Year ISO on Weekly Billing</t>
  </si>
  <si>
    <t>WC on Purchased Power</t>
  </si>
  <si>
    <t>TME</t>
  </si>
  <si>
    <t>Purchase Power Expense (FERC 555)</t>
  </si>
  <si>
    <t>Pre-Tax Rate of Return</t>
  </si>
  <si>
    <t>Cash Working Capital on Purchased Power to MFC</t>
  </si>
  <si>
    <t>Percent of Year  (a)</t>
  </si>
  <si>
    <t>Purchased Power &amp; Gas Expense  (b)</t>
  </si>
  <si>
    <t>Cash Working Capital on Purchased Power &amp; Gas  (a)*(b)</t>
  </si>
  <si>
    <t>BG030567</t>
  </si>
  <si>
    <t>BT010280</t>
  </si>
  <si>
    <t>Labor/Payroll Allocation Ratio Support</t>
  </si>
  <si>
    <t>PE259050   Misc. Customer Acct</t>
  </si>
  <si>
    <t>PE2526     Retail Access Sv-ISO</t>
  </si>
  <si>
    <t>PE255350   Oper Superv &amp; Eng</t>
  </si>
  <si>
    <t>ACCUM DEF INC TAX-OTH PROP-FEDERAL-GAS</t>
  </si>
  <si>
    <t>PE255830   Overhead Line Expense</t>
  </si>
  <si>
    <t>CUSTOMER A/R -UNAPPLIED CASH RECEIPTS</t>
  </si>
  <si>
    <t>2003 Excess Earnings</t>
  </si>
  <si>
    <t>0-242.99.08</t>
  </si>
  <si>
    <t>Property Tax Refunds</t>
  </si>
  <si>
    <t>Energy Efficiency Portfolio Standard</t>
  </si>
  <si>
    <t>APPROPRIATED RETAINED EARNINGS - AMORT RESERVE-FE</t>
  </si>
  <si>
    <t>216000</t>
  </si>
  <si>
    <t>R10ACF</t>
  </si>
  <si>
    <t>Seneca ADIT Offset</t>
  </si>
  <si>
    <t>R11Seneca ADIT Offset</t>
  </si>
  <si>
    <t>Primary Accounts</t>
  </si>
  <si>
    <t>0-283.21.21</t>
  </si>
  <si>
    <t>Tree Trimming</t>
  </si>
  <si>
    <t>BC030163</t>
  </si>
  <si>
    <t>Other Regulatory Assets - Electric</t>
  </si>
  <si>
    <t>BE030175</t>
  </si>
  <si>
    <t>BE030210</t>
  </si>
  <si>
    <t>Current Sinking Fund</t>
  </si>
  <si>
    <t>C9</t>
  </si>
  <si>
    <t>ESM on additional 2006 GRT Tax Due</t>
  </si>
  <si>
    <t xml:space="preserve">Int on '97-'99 Audit Def Rel to NM2 </t>
  </si>
  <si>
    <t>0-243.11.11</t>
  </si>
  <si>
    <t>PE254180   Nonop Rental Income</t>
  </si>
  <si>
    <t>PE259240   Property Insurance</t>
  </si>
  <si>
    <t>RECLASS - ADIT - FEDERAL - CURRENT - GAS</t>
  </si>
  <si>
    <t>RECLASS - ADIT - STATE - CURRENT - GAS</t>
  </si>
  <si>
    <t>FAS 158 - Pen</t>
  </si>
  <si>
    <t>FAS 158 - SERP</t>
  </si>
  <si>
    <t>Reclass Other Reg Assets - Unfund Fut FIT - Gas (w/182398)</t>
  </si>
  <si>
    <t>2005 Environ Remed - Per Plan - Electric</t>
  </si>
  <si>
    <t>BT010049</t>
  </si>
  <si>
    <t>BT010107</t>
  </si>
  <si>
    <t>BT010116</t>
  </si>
  <si>
    <t>Econ Devlp/283.22.29</t>
  </si>
  <si>
    <t>Econ Devlp/286.01.43</t>
  </si>
  <si>
    <t>PE255910   Maint of Structure</t>
  </si>
  <si>
    <t>STRAY VOLTAGE</t>
  </si>
  <si>
    <t>Str Voltage</t>
  </si>
  <si>
    <t>TRANSFORMER AND METER-ENDS AMORT</t>
  </si>
  <si>
    <t>Trans Meter</t>
  </si>
  <si>
    <t>SFAS 158 - SERP</t>
  </si>
  <si>
    <t>ASGA Ref</t>
  </si>
  <si>
    <t>SITE INVESTIGATION &amp; REMEDIATION</t>
  </si>
  <si>
    <t>ASGA Refund Payment</t>
  </si>
  <si>
    <t>2-780.22.11.A</t>
  </si>
  <si>
    <t>Move Debt Expense Related to Reoffering to 189000</t>
  </si>
  <si>
    <t>ACCOUNTS PAYABLE - ELECTRONIC ACCOUNTING RECLASS</t>
  </si>
  <si>
    <t>PG259302   Misc. General Expenses</t>
  </si>
  <si>
    <t>PG259310   Rents</t>
  </si>
  <si>
    <t>PG254081   Taxes-Other Than Income</t>
  </si>
  <si>
    <t>PG254091   Income Taxes</t>
  </si>
  <si>
    <t>PE255570   Other Expenses</t>
  </si>
  <si>
    <t>COMPLETED CONSTRUCTION NOT CLASSIFIED - GAS</t>
  </si>
  <si>
    <t>COMPLETED CONSTRUCTION NOT CLASSIFIED - COMMON</t>
  </si>
  <si>
    <t>0-243.11.07</t>
  </si>
  <si>
    <t>0-149.48.02</t>
  </si>
  <si>
    <t>NYPA Ancillaries Net Deferral</t>
  </si>
  <si>
    <t>NYPA Ancillaries Accruing NCR</t>
  </si>
  <si>
    <t>Gas Main Integrity Costs - 2007</t>
  </si>
  <si>
    <t>Def Income Taxes - Lost Revenues - NUCOR</t>
  </si>
  <si>
    <t>0-243.11.54</t>
  </si>
  <si>
    <t>RECLASS-ACCUM DEFER INC TX-FED-GAS (W/ACCT 190993</t>
  </si>
  <si>
    <t>201200</t>
  </si>
  <si>
    <t>COMMON STK ISSUED-NYSEG-2/3 PAR VALUE</t>
  </si>
  <si>
    <t>201210</t>
  </si>
  <si>
    <t>COMMON STK ISSUED-NYSEG-#1</t>
  </si>
  <si>
    <t>201220</t>
  </si>
  <si>
    <t>COMMON STK ISSUED-NYSEG-#2</t>
  </si>
  <si>
    <t>204010</t>
  </si>
  <si>
    <t>PREFERRED STOCK ISSUED</t>
  </si>
  <si>
    <t>207130</t>
  </si>
  <si>
    <t>PREMIUM ON CAP STK-PREFERRED- NYSEG-SERIES 4.50</t>
  </si>
  <si>
    <t>207135</t>
  </si>
  <si>
    <t>PREMIUM ON CAP STK-PREFERRED- NYSEG-SERIES 3.75</t>
  </si>
  <si>
    <t>207200</t>
  </si>
  <si>
    <t>PREMIUM ON COMMON STOCK</t>
  </si>
  <si>
    <t>209000</t>
  </si>
  <si>
    <t>REDUCTION IN PAR ON CAP STK-COMMON</t>
  </si>
  <si>
    <t>211220</t>
  </si>
  <si>
    <t>MISC PAID IN CAP-INVEST IN NYSEG</t>
  </si>
  <si>
    <t>211290</t>
  </si>
  <si>
    <t>INVESTMENT TAX CREDIT-GAS</t>
  </si>
  <si>
    <t>0-283.40.03</t>
  </si>
  <si>
    <t>GAS</t>
  </si>
  <si>
    <t>ESM on 2003 NYPA settlement</t>
  </si>
  <si>
    <t>Capitalized Pension</t>
  </si>
  <si>
    <t>PBA</t>
  </si>
  <si>
    <t>RCLS-ADIT-FED-CUR-EL</t>
  </si>
  <si>
    <t>RCLS-ADIT-ST-CUR-EL</t>
  </si>
  <si>
    <t>RCLS-ADIT-FED-CUR-GS</t>
  </si>
  <si>
    <t>RCLS-ADIT-ST-CUR-GS</t>
  </si>
  <si>
    <t>Capitalized Installation Costs</t>
  </si>
  <si>
    <t>NYS DEF INCOME TAX BILL MITIGATION DEFERRAL-GAS</t>
  </si>
  <si>
    <t>0-286.01.46</t>
  </si>
  <si>
    <t>0-286.01.47</t>
  </si>
  <si>
    <t>0-286.01.50</t>
  </si>
  <si>
    <t>0-286.01.51</t>
  </si>
  <si>
    <t>Preliminary Engineering</t>
  </si>
  <si>
    <t>Other Regulatory Liabilities - Economic Development</t>
  </si>
  <si>
    <t>NBT National Bank - Deposito</t>
  </si>
  <si>
    <t>ADIT-OTH-REG-STATE-ELECTRIC</t>
  </si>
  <si>
    <t>ADIT-OTH-REG-STATE-GAS</t>
  </si>
  <si>
    <t>Earnings Base Cap Differential</t>
  </si>
  <si>
    <t>R2</t>
  </si>
  <si>
    <t>Uncompleted CWIP</t>
  </si>
  <si>
    <t>R3</t>
  </si>
  <si>
    <t>Depreciation Reserve</t>
  </si>
  <si>
    <t>R4</t>
  </si>
  <si>
    <t>Retirement Work in Progress</t>
  </si>
  <si>
    <t>R5</t>
  </si>
  <si>
    <t>0-184.22.13</t>
  </si>
  <si>
    <t>PLANT IN SERVICE - GAS</t>
  </si>
  <si>
    <t>RECLASS DEFERRED TAX ASSET TO CURRENT - ELEC</t>
  </si>
  <si>
    <t>Capitalization Supporting Total Rate Base</t>
  </si>
  <si>
    <t>2004 Property Tax Deferral - Gas</t>
  </si>
  <si>
    <t>HEDGED ASSET-COMMON</t>
  </si>
  <si>
    <t>PE254200   Invest Tax Cred-OID</t>
  </si>
  <si>
    <t>BE030333</t>
  </si>
  <si>
    <t>ELEC R&amp;D EXPENSE DEFERRAL</t>
  </si>
  <si>
    <t>Storm Costs</t>
  </si>
  <si>
    <t>0-283.21.76</t>
  </si>
  <si>
    <t>0-283.21.85</t>
  </si>
  <si>
    <t>ADIT - FAS106 OBLIGATION STATE ELEC CURRENT</t>
  </si>
  <si>
    <t>DERIVATIVE CURRENT TAX RECLASS - STATE - GAS</t>
  </si>
  <si>
    <t>DERIVATIVE CURRENT TAX RECLASS - FEDERAL - GAS</t>
  </si>
  <si>
    <t>Use Tax Reserve</t>
  </si>
  <si>
    <t>INTEREST &amp; DIVIDENDS RECEIVABLE</t>
  </si>
  <si>
    <t>RECLASS-INCOME TAXES-FEDERAL-CURRENT-ELECTRIC</t>
  </si>
  <si>
    <t>RECLASS-INCOME TAXES-FEDERAL-CURRENT-GAS</t>
  </si>
  <si>
    <t>Net Plant</t>
  </si>
  <si>
    <t>PSC Assessment</t>
  </si>
  <si>
    <t>510550</t>
  </si>
  <si>
    <t>SUPERFUND SITE REMEDIATION COSTS-GAS</t>
  </si>
  <si>
    <t>0-283.22.06</t>
  </si>
  <si>
    <t>MARKET TO MARKET ACCT REC-GAS</t>
  </si>
  <si>
    <t>Less: PSC Temporary Assessment</t>
  </si>
  <si>
    <t>Net amount of Prepayments in Rate Base</t>
  </si>
  <si>
    <t xml:space="preserve">Commodity Hedge Margin </t>
  </si>
  <si>
    <t>R10Commodity Hedge Margin Account</t>
  </si>
  <si>
    <t>Storm Revenue Reserve</t>
  </si>
  <si>
    <t>Storm Costs O&amp;M</t>
  </si>
  <si>
    <t>Storm Costs NCR</t>
  </si>
  <si>
    <t>ACCUM DEF INC TAXES-FEDERAL-CURRENT-ELECTRIC</t>
  </si>
  <si>
    <t>ACCUM DEF INC TAXES-STATE-CURRENT-ELECTRIC</t>
  </si>
  <si>
    <t>RECLASS-ACCUM DEFER INC TX-FED-CURRENT-ELECTRIC</t>
  </si>
  <si>
    <t>MFC Gas GSC</t>
  </si>
  <si>
    <t>Affordable Energy GSC</t>
  </si>
  <si>
    <t>NCR 2004 GSC</t>
  </si>
  <si>
    <t>Natural Gas</t>
  </si>
  <si>
    <t>R11Inc Tax on Lower Book Depr Exp vs. Amt in Rates</t>
  </si>
  <si>
    <t>R11Medicare Subsidy</t>
  </si>
  <si>
    <t>R11NYPA Ancillaries</t>
  </si>
  <si>
    <t>R11OPEBs</t>
  </si>
  <si>
    <t>R11Positive Benefit Adjustment</t>
  </si>
  <si>
    <t>Net Lag per Unbundling Collaborative</t>
  </si>
  <si>
    <t>Days per Year</t>
  </si>
  <si>
    <t>Percent of Year</t>
  </si>
  <si>
    <t>Total O&amp;M Expense</t>
  </si>
  <si>
    <t>PE259040   Uncollectible Accounts</t>
  </si>
  <si>
    <t>PG259040   Uncollectible Accounts</t>
  </si>
  <si>
    <t>Working Capital Allowance Factor   (1/8)</t>
  </si>
  <si>
    <t>R10Accrued Pension</t>
  </si>
  <si>
    <t>PG2528     Late Payment Penalties</t>
  </si>
  <si>
    <t>(Source: USS Local Tax Dept - 7/22/09)</t>
  </si>
  <si>
    <t>"MTA" Allocator:</t>
  </si>
  <si>
    <t>Property Tax Def 2010 JP</t>
  </si>
  <si>
    <t>BG030594</t>
  </si>
  <si>
    <t>LIP Bill Reduction Gas</t>
  </si>
  <si>
    <t>LIP Arrears Forgive Gas</t>
  </si>
  <si>
    <t>BG030903</t>
  </si>
  <si>
    <t>GAS STORED UNDERGROUND - INVENTORY</t>
  </si>
  <si>
    <t>GAS STORED UNDERGROUND - DOMINION TRANSMISSION IN</t>
  </si>
  <si>
    <t>RECLASS OTH REG LIAB-ASGA-ELEC (WITH ACCT 254994)</t>
  </si>
  <si>
    <t>ACCUMULATED DEF INVEST TAX CREDITS-ELECTRIC</t>
  </si>
  <si>
    <t>PE255500   Rents</t>
  </si>
  <si>
    <t>Deferrals Accruing Non-Cash Return   (other than ASGA)</t>
  </si>
  <si>
    <t>R1</t>
  </si>
  <si>
    <t>Rate Base</t>
  </si>
  <si>
    <t>Utility Plant</t>
  </si>
  <si>
    <t>R10</t>
  </si>
  <si>
    <t>Deferred Debits &amp; Credits</t>
  </si>
  <si>
    <t>R11</t>
  </si>
  <si>
    <t>PE255960   Maint Street Light</t>
  </si>
  <si>
    <t>PE255980   Maint of Misc Distr</t>
  </si>
  <si>
    <t>PE259120   Demo and Selling</t>
  </si>
  <si>
    <t>PE259200   Admin &amp; Gen Salaries</t>
  </si>
  <si>
    <t>Short Term Debt Supporting CWIP</t>
  </si>
  <si>
    <t>Average Balance of Short Term Debt</t>
  </si>
  <si>
    <t>Average Balance of Interest-Bearing CWIP</t>
  </si>
  <si>
    <t>Short Term Interest Supporting CWIP</t>
  </si>
  <si>
    <t>Short Term Interest</t>
  </si>
  <si>
    <t>Average Short Term Interest Rate</t>
  </si>
  <si>
    <t>Interest on Short Term Debt Supporting CWIP</t>
  </si>
  <si>
    <t>Customer Deposits &amp; Deferred Compensation</t>
  </si>
  <si>
    <t>235010</t>
  </si>
  <si>
    <t>OBLIGATIONS UNDER CAP LEASE-NON CUR-COMMON</t>
  </si>
  <si>
    <t>2003 PPLIP</t>
  </si>
  <si>
    <t>0-243.11.50</t>
  </si>
  <si>
    <t>Def Income Taxes - NTAC Deferral</t>
  </si>
  <si>
    <t>BT010080</t>
  </si>
  <si>
    <t>BT010081</t>
  </si>
  <si>
    <t>BT010088</t>
  </si>
  <si>
    <t>BT010089</t>
  </si>
  <si>
    <t>Pension Liability</t>
  </si>
  <si>
    <t>BG039999</t>
  </si>
  <si>
    <t>TAXES ACCRUED - NYS INCOME TAXES</t>
  </si>
  <si>
    <t>OTH NON-CUR LIAB - ACCUM PROV FOR INJUR &amp; DAM</t>
  </si>
  <si>
    <t>GSC Deferral 9/2007-8/2008</t>
  </si>
  <si>
    <t>PE259080   Customer Assistance</t>
  </si>
  <si>
    <t>PE259100   Misc Cust Svc &amp; Info</t>
  </si>
  <si>
    <t>PE259160   Misc. Sales</t>
  </si>
  <si>
    <t>PE259220   Admin Exp Transf -Cr</t>
  </si>
  <si>
    <t>OTHER INVESTMENTS</t>
  </si>
  <si>
    <t>A</t>
  </si>
  <si>
    <t>OTHER DEFERRED CREDITS - PENSION LIABILITY</t>
  </si>
  <si>
    <t>MISC CUR&amp;ACCRD LIAB-PAY IN LIEU OF VACATION</t>
  </si>
  <si>
    <t>PE259310   Rents</t>
  </si>
  <si>
    <t>PG259080   Customer Assistance</t>
  </si>
  <si>
    <t>0000176992 DERIVATIVE ASSET-LONG TERM</t>
  </si>
  <si>
    <t>2011 Powertax: ASGA - Amort - Elec</t>
  </si>
  <si>
    <t>CAIDI/SAIFI</t>
  </si>
  <si>
    <t>BE030597</t>
  </si>
  <si>
    <t>Bonus Depreciation NCR</t>
  </si>
  <si>
    <t>NCR on SBC NYSERDA</t>
  </si>
  <si>
    <t>591040</t>
  </si>
  <si>
    <t>591041</t>
  </si>
  <si>
    <t>591050</t>
  </si>
  <si>
    <t>591060</t>
  </si>
  <si>
    <t>First Mortgage Bonds</t>
  </si>
  <si>
    <t>Service Quality Performance Program</t>
  </si>
  <si>
    <t>0-182.12.00</t>
  </si>
  <si>
    <t>INJURIES &amp; DAMAGES GAS-CNY</t>
  </si>
  <si>
    <t>Reclass Other Reg Assets - Unfund Fut FIT - Gas (w/182399)</t>
  </si>
  <si>
    <t>0-283.20.66</t>
  </si>
  <si>
    <t>BE030183</t>
  </si>
  <si>
    <t xml:space="preserve">Power Partner + NCR - Low Income </t>
  </si>
  <si>
    <t>OTH REG ASSETS - SITE REMEDIATION</t>
  </si>
  <si>
    <t>0-283.20.82</t>
  </si>
  <si>
    <t>0-283.20.92</t>
  </si>
  <si>
    <t>HELVETIA WORKERS COMP</t>
  </si>
  <si>
    <t>KATZ LICENSING FEE AMORTIZATION</t>
  </si>
  <si>
    <t>0-283.20.11</t>
  </si>
  <si>
    <t>TEMP MTA TAX SURCHARGE DEF-ELEC</t>
  </si>
  <si>
    <t>RESID INSUL EXP DEF-ELEC</t>
  </si>
  <si>
    <t>ACCUM DEFERRED INC TAXES - FEDERAL - GAS</t>
  </si>
  <si>
    <t>Derivative Current Tax Reclass - State - Elec</t>
  </si>
  <si>
    <t>Account</t>
  </si>
  <si>
    <t>Reclass</t>
  </si>
  <si>
    <t>January</t>
  </si>
  <si>
    <t>RECLASS-PROM NOTE  DUE IN 1 YR (LTD) (WITH 224990</t>
  </si>
  <si>
    <t>NM2 O&amp;M Amortization - Fed - Hung Deferred</t>
  </si>
  <si>
    <t>Pension Funding vs Expense</t>
  </si>
  <si>
    <t>Reliability Incentive</t>
  </si>
  <si>
    <t>Restructuring-PP Bal Reclass</t>
  </si>
  <si>
    <t>Revolver Facility Fees</t>
  </si>
  <si>
    <t>Tree Trimming Amortization</t>
  </si>
  <si>
    <t xml:space="preserve">Pension </t>
  </si>
  <si>
    <t>PE255830</t>
  </si>
  <si>
    <t>PE255840</t>
  </si>
  <si>
    <t>PE255850</t>
  </si>
  <si>
    <t>PE255860</t>
  </si>
  <si>
    <t>PE255870</t>
  </si>
  <si>
    <t>PE255880</t>
  </si>
  <si>
    <t>PE255890</t>
  </si>
  <si>
    <t>PE255900</t>
  </si>
  <si>
    <t>PE255910</t>
  </si>
  <si>
    <t>PE255920</t>
  </si>
  <si>
    <t>PE255930</t>
  </si>
  <si>
    <t>PE255940</t>
  </si>
  <si>
    <t>PE255950</t>
  </si>
  <si>
    <t>PE255960</t>
  </si>
  <si>
    <t>PE255970</t>
  </si>
  <si>
    <t>PE255980</t>
  </si>
  <si>
    <t>PE259010</t>
  </si>
  <si>
    <t>PE259020</t>
  </si>
  <si>
    <t>PE259030</t>
  </si>
  <si>
    <t>PE259050</t>
  </si>
  <si>
    <t>PE255640   Underground Line Exp</t>
  </si>
  <si>
    <t>PE255650   Transmission of Elec</t>
  </si>
  <si>
    <t>PE255660   Misc. Transm Exp</t>
  </si>
  <si>
    <t>PRE255650  IC Trans Wheeling E</t>
  </si>
  <si>
    <t>0-243.11.56</t>
  </si>
  <si>
    <t>Def Tax</t>
  </si>
  <si>
    <t>Deferred Gas Costs - Diff GSC and Actual</t>
  </si>
  <si>
    <t>BE030579</t>
  </si>
  <si>
    <t>OPEB Ele</t>
  </si>
  <si>
    <t>OPEB Costs- Electric</t>
  </si>
  <si>
    <t>Defer CapEx Cust Credit 07-M-0906 Order 11/18/2011</t>
  </si>
  <si>
    <t>NCR Cap Ex</t>
  </si>
  <si>
    <t>ACCUM DEF INC TAXES -FAS 109-OTHER-STATE-ELECTRIC</t>
  </si>
  <si>
    <t>ACCUM DEF INC TAXES -FAS 109-OTHER-STATE-GAS</t>
  </si>
  <si>
    <t>ADIT-FAS 109 GROSSUP-FEDERAL ELECTRIC</t>
  </si>
  <si>
    <t>ADIT-FAS 109 GROSSUP-FEDERAL GAS</t>
  </si>
  <si>
    <t>ADIT-FAS 109 GROSSUP-STATE ELECTRIC</t>
  </si>
  <si>
    <t>ADIT-FAS 109 GROSSUP-STATE GAS</t>
  </si>
  <si>
    <t>Profit Center</t>
  </si>
  <si>
    <t>0-243.23.03</t>
  </si>
  <si>
    <t>NEIL Premium Refund</t>
  </si>
  <si>
    <t>Total Deferred Debits &amp; Credits</t>
  </si>
  <si>
    <t>RECLASS-ACCUM DEFERRED INC TAX-FERC 190/282</t>
  </si>
  <si>
    <t>1000/PE254264</t>
  </si>
  <si>
    <t>1000/PE254265</t>
  </si>
  <si>
    <t>Damaged Billing Proc</t>
  </si>
  <si>
    <t>Electric Expenses</t>
  </si>
  <si>
    <t>Oper Superv &amp; Eng</t>
  </si>
  <si>
    <t>Hydraulic Expenses</t>
  </si>
  <si>
    <t>Misc. Hydraulic Pwr</t>
  </si>
  <si>
    <t>Maint Superv &amp; Eng</t>
  </si>
  <si>
    <t>Maint of Structure</t>
  </si>
  <si>
    <t>Maint of Reservoirs</t>
  </si>
  <si>
    <t>Maint of Elect Plt</t>
  </si>
  <si>
    <t>Maint of Misc Hyd Pl</t>
  </si>
  <si>
    <t>Fuel</t>
  </si>
  <si>
    <t>Generation Expense</t>
  </si>
  <si>
    <t>Misc. Oth Pwr Gen</t>
  </si>
  <si>
    <t>Maint of Gen &amp; Elec</t>
  </si>
  <si>
    <t>Maint of Misc Oth Ge</t>
  </si>
  <si>
    <t>Purchase Power</t>
  </si>
  <si>
    <t>Syst Cont and Load</t>
  </si>
  <si>
    <t>Other Expenses</t>
  </si>
  <si>
    <t>Transm Subst - Sup&amp;E</t>
  </si>
  <si>
    <t>1000/PE255611</t>
  </si>
  <si>
    <t>1000/PE255612</t>
  </si>
  <si>
    <t>1000/PE255614</t>
  </si>
  <si>
    <t>1000/PE255615</t>
  </si>
  <si>
    <t>1000/PE255616</t>
  </si>
  <si>
    <t>1000/PE255617</t>
  </si>
  <si>
    <t>Station Expenses</t>
  </si>
  <si>
    <t>Overhead Line Expens</t>
  </si>
  <si>
    <t>Underground Line Exp</t>
  </si>
  <si>
    <t>Misc. Transm Exp</t>
  </si>
  <si>
    <t>Rents</t>
  </si>
  <si>
    <t>1000/PE255691</t>
  </si>
  <si>
    <t>1000/PE255692</t>
  </si>
  <si>
    <t>1000/PE255693</t>
  </si>
  <si>
    <t>1000/PE255694</t>
  </si>
  <si>
    <t>Maint Station Exp</t>
  </si>
  <si>
    <t>Maint Overhead Line</t>
  </si>
  <si>
    <t>Maint Underground</t>
  </si>
  <si>
    <t>Maint of Misc Transm</t>
  </si>
  <si>
    <t>Dist Substa-Sup&amp;Eng</t>
  </si>
  <si>
    <t>Overhead Line Exp</t>
  </si>
  <si>
    <t>Street Light &amp; Sign</t>
  </si>
  <si>
    <t>Meter Expense</t>
  </si>
  <si>
    <t>Customer Install Exp</t>
  </si>
  <si>
    <t>Misc. Distrib Exp</t>
  </si>
  <si>
    <t>Maint Station Equip</t>
  </si>
  <si>
    <t>Maint Overhead line</t>
  </si>
  <si>
    <t>Maint of Underground</t>
  </si>
  <si>
    <t>Maint of Line Transf</t>
  </si>
  <si>
    <t>Maint Street Light</t>
  </si>
  <si>
    <t>Maint of Meters</t>
  </si>
  <si>
    <t>Maint of Misc Distr</t>
  </si>
  <si>
    <t>Supervision</t>
  </si>
  <si>
    <t>Meter Reading Exp</t>
  </si>
  <si>
    <t>Customer Records</t>
  </si>
  <si>
    <t>Misc. Customer Acct</t>
  </si>
  <si>
    <t>Customer Assistance</t>
  </si>
  <si>
    <t>Inform and Instruct</t>
  </si>
  <si>
    <t>Misc Cust Svc &amp; Info</t>
  </si>
  <si>
    <t>Demo and Selling</t>
  </si>
  <si>
    <t>Misc. Sales</t>
  </si>
  <si>
    <t>Admin &amp; Gen Salaries</t>
  </si>
  <si>
    <t>Regulatory Commiss</t>
  </si>
  <si>
    <t>General Advertising</t>
  </si>
  <si>
    <t>Misc. General Exp</t>
  </si>
  <si>
    <t>Maint of Gen Plt</t>
  </si>
  <si>
    <t>1000/PG254180</t>
  </si>
  <si>
    <t>1000/PG254264</t>
  </si>
  <si>
    <t>Field Lines Expense</t>
  </si>
  <si>
    <t>Oth Purchased Gas Ex</t>
  </si>
  <si>
    <t>Other Gas Supply Exp</t>
  </si>
  <si>
    <t>Compressor Sta Exp</t>
  </si>
  <si>
    <t>Maint of Compr Sta</t>
  </si>
  <si>
    <t>System Contrl &amp; Load</t>
  </si>
  <si>
    <t>Mains Expenses</t>
  </si>
  <si>
    <t>Maint of Mains</t>
  </si>
  <si>
    <t>Maint of Meas &amp; Reg</t>
  </si>
  <si>
    <t>Distribut Load Disp</t>
  </si>
  <si>
    <t>Mains &amp; Service Exp</t>
  </si>
  <si>
    <t>Meas &amp; Reg Sta-Gen</t>
  </si>
  <si>
    <t>Meas &amp; Reg Sta-City</t>
  </si>
  <si>
    <t>Meters &amp; House Reg</t>
  </si>
  <si>
    <t>Maint Meas &amp; Reg-Gen</t>
  </si>
  <si>
    <t>Maint Meas &amp; Reg-Cty</t>
  </si>
  <si>
    <t>Maint of Services</t>
  </si>
  <si>
    <t>Maint of Meter &amp; Reg</t>
  </si>
  <si>
    <t>New York State Electric &amp; Gas</t>
  </si>
  <si>
    <t>EEPS J/E Calculation NYS ST4093</t>
  </si>
  <si>
    <t>Case Number 07-M-0548 Effective 6/23/08</t>
  </si>
  <si>
    <t>Energy Efficiency Portfolio Standard (starting October 2008)</t>
  </si>
  <si>
    <t>ELECTRIC</t>
  </si>
  <si>
    <t>Account 242022</t>
  </si>
  <si>
    <t>808020 - O/U collection</t>
  </si>
  <si>
    <t>EEPS Billed Revenues (A)</t>
  </si>
  <si>
    <t>Unbilled:</t>
  </si>
  <si>
    <t>Unbilled KWH Current Month</t>
  </si>
  <si>
    <t>EEPS Rate</t>
  </si>
  <si>
    <t>Unbilled Dollars Current Month</t>
  </si>
  <si>
    <t>Reverse Prior Month Unbilled</t>
  </si>
  <si>
    <t>Unbilled KWH Reversal (Credit)</t>
  </si>
  <si>
    <t>Total net Unbilled KWH</t>
  </si>
  <si>
    <t>Net Unbilled EEPS Revenues</t>
  </si>
  <si>
    <t>Total EEPS Collection (JE)</t>
  </si>
  <si>
    <t>Accumulated Collection</t>
  </si>
  <si>
    <t>NYSERDA Programs (# 808120)</t>
  </si>
  <si>
    <t>Utility Programs (# 808220)</t>
  </si>
  <si>
    <t>Total Target</t>
  </si>
  <si>
    <t>Monthly (over)/under collection</t>
  </si>
  <si>
    <t>Accum (over)/under collection</t>
  </si>
  <si>
    <t>GL balance (Assgn: 808020)</t>
  </si>
  <si>
    <t>808120 - NYSERDA</t>
  </si>
  <si>
    <t>EEPS Liab (C)</t>
  </si>
  <si>
    <t>Adjustments [explain]</t>
  </si>
  <si>
    <t>EEPS Payment (Quarterly to NYSERDA)</t>
  </si>
  <si>
    <t>Accum Balance 808120</t>
  </si>
  <si>
    <t>GL balance (Assgn: 808120)</t>
  </si>
  <si>
    <t>808220 - Company Programs</t>
  </si>
  <si>
    <t>EEPS Target</t>
  </si>
  <si>
    <t>Expenditures</t>
  </si>
  <si>
    <t>Monthly over/(under) spent vs Target</t>
  </si>
  <si>
    <t>Accum Balance 808220</t>
  </si>
  <si>
    <t>GL balance (Assgn: 808220)</t>
  </si>
  <si>
    <t>808320 - NCR (Underspent Co. Pgms)</t>
  </si>
  <si>
    <t>Total Accumulated under Target</t>
  </si>
  <si>
    <t>Total Accumulated NCR</t>
  </si>
  <si>
    <t>Monthly Balance</t>
  </si>
  <si>
    <t>Average over/(under) Spent</t>
  </si>
  <si>
    <t>Monthy rate for 5.5% annual "Othr</t>
  </si>
  <si>
    <t>Cust Capital" to be adj'd annually -</t>
  </si>
  <si>
    <t>4.2% beg 1/10</t>
  </si>
  <si>
    <t>NCR Current Month</t>
  </si>
  <si>
    <t>Accum Balance 808320</t>
  </si>
  <si>
    <t>GL balance (Assgn: 808320)</t>
  </si>
  <si>
    <t>Current Month YTD</t>
  </si>
  <si>
    <t>Expenditures Common (Electric)</t>
  </si>
  <si>
    <t>Expenditures Electric</t>
  </si>
  <si>
    <t>Prior Month YTD</t>
  </si>
  <si>
    <t>Current MTD</t>
  </si>
  <si>
    <t>EEPS IFRS Recon Summary</t>
  </si>
  <si>
    <t xml:space="preserve">   Electric</t>
  </si>
  <si>
    <t xml:space="preserve">   Gas</t>
  </si>
  <si>
    <t>Total Acct 242022</t>
  </si>
  <si>
    <t xml:space="preserve">   Less: NYSERDA</t>
  </si>
  <si>
    <t>I000242022 acct Bal</t>
  </si>
  <si>
    <t>G/L balance (I000242022)</t>
  </si>
  <si>
    <t xml:space="preserve">GAS </t>
  </si>
  <si>
    <t>Account - 242024</t>
  </si>
  <si>
    <t>EEPS Billed Revenues</t>
  </si>
  <si>
    <t>Unbilled Dth Current Month</t>
  </si>
  <si>
    <t>Total Unbilled EEPS Revenues</t>
  </si>
  <si>
    <t>Accumualted Collection</t>
  </si>
  <si>
    <t>NYSERDA Programs (JE)</t>
  </si>
  <si>
    <t>Utility Programs (JE)</t>
  </si>
  <si>
    <t>Monthly (over)/under collection (IFRS JE)</t>
  </si>
  <si>
    <t>Net Accum (over)/under collection</t>
  </si>
  <si>
    <t>GL balance (Assgn 808021)</t>
  </si>
  <si>
    <t>808121 - NYSERDA</t>
  </si>
  <si>
    <t>EEPS Liab (JE)</t>
  </si>
  <si>
    <t>EEPS Payment (Qtrly to NYSERDA)</t>
  </si>
  <si>
    <t xml:space="preserve">Accum Balance </t>
  </si>
  <si>
    <t>GL balance (Assgn 808121)</t>
  </si>
  <si>
    <t>808221 Company Programs</t>
  </si>
  <si>
    <t>Expenditures (JE)</t>
  </si>
  <si>
    <t>Monthly over/(under) spent vs Target (JE)</t>
  </si>
  <si>
    <t>Accum Balance 808221</t>
  </si>
  <si>
    <t>GL balance (Assgn 808221)</t>
  </si>
  <si>
    <t>808321 - NCR O/(U) spent Company Programs</t>
  </si>
  <si>
    <t>Total Accumulated O/(U) Target</t>
  </si>
  <si>
    <t>Accumulated for NCR</t>
  </si>
  <si>
    <t>Monthy rate for 3.35% annual "Othr</t>
  </si>
  <si>
    <t>NCR Current Month (JE)</t>
  </si>
  <si>
    <t>Accum Balance 808321</t>
  </si>
  <si>
    <t>GL balance (Assgn 808321)</t>
  </si>
  <si>
    <t>TOTAL ACCOUNT BALANCE 242024</t>
  </si>
  <si>
    <t>Average</t>
  </si>
  <si>
    <t>Less NYSERDA Liability</t>
  </si>
  <si>
    <t>TOTAL ACCOUNT BALANCE I000242024</t>
  </si>
  <si>
    <t>G/L balance (I000242024)</t>
  </si>
  <si>
    <t>R10Non-Qualified Retiree Trust (net of related liability)</t>
  </si>
  <si>
    <t>EDF Liab 2005 Electric</t>
  </si>
  <si>
    <t>EDF Liab 2006 Electric</t>
  </si>
  <si>
    <t>EDF Over/Under Spending 2007</t>
  </si>
  <si>
    <t>CCNC</t>
  </si>
  <si>
    <t>NTAC - From Acct 0-149.48.01</t>
  </si>
  <si>
    <t>Tax Item ASGA -NBC</t>
  </si>
  <si>
    <t>809010</t>
  </si>
  <si>
    <t>809011</t>
  </si>
  <si>
    <t>PG2571     Firm-Interim Rev Dec</t>
  </si>
  <si>
    <t>0-149.28.82</t>
  </si>
  <si>
    <t>BT010183</t>
  </si>
  <si>
    <t>Rate Base (w/o O&amp;M)</t>
  </si>
  <si>
    <t>Deferred Gas Outreach &amp; Ed</t>
  </si>
  <si>
    <t>Pandemic Flu</t>
  </si>
  <si>
    <t>Taxes on Lower-then-book Depreciation Exp</t>
  </si>
  <si>
    <t>0-243.11.63</t>
  </si>
  <si>
    <t>Summary of General Ledger Accounts</t>
  </si>
  <si>
    <t>PG258240</t>
  </si>
  <si>
    <t>DEFERRED COMPENSATION-GAS</t>
  </si>
  <si>
    <t>INTEREST ACCRD-SUPPLIER DEPOSIT-GAS</t>
  </si>
  <si>
    <t>ACCUM DEFERRED INC TAXES-FEDERAL-CURRENT-ELECTRIC</t>
  </si>
  <si>
    <t>ACCUM DEFERRED INC TAXES-FEDERAL-CURRENT-GAS</t>
  </si>
  <si>
    <t>ACCUM DEFERRED INC TAXES - STATE</t>
  </si>
  <si>
    <t>OTH DEFERRED DEBITS - PROPERTY TAX</t>
  </si>
  <si>
    <t>RESEARCH&amp;DEVELOPMENT EXPENDITURES</t>
  </si>
  <si>
    <t>Research &amp; Development</t>
  </si>
  <si>
    <t>PROV FOR UNCOLLECTIBLE ACCTS-ELEC</t>
  </si>
  <si>
    <t>Bad Debts</t>
  </si>
  <si>
    <t>0-183.67.00</t>
  </si>
  <si>
    <t>PROV FOR UNCOLLECTIBLE ACCTS-GAS</t>
  </si>
  <si>
    <t>Merchant Function Charge - Gas</t>
  </si>
  <si>
    <t>Move Debt Exp</t>
  </si>
  <si>
    <t>0-183.80.00</t>
  </si>
  <si>
    <t>BG030312</t>
  </si>
  <si>
    <t>EDF - Gas</t>
  </si>
  <si>
    <t>EDF Liab 2003 Electric</t>
  </si>
  <si>
    <t>NOL Deferred Tax Asset - Deferred</t>
  </si>
  <si>
    <t>Research &amp; Development Tax Credit - DTA - Fe</t>
  </si>
  <si>
    <t>Research &amp; Development Tax Credit</t>
  </si>
  <si>
    <t>Mixed Service Costs 263A - Fed</t>
  </si>
  <si>
    <t>Mixed Service Costs 263A - State</t>
  </si>
  <si>
    <t>BT010390</t>
  </si>
  <si>
    <t>ACCUM DEF INC TAXES -FAS 109-OTHER-FEDERAL-ELEC</t>
  </si>
  <si>
    <t>ASGA Refund Transfer to Current</t>
  </si>
  <si>
    <t>0-283.21.89</t>
  </si>
  <si>
    <t>0-186.01.36</t>
  </si>
  <si>
    <t>0-186.01.38</t>
  </si>
  <si>
    <t>0-186.01.39</t>
  </si>
  <si>
    <t>2006 Earnings Sharing - Electric</t>
  </si>
  <si>
    <t>EXCESS STATE DIT NON NCR ITEMS-ELECTRIC</t>
  </si>
  <si>
    <t>EXCESS STATE DIT NON NCR ITEMS-GAS</t>
  </si>
  <si>
    <t>May</t>
  </si>
  <si>
    <t>PE255390</t>
  </si>
  <si>
    <t>PE255410</t>
  </si>
  <si>
    <t>PE255420</t>
  </si>
  <si>
    <t>0-243.11.99</t>
  </si>
  <si>
    <t>0-183.95.00</t>
  </si>
  <si>
    <t>MFC Gas</t>
  </si>
  <si>
    <t>MFC Undercollection  - Electric Deferral</t>
  </si>
  <si>
    <t>MFC Undercollection - Electric NCR</t>
  </si>
  <si>
    <t>BT010192</t>
  </si>
  <si>
    <t>Excess Deferred Taxes New York Non-NCR</t>
  </si>
  <si>
    <t>Nyserda</t>
  </si>
  <si>
    <t>DEFERRED GAS COSTS - $12.5M</t>
  </si>
  <si>
    <t>DEFERRED GAS COSTS - $1.5M</t>
  </si>
  <si>
    <t>DEFERRED GAS COSTS NCR</t>
  </si>
  <si>
    <t>ADVANCED METER INFRASTRUCTURE IMPLEMENTATION</t>
  </si>
  <si>
    <t>Low Income Program 2010 Reconnect Fee Waiver</t>
  </si>
  <si>
    <t>Low Income Program 2010 Admin Expense</t>
  </si>
  <si>
    <t>RDM Deferral - Elec</t>
  </si>
  <si>
    <t>Storm Cost Write off JP Appendix B</t>
  </si>
  <si>
    <t>PG254265   OID-Other Deductions</t>
  </si>
  <si>
    <t>PG254264   OID-Civic&amp;Political</t>
  </si>
  <si>
    <t>PG254200   Invest Tax Cred-OID</t>
  </si>
  <si>
    <t>INVESTMENT TAX CREDIT-ELEC</t>
  </si>
  <si>
    <t>ITC</t>
  </si>
  <si>
    <t>0-283.40.02</t>
  </si>
  <si>
    <t>PE2599     Regulatory Rev Activ</t>
  </si>
  <si>
    <t>Gains/Losses on Surplus Sales - Gas</t>
  </si>
  <si>
    <t>June</t>
  </si>
  <si>
    <t>Reclass Other Reg Assets - Unfund Future FIT - El (w/182397)</t>
  </si>
  <si>
    <t>Other Regulatory Assets - Asset Retirement Obligation - Gas</t>
  </si>
  <si>
    <t>800183</t>
  </si>
  <si>
    <t>Working Capital - M &amp; S</t>
  </si>
  <si>
    <t>0-243.11.53</t>
  </si>
  <si>
    <t>CASUALTY LOSS</t>
  </si>
  <si>
    <t>Caslty Loss</t>
  </si>
  <si>
    <t>PREPAID INSURANCE</t>
  </si>
  <si>
    <t>PPD Ins</t>
  </si>
  <si>
    <t>REPAIR ALLOWANCE</t>
  </si>
  <si>
    <t>Repr Allow</t>
  </si>
  <si>
    <t>ENVIRONMENTAL - REG ASSET</t>
  </si>
  <si>
    <t>Env RA</t>
  </si>
  <si>
    <t>0-149.28.10</t>
  </si>
  <si>
    <t>Deferred Gas Pension Income - 2005</t>
  </si>
  <si>
    <t>PE255615   Rel Plan&amp;Stds Devel</t>
  </si>
  <si>
    <t>PE255617   Gen Intercon Studies</t>
  </si>
  <si>
    <t>PG259280   Regulatory Commiss</t>
  </si>
  <si>
    <t>PG259301   General Advertising</t>
  </si>
  <si>
    <t>PG259320   Maint of Gen Plt</t>
  </si>
  <si>
    <t>PG254077   Reg Debit Gas O&amp;M</t>
  </si>
  <si>
    <t>PG254101   Prov DIT Utly Op Inc</t>
  </si>
  <si>
    <t>PG254111   Prov DIT CrdUtlOpInc</t>
  </si>
  <si>
    <t>PG254180   Nonop Rental Income</t>
  </si>
  <si>
    <t>PG254190   Int/Div Income</t>
  </si>
  <si>
    <t>PG254210   Nonop Misc Income</t>
  </si>
  <si>
    <t>PG254082   Tax oth Inc Tax OID</t>
  </si>
  <si>
    <t>PG254092   Inc Tax Oth Inc&amp;DedG</t>
  </si>
  <si>
    <t>PG254102   Prov DIT OthIncDed</t>
  </si>
  <si>
    <t>PG254112   Prov DIT Credit OID</t>
  </si>
  <si>
    <t>PG254280   Amort Debt Discount</t>
  </si>
  <si>
    <t>HEDGING GAIN</t>
  </si>
  <si>
    <t>Hedge Gain</t>
  </si>
  <si>
    <t>807015</t>
  </si>
  <si>
    <t>M&amp;T Buffalo - Depository</t>
  </si>
  <si>
    <t>July</t>
  </si>
  <si>
    <t>August</t>
  </si>
  <si>
    <t>September</t>
  </si>
  <si>
    <t>October</t>
  </si>
  <si>
    <t>November</t>
  </si>
  <si>
    <t>December</t>
  </si>
  <si>
    <t>RECLASS-OBLIG UNDER CAP LEASE-CUR-ELEC(W / 227010</t>
  </si>
  <si>
    <t>OTH NONCUR LIAB-OTHER DERIVATIVES</t>
  </si>
  <si>
    <t>OTH NONCUR LIAB-DERIVATIVE LIAB-GAS HEDGE</t>
  </si>
  <si>
    <t>OTH NONCUR LIAB-HEDGE-SWAP</t>
  </si>
  <si>
    <t>RECLASS OTH REG ASSET-UNFUND FUT FIT-GS(W/ 182399</t>
  </si>
  <si>
    <t>RECLASS OTH REG ASSET-UNFUND FUT FIT-GS(W/ 182398</t>
  </si>
  <si>
    <t>PRELIMINARY ENGINEERING - ELECTRIC</t>
  </si>
  <si>
    <t>Research and Development Deductions</t>
  </si>
  <si>
    <t>801225-11</t>
  </si>
  <si>
    <t>Gas MFC 7/2011 - 6/2012</t>
  </si>
  <si>
    <t>808003-12</t>
  </si>
  <si>
    <t>First Energy</t>
  </si>
  <si>
    <t>Stranded Gas Capacity</t>
  </si>
  <si>
    <t>Flood Costs</t>
  </si>
  <si>
    <t>Stranded Gas Capacity 10-G-0644</t>
  </si>
  <si>
    <t>PE255810   Load Dispatching</t>
  </si>
  <si>
    <t>PG258075   Oth Purchased Gas Ex</t>
  </si>
  <si>
    <t>PG258081   Gas Withdrawn fr Sto</t>
  </si>
  <si>
    <t>PG258082   Gas Deliv to Stor-Cr</t>
  </si>
  <si>
    <t>PG258120   Gas Used for Oth Utl</t>
  </si>
  <si>
    <t>PG258130   Other Gas Supply Exp</t>
  </si>
  <si>
    <t>PG258180   Compressor Sta Exp</t>
  </si>
  <si>
    <t>PG258510   System Contrl &amp; Load</t>
  </si>
  <si>
    <t>PG258610   Maint Superv &amp; Eng</t>
  </si>
  <si>
    <t>PG258700   Oper Superv &amp; Eng</t>
  </si>
  <si>
    <t>PG258710   Distribut Load Disp</t>
  </si>
  <si>
    <t>PG258740   Mains &amp; Service Exp</t>
  </si>
  <si>
    <t>PG258750   Meas &amp; Reg Sta-Gen</t>
  </si>
  <si>
    <t>PG258780   Meters &amp; House Reg</t>
  </si>
  <si>
    <t>Multiple: 282.11.09/282.11.05/282.11.03/IBO Costs/NIRP Costs-b</t>
  </si>
  <si>
    <t>Theoretical Reserve-a</t>
  </si>
  <si>
    <t>Theoretical Reserve-b</t>
  </si>
  <si>
    <t>Multiple: 282.11.10/282.11.06/282.11.04/IBO Costs/NIRP Costs/WM Costs-a</t>
  </si>
  <si>
    <t>Multiple: 282.11.10/282.11.06/282.11.04/IBO Costs/NIRP Costs/WM Costs-b</t>
  </si>
  <si>
    <t>Unit of Property-a</t>
  </si>
  <si>
    <t>Unit of Property-b</t>
  </si>
  <si>
    <t>Unit of Property-c</t>
  </si>
  <si>
    <t>Repr Allow-a</t>
  </si>
  <si>
    <t>Repr Allow-b</t>
  </si>
  <si>
    <t>NCR/Non NCR-a</t>
  </si>
  <si>
    <t>NCR/Non NCR-b</t>
  </si>
  <si>
    <t>NCR/Non NCR-c</t>
  </si>
  <si>
    <t>NCR/Non NCR-d</t>
  </si>
  <si>
    <t>NCR/Non NCR-e</t>
  </si>
  <si>
    <t>NCR/Non NCR-f</t>
  </si>
  <si>
    <t>NCR/Non NCR-g</t>
  </si>
  <si>
    <t>NCR/Non NCR-h</t>
  </si>
  <si>
    <t>NCR/Non NCR-i</t>
  </si>
  <si>
    <t>ASGA Gross-up-a</t>
  </si>
  <si>
    <t>ASGA Gross-up-b</t>
  </si>
  <si>
    <t>0-283.20.12-a</t>
  </si>
  <si>
    <t>0-283.20.12-b</t>
  </si>
  <si>
    <t>OTH NON-CUR LIAB - OPEB RESERVE</t>
  </si>
  <si>
    <t>OTH NON-CUR LIAB - ENVIRONMENTAL RESERVES</t>
  </si>
  <si>
    <t>Environmental</t>
  </si>
  <si>
    <t>0-286.01.27</t>
  </si>
  <si>
    <t>DERIVATIVES</t>
  </si>
  <si>
    <t>0-286.01.42</t>
  </si>
  <si>
    <t>Bill Mitigation Deferral - PSC 73</t>
  </si>
  <si>
    <t>OTH COMPRE INC-FAS 133 TREASURY RECLASSIFICATIONS</t>
  </si>
  <si>
    <t>OTH COMPRE INC-FAS 133 MARK TO MARKET-FIT</t>
  </si>
  <si>
    <t>OTH COMPRE INC-FAS 133 TREASURY MARK TO MARKET-FI</t>
  </si>
  <si>
    <t>ETR &amp; Restruct Agree Def to ASGA Year 1</t>
  </si>
  <si>
    <t>0-243.11.09</t>
  </si>
  <si>
    <t>Section 174 R&amp;D Amortization</t>
  </si>
  <si>
    <t>ACCUM DEF INC TAX-FAS 109 STATE -OTH PROP - ELEC</t>
  </si>
  <si>
    <t>ACCUM DEF INC TAX - FAS 109 STATE - OTH PROP - GA</t>
  </si>
  <si>
    <t>0-149.49.17</t>
  </si>
  <si>
    <t>Defer Energy Efficiency - Gas 2008</t>
  </si>
  <si>
    <t>Balance Sheet Reclass fr 254170 - 09/08</t>
  </si>
  <si>
    <t>This Study Cat</t>
  </si>
  <si>
    <t>0-286.01.06</t>
  </si>
  <si>
    <t>O&amp;M REVENUE-NM2</t>
  </si>
  <si>
    <t>R11Purchase of receivables</t>
  </si>
  <si>
    <t>R11Sarbanes-Oxley</t>
  </si>
  <si>
    <t>R11Seneca Storage</t>
  </si>
  <si>
    <t>R11Service Quality Performance Program</t>
  </si>
  <si>
    <t>R11Stray Voltage</t>
  </si>
  <si>
    <t>R11Theoretical Reserve</t>
  </si>
  <si>
    <t>R11Unit of Property</t>
  </si>
  <si>
    <t>Miscellaneous:</t>
  </si>
  <si>
    <t>Deferred Debit / Credit Related:</t>
  </si>
  <si>
    <t>Plant Related:</t>
  </si>
  <si>
    <t>SFAS 106 POST RETIREMENT BENEFITS-GAS</t>
  </si>
  <si>
    <t>0-183.46.00</t>
  </si>
  <si>
    <t>0-149.48.10</t>
  </si>
  <si>
    <t>Other Adjustments</t>
  </si>
  <si>
    <t>OTH A/R -PROPERTY TAX REFUND-SCHOOL</t>
  </si>
  <si>
    <t>0-186.01.18</t>
  </si>
  <si>
    <t>Acct</t>
  </si>
  <si>
    <t>Acct Desc</t>
  </si>
  <si>
    <t>Test Year</t>
  </si>
  <si>
    <t>Payroll - Regular Wages</t>
  </si>
  <si>
    <t>Payroll - Overtime Wages</t>
  </si>
  <si>
    <t>PAYROLL-INCENTIVES</t>
  </si>
  <si>
    <t>Payroll - Accrual Payments</t>
  </si>
  <si>
    <t>Payroll - Lost Time</t>
  </si>
  <si>
    <t>Payroll - Adjustments</t>
  </si>
  <si>
    <t>Payroll - Adjustments Without Overhead</t>
  </si>
  <si>
    <t>510170</t>
  </si>
  <si>
    <t>.</t>
  </si>
  <si>
    <t>MISC CUR &amp; ACCR LIAB - EQUAL PAYMENT PLAN</t>
  </si>
  <si>
    <t>MISC CUR&amp;ACCRD LIAB-ENERGY PROVIDER</t>
  </si>
  <si>
    <t>WORKING FUNDS - NY ISO</t>
  </si>
  <si>
    <t>TEMPORARY CASH INVESTMENTS-UNDER 90 DAYS</t>
  </si>
  <si>
    <t>Temporary Cash Investments</t>
  </si>
  <si>
    <t>Accounts Receivable</t>
  </si>
  <si>
    <t>PAYROLL ADJUSTMENTS</t>
  </si>
  <si>
    <t>PAYROLL DEDUCTIONS - DEFAULT</t>
  </si>
  <si>
    <t>PAYROLL DEDUCTIONS - FLEXCARE PLAN</t>
  </si>
  <si>
    <t>AUCTION RATE SECURITIES RECLASS</t>
  </si>
  <si>
    <t>AUCTION RATE SECURITIES RECLASS (DEBIT)</t>
  </si>
  <si>
    <t>R10Deferred Gas Costs</t>
  </si>
  <si>
    <t>R10Environmental</t>
  </si>
  <si>
    <t>(In Standard Rate Base)</t>
  </si>
  <si>
    <t>R10Gas Phase 2A/B</t>
  </si>
  <si>
    <t>R10Gain / Loss on Reacquired Debt</t>
  </si>
  <si>
    <t>R10Marcy South</t>
  </si>
  <si>
    <t>R10MTA Surcharge</t>
  </si>
  <si>
    <t>R10NBWC True-up</t>
  </si>
  <si>
    <t>R10Pension</t>
  </si>
  <si>
    <t>R10Pension Liability</t>
  </si>
  <si>
    <t>R10SFAS-112</t>
  </si>
  <si>
    <t>(d)</t>
  </si>
  <si>
    <t>ACCUM DEF INC TAX-FAS 109 FEDERAL - OTH PROP - GA</t>
  </si>
  <si>
    <t>PE2577     RA-Annual Rev Decoup</t>
  </si>
  <si>
    <t>PRE ENGINEERING ELECT OH</t>
  </si>
  <si>
    <t>PRE ENGINEERING GAS OH</t>
  </si>
  <si>
    <t>CUSTOMER A/R-REMITTANCE CONTROL</t>
  </si>
  <si>
    <t>WMS/SD CASH CLEARING</t>
  </si>
  <si>
    <t>PREPAYMENTS -PSC GEN ASSESSMENT INCL ERDA</t>
  </si>
  <si>
    <t>0-283.22.32</t>
  </si>
  <si>
    <t>0-242.51.22</t>
  </si>
  <si>
    <t>0-243.11.75</t>
  </si>
  <si>
    <t>R&amp;D Deferral - YE 2003</t>
  </si>
  <si>
    <t>0-243.11.98</t>
  </si>
  <si>
    <t>LIP Reconnect Fee Waiver Gas</t>
  </si>
  <si>
    <t>RDM Deferral - Gas</t>
  </si>
  <si>
    <t>BG030904</t>
  </si>
  <si>
    <t>LIP Admin Expense Gas</t>
  </si>
  <si>
    <t>NCR Elec IRS Audit Orphan</t>
  </si>
  <si>
    <t>NCR Gas O&amp;E Orphan</t>
  </si>
  <si>
    <t>807031-11</t>
  </si>
  <si>
    <t>CUSTOMER A/R -GAS OFF SYSTEM</t>
  </si>
  <si>
    <t>809002-10</t>
  </si>
  <si>
    <t>Economic Development Deferrals 2010</t>
  </si>
  <si>
    <t>Economic Development Deferrals 2009</t>
  </si>
  <si>
    <t>809024</t>
  </si>
  <si>
    <t>NCR on ESM 2008 Commodity Hedge Adj</t>
  </si>
  <si>
    <t>810003</t>
  </si>
  <si>
    <t>810004</t>
  </si>
  <si>
    <t>Tax Item-5</t>
  </si>
  <si>
    <t>ROW ASGA Contribution 09-M-0427</t>
  </si>
  <si>
    <t>Tax Item ROW contribution</t>
  </si>
  <si>
    <t>ESM NYPA PFJ Refund</t>
  </si>
  <si>
    <t>Pwr Partner Low Inc Program 2009</t>
  </si>
  <si>
    <t>PE259080</t>
  </si>
  <si>
    <t>PE259090</t>
  </si>
  <si>
    <t>PE259100</t>
  </si>
  <si>
    <t>PE259120</t>
  </si>
  <si>
    <t>PE259160</t>
  </si>
  <si>
    <t>PE259200</t>
  </si>
  <si>
    <t>807032-11</t>
  </si>
  <si>
    <t>807033-11</t>
  </si>
  <si>
    <t>02432600</t>
  </si>
  <si>
    <t>801233</t>
  </si>
  <si>
    <t>POR Deferral Elec</t>
  </si>
  <si>
    <t>BE030423</t>
  </si>
  <si>
    <t>Por Deferral Gas</t>
  </si>
  <si>
    <t>PY GSC Reclass fm 182371</t>
  </si>
  <si>
    <t>Veg Mgmt</t>
  </si>
  <si>
    <t>0-186.01.40</t>
  </si>
  <si>
    <t>0-186.01.41</t>
  </si>
  <si>
    <t>0-186.01.42</t>
  </si>
  <si>
    <t>SUPERFUND ENVIRON REMEDIATION-GAS</t>
  </si>
  <si>
    <t>0-186.01.43</t>
  </si>
  <si>
    <t>MISC CUR&amp;ACCRD LIAB-GIFT CERTIFICATE-UTIL SERVICE</t>
  </si>
  <si>
    <t>Name</t>
  </si>
  <si>
    <t>GL</t>
  </si>
  <si>
    <t>RECLASS ACCRUED TAXES TO PREPAID (CURRENT ASSETS)</t>
  </si>
  <si>
    <t>MISC CUR &amp; ACCR LIAB - SYSTEMS BENEFIT CHARGE</t>
  </si>
  <si>
    <t>System Benefits Charge</t>
  </si>
  <si>
    <t>COMPLETED CONSTRUCTION NOT CLASSIFIED - ELECTRIC</t>
  </si>
  <si>
    <t>0-286.01.16</t>
  </si>
  <si>
    <t>$45.8 Mill Rate Reduction Amort for Year 1</t>
  </si>
  <si>
    <t>0-243.11.08</t>
  </si>
  <si>
    <t>0-283.21.86</t>
  </si>
  <si>
    <t>Refer to Reg Asset &amp; Liability Side Schedules for Rate Base Classification</t>
  </si>
  <si>
    <t>Refer to Deferred Tax Side Schedules for Rate Base Classification</t>
  </si>
  <si>
    <t>(Includes IB-CWIP)</t>
  </si>
  <si>
    <t>Difference</t>
  </si>
  <si>
    <t>Materials &amp; Supplies</t>
  </si>
  <si>
    <t>Prepayments</t>
  </si>
  <si>
    <t>Regulatory Assets &amp; Liabilities</t>
  </si>
  <si>
    <t>Working Capital - Prepayment</t>
  </si>
  <si>
    <t>R8</t>
  </si>
  <si>
    <t>Sub Cat</t>
  </si>
  <si>
    <t>DEFERRED COMPENSATION-ELEC</t>
  </si>
  <si>
    <t>Amort Seneca Pipeline Integ Gas</t>
  </si>
  <si>
    <t>2011 Earnings Sharing - Electric</t>
  </si>
  <si>
    <t>Vegetation Management Gas</t>
  </si>
  <si>
    <t>PREPAYMENTS -CP INTEREST</t>
  </si>
  <si>
    <t>OTH REGULATORY LIAB-SENECA ASSETS SALE GAIN</t>
  </si>
  <si>
    <t>Seneca Gain</t>
  </si>
  <si>
    <t>810005</t>
  </si>
  <si>
    <t>BG030595</t>
  </si>
  <si>
    <t>DEFERRED REVENUE MARCY S FACILITY CHG</t>
  </si>
  <si>
    <t>Gas Main Integrity</t>
  </si>
  <si>
    <t>0-243.11.58</t>
  </si>
  <si>
    <t>StandBy Revenue Loss</t>
  </si>
  <si>
    <t>0-243.11.91</t>
  </si>
  <si>
    <t>INTEREST EXPENSE - LONG TERM DEBT</t>
  </si>
  <si>
    <t>AMORTIZATION DEBT EXPENSES</t>
  </si>
  <si>
    <t>AMORTIZATION DEBT DISCOUNT</t>
  </si>
  <si>
    <t>AMORT LOSS REACQ DEBT</t>
  </si>
  <si>
    <t>R11NBWC True-up</t>
  </si>
  <si>
    <t>GSC 8/10 Filing</t>
  </si>
  <si>
    <t>BE030908</t>
  </si>
  <si>
    <t>Excess Deferred Taxes SFAS 96 ACRS</t>
  </si>
  <si>
    <t>Excess Deferred Taxes SFAS 96 ACRS - CNY</t>
  </si>
  <si>
    <t>Excess Deferred Taxes SFAS 96 ADR</t>
  </si>
  <si>
    <t>Excess Deferred Taxes SFAS 96 ADR - CNY</t>
  </si>
  <si>
    <t>FAS106 OPEB</t>
  </si>
  <si>
    <t>PC Desc</t>
  </si>
  <si>
    <t>Overall Results</t>
  </si>
  <si>
    <t>Capital Total</t>
  </si>
  <si>
    <t>Costs to Fleet/Stores Pool</t>
  </si>
  <si>
    <t>Pool</t>
  </si>
  <si>
    <t>Fleet</t>
  </si>
  <si>
    <t>Stores</t>
  </si>
  <si>
    <t>Fleet/Stores Pool Total</t>
  </si>
  <si>
    <t>Fleet Electric P&amp;L</t>
  </si>
  <si>
    <t>Fleet Gas P&amp;L</t>
  </si>
  <si>
    <t>Total Fleet P&amp;L</t>
  </si>
  <si>
    <t>Fleet Electric Capital</t>
  </si>
  <si>
    <t>Fleet Gas Capital</t>
  </si>
  <si>
    <t>Total Fleet Capital</t>
  </si>
  <si>
    <t>Stores Electric P&amp;L</t>
  </si>
  <si>
    <t>Stores Gas P&amp;L</t>
  </si>
  <si>
    <t>PE255470   Fuel</t>
  </si>
  <si>
    <t>PE255480   Generation Expense</t>
  </si>
  <si>
    <t>0-283.20.12-c</t>
  </si>
  <si>
    <t>Multiple: 283.20.43/286.01.23/286.01.24/283.30.67/283.30.63/283.30.64/283.30.53/283.30.54/183.06.00/183.07.00/186.01.03/186.01.04/283.21.95/Loss Re Debt/283.20.42/283.21.96-a</t>
  </si>
  <si>
    <t>Multiple: 283.20.43/286.01.23/286.01.24/283.30.67/283.30.63/283.30.64/283.30.53/283.30.54/183.06.00/183.07.00/186.01.03/186.01.04/283.21.95/Loss Re Debt/283.20.42/283.21.96-b</t>
  </si>
  <si>
    <t>Misc Fed Ben-b</t>
  </si>
  <si>
    <t>0-184.05.00-a</t>
  </si>
  <si>
    <t>0-184.05.00-b</t>
  </si>
  <si>
    <t>Medicare Sub-a</t>
  </si>
  <si>
    <t>Medicare Sub-b</t>
  </si>
  <si>
    <t>0-183.82.01-a</t>
  </si>
  <si>
    <t>0-183.82.01-b</t>
  </si>
  <si>
    <t>0-183.82.01-c</t>
  </si>
  <si>
    <t>0-183.82.01-d</t>
  </si>
  <si>
    <t>Taxes Acc Elec FERC FIN 48 Def</t>
  </si>
  <si>
    <t>Taxes Acc Gas FERC FIN 48 Def</t>
  </si>
  <si>
    <t>2010 GSC Refund of 8/2009 Gas Year</t>
  </si>
  <si>
    <t>Tennesee Gas Pipeline Refund</t>
  </si>
  <si>
    <t>0-149.28.09</t>
  </si>
  <si>
    <t>NCR - Gas Pension Income</t>
  </si>
  <si>
    <t>CAIDI/SAIFI Study</t>
  </si>
  <si>
    <t>A/P TO AFFILIATE-VENDOR RECONCILIATION</t>
  </si>
  <si>
    <t>Austerity Cost ot Achieve Gas</t>
  </si>
  <si>
    <t>Property Tax Def Gas 2010 JP</t>
  </si>
  <si>
    <t>BG030248</t>
  </si>
  <si>
    <t>OPEB Gas</t>
  </si>
  <si>
    <t>Opeb Deferral Gas</t>
  </si>
  <si>
    <t>NCR Leftover Sox</t>
  </si>
  <si>
    <t>EDF Gas</t>
  </si>
  <si>
    <t>NCR Leftover Prop Tax</t>
  </si>
  <si>
    <t>Environ Amort JP Elec 2010</t>
  </si>
  <si>
    <t>Environ Amort JP Gas 2010</t>
  </si>
  <si>
    <t>RECLASS OTH REG LIAB-ASGA-ELEC (WITH ACCT 254995)</t>
  </si>
  <si>
    <t>Pensions Accrued</t>
  </si>
  <si>
    <t>Common A&amp;G</t>
  </si>
  <si>
    <t>Subtotal Before Adjustments</t>
  </si>
  <si>
    <t>Total Capitalization</t>
  </si>
  <si>
    <t>Plant Plus Non Interest-Bearing CWIP</t>
  </si>
  <si>
    <t>Exclude Interest-Bearing CWIP</t>
  </si>
  <si>
    <t>ACCUM DEF INC TAXES -FAS 109-OTHER-FEDERAL-GAS</t>
  </si>
  <si>
    <t xml:space="preserve">    Period:        12</t>
  </si>
  <si>
    <t>R10CTA Efficiency</t>
  </si>
  <si>
    <t>R10Excess DIT &gt; 7.1% (NYS)</t>
  </si>
  <si>
    <t>R10Inc Tax on Lower Book Depr Exp vs. Amt in Rates</t>
  </si>
  <si>
    <t>R10NYPA Ancillaries</t>
  </si>
  <si>
    <t>R10Positive Benefit Adjustment</t>
  </si>
  <si>
    <t>R10Purchase of Receivables</t>
  </si>
  <si>
    <t>R10Research &amp; Development</t>
  </si>
  <si>
    <t>R10Sarbanes-Oxley</t>
  </si>
  <si>
    <t>R10Seneca Storage</t>
  </si>
  <si>
    <t>R10Service Quality Performance Program</t>
  </si>
  <si>
    <t>R10Stray Voltage</t>
  </si>
  <si>
    <t>R10OPEBs</t>
  </si>
  <si>
    <t>R10Medicare Subsidy</t>
  </si>
  <si>
    <t>R11CTA Efficiency</t>
  </si>
  <si>
    <t>R11Excess DIT &gt; 7.1% (NYS)</t>
  </si>
  <si>
    <t>ACCUM DEPRECIATION ELECTRIC-MANUAL ADJUSTMENT</t>
  </si>
  <si>
    <t>ACCUMULATED DEPRECIATION RESERVE - GAS</t>
  </si>
  <si>
    <t>UNDEPRECIATED RETIREMENT - GAS</t>
  </si>
  <si>
    <t>0-283.22.13</t>
  </si>
  <si>
    <t>0-283.22.15</t>
  </si>
  <si>
    <t>Evergreen- Depository Ac</t>
  </si>
  <si>
    <t>TAXES ACCRD-STATE GROSS EARNINGS TAX</t>
  </si>
  <si>
    <t>ACCOUNTS PAYABLE - PROPERTY TAX - RECONCILIATION</t>
  </si>
  <si>
    <t>TAXES ACCRUED - USE</t>
  </si>
  <si>
    <t>UNAPPROPRIATED RETAINED EARNINGS</t>
  </si>
  <si>
    <t>216050</t>
  </si>
  <si>
    <t>UNAPPR RETAINED EARNINGS-EQUITY EARNINGS</t>
  </si>
  <si>
    <t>UNAPPR RETAINED EARNINGS-DIVIDENDS</t>
  </si>
  <si>
    <t>Weighted Cost of Debt and Preferred - %</t>
  </si>
  <si>
    <t>NCR Property Tax Refunds owed to customer</t>
  </si>
  <si>
    <t>800165</t>
  </si>
  <si>
    <t>TAXES ACCRUED-ELEC-FERC FIN 48 - INTEREST</t>
  </si>
  <si>
    <t>510100</t>
  </si>
  <si>
    <t>510110</t>
  </si>
  <si>
    <t>Payroll - Commissions</t>
  </si>
  <si>
    <t>PAYROLL-PSOP</t>
  </si>
  <si>
    <t>0-282.11.17</t>
  </si>
  <si>
    <t>UNFUNDED TAX LIAB-FERC</t>
  </si>
  <si>
    <t>0-283.11.02</t>
  </si>
  <si>
    <t>COST OF REMOVAL GAS</t>
  </si>
  <si>
    <t>510150</t>
  </si>
  <si>
    <t>510160</t>
  </si>
  <si>
    <t>BT010282</t>
  </si>
  <si>
    <t>GROSS REC TAX UNBILLED REV-ELEC</t>
  </si>
  <si>
    <t>0-283.21.46</t>
  </si>
  <si>
    <t>INT DEF 1987-88 IRS AUDIT-ELEC</t>
  </si>
  <si>
    <t>0-283.21.52</t>
  </si>
  <si>
    <t>NM2 LITIGATION CREDITS</t>
  </si>
  <si>
    <t>0-283.21.59</t>
  </si>
  <si>
    <t>SUPERFUND SITE REMEDIATION COSTS-ELEC</t>
  </si>
  <si>
    <t>0-184.26.01</t>
  </si>
  <si>
    <t>OTHER COMPREHENSIVE INCOME</t>
  </si>
  <si>
    <t>NINE MILE 2</t>
  </si>
  <si>
    <t>PG258800   Other Expenses</t>
  </si>
  <si>
    <t>PG258810   Rents</t>
  </si>
  <si>
    <t>CUSTOMER ADVANCES-CONSTRUCTION</t>
  </si>
  <si>
    <t>ADVANCE PAYMENTS FROM SD</t>
  </si>
  <si>
    <t>Medicare Sub</t>
  </si>
  <si>
    <t>Cost to Achieve</t>
  </si>
  <si>
    <t>PE255430</t>
  </si>
  <si>
    <t>PE255440</t>
  </si>
  <si>
    <t>PE255450</t>
  </si>
  <si>
    <t>PE255460</t>
  </si>
  <si>
    <t>PE255470</t>
  </si>
  <si>
    <t>PE255480</t>
  </si>
  <si>
    <t>PE255490</t>
  </si>
  <si>
    <t>PE255510</t>
  </si>
  <si>
    <t>PE255520</t>
  </si>
  <si>
    <t>PE255530</t>
  </si>
  <si>
    <t>PE255540</t>
  </si>
  <si>
    <t>PE255550</t>
  </si>
  <si>
    <t>PE255560</t>
  </si>
  <si>
    <t>PE255570</t>
  </si>
  <si>
    <t>PE255600</t>
  </si>
  <si>
    <t>PE255601</t>
  </si>
  <si>
    <t>PE255611</t>
  </si>
  <si>
    <t>PE255612</t>
  </si>
  <si>
    <t>CONSTRUCTION WORK IN PROGRESS - COMMON</t>
  </si>
  <si>
    <t>LONG TERM INCENTIVE PLAN-ELEC</t>
  </si>
  <si>
    <t>NOL Def Tax Asset</t>
  </si>
  <si>
    <t>Mixed Use 263(a)</t>
  </si>
  <si>
    <t>NOL</t>
  </si>
  <si>
    <t>BT010129</t>
  </si>
  <si>
    <t>Average Rate Base</t>
  </si>
  <si>
    <t>Gas R&amp;D - Millenia ($650k)</t>
  </si>
  <si>
    <t>Gas R&amp;D Other internal Programs ($1.4M)</t>
  </si>
  <si>
    <t>Stray Voltage Revenue Reserve - Monthly</t>
  </si>
  <si>
    <t>Stray Voltage O&amp;M Expenses</t>
  </si>
  <si>
    <t>Stray Voltage NCR</t>
  </si>
  <si>
    <t>BG030302</t>
  </si>
  <si>
    <t>PE254190   Int/Div Income</t>
  </si>
  <si>
    <t>PE254210   Nonop Misc Income</t>
  </si>
  <si>
    <t>BG030147</t>
  </si>
  <si>
    <t>Tennessee Gas Pipeline Refund</t>
  </si>
  <si>
    <t>Other Working Capital</t>
  </si>
  <si>
    <t>BT010090</t>
  </si>
  <si>
    <t>RECLASS</t>
  </si>
  <si>
    <t>BC999998</t>
  </si>
  <si>
    <t>ADIT - FAS 109 - FED - OTH PROP - ELEC</t>
  </si>
  <si>
    <t>PE254101   Prov DIT Utly Op Inc</t>
  </si>
  <si>
    <t>PE254111   Prov DITCrdUtlOpInc</t>
  </si>
  <si>
    <t>Non%</t>
  </si>
  <si>
    <t>CapEx Shareholder Deferral</t>
  </si>
  <si>
    <t>CapEx Customer Credit</t>
  </si>
  <si>
    <t>0-286.01.10</t>
  </si>
  <si>
    <t>BT010356</t>
  </si>
  <si>
    <t>LTI</t>
  </si>
  <si>
    <t>Long Term Excutive Incentive Plan</t>
  </si>
  <si>
    <t>Tenn Gas Pipeline Refund</t>
  </si>
  <si>
    <t>GSC Refund</t>
  </si>
  <si>
    <t>BG030586</t>
  </si>
  <si>
    <t>PG258340</t>
  </si>
  <si>
    <t>PG258500</t>
  </si>
  <si>
    <t>0-283.22.28-a</t>
  </si>
  <si>
    <t>0-286.01.42-a</t>
  </si>
  <si>
    <t>0-286.01.42-b</t>
  </si>
  <si>
    <t>Unit of Property CTA</t>
  </si>
  <si>
    <t>RECLASS-ACCUM DEFER INC TX-FED-CURRENT-GAS</t>
  </si>
  <si>
    <t>0-283.20.44</t>
  </si>
  <si>
    <t>Seneca Storage</t>
  </si>
  <si>
    <t>Coal Tar Amortization</t>
  </si>
  <si>
    <t>0-186.01.53</t>
  </si>
  <si>
    <t>0-186.01.54</t>
  </si>
  <si>
    <t>PE254081   Taxes-Other Than Income</t>
  </si>
  <si>
    <t>PE254091   Income Taxes</t>
  </si>
  <si>
    <t>Veg Mgt</t>
  </si>
  <si>
    <t>Multiple: 282.11.09/282.11.05/282.11.03/IBO Costs/NIRP Costs-a</t>
  </si>
  <si>
    <t>R11Contributions in Aid of Construction</t>
  </si>
  <si>
    <t>R11Deferred Gas Costs</t>
  </si>
  <si>
    <t>R11Deferred Unbilled Revenue</t>
  </si>
  <si>
    <t>INTEREST ACCRD-GAS DEP</t>
  </si>
  <si>
    <t>INTERCOMPANY - DIVIDENDS PAYABLE</t>
  </si>
  <si>
    <t>PG258130</t>
  </si>
  <si>
    <t>PG258180</t>
  </si>
  <si>
    <t>PG257530</t>
  </si>
  <si>
    <t>PG258075</t>
  </si>
  <si>
    <t>PE254082   Tax oth Inc Tax OID</t>
  </si>
  <si>
    <t>R11Environmental</t>
  </si>
  <si>
    <t>R11Excess Deferred Income Tax</t>
  </si>
  <si>
    <t>R11SFAS-112</t>
  </si>
  <si>
    <t>R11Gain / Loss on Reacquired Debt</t>
  </si>
  <si>
    <t>R11Interest on Pollution Control Notes</t>
  </si>
  <si>
    <t>OTH SPEC FUNDS-DIRECTORS NON QUAL PLANS</t>
  </si>
  <si>
    <t>JPMC - AP Main</t>
  </si>
  <si>
    <t>Special Deposits</t>
  </si>
  <si>
    <t>JPMC - AP Check Clearing</t>
  </si>
  <si>
    <t>JPMC - EFT Receipts Account</t>
  </si>
  <si>
    <t>PE254112   Prov DITCredit OID</t>
  </si>
  <si>
    <t>PE255801   Dist Substa-Sup&amp;Eng</t>
  </si>
  <si>
    <t>PE255820   Station Expenses</t>
  </si>
  <si>
    <t>OTH REG LIAB - GAS HEDGES (GAINS)</t>
  </si>
  <si>
    <t>0-283.21.34</t>
  </si>
  <si>
    <t>SPECIAL DEPOSITS - PENSION PLANS</t>
  </si>
  <si>
    <t>0-149.51.99</t>
  </si>
  <si>
    <t>Unfunded FIT - Reclass Only</t>
  </si>
  <si>
    <t>0-149.28.75</t>
  </si>
  <si>
    <t>Bill Mitigation Deferral - PSC 75</t>
  </si>
  <si>
    <t>0-149.28.76</t>
  </si>
  <si>
    <t>Bill Mitigation Deferral - PSC 76</t>
  </si>
  <si>
    <t>R11Accelerated Depreciation</t>
  </si>
  <si>
    <t>R11Accrued Pension</t>
  </si>
  <si>
    <t>OTHER REGULATORY LIAB-STRAY VOLTAGE RESERVE</t>
  </si>
  <si>
    <t>TRANSFER GOODS RECEIPT LIABILITY</t>
  </si>
  <si>
    <t>Transfer Goods Receipt</t>
  </si>
  <si>
    <t>0-149.28.79</t>
  </si>
  <si>
    <t>Bill Mitigation Deferral - PSC 79</t>
  </si>
  <si>
    <t>MISC CUR &amp; ACCR LIAB - NM2 D&amp;D</t>
  </si>
  <si>
    <t>Nine Mile 2 Costs</t>
  </si>
  <si>
    <t>MISC CUR&amp;ACCRD LIAB-ESCHEATABLE PROP</t>
  </si>
  <si>
    <t>ACCOUNTS PAYABLE - SUNDRIES-PURCHASED POWER</t>
  </si>
  <si>
    <t>ACCOUNTS PAYABLE - SUNDRIES-PURCHASED GAS</t>
  </si>
  <si>
    <t>ACCOUNTS PAYABLE - ACCRUALS</t>
  </si>
  <si>
    <t>ACCOUNTS PAYABLE - PAYROLL ACCRUALS</t>
  </si>
  <si>
    <t>Gas Bill Mitigation</t>
  </si>
  <si>
    <t>PE259250   Injuries and Damages</t>
  </si>
  <si>
    <t>ELEC R&amp;D EXP-DEFERRED</t>
  </si>
  <si>
    <t>BE030294</t>
  </si>
  <si>
    <t>BE030148</t>
  </si>
  <si>
    <t>807017</t>
  </si>
  <si>
    <t>0-283.22.20</t>
  </si>
  <si>
    <t>0-183.82.00</t>
  </si>
  <si>
    <t>0-243.11.59</t>
  </si>
  <si>
    <t>Other Regulatory Liabilities - Excess Earning (EMS)</t>
  </si>
  <si>
    <t>Other Regulatory Assets - Uncontrollable - Gas</t>
  </si>
  <si>
    <t>BG030167</t>
  </si>
  <si>
    <t>Gas Pension Income - 2007</t>
  </si>
  <si>
    <t>0-243.11.97</t>
  </si>
  <si>
    <t>0-283.40.01</t>
  </si>
  <si>
    <t>PE259210   Offfice Supp &amp; Exp</t>
  </si>
  <si>
    <t>PE259230   Outside Services Emp</t>
  </si>
  <si>
    <t>PE259260   Empl Pension &amp; Ben</t>
  </si>
  <si>
    <t>PE259280   Regulatory Commiss</t>
  </si>
  <si>
    <t>PE259290   Duplicative Chge -Cr</t>
  </si>
  <si>
    <t>PE259301   General Advertising</t>
  </si>
  <si>
    <t>PE255614</t>
  </si>
  <si>
    <t>PE255615</t>
  </si>
  <si>
    <t>PE255616</t>
  </si>
  <si>
    <t>PE255617</t>
  </si>
  <si>
    <t>PE255620</t>
  </si>
  <si>
    <t>PE255630</t>
  </si>
  <si>
    <t>PE255640</t>
  </si>
  <si>
    <t>PE255660</t>
  </si>
  <si>
    <t>PE255670</t>
  </si>
  <si>
    <t>PE255680</t>
  </si>
  <si>
    <t>PE255690</t>
  </si>
  <si>
    <t>PE255691</t>
  </si>
  <si>
    <t>PE255692</t>
  </si>
  <si>
    <t>PE255693</t>
  </si>
  <si>
    <t>PE255694</t>
  </si>
  <si>
    <t>PE255700</t>
  </si>
  <si>
    <t>PE255710</t>
  </si>
  <si>
    <t>PE255612   LdDisp-Mon&amp;OpTranSys</t>
  </si>
  <si>
    <t>510130</t>
  </si>
  <si>
    <t>SFAS-109   (offsetting)</t>
  </si>
  <si>
    <t>N4</t>
  </si>
  <si>
    <t>Capital Leases   (offsetting)</t>
  </si>
  <si>
    <t>N5</t>
  </si>
  <si>
    <t>Reclass Derivatives   (offsetting</t>
  </si>
  <si>
    <t>N6</t>
  </si>
  <si>
    <t>Reclass Deferred Taxes   (offsetting)</t>
  </si>
  <si>
    <t>N7</t>
  </si>
  <si>
    <t>SFAS-106   (net of tax)</t>
  </si>
  <si>
    <t>N8</t>
  </si>
  <si>
    <t>NM-2 ASGA</t>
  </si>
  <si>
    <t>N9</t>
  </si>
  <si>
    <t>Nine Mile Costs</t>
  </si>
  <si>
    <t>N10</t>
  </si>
  <si>
    <t>PE255390   Misc. Hydraulic Pwr</t>
  </si>
  <si>
    <t>PE255410   Maint Superv &amp; Eng</t>
  </si>
  <si>
    <t>PE255420   Maint of Structure</t>
  </si>
  <si>
    <t>PE255430   Maint of Reservoirs</t>
  </si>
  <si>
    <t>NYSERDA AMORTIZATION</t>
  </si>
  <si>
    <t>Deferred Costs Related to Sale of NM2</t>
  </si>
  <si>
    <t>0-149.49.28</t>
  </si>
  <si>
    <t>DOE Decommissioning &amp; Decontam Fees -NM2</t>
  </si>
  <si>
    <t>NCR - Environmental Remediation</t>
  </si>
  <si>
    <t>0-149.49.19</t>
  </si>
  <si>
    <t xml:space="preserve">NCR - Power Partner Low Inc Program Fund Def </t>
  </si>
  <si>
    <t>Low Income</t>
  </si>
  <si>
    <t>PG259100   Misc Cust Svc &amp; Info</t>
  </si>
  <si>
    <t>PG259160   Misc. Sales</t>
  </si>
  <si>
    <t>PG259220   Admin Exp Transf-Cr</t>
  </si>
  <si>
    <t>PG259240   Property Insurance</t>
  </si>
  <si>
    <t>PG259250   Injuries and Damages</t>
  </si>
  <si>
    <t>(From 2009 Rate Case - Test Year 6/30/09 actual Labor costs)</t>
  </si>
  <si>
    <t>EXPENSE</t>
  </si>
  <si>
    <t>ACCT #</t>
  </si>
  <si>
    <t>July 2008 - June 2009</t>
  </si>
  <si>
    <t>July 2008</t>
  </si>
  <si>
    <t>August 2008</t>
  </si>
  <si>
    <t>September 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</si>
  <si>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</si>
  <si>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</si>
  <si>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</si>
  <si>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</si>
  <si>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</si>
  <si>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</si>
  <si>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</si>
  <si>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</si>
  <si>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</si>
  <si>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OPEB Settlement</t>
  </si>
  <si>
    <t xml:space="preserve">T </t>
  </si>
  <si>
    <t>Stray Voltage</t>
  </si>
  <si>
    <t>Purchase of Receivables</t>
  </si>
  <si>
    <t xml:space="preserve">Research &amp; Development </t>
  </si>
  <si>
    <t>Hedges &amp; OCI</t>
  </si>
  <si>
    <t>Injuries &amp; Damages</t>
  </si>
  <si>
    <t>Renewable Portfolio Standard</t>
  </si>
  <si>
    <t xml:space="preserve"> </t>
  </si>
  <si>
    <t>RECLASS - ADIT - FED - ELEC</t>
  </si>
  <si>
    <t>RECLASS - ADIT - FED - GAS</t>
  </si>
  <si>
    <t>0-283.21.47</t>
  </si>
  <si>
    <t>PG254281   Amort-Loss ReacqDebt</t>
  </si>
  <si>
    <t>PG254320   Allow Funds Constr</t>
  </si>
  <si>
    <t>PRG254310  IC Oth Interst Exp G</t>
  </si>
  <si>
    <t>2004 Excess Earnings - booked 12/04</t>
  </si>
  <si>
    <t>Other Regulatory Liabilities - Deferred Unbilled Revenue</t>
  </si>
  <si>
    <t>OTHER REG LIAB-ASSET RETIREMENT OBLIGATION GAS</t>
  </si>
  <si>
    <t>NCR-ELEC</t>
  </si>
  <si>
    <t>0-283.22.01</t>
  </si>
  <si>
    <t>(a)</t>
  </si>
  <si>
    <t>221100</t>
  </si>
  <si>
    <t>BONDS-OTHER</t>
  </si>
  <si>
    <t>224000</t>
  </si>
  <si>
    <t>LONG TERM DEBT</t>
  </si>
  <si>
    <t>226000</t>
  </si>
  <si>
    <t>0-283.22.16</t>
  </si>
  <si>
    <t>0-283.22.19</t>
  </si>
  <si>
    <t>ACCUM DEF INC TAX-OTH-FEDERAL-GAS</t>
  </si>
  <si>
    <t>ACCUM DEF INC TAX-OTH-FEDERAL-ELECTRIC-NONOP</t>
  </si>
  <si>
    <t>Citi - Concen.Wire/ACH Clearing</t>
  </si>
  <si>
    <t>Citi - EDI Remit Account</t>
  </si>
  <si>
    <t>Chemung Canal - Depository</t>
  </si>
  <si>
    <t>INTEREST ACCRUED - MISCELLANEOUS</t>
  </si>
  <si>
    <t>Balance</t>
  </si>
  <si>
    <t>Section 179A Amortization</t>
  </si>
  <si>
    <t>0-242.99.04</t>
  </si>
  <si>
    <t>0-282.11.09</t>
  </si>
  <si>
    <t>0-282.11.10</t>
  </si>
  <si>
    <t>SERVICE QUALITY PROGRAM PENALTY</t>
  </si>
  <si>
    <t>SQPM</t>
  </si>
  <si>
    <t>TAX COLLECTIONS PAYABLE-STATE LOCAL SALES TAX-CCS</t>
  </si>
  <si>
    <t>NCR NEIL Premium Refund - Electric</t>
  </si>
  <si>
    <t>NCR Seneca Lake</t>
  </si>
  <si>
    <t>Prop Tax Ref</t>
  </si>
  <si>
    <t>0-283.22.09</t>
  </si>
  <si>
    <t>807045-10</t>
  </si>
  <si>
    <t>MFC Undercollection  - Electric Deferral 2010</t>
  </si>
  <si>
    <t>808013-10</t>
  </si>
  <si>
    <t>Power Partner Low Inc Program Fund 2010</t>
  </si>
  <si>
    <t>809008-10</t>
  </si>
  <si>
    <t>TSAS 18(a) O/U Collection 2009-2010</t>
  </si>
  <si>
    <t>808001-10</t>
  </si>
  <si>
    <t>Gas Pension Income - 2010</t>
  </si>
  <si>
    <t>809009-10</t>
  </si>
  <si>
    <t>807020-10</t>
  </si>
  <si>
    <t>Transmission Integrity 2010</t>
  </si>
  <si>
    <t>Economic Development - Gas</t>
  </si>
  <si>
    <t>EEPS Loss Revenues Gas 2009</t>
  </si>
  <si>
    <t>809001-10</t>
  </si>
  <si>
    <t>Energy Supply Reconciliation</t>
  </si>
  <si>
    <t>2010 NBC monthly accrual</t>
  </si>
  <si>
    <t>GAS STORED-SENECA LAKE</t>
  </si>
  <si>
    <t>PREPAYMENTS - INSURANCE</t>
  </si>
  <si>
    <t>PREPAYMENTS - POSTAGE</t>
  </si>
  <si>
    <t>PREPAYMENTS - MISCELLANEOUS</t>
  </si>
  <si>
    <t>510140</t>
  </si>
  <si>
    <t>PAYROLL OVERHEAD</t>
  </si>
  <si>
    <t>FLEET / VEHICLE CLEARING</t>
  </si>
  <si>
    <t>STORES LOADER CLEARING</t>
  </si>
  <si>
    <t>Reconciliation of Regulatory Asset &amp; Liability Rollforward to GL</t>
  </si>
  <si>
    <t>Deferred Taxes</t>
  </si>
  <si>
    <t>Reconciliation of Deferred Tax Rollforward to GL</t>
  </si>
  <si>
    <t>Earnings Base-Capitalization</t>
  </si>
  <si>
    <t>PE255601   Transm Subst - Sup&amp;E</t>
  </si>
  <si>
    <t>510500</t>
  </si>
  <si>
    <t xml:space="preserve">Power Partner Def Taxes - Transferred </t>
  </si>
  <si>
    <t>0-243.11.55</t>
  </si>
  <si>
    <t>Environmental Remediation Def Taxes Trans</t>
  </si>
  <si>
    <t>2002 Earnings Sharing - Electric</t>
  </si>
  <si>
    <t>PE255050</t>
  </si>
  <si>
    <t>PE255350</t>
  </si>
  <si>
    <t>PE255370</t>
  </si>
  <si>
    <t>PE255380</t>
  </si>
  <si>
    <t>UNFUNDED FUTURE FIT-ITC LONGTERM</t>
  </si>
  <si>
    <t>1000/PE254180</t>
  </si>
  <si>
    <t>ACCUM DEF INC TAX-FAS 109 FEDERAL -OTH PROP - ELE</t>
  </si>
  <si>
    <t>ACCUMULATED DEF INVEST TAX CREDITS-GAS-CNY</t>
  </si>
  <si>
    <t>ACCUM DEF INC TAXES - FIT-DEPRECIATION &amp; OTHER</t>
  </si>
  <si>
    <t>ACCUM DEF INC TAX-OTH PROP-FEDERAL-ELECTRIC</t>
  </si>
  <si>
    <t>Excess Deferred Income Tax Payable to Customer - E</t>
  </si>
  <si>
    <t>Excess Deferred Income Tax Payable to Customer - G</t>
  </si>
  <si>
    <t>Excess Deferred Income Tax Payable to Customers - E</t>
  </si>
  <si>
    <t>Deferred Gas Pension Income - 2003</t>
  </si>
  <si>
    <t>0-183.82.01</t>
  </si>
  <si>
    <t>0-243.11.61</t>
  </si>
  <si>
    <t>SQPM Deferred TaxesTrans  to ASGA</t>
  </si>
  <si>
    <t>0-243.11.62</t>
  </si>
  <si>
    <t>2002 Int on 97-99 Audit Trans to ASGA</t>
  </si>
  <si>
    <t>Transmission Revenue True-up Tax</t>
  </si>
  <si>
    <t>0-243.11.64</t>
  </si>
  <si>
    <t>PG258860   Maint of Structure</t>
  </si>
  <si>
    <t>PG258870   Maintenance of Mains</t>
  </si>
  <si>
    <t>PE259280</t>
  </si>
  <si>
    <t>PE259301</t>
  </si>
  <si>
    <t>PE259302</t>
  </si>
  <si>
    <t>PE259350</t>
  </si>
  <si>
    <t>PE254180</t>
  </si>
  <si>
    <t>PE255860   Meter Expense</t>
  </si>
  <si>
    <t>Power Partner Low Inc Program Fund 2008</t>
  </si>
  <si>
    <t>808003-09</t>
  </si>
  <si>
    <t>Gas Pension Income - 2008</t>
  </si>
  <si>
    <t>GSC Deferral for 9/07 - 8/08</t>
  </si>
  <si>
    <t>Gas MFC</t>
  </si>
  <si>
    <t>Gas MFC 7/2008-6/2009</t>
  </si>
  <si>
    <t>PE255890   Rents</t>
  </si>
  <si>
    <t>PE255940   Maint of Underground</t>
  </si>
  <si>
    <t>TRUST ACTIVITY-ELEC</t>
  </si>
  <si>
    <t>SAP Acct</t>
  </si>
  <si>
    <t>Legacy Acct</t>
  </si>
  <si>
    <t>SAP Account Name</t>
  </si>
  <si>
    <t>Capitalized Interest</t>
  </si>
  <si>
    <t>0-183.96.00</t>
  </si>
  <si>
    <t>0-183.98.00</t>
  </si>
  <si>
    <t>NIAGRA MOHAWK TRANSMISSION WHEELING</t>
  </si>
  <si>
    <t>ACCRUED PENSION EXPENSE-GAS</t>
  </si>
  <si>
    <t>0-183.75.00</t>
  </si>
  <si>
    <t>SARANAC POWER COMPENSATION-ELEC</t>
  </si>
  <si>
    <t>Saranac</t>
  </si>
  <si>
    <t>NCR-Property Tax Refunds-Owed to Customers-2007</t>
  </si>
  <si>
    <t>Other Regulatory Liabilities - Miscellaneous - Gas</t>
  </si>
  <si>
    <t>Gas R&amp;D Other Internal Programs ($1.4M)</t>
  </si>
  <si>
    <t>OTH NON-CUR LIAB - WORKERS COMP RESERVE</t>
  </si>
  <si>
    <t>BT010073</t>
  </si>
  <si>
    <t>Excess Deferred Taxes New York Other 2 NCR</t>
  </si>
  <si>
    <t>BT010096</t>
  </si>
  <si>
    <t>BE030368</t>
  </si>
  <si>
    <t>ACCUM DEF SIT TAXES-GROSS REC TAX UNBILLED REV-ELEC</t>
  </si>
  <si>
    <t>0-286.01.20</t>
  </si>
  <si>
    <t xml:space="preserve"> NCR Deferred Tax Trans to ASGA</t>
  </si>
  <si>
    <t>NCR on ASGA Excess Earnings Tax Component</t>
  </si>
  <si>
    <t>Coal Tar Site Liability - Electric</t>
  </si>
  <si>
    <t>OTH COMPRE INC-FAS 133 RECLASSIFICATIONS</t>
  </si>
  <si>
    <t>0-286.01.26</t>
  </si>
  <si>
    <t>0-286.01.37</t>
  </si>
  <si>
    <t>0-286.01.41</t>
  </si>
  <si>
    <t>POWER PARTNER LOW INCOME PROG FUND-ELEC</t>
  </si>
  <si>
    <t>0-286.01.44</t>
  </si>
  <si>
    <t>Earnings Base-Cap Differential</t>
  </si>
  <si>
    <t>R11Casualty Loss</t>
  </si>
  <si>
    <t>MTA Expense by Dept</t>
  </si>
  <si>
    <t>(Based on TME 6/30/09 Actual MTA Expense)</t>
  </si>
  <si>
    <t>PE255560   Syst Cont and Load</t>
  </si>
  <si>
    <t>TAX COLLECTIONS PAYABLE - STATE LOCAL SALES TAX</t>
  </si>
  <si>
    <t>ACCUM DEFERRED INC TAXES-STATE-CURRENT-ELECTRIC</t>
  </si>
  <si>
    <t>NYS CORP TAX SURCHARGE-GAS</t>
  </si>
  <si>
    <t>GAS STORED-NONCURRENT</t>
  </si>
  <si>
    <t>Storage Gas</t>
  </si>
  <si>
    <t>OTH SPEC FUNDS</t>
  </si>
  <si>
    <t>OTH SPEC FUNDS - RABBI TRUST</t>
  </si>
  <si>
    <t>Non Qualified Pension</t>
  </si>
  <si>
    <t>TAXES ACCRD-NON-INC</t>
  </si>
  <si>
    <t>INTEREST ACCRUED - LONG TERM DEBT</t>
  </si>
  <si>
    <t>INTEREST ACCRUED - NOTES PAYABLE</t>
  </si>
  <si>
    <t>INTEREST ACCRUED - CUSTOMER DEPOSITS</t>
  </si>
  <si>
    <t>0-186.01.32</t>
  </si>
  <si>
    <t>0-186.01.33</t>
  </si>
  <si>
    <t>0-186.01.34</t>
  </si>
  <si>
    <t>0-186.01.35</t>
  </si>
  <si>
    <t>OTHER COMPREHENSIVE INC-FAS 133 TRANSITION-SIT</t>
  </si>
  <si>
    <t>Fleet - Remittance Account</t>
  </si>
  <si>
    <t>Citi - Concentration Main</t>
  </si>
  <si>
    <t>Citi - Concen. Dep. Clearing</t>
  </si>
  <si>
    <t>OTH REG LIAB - PGA ITEMS - OTHER - GAS</t>
  </si>
  <si>
    <t>OTH REG LIAB - MISC - ELECTRIC</t>
  </si>
  <si>
    <t>OTH REG LIAB - MISC - GAS</t>
  </si>
  <si>
    <t>TRANSFER GOODS RECEIPT CLEARING</t>
  </si>
  <si>
    <t>Sarbanes-Oxley</t>
  </si>
  <si>
    <t>0-242.99.09</t>
  </si>
  <si>
    <t>Rate Base - Detail</t>
  </si>
  <si>
    <t>Plant and Non Interest-Bearing Construction Work in Progress</t>
  </si>
  <si>
    <t>Alloc Method</t>
  </si>
  <si>
    <t>Elec%</t>
  </si>
  <si>
    <t>Gross Utility Plant</t>
  </si>
  <si>
    <t>Completed Construction</t>
  </si>
  <si>
    <t>Construction Work in Progress</t>
  </si>
  <si>
    <t xml:space="preserve">Exclude Average Interest-Bearing CWIP </t>
  </si>
  <si>
    <t xml:space="preserve">Depreciation Reserve - Including RWIP </t>
  </si>
  <si>
    <t>RWIP NOT Embedded in 108010, 108030 &amp; 108070</t>
  </si>
  <si>
    <t>Depreciation Reserve - Including RWIP</t>
  </si>
  <si>
    <t>Plant Held for Future Use</t>
  </si>
  <si>
    <t>Fossil Fuels</t>
  </si>
  <si>
    <t>Underground Gas Stored - to Commodity</t>
  </si>
  <si>
    <t>Materials and Supplies</t>
  </si>
  <si>
    <t>Less: Prepayments Accruing NCR - PSC Temp Assessment to Items Not in RTBS</t>
  </si>
  <si>
    <t>O&amp;M Working Capital</t>
  </si>
  <si>
    <t>Gas Withdrawn from Storage - to Commodity</t>
  </si>
  <si>
    <t>Number of Days from Rendering Service Until Meter is Read</t>
  </si>
  <si>
    <t>Number of Days from Meter Reading Until Bill is Mailed</t>
  </si>
  <si>
    <t>Number of Days from Billing Until Payment is Received</t>
  </si>
  <si>
    <t>Total Lag</t>
  </si>
  <si>
    <t>Gas Withdrawn from Storage</t>
  </si>
  <si>
    <t>PG128081</t>
  </si>
  <si>
    <t>Cash Working Capital - to Commodity</t>
  </si>
  <si>
    <t>Exclude Transmission</t>
  </si>
  <si>
    <t>PE125650</t>
  </si>
  <si>
    <t>xxxPE125660</t>
  </si>
  <si>
    <t>Exclude PSC Temporary Assessment</t>
  </si>
  <si>
    <t>Excl Uncollectibles</t>
  </si>
  <si>
    <t>PE129040</t>
  </si>
  <si>
    <t>PG129040</t>
  </si>
  <si>
    <t>Pension Asset</t>
  </si>
  <si>
    <t>From Regulatory Asset &amp; Liability Rollforward Sch.</t>
  </si>
  <si>
    <t>Environmental Site Remediation</t>
  </si>
  <si>
    <t>Net (Gains) &amp; Losses on Interest Rate Hedges</t>
  </si>
  <si>
    <t>Commodity Hedge Margin Account - to Commodity</t>
  </si>
  <si>
    <t>Other Collateral in Accounts 232021, 237430 and 242090</t>
  </si>
  <si>
    <t>Costs to Achieve - Austerity/Productivity</t>
  </si>
  <si>
    <t>OPEB Reserve</t>
  </si>
  <si>
    <t>OPEB</t>
  </si>
  <si>
    <t>FAS-112 Post Employment Benefit Liability</t>
  </si>
  <si>
    <t>NBC TRUE-UP - to Commodity</t>
  </si>
  <si>
    <t>Gas Costs Deferred</t>
  </si>
  <si>
    <t>Manual Adjustment</t>
  </si>
  <si>
    <t>Deferred ITC</t>
  </si>
  <si>
    <t>M&amp;S - COAL IN TRANSIT</t>
  </si>
  <si>
    <t>M&amp;S - COAL - STATION 7</t>
  </si>
  <si>
    <t>M&amp;S - #2 FUEL OIL - STATION 7</t>
  </si>
  <si>
    <t>M&amp;S - #2 FUEL OIL - STATION 3</t>
  </si>
  <si>
    <t>M&amp;S - #2 FUEL OIL - ALL DISTRICTS</t>
  </si>
  <si>
    <t>NUCLEAR DECOMMISSIONING RESERVE</t>
  </si>
  <si>
    <t>RUSSELL DECOMMISSION RESERVE - ELECTRIC</t>
  </si>
  <si>
    <t>ACCUMULATED DEPRECIATION SALVAGE - ELECTRIC</t>
  </si>
  <si>
    <t>ACCUMULATED DEPRECIATION SALVAGE - GAS</t>
  </si>
  <si>
    <t>ACCUMULATED DEPRECIATION SALVAGE - COMMON</t>
  </si>
  <si>
    <t>ACCUM DEPREC-COMMON-GAIN/LOSS CLEAR</t>
  </si>
  <si>
    <t>RETIRE WIP - COST OF REMOVAL - ELECTRIC</t>
  </si>
  <si>
    <t>RETIRE WIP - COST OF REMOVAL - GAS</t>
  </si>
  <si>
    <t>RETIRE WIP - COST OF REMOVAL - COMMON</t>
  </si>
  <si>
    <t>RETIRE WIP - SALVAGE - ELECTRIC</t>
  </si>
  <si>
    <t>RETIRE WIP - SALVAGE - GAS</t>
  </si>
  <si>
    <t>RETIRE WIP - SALVAGE - COMMON</t>
  </si>
  <si>
    <t>ADIT - EEBEN - FEDERAL - ELECTRIC</t>
  </si>
  <si>
    <t>ADIT - EEBEN - FEDERAL - GAS</t>
  </si>
  <si>
    <t>ADIT - EEBEN - FEDERAL - CURRENT - ELECTRIC</t>
  </si>
  <si>
    <t>ADIT - EEBEN - FEDERAL - CURRENT - GAS</t>
  </si>
  <si>
    <t>ADIT - EEBEN - STATE - ELECTRIC</t>
  </si>
  <si>
    <t>ADIT - EEBEN - STATE - GAS</t>
  </si>
  <si>
    <t>ADIT - EEBEN - STATE - CURRENT - ELECTRIC</t>
  </si>
  <si>
    <t>ADIT - EEBEN - STATE - CURRENT - GAS</t>
  </si>
  <si>
    <t>ADIT - EEBEN - REG - FEDERAL - ELECTRIC</t>
  </si>
  <si>
    <t>ADIT - EEBEN - REG - FEDERAL - GAS</t>
  </si>
  <si>
    <t>ADIT - EEBEN - REG - STATE - ELECTRIC</t>
  </si>
  <si>
    <t>ADIT - EEBEN - REG - STATE - GAS</t>
  </si>
  <si>
    <t>A/P-GR/IR-GOODS RECEIPTS / INVOICE RECEIPTS</t>
  </si>
  <si>
    <t>RECLASS FEDERAL TAXES ACCRUED TO DEFERRED TAX ASSET NOL</t>
  </si>
  <si>
    <t>HYPOTHETICAL TAX WITHHOLDING</t>
  </si>
  <si>
    <t>DEFERRED REVENUE-ON BILL PAYMENT PLAN GREEN POWER</t>
  </si>
  <si>
    <t>Deferred Revenue - On-Bill Financing</t>
  </si>
  <si>
    <t>807045-12</t>
  </si>
  <si>
    <t>MFC Undercollection  - Electric Deferral 2012</t>
  </si>
  <si>
    <t>Pension Costs- 2003 thru 2010</t>
  </si>
  <si>
    <t>CTA - Unit of Property Capitalization</t>
  </si>
  <si>
    <t>Leftover Property Tax- Gas</t>
  </si>
  <si>
    <t>801229-FE</t>
  </si>
  <si>
    <t>First Energy- Gas</t>
  </si>
  <si>
    <t>none</t>
  </si>
  <si>
    <t>BC060561</t>
  </si>
  <si>
    <t>PLTEXP</t>
  </si>
  <si>
    <t>NCR Defer Reserve Flow-thru impact &amp; gross up</t>
  </si>
  <si>
    <t>BE030922</t>
  </si>
  <si>
    <t>NCR 263(a) Mixed Services Elec</t>
  </si>
  <si>
    <t>BG030266</t>
  </si>
  <si>
    <t>BG030911</t>
  </si>
  <si>
    <t>Gas R&amp;D Tax Credit Deferral</t>
  </si>
  <si>
    <t>BG030922</t>
  </si>
  <si>
    <t>NCR 263(a) Mixed Services Gas</t>
  </si>
  <si>
    <t>801233-11</t>
  </si>
  <si>
    <t>801233-12</t>
  </si>
  <si>
    <t>POR Deferral Elec RY2</t>
  </si>
  <si>
    <t>POR Deferral Gas RY2</t>
  </si>
  <si>
    <t>2012 Powertax: NCR- ASGA</t>
  </si>
  <si>
    <t>2012 Powertax: ASGA</t>
  </si>
  <si>
    <t>2012 Powertax ASGA- Amort- Elec</t>
  </si>
  <si>
    <t>801224-BB</t>
  </si>
  <si>
    <t>Amort ASGA ends 12/2013 Beginning Balance</t>
  </si>
  <si>
    <t>DIT - Fed - Elec</t>
  </si>
  <si>
    <t>ADIT-REG-ST-Elect</t>
  </si>
  <si>
    <t>ADIT - EEBEN - Federal - Electric</t>
  </si>
  <si>
    <t>Deferred Compensation - Funding vs Expense</t>
  </si>
  <si>
    <t>FAS 112 Post Employment Benefits</t>
  </si>
  <si>
    <t>ADIT - EEBEN - Federal - Gas</t>
  </si>
  <si>
    <t>ADIT - EEBEN - Federal - Curr - Electric</t>
  </si>
  <si>
    <t>Long Term Executive Incentive Plan</t>
  </si>
  <si>
    <t>ADIT - EEBEN - Federal - Curr - Gas</t>
  </si>
  <si>
    <t>ADIT - EEBEN - State - Electric</t>
  </si>
  <si>
    <t>ADIT - EEBEN - State - Gas</t>
  </si>
  <si>
    <t>ADIT - EEBEN - State - Curr - Electric</t>
  </si>
  <si>
    <t>ADIT-REG-FED-ELECT</t>
  </si>
  <si>
    <t>ADIT - EEBEN - Reg - Federal - Electric</t>
  </si>
  <si>
    <t>Pension Expense - Joint Proposal</t>
  </si>
  <si>
    <t>ADIT - EEBEN - Reg - Federal - Gas</t>
  </si>
  <si>
    <t>Deferred Gas Pension Income</t>
  </si>
  <si>
    <t>ADIT - EEBEN - Reg - State - Electric</t>
  </si>
  <si>
    <t>ADIT - EEBEN - Reg - State - Gas</t>
  </si>
  <si>
    <t>Reclass - Fed DTA Acc NOL</t>
  </si>
  <si>
    <t>Items Not in Rate Base - Detail</t>
  </si>
  <si>
    <t>Interest Bearing CWIP</t>
  </si>
  <si>
    <t>Balance at:</t>
  </si>
  <si>
    <t>Non IB CWIP</t>
  </si>
  <si>
    <t>Less Suspended Projects (included in Non IB CWIP)</t>
  </si>
  <si>
    <t>Non IB CWIP, less suspended projects</t>
  </si>
  <si>
    <t>IB CWIP (total CWIP minus non IBCWIP less suspended projects)</t>
  </si>
  <si>
    <t>Common Allocator</t>
  </si>
  <si>
    <t>IB CWIP to Remove from Rate Base</t>
  </si>
  <si>
    <t>Adjustment to Prepayments and WC - O&amp;M</t>
  </si>
  <si>
    <t>Beg Bal</t>
  </si>
  <si>
    <t>Amort Expense</t>
  </si>
  <si>
    <t>Assessment</t>
  </si>
  <si>
    <t>Total Activity</t>
  </si>
  <si>
    <t>Balance Ending</t>
  </si>
  <si>
    <t>E / G Allocation:</t>
  </si>
  <si>
    <t>12-Month Rolling Average</t>
  </si>
  <si>
    <t>GL Account</t>
  </si>
  <si>
    <t>Assign #</t>
  </si>
  <si>
    <t>12-Months Ended</t>
  </si>
  <si>
    <t>Working Capital on Purchased Power - Rate Base</t>
  </si>
  <si>
    <t>Short name</t>
  </si>
  <si>
    <t>Description</t>
  </si>
  <si>
    <t>Subtotal - ASGA</t>
  </si>
  <si>
    <t>BE030099</t>
  </si>
  <si>
    <t>BG030179</t>
  </si>
  <si>
    <t>BG030131</t>
  </si>
  <si>
    <t>Subtotal - Asset Retirement Obligation</t>
  </si>
  <si>
    <t>Subtotal - Balance Sheet Reclass</t>
  </si>
  <si>
    <t>Subtotal - Bonus Depreciaiton Deferral</t>
  </si>
  <si>
    <t>CAIDI/SAIFI Deferral</t>
  </si>
  <si>
    <t>Subtotal - CAIDI/SAIFI</t>
  </si>
  <si>
    <t>Subtotal - CapEx Customer Credit</t>
  </si>
  <si>
    <t>BE030196</t>
  </si>
  <si>
    <t>Subtotal - Economic Development</t>
  </si>
  <si>
    <t>BG030590</t>
  </si>
  <si>
    <t>Subtotal - EEPS</t>
  </si>
  <si>
    <t>Subtotal - Environmental</t>
  </si>
  <si>
    <t>ESM</t>
  </si>
  <si>
    <t>Subtotal - ESM</t>
  </si>
  <si>
    <t>Subtotal - Executive Comp</t>
  </si>
  <si>
    <t>Subtotal - Gas Costs Deferred</t>
  </si>
  <si>
    <t>Subtotal - Gas Pipeline Integrity</t>
  </si>
  <si>
    <t>Subtotal - GCIM - Shareholder</t>
  </si>
  <si>
    <t>BG030162</t>
  </si>
  <si>
    <t>Subtotal - Hedges &amp; OCI</t>
  </si>
  <si>
    <t>Incremental Maintenance/CRO-Elecrtric</t>
  </si>
  <si>
    <t>Incremental Maintenance/CRO-Gas</t>
  </si>
  <si>
    <t>Subtotal - Incremental Maintenace</t>
  </si>
  <si>
    <t>Subtotal - Low Income</t>
  </si>
  <si>
    <t>Management Audit Deferral</t>
  </si>
  <si>
    <t>Subtotal - Management Audit Deferral</t>
  </si>
  <si>
    <t>Merchant Function Charge - Elec</t>
  </si>
  <si>
    <t>Subtotal - Merchant Function Charge - Electric</t>
  </si>
  <si>
    <t>MHP Meter Deferral</t>
  </si>
  <si>
    <t>Subtotal - MHP Meter Deferral</t>
  </si>
  <si>
    <t>Subtotal - Nonutility Property</t>
  </si>
  <si>
    <t>Subtotal - Other Investments</t>
  </si>
  <si>
    <t>BG030252</t>
  </si>
  <si>
    <t>Subtotal - Property Tax Deferral</t>
  </si>
  <si>
    <t>BE030581</t>
  </si>
  <si>
    <t>BG030582</t>
  </si>
  <si>
    <t>Subtotal - PSC Assessment</t>
  </si>
  <si>
    <t>Subtotal - RDM</t>
  </si>
  <si>
    <t>Subtotal - SFAS-109</t>
  </si>
  <si>
    <t>Subtotal - Temporary Cash Investments</t>
  </si>
  <si>
    <t>Subtotal - Transfer Goods Receipt</t>
  </si>
  <si>
    <t>Subtotal - Unit of Property CTA</t>
  </si>
  <si>
    <t>Subtotal - Variable Rate Debt</t>
  </si>
  <si>
    <t>Subtotal - Vegetation Management</t>
  </si>
  <si>
    <t>Subtotal - Interest Bearing CWIP</t>
  </si>
  <si>
    <t>Manual Adjustments</t>
  </si>
  <si>
    <t>PSC Temporary Assessment - transfer from Prepayments to Items Not in Rate Base</t>
  </si>
  <si>
    <t>PSC General Assessment Deferred Taxes - transfer from  Items Not in Rate Base to Deferred Taxes</t>
  </si>
  <si>
    <t>ASGA - Transfer from Items Not in Rate Base to Deferred Debits &amp; Credits (JP Amount)</t>
  </si>
  <si>
    <t>ASGA Deferred Taxes - Transfer from Items Not in Rate Base to Deferred Debits &amp; Credits (JP Amount)</t>
  </si>
  <si>
    <t>Bonus Depreciation - Transfer from Deferred Taxes to Items Not in Rate Base</t>
  </si>
  <si>
    <t>SFAS-109 - Balancing Adjustment</t>
  </si>
  <si>
    <t>EEPS accruing NCR - Transfer from EBCAP to Items Not in Rate Base</t>
  </si>
  <si>
    <t>Subtotal - Manual Adjustments</t>
  </si>
  <si>
    <t>Total - Items Not in Rate Base</t>
  </si>
  <si>
    <t>Subtotal - Accelerated Depreciation</t>
  </si>
  <si>
    <t>Def Tax2821100-282.11.17BT010238</t>
  </si>
  <si>
    <t>Def Tax2822300-282.11.18BT010229</t>
  </si>
  <si>
    <t>BE030328</t>
  </si>
  <si>
    <t>BE030339</t>
  </si>
  <si>
    <t>BE030355</t>
  </si>
  <si>
    <t>BE030291</t>
  </si>
  <si>
    <t>BE030364</t>
  </si>
  <si>
    <t>BE030331</t>
  </si>
  <si>
    <t>BE030334</t>
  </si>
  <si>
    <t>BE030335</t>
  </si>
  <si>
    <t>BE030336</t>
  </si>
  <si>
    <t>BE030337</t>
  </si>
  <si>
    <t>BE030338</t>
  </si>
  <si>
    <t>BE030341</t>
  </si>
  <si>
    <t>BE030202</t>
  </si>
  <si>
    <t>N/A</t>
  </si>
  <si>
    <t>BT010277</t>
  </si>
  <si>
    <t>BT010283</t>
  </si>
  <si>
    <t>BT010281</t>
  </si>
  <si>
    <t>BT010276</t>
  </si>
  <si>
    <t>BT010279</t>
  </si>
  <si>
    <t>BT010285</t>
  </si>
  <si>
    <t>BT010284</t>
  </si>
  <si>
    <t>BE030353</t>
  </si>
  <si>
    <t>BE030354</t>
  </si>
  <si>
    <t>BE030356</t>
  </si>
  <si>
    <t>BE030357</t>
  </si>
  <si>
    <t>BE030365</t>
  </si>
  <si>
    <t>BE030366</t>
  </si>
  <si>
    <t>BE30210</t>
  </si>
  <si>
    <t>BT010347</t>
  </si>
  <si>
    <t>BT010377</t>
  </si>
  <si>
    <t>BE030329</t>
  </si>
  <si>
    <t>BE030185</t>
  </si>
  <si>
    <t>GL242355</t>
  </si>
  <si>
    <t>GL242356</t>
  </si>
  <si>
    <t>Def Tax190006807170</t>
  </si>
  <si>
    <t>Def Tax190016807170</t>
  </si>
  <si>
    <t>Def Tax190501ASGA Gross-up-aBT010009</t>
  </si>
  <si>
    <t>Def Tax190501ASGA Gross-up-bBT010009</t>
  </si>
  <si>
    <t>Def Tax190511ASGA Gross-up-aBT010009</t>
  </si>
  <si>
    <t>Def Tax190511ASGA Gross-up-bBT010009</t>
  </si>
  <si>
    <t>Def Tax283000800170BT010009</t>
  </si>
  <si>
    <t>Def Tax2830000-283.20.80BC030422</t>
  </si>
  <si>
    <t>Def Tax283006ASGA RefBT010010</t>
  </si>
  <si>
    <t>Def Tax283008ASGA RefBT010010</t>
  </si>
  <si>
    <t>Def Tax283016ASGA RefBT010010</t>
  </si>
  <si>
    <t>Def Tax283018ASGA RefBT010010</t>
  </si>
  <si>
    <t>BE039999</t>
  </si>
  <si>
    <t>BC030142</t>
  </si>
  <si>
    <t>BC039999</t>
  </si>
  <si>
    <t>Def Tax283500Bonus DeprBE030192</t>
  </si>
  <si>
    <t>Def Tax283510Bonus DeprBE030192</t>
  </si>
  <si>
    <t>Def Tax283550Bonus DeprBE030192</t>
  </si>
  <si>
    <t>Def Tax283560Bonus DeprBE030192</t>
  </si>
  <si>
    <t>Def Tax1905010-283.21.13BE030597</t>
  </si>
  <si>
    <t>Subtotal - CapEx Shareholder Deferral</t>
  </si>
  <si>
    <t>BG030151</t>
  </si>
  <si>
    <t>Def Tax1905020-283.22.16BG030147</t>
  </si>
  <si>
    <t>Def Tax1905020-283.22.32BG030158</t>
  </si>
  <si>
    <t>Def Tax1905020-283.22.13BC030163</t>
  </si>
  <si>
    <t>Def Tax1905120-286.01.30BG030147</t>
  </si>
  <si>
    <t>Def Tax1905120-286.01.46BG030158</t>
  </si>
  <si>
    <t>Def Tax1905120-286.01.25BC030163</t>
  </si>
  <si>
    <t>Def Tax2835100-283.22.20BG030147</t>
  </si>
  <si>
    <t>Def Tax2835600-286.01.33BG030147</t>
  </si>
  <si>
    <t>Def Tax283500Econ Devlp/283.22.29BT010069</t>
  </si>
  <si>
    <t>Def Tax283510Econ DevlpBT010069</t>
  </si>
  <si>
    <t>Def Tax283550Econ Devlp/286.01.43BT010069</t>
  </si>
  <si>
    <t>Def Tax283560Econ DevlpBT010069</t>
  </si>
  <si>
    <t>Def Tax190002Env OLBT010071</t>
  </si>
  <si>
    <t>Def Tax190006Env OLBT010071</t>
  </si>
  <si>
    <t>Def Tax190007Env OLBT010071</t>
  </si>
  <si>
    <t>Def Tax190001Env OLBT010071</t>
  </si>
  <si>
    <t>Def Tax190011Env OLBT010071</t>
  </si>
  <si>
    <t>Def Tax190012Env OLBT010071</t>
  </si>
  <si>
    <t>Def Tax190016Env OLBT010071</t>
  </si>
  <si>
    <t>Def Tax190017Env OLBT010071</t>
  </si>
  <si>
    <t>Def Tax1905010-184.22.22BT010073</t>
  </si>
  <si>
    <t>Def Tax1905010-283.22.30BT010269</t>
  </si>
  <si>
    <t>Def Tax1905010-184.22.20BT010224</t>
  </si>
  <si>
    <t>Def Tax1905010-283.21.59BT010225</t>
  </si>
  <si>
    <t>Def Tax1905020-184.22.23BT010073</t>
  </si>
  <si>
    <t>Def Tax1905020-283.21.60BT010225</t>
  </si>
  <si>
    <t>Def Tax1905020-283.21.60BT010224</t>
  </si>
  <si>
    <t>Def Tax1905110-186.01.43BT010073</t>
  </si>
  <si>
    <t>Def Tax1905110-286.01.44BT010269</t>
  </si>
  <si>
    <t>Def Tax1905110-186.01.41BT010224</t>
  </si>
  <si>
    <t>Def Tax1905120-186.01.44BT010073</t>
  </si>
  <si>
    <t>Def Tax1905120-186.01.42BT010224</t>
  </si>
  <si>
    <t>Def Tax2832000-283.20.82BT010038</t>
  </si>
  <si>
    <t>Def Tax283200Env OLBT010071</t>
  </si>
  <si>
    <t>Def Tax2832100-282.20.83BT010039</t>
  </si>
  <si>
    <t>Def Tax283210Env OLBT010071</t>
  </si>
  <si>
    <t>Def Tax283400Env OLBT010071</t>
  </si>
  <si>
    <t>Def Tax283410Env OLBT010071</t>
  </si>
  <si>
    <t>Def Tax283500Env RABT010072</t>
  </si>
  <si>
    <t>Def Tax283510Env RABT010072</t>
  </si>
  <si>
    <t>Def Tax283510Env RemedBT010269</t>
  </si>
  <si>
    <t>Def Tax283550Env RABT010072</t>
  </si>
  <si>
    <t>Def Tax283550SIRBT010213</t>
  </si>
  <si>
    <t>Def Tax283560Env RABT010072</t>
  </si>
  <si>
    <t>Def Tax283560Env RemedBT010269</t>
  </si>
  <si>
    <t>Def Tax283986Env OLBT010071</t>
  </si>
  <si>
    <t>Def Tax283987Env OLBT010071</t>
  </si>
  <si>
    <t>Def Tax283988Env OLBT010071</t>
  </si>
  <si>
    <t>Def Tax283989Env OLBT010071</t>
  </si>
  <si>
    <t>GL242035</t>
  </si>
  <si>
    <t>GL242070</t>
  </si>
  <si>
    <t>Def Tax1900010-184.22.14BT010220</t>
  </si>
  <si>
    <t>Def Tax190001AEIPBT010356</t>
  </si>
  <si>
    <t>Def Tax190001LTIBT010356</t>
  </si>
  <si>
    <t>Def Tax190002AEIPBT010356</t>
  </si>
  <si>
    <t>Def Tax190002LTIBT010356</t>
  </si>
  <si>
    <t>Def Tax190011AEIPBT010356</t>
  </si>
  <si>
    <t>Def Tax190011LTIBT010356</t>
  </si>
  <si>
    <t>Def Tax190012AEIPBT010356</t>
  </si>
  <si>
    <t>Def Tax190012LTIBT010356</t>
  </si>
  <si>
    <t>Def Tax2832100-184.22.15BT010220</t>
  </si>
  <si>
    <t>Def Tax2834000-186.01.33BT010220</t>
  </si>
  <si>
    <t>Def Tax2834100-186.01.34BT010220</t>
  </si>
  <si>
    <t>GL237007</t>
  </si>
  <si>
    <t>GL237008</t>
  </si>
  <si>
    <t>Def Tax283884283884BC999998</t>
  </si>
  <si>
    <t>Def Tax283984283984BC999998</t>
  </si>
  <si>
    <t>Subtotal - FIN 48 Reclass</t>
  </si>
  <si>
    <t>Flood - June 2006 - Gas</t>
  </si>
  <si>
    <t>Def Tax283200Flood InsBT010286</t>
  </si>
  <si>
    <t>Def Tax283210Flood InsBT010286</t>
  </si>
  <si>
    <t>Def Tax283400Flood InsBT010268</t>
  </si>
  <si>
    <t>Def Tax283410Flood InsBT010286</t>
  </si>
  <si>
    <t>Def Tax283510FloodBG030184</t>
  </si>
  <si>
    <t>Def Tax283560FloodBG030184</t>
  </si>
  <si>
    <t>BG030299</t>
  </si>
  <si>
    <t>Subtotal - Flood - June 2006 - Gas</t>
  </si>
  <si>
    <t>Subtotal - Gain / Loss on Surplus Sales</t>
  </si>
  <si>
    <t>Gas Bill Migration</t>
  </si>
  <si>
    <t>Def Tax2835100-283.22.23BG030302</t>
  </si>
  <si>
    <t>Def Tax2835600-286.01.36BG030302</t>
  </si>
  <si>
    <t>Subtotal - Gas Bill Migration</t>
  </si>
  <si>
    <t>Def Tax283510Trans IntegBG030181</t>
  </si>
  <si>
    <t>Def Tax283560Trans IntegBG030181</t>
  </si>
  <si>
    <t>Def Tax1900000-184.26.01BT010137</t>
  </si>
  <si>
    <t>Def Tax1900000-184.26.01BT010140</t>
  </si>
  <si>
    <t>Def Tax1900000-184.26.01BT010141</t>
  </si>
  <si>
    <t>Def Tax1900000-184.26.01BT010138</t>
  </si>
  <si>
    <t>Def Tax1900000-184.26.01BT010136</t>
  </si>
  <si>
    <t>Def Tax1900030-283.22.14BT010121</t>
  </si>
  <si>
    <t>Def Tax1900100-186.01.29BT010140</t>
  </si>
  <si>
    <t>Def Tax1900130-286.01.26BT010121</t>
  </si>
  <si>
    <t>Def Tax190501Incr MaintBE030599</t>
  </si>
  <si>
    <t>Def Tax1905010-283.22.27BE030210</t>
  </si>
  <si>
    <t>Def Tax190501Low IncomeBE030594</t>
  </si>
  <si>
    <t>Def Tax190502Trans IntegBG030181</t>
  </si>
  <si>
    <t>Def Tax190502Incr MaintBG030599</t>
  </si>
  <si>
    <t>Def Tax190502GSC RefundBG030586</t>
  </si>
  <si>
    <t>Def Tax190502Low IncomeBG030594</t>
  </si>
  <si>
    <t>Def Tax190511Incr MaintBE030599</t>
  </si>
  <si>
    <t>Def Tax1905110-286.01.41BE030210</t>
  </si>
  <si>
    <t>Def Tax190511Low IncomeBE030594</t>
  </si>
  <si>
    <t>Def Tax190512Trans IntegBG030181</t>
  </si>
  <si>
    <t>Def Tax190512Incr MaintBG030599</t>
  </si>
  <si>
    <t>Def Tax190512GSC RefundBG030586</t>
  </si>
  <si>
    <t>Def Tax190512Low IncomeBG030594</t>
  </si>
  <si>
    <t>Def Tax2553000-283.40.03BT010109</t>
  </si>
  <si>
    <t>Def Tax2833000-283.22.14BT010057</t>
  </si>
  <si>
    <t>Def Tax2833000-283.22.14BT010121</t>
  </si>
  <si>
    <t>Def Tax2833100-283.22.15BT010121</t>
  </si>
  <si>
    <t>Def Tax2834200-286.01.26BT010057</t>
  </si>
  <si>
    <t>Def Tax2834300-286.01.27BT010121</t>
  </si>
  <si>
    <t>GSC refund</t>
  </si>
  <si>
    <t>GL176401</t>
  </si>
  <si>
    <t>GL176990</t>
  </si>
  <si>
    <t>GL176991</t>
  </si>
  <si>
    <t>GL176992</t>
  </si>
  <si>
    <t>GL219500</t>
  </si>
  <si>
    <t>GL219530</t>
  </si>
  <si>
    <t>GL219535</t>
  </si>
  <si>
    <t>GL219540</t>
  </si>
  <si>
    <t>GL219543</t>
  </si>
  <si>
    <t>GL219545</t>
  </si>
  <si>
    <t>GL219547</t>
  </si>
  <si>
    <t>GL219550</t>
  </si>
  <si>
    <t>GL219553</t>
  </si>
  <si>
    <t>GL219565</t>
  </si>
  <si>
    <t>GL219570</t>
  </si>
  <si>
    <t>GL219572</t>
  </si>
  <si>
    <t>GL245401</t>
  </si>
  <si>
    <t>GL245420</t>
  </si>
  <si>
    <t>GL245992</t>
  </si>
  <si>
    <t>Subtotal - IRS Audit</t>
  </si>
  <si>
    <t>ITC - CNY</t>
  </si>
  <si>
    <t>Subtotal - ITC - CNY</t>
  </si>
  <si>
    <t>Def Tax190501Mgt AuditBE030596</t>
  </si>
  <si>
    <t>Def Tax190502Mgt AuditBG030596</t>
  </si>
  <si>
    <t>Def Tax190511Mgt AuditBE030596</t>
  </si>
  <si>
    <t>Def Tax190512Mgt AuditBG030596</t>
  </si>
  <si>
    <t>BE030587</t>
  </si>
  <si>
    <t>Def Tax283500MFCBE030155</t>
  </si>
  <si>
    <t>Def Tax283550MFCBE030155</t>
  </si>
  <si>
    <t>Def Tax283510MFCBG030247</t>
  </si>
  <si>
    <t>Def Tax283560MFCBG030247</t>
  </si>
  <si>
    <t>Subtotal - Merchant Function Charge - Gas</t>
  </si>
  <si>
    <t>GL219533</t>
  </si>
  <si>
    <t>GL219537</t>
  </si>
  <si>
    <t>Def Tax1900010-184.22.13BT010128</t>
  </si>
  <si>
    <t>Def Tax1900110-186.01.32BT010128</t>
  </si>
  <si>
    <t>Def Tax2835000-149.49.27BE030208</t>
  </si>
  <si>
    <t>Def Tax2835500-149.49.27BE030208</t>
  </si>
  <si>
    <t>Subtotal - Net (Gains) &amp; Losses on Interest Rate Hedges</t>
  </si>
  <si>
    <t>Subtotal - Nine Mile 2 Costs</t>
  </si>
  <si>
    <t>GL236961</t>
  </si>
  <si>
    <t>Def Tax190001NOLBT010129</t>
  </si>
  <si>
    <t>Def Tax190002NOLBT010129</t>
  </si>
  <si>
    <t>Def Tax190960BDEFAULT</t>
  </si>
  <si>
    <t>GL128450</t>
  </si>
  <si>
    <t>Subtotal - Non-Qualified Directors trust</t>
  </si>
  <si>
    <t>GL253230</t>
  </si>
  <si>
    <t>Def Tax283200SERPBT010195</t>
  </si>
  <si>
    <t>Def Tax283210SERPBT010195</t>
  </si>
  <si>
    <t>Def Tax283400SERPBT010195</t>
  </si>
  <si>
    <t>Def Tax283410SERPBT010195</t>
  </si>
  <si>
    <t>GL121000</t>
  </si>
  <si>
    <t>GL122000</t>
  </si>
  <si>
    <t>BG030164</t>
  </si>
  <si>
    <t>Def Tax190501OPEBsBT010091</t>
  </si>
  <si>
    <t>Def Tax190502OPEBsBT010091</t>
  </si>
  <si>
    <t>Def Tax190511OPEBsBT010091</t>
  </si>
  <si>
    <t>Def Tax190512OPEBsBT010091</t>
  </si>
  <si>
    <t>Subtotal - OPEBs</t>
  </si>
  <si>
    <t>Subtotal - NYS Tax Plan 2000</t>
  </si>
  <si>
    <t>Subtotal - Non-Qualified Retiree Trust (net of related liability)</t>
  </si>
  <si>
    <t>Subtotal - NOL Def Tax Asset</t>
  </si>
  <si>
    <t>Subtotal - Mixed Use 263(a)</t>
  </si>
  <si>
    <t>GL124000</t>
  </si>
  <si>
    <t>Subtotal - Outreach &amp; Education</t>
  </si>
  <si>
    <t>Def Tax283510Outreach &amp; EdBT010156</t>
  </si>
  <si>
    <t>Def Tax283560Outreach &amp; EdBT010156</t>
  </si>
  <si>
    <t>GL242030</t>
  </si>
  <si>
    <t>Def Tax190002182.18.02/183.40.00BT010049</t>
  </si>
  <si>
    <t>Subtotal - Payroll-Related Costs</t>
  </si>
  <si>
    <t>Def Tax190501PensionBT010166</t>
  </si>
  <si>
    <t>Def Tax190502NCR Gas PenBG030167</t>
  </si>
  <si>
    <t>Def Tax190502PensionBT010166</t>
  </si>
  <si>
    <t>Def Tax190511PensionBT010166</t>
  </si>
  <si>
    <t>Def Tax190512NCR Gas PenBG030167</t>
  </si>
  <si>
    <t>Def Tax190512PensionBT010166</t>
  </si>
  <si>
    <t>Def Tax2835100-283.22.36BG030167</t>
  </si>
  <si>
    <t>Def Tax283510NCR Gas PenBG030167</t>
  </si>
  <si>
    <t>Def Tax2835600-286.01.50BG030167</t>
  </si>
  <si>
    <t>Def Tax283560NCR Gas PenBG030167</t>
  </si>
  <si>
    <t>Subtotal - Pension</t>
  </si>
  <si>
    <t>Reg Asset182301Pension ElectricBE030409</t>
  </si>
  <si>
    <t>Reg Asset1823030-149.28.05BG030167</t>
  </si>
  <si>
    <t>Reg Asset1823030-149.28.08BG030167</t>
  </si>
  <si>
    <t>Reg Asset1823030-149.28.09BG030167</t>
  </si>
  <si>
    <t>Reg Asset1823030-149.28.10BG030167</t>
  </si>
  <si>
    <t>Reg Asset1823032-780.22.11.ABG030167</t>
  </si>
  <si>
    <t>Reg Asset182303800131BG030167</t>
  </si>
  <si>
    <t>Reg Asset182303807007BG030167</t>
  </si>
  <si>
    <t>Reg Asset182303808001BG030167</t>
  </si>
  <si>
    <t>Reg Asset182303808001-09BG030167</t>
  </si>
  <si>
    <t>Reg Asset182303809005BG030167</t>
  </si>
  <si>
    <t>Reg Asset182303808001-10BG030167</t>
  </si>
  <si>
    <t>Reg Asset182303Pension GasBG030410</t>
  </si>
  <si>
    <t>Reg Asset1823030-149.28.09BG030410</t>
  </si>
  <si>
    <t>Reg Asset1823032-780.22.11.ABG030410</t>
  </si>
  <si>
    <t>Reg Asset182303801261BG030410</t>
  </si>
  <si>
    <t>Reg Asset182303809005BG030410</t>
  </si>
  <si>
    <t>Reg Asset254016Pension ElectricBE030409</t>
  </si>
  <si>
    <t>Reg Asset254017Pension GasBG030410</t>
  </si>
  <si>
    <t>Def Tax283500Prop Tax RefBE030295</t>
  </si>
  <si>
    <t>Def Tax283550Prop Tax RefBE030295</t>
  </si>
  <si>
    <t>Subtotal - Property Tax Refunds</t>
  </si>
  <si>
    <t>Def Tax190501PSC AssessmentBT010353</t>
  </si>
  <si>
    <t>Def Tax190502PSC AssessmentBT010353</t>
  </si>
  <si>
    <t>Def Tax190511PSC AssessmentBT010353</t>
  </si>
  <si>
    <t>Def Tax190512PSC AssessmentBT010353</t>
  </si>
  <si>
    <t>Def Tax283500BE030904</t>
  </si>
  <si>
    <t>Def Tax283510BG030904</t>
  </si>
  <si>
    <t>Def Tax283550BE030904</t>
  </si>
  <si>
    <t>Def Tax283560BG030904</t>
  </si>
  <si>
    <t>Subtotal - Research &amp; Development</t>
  </si>
  <si>
    <t>GL188000</t>
  </si>
  <si>
    <t>BG030304</t>
  </si>
  <si>
    <t>BG030305</t>
  </si>
  <si>
    <t>Def Tax190502R&amp;D DefBT010177</t>
  </si>
  <si>
    <t>Def Tax190512R&amp;D DefBT010177</t>
  </si>
  <si>
    <t>Def Tax2832000-183.23.00BT010206</t>
  </si>
  <si>
    <t>Reg Asset254017800116BG030304</t>
  </si>
  <si>
    <t>Reg Asset254017800117BG030305</t>
  </si>
  <si>
    <t>Reg Asset254017801221BG030304</t>
  </si>
  <si>
    <t>Reg Asset254017801221BG030911</t>
  </si>
  <si>
    <t>Subtotal - Seneca Pipeline Integrity Initiative</t>
  </si>
  <si>
    <t>Reg Asset254017807020-RY1BG030181</t>
  </si>
  <si>
    <t>Reg Asset254017807020BG030181</t>
  </si>
  <si>
    <t>Reg Asset254017807020BG030266</t>
  </si>
  <si>
    <t>Reg Asset182371</t>
  </si>
  <si>
    <t>Reg Asset254370801249BG030921</t>
  </si>
  <si>
    <t>Reg Asset254370801250BG030921</t>
  </si>
  <si>
    <t>Def Tax190502SenecaBT010389</t>
  </si>
  <si>
    <t>Def Tax190512SenecaBT010389</t>
  </si>
  <si>
    <t>BE030212</t>
  </si>
  <si>
    <t>BG030213</t>
  </si>
  <si>
    <t>BC030314</t>
  </si>
  <si>
    <t>BC030111</t>
  </si>
  <si>
    <t>BE030321</t>
  </si>
  <si>
    <t>BG030325</t>
  </si>
  <si>
    <t>BG030323</t>
  </si>
  <si>
    <t>BG030319</t>
  </si>
  <si>
    <t>BG030327</t>
  </si>
  <si>
    <t>GL228992</t>
  </si>
  <si>
    <t>GL228993</t>
  </si>
  <si>
    <t>GL236951</t>
  </si>
  <si>
    <t>GL236954</t>
  </si>
  <si>
    <t>Reg Asset1820450-149.51.980</t>
  </si>
  <si>
    <t>Reg Asset1820450-149.51.990</t>
  </si>
  <si>
    <t>Reg Asset182344807010BC060561</t>
  </si>
  <si>
    <t>Reg Asset1823960-242.40.99BE030212</t>
  </si>
  <si>
    <t>Reg Asset182397BT010103</t>
  </si>
  <si>
    <t>Reg Asset1823980-242.40.99BG030213</t>
  </si>
  <si>
    <t>Reg Asset182399BT010103</t>
  </si>
  <si>
    <t>Reg Asset2542200-242.40.00BC030314</t>
  </si>
  <si>
    <t>Reg Asset2542300-242.40.00BC030314</t>
  </si>
  <si>
    <t>Reg Asset2542300-242.40.99BC030111</t>
  </si>
  <si>
    <t>Reg Asset2542310-242.50.12BT010081</t>
  </si>
  <si>
    <t>Reg Asset2542310-242.51.12BE030321</t>
  </si>
  <si>
    <t>Reg Asset2542320-242.50.22BG030319</t>
  </si>
  <si>
    <t>Reg Asset2542320-242.51.22BG030323</t>
  </si>
  <si>
    <t>Reg Asset2542320-242.56.32BG030325</t>
  </si>
  <si>
    <t>Reg Asset2542320-242.56.34BG030327</t>
  </si>
  <si>
    <t>Reg Asset2549940-243.11.91BT010009</t>
  </si>
  <si>
    <t>Reg Asset254994BE030959</t>
  </si>
  <si>
    <t>Reg Asset2549950-149.51.98BT010009</t>
  </si>
  <si>
    <t>Reg Asset254995BE030359</t>
  </si>
  <si>
    <t>Def Tax1900010-183.82.01-aBT010080</t>
  </si>
  <si>
    <t>Def Tax1900010-183.82.01-bBT010080</t>
  </si>
  <si>
    <t>Def Tax1900010-183.82.01-cBT010081</t>
  </si>
  <si>
    <t>Def Tax1900010-183.82.01-dBT010081</t>
  </si>
  <si>
    <t>Def Tax1900010-183.82.010</t>
  </si>
  <si>
    <t>Def Tax1900010-183.82.00BT010103</t>
  </si>
  <si>
    <t>Def Tax190006Customer Deposits</t>
  </si>
  <si>
    <t>Def Tax1900060BT010071</t>
  </si>
  <si>
    <t>Def Tax1900060-149.99.99</t>
  </si>
  <si>
    <t>Def Tax190006DerivativeBT010057</t>
  </si>
  <si>
    <t>Def Tax190006Other CurrBC999998</t>
  </si>
  <si>
    <t>Def Tax190006Restructuring</t>
  </si>
  <si>
    <t>Def Tax190006Unbilled Revenue</t>
  </si>
  <si>
    <t>Def Tax190007Customer Deposits</t>
  </si>
  <si>
    <t>Def Tax1900070BT010071</t>
  </si>
  <si>
    <t>Def Tax1900070-149.99.99</t>
  </si>
  <si>
    <t>Def Tax190007DerivativeBT010057</t>
  </si>
  <si>
    <t>Def Tax190007Other CurrBC999998</t>
  </si>
  <si>
    <t>Def Tax190007Restructuring</t>
  </si>
  <si>
    <t>Def Tax190007Unbilled Revenue</t>
  </si>
  <si>
    <t>Def Tax1900080-149.99.99</t>
  </si>
  <si>
    <t>Def Tax190008DerivativeBT010057</t>
  </si>
  <si>
    <t>Def Tax190008Other CurrBC999998</t>
  </si>
  <si>
    <t>Def Tax190015DerivativeBT010057</t>
  </si>
  <si>
    <t>Def Tax190015Other CurrBC999998</t>
  </si>
  <si>
    <t>Def Tax190016DerivativeBT010057</t>
  </si>
  <si>
    <t>Def Tax1900160BT010071</t>
  </si>
  <si>
    <t>Def Tax190016Other CurrBC999998</t>
  </si>
  <si>
    <t>Def Tax190016Restructuring</t>
  </si>
  <si>
    <t>Def Tax190017DerivativeBT010057</t>
  </si>
  <si>
    <t>Def Tax1900170BT010071</t>
  </si>
  <si>
    <t>Def Tax190017Other CurrBC999998</t>
  </si>
  <si>
    <t>Def Tax190017Restructuring</t>
  </si>
  <si>
    <t>Def Tax190018Other CurrBC999998</t>
  </si>
  <si>
    <t>Def Tax190018DerivativeBT010057</t>
  </si>
  <si>
    <t>Def Tax190019Other CurrBC999998</t>
  </si>
  <si>
    <t>Def Tax190019DerivativeBT010057</t>
  </si>
  <si>
    <t>Def Tax190990Customer Deposits</t>
  </si>
  <si>
    <t>Def Tax1909900BT010057</t>
  </si>
  <si>
    <t>Def Tax1909900-283.20.95BC999998</t>
  </si>
  <si>
    <t>Def Tax190990Restructuring</t>
  </si>
  <si>
    <t>Def Tax190990Unbilled Revenue</t>
  </si>
  <si>
    <t>Def Tax1909910BT010057</t>
  </si>
  <si>
    <t>Def Tax190991DerivativeBC999998</t>
  </si>
  <si>
    <t>Def Tax190992Customer Deposits</t>
  </si>
  <si>
    <t>Def Tax1909920BT010057</t>
  </si>
  <si>
    <t>Def Tax1909920-283.20.95BC999998</t>
  </si>
  <si>
    <t>Def Tax190992Restructuring</t>
  </si>
  <si>
    <t>Def Tax190992Unbilled Revenue</t>
  </si>
  <si>
    <t>Def Tax1909930BT010057</t>
  </si>
  <si>
    <t>Def Tax190993DerivativeBC999998</t>
  </si>
  <si>
    <t>Def Tax283006Other CurrBC999998</t>
  </si>
  <si>
    <t>Def Tax283006DerivativeBT010057</t>
  </si>
  <si>
    <t>Def Tax283007DerivativeBT010057</t>
  </si>
  <si>
    <t>Def Tax283007Other CurrBC999998</t>
  </si>
  <si>
    <t>Def Tax283008Other CurrBC999998</t>
  </si>
  <si>
    <t>Def Tax283008DerivativeBT010057</t>
  </si>
  <si>
    <t>Def Tax283015DerivativeBT010057</t>
  </si>
  <si>
    <t>Def Tax283015Other CurrBT010057</t>
  </si>
  <si>
    <t>Def Tax283016Other CurrBC999998</t>
  </si>
  <si>
    <t>Def Tax283016DerivativeBT010057</t>
  </si>
  <si>
    <t>Def Tax283017DerivativeBT010057</t>
  </si>
  <si>
    <t>Def Tax283017Other CurrBC999998</t>
  </si>
  <si>
    <t>Def Tax283018DerivativeBT010057</t>
  </si>
  <si>
    <t>Def Tax283018Other CurrBC999998</t>
  </si>
  <si>
    <t>Def Tax283019DerivativeBT010057</t>
  </si>
  <si>
    <t>Def Tax2839860BT010057</t>
  </si>
  <si>
    <t>Def Tax283986DerivativeBC999998</t>
  </si>
  <si>
    <t>Def Tax2839870BT010057</t>
  </si>
  <si>
    <t>Def Tax283987DerivativeBC999998</t>
  </si>
  <si>
    <t>Def Tax2839880BT010057</t>
  </si>
  <si>
    <t>Def Tax283988DerivativeBC999998</t>
  </si>
  <si>
    <t>Def Tax2839890BT010057</t>
  </si>
  <si>
    <t>Def Tax283989DerivativeBC999998</t>
  </si>
  <si>
    <t>Def Tax283990Hedge GainBE030307</t>
  </si>
  <si>
    <t>Def Tax2839900-243.11.96BC999998</t>
  </si>
  <si>
    <t>Def Tax283991Hedge GainBE030307</t>
  </si>
  <si>
    <t>Def Tax2839910-243.11.97BC999998</t>
  </si>
  <si>
    <t>Def Tax283992Hedge GainBE030307</t>
  </si>
  <si>
    <t>Def Tax2839920-283.21.99BC999998</t>
  </si>
  <si>
    <t>Def Tax283993Hedge GainBE030307</t>
  </si>
  <si>
    <t>Def Tax2839930-283.21.98BC999998</t>
  </si>
  <si>
    <t>Reg Asset182390801230BE030188</t>
  </si>
  <si>
    <t>Reg Asset182390808032BE030188</t>
  </si>
  <si>
    <t>Reg Asset182390807031BE030188</t>
  </si>
  <si>
    <t>Reg Asset182390807032BE030188</t>
  </si>
  <si>
    <t>Reg Asset182390807033BE030188</t>
  </si>
  <si>
    <t>Reg Asset182390801253BG030184</t>
  </si>
  <si>
    <t>Reg Asset254171807031BE030188</t>
  </si>
  <si>
    <t>Reg Asset254171807032BE030188</t>
  </si>
  <si>
    <t>Reg Asset254171807033BE030188</t>
  </si>
  <si>
    <t>Def Tax1905010-283.22.28BT010221</t>
  </si>
  <si>
    <t>Def Tax1905110-286.01.42BT010221</t>
  </si>
  <si>
    <t>Def Tax2835000-283.22.28-aBT010221</t>
  </si>
  <si>
    <t>Def Tax2835500-286.01.42-aBT010221</t>
  </si>
  <si>
    <t>Def Tax2835500-286.01.42-b0</t>
  </si>
  <si>
    <t>Subtotal - Storm Costs</t>
  </si>
  <si>
    <t>Subtotal - System Benefits Charge</t>
  </si>
  <si>
    <t>Reg Asset254016800130BE030915</t>
  </si>
  <si>
    <t>Def Tax283500SBCBE030915</t>
  </si>
  <si>
    <t>Def Tax283550SBCBE030915</t>
  </si>
  <si>
    <t>GL136000</t>
  </si>
  <si>
    <t>GL136990</t>
  </si>
  <si>
    <t>GL136991</t>
  </si>
  <si>
    <t>GL136992</t>
  </si>
  <si>
    <t>Subtotal - Theoretical Reserve</t>
  </si>
  <si>
    <t>Reg Asset254016801213BE030908</t>
  </si>
  <si>
    <t>Def Tax283500Theoretical ReserveBE030908</t>
  </si>
  <si>
    <t>GL154975</t>
  </si>
  <si>
    <t>GL232029</t>
  </si>
  <si>
    <t>Reg Asset182305801257BE030925</t>
  </si>
  <si>
    <t>Reg Asset182306801257BG030925</t>
  </si>
  <si>
    <t>Def Tax283500BT010225</t>
  </si>
  <si>
    <t>Def Tax283510BT010225</t>
  </si>
  <si>
    <t>Def Tax283550BT010225</t>
  </si>
  <si>
    <t>Def Tax283560BT010225</t>
  </si>
  <si>
    <t>Def Tax190001Use Tax ResBT010240</t>
  </si>
  <si>
    <t>Def Tax190002Use Tax ResBT010240</t>
  </si>
  <si>
    <t>Def Tax190011Use Tax ResBT010240</t>
  </si>
  <si>
    <t>Def Tax190012Use Tax ResBT010240</t>
  </si>
  <si>
    <t>Subtotal - Use Tax Reserve</t>
  </si>
  <si>
    <t>Def Tax190501VRDBE030598</t>
  </si>
  <si>
    <t>Def Tax190502VRDBG030598</t>
  </si>
  <si>
    <t>Def Tax190511VRDBE030598</t>
  </si>
  <si>
    <t>Def Tax190512VRDBG030598</t>
  </si>
  <si>
    <t>Reg Asset254017801236BG030595</t>
  </si>
  <si>
    <t>Def Tax190501Veg MgtBE030595</t>
  </si>
  <si>
    <t>Def Tax190502Veg MgtBG030595</t>
  </si>
  <si>
    <t>Def Tax190511Veg MgtBE030595</t>
  </si>
  <si>
    <t>Def Tax190512Veg MgtBG030595</t>
  </si>
  <si>
    <t>GL107010</t>
  </si>
  <si>
    <t>GL107030</t>
  </si>
  <si>
    <t>GL107070</t>
  </si>
  <si>
    <t>Average IB CWIP to Remove from Rate Base</t>
  </si>
  <si>
    <t>Net of Tax</t>
  </si>
  <si>
    <t>ACF Deferred Taxes transferred to Rate Base</t>
  </si>
  <si>
    <t>Environmental Deferred Taxes transferred to Rate Base</t>
  </si>
  <si>
    <t>Adjustment to Include:  Deferred taxes tracking ACF item</t>
  </si>
  <si>
    <t>Adjustment to Include:  Deferred taxes tracking Environmental item</t>
  </si>
  <si>
    <t>Margin A/C 174175</t>
  </si>
  <si>
    <t>Collateral Accounts</t>
  </si>
  <si>
    <t xml:space="preserve"> Regulatory Revenue Activity - Elec</t>
  </si>
  <si>
    <t xml:space="preserve">  Electric Revenue</t>
  </si>
  <si>
    <t xml:space="preserve">  Electric Other Revenue</t>
  </si>
  <si>
    <t xml:space="preserve">  UnBilled Rev-Elec</t>
  </si>
  <si>
    <t xml:space="preserve">   Revenue</t>
  </si>
  <si>
    <t xml:space="preserve">   Other Revenue-Electric</t>
  </si>
  <si>
    <t xml:space="preserve">    Total Revenue-Electric</t>
  </si>
  <si>
    <t xml:space="preserve">   Electricity and fuel purchased</t>
  </si>
  <si>
    <t xml:space="preserve">  Other Operating Expenses (Elect)</t>
  </si>
  <si>
    <t xml:space="preserve">  Maintenance (Elect)</t>
  </si>
  <si>
    <t xml:space="preserve">   Total Operations &amp; Maintenance -</t>
  </si>
  <si>
    <t xml:space="preserve">   Depreciation and amortization</t>
  </si>
  <si>
    <t xml:space="preserve">   Other Taxes</t>
  </si>
  <si>
    <t xml:space="preserve">  Other Income-Misc.</t>
  </si>
  <si>
    <t xml:space="preserve">  Allowance for Funds Used During C</t>
  </si>
  <si>
    <t xml:space="preserve">  Other Income-Non-cash Return</t>
  </si>
  <si>
    <t xml:space="preserve">  Other Deductions-Miscellaneous</t>
  </si>
  <si>
    <t xml:space="preserve">   Total Other Income &amp; Deductions</t>
  </si>
  <si>
    <t xml:space="preserve">  Interest on Long Term Debt</t>
  </si>
  <si>
    <t xml:space="preserve">  Other Interest Expense</t>
  </si>
  <si>
    <t xml:space="preserve">  AFC Borrowed Funds</t>
  </si>
  <si>
    <t xml:space="preserve">   Interest Charges Net</t>
  </si>
  <si>
    <t xml:space="preserve">   Income Taxes</t>
  </si>
  <si>
    <t xml:space="preserve">    Total Operating Expenses-Electr</t>
  </si>
  <si>
    <t xml:space="preserve">     NYS GAAP Income Statement-Elec</t>
  </si>
  <si>
    <t xml:space="preserve"> Regulatory Revenue Activity-Gas</t>
  </si>
  <si>
    <t xml:space="preserve">  Gas Revenue</t>
  </si>
  <si>
    <t xml:space="preserve">  Gas Other Revenue</t>
  </si>
  <si>
    <t xml:space="preserve">  UnBilled Rev-Gas</t>
  </si>
  <si>
    <t xml:space="preserve">   Other Revenue-Gas</t>
  </si>
  <si>
    <t xml:space="preserve">    Total Revenue-Gas</t>
  </si>
  <si>
    <t xml:space="preserve">  Natural Gas Purchased</t>
  </si>
  <si>
    <t xml:space="preserve">   Total Purchase Gas</t>
  </si>
  <si>
    <t xml:space="preserve">  Other Operating Expenses (Gas)</t>
  </si>
  <si>
    <t xml:space="preserve">  Maintenance (Gas)</t>
  </si>
  <si>
    <t xml:space="preserve">   Depreciation &amp; Amortization</t>
  </si>
  <si>
    <t xml:space="preserve">    Total Operating Expenses-Gas</t>
  </si>
  <si>
    <t xml:space="preserve">     NYS GAAP Income Statement-Gas</t>
  </si>
  <si>
    <t xml:space="preserve">      Net Income Available for Common</t>
  </si>
  <si>
    <t>Reg AssetRR10Accrued Pension</t>
  </si>
  <si>
    <t>Accrued Pension / Pension Asset</t>
  </si>
  <si>
    <t>Reg AssetRR10Environmental</t>
  </si>
  <si>
    <t>Reg AssetRR10Capitalized Installation Costs</t>
  </si>
  <si>
    <t>Reg AssetRR10Inc Tax on Lower Book Depr Exp vs. Amt in Rates</t>
  </si>
  <si>
    <t>Reg AssetRR10Gain / Loss on Reacquired Debt</t>
  </si>
  <si>
    <t>Reg AssetRR10Medicare Subsidy</t>
  </si>
  <si>
    <t>Reg AssetRR10CTA Efficiency</t>
  </si>
  <si>
    <t>Reg AssetRR10MTA Surcharge</t>
  </si>
  <si>
    <t>GLRR10OPEBs</t>
  </si>
  <si>
    <t>Reg AssetRR10OPEBs</t>
  </si>
  <si>
    <t>Reg AssetRR10NYPA Ancillaries</t>
  </si>
  <si>
    <t>Reg AssetRR10NBWC True-up</t>
  </si>
  <si>
    <t>Reg AssetRR10ACF</t>
  </si>
  <si>
    <t>Reg AssetRR10Energy Supply Reconciliation</t>
  </si>
  <si>
    <t>Reg AssetRR10Excess DIT &gt; 7.1% (NYS)</t>
  </si>
  <si>
    <t>Reg AssetRR10Gas Phase 2A/B</t>
  </si>
  <si>
    <t>Reg AssetRR10Positive Benefit Adjustment</t>
  </si>
  <si>
    <t>Reg AssetRR10Property Tax Deferral</t>
  </si>
  <si>
    <t>Reg AssetRR10PSC Assessment</t>
  </si>
  <si>
    <t>Reg AssetRR10Purchase of Receivables</t>
  </si>
  <si>
    <t>Reg AssetRR10R&amp;D Tax Credit</t>
  </si>
  <si>
    <t>Reg AssetRR10Sarbanes-Oxley</t>
  </si>
  <si>
    <t>Reg AssetRR10Seneca Storage</t>
  </si>
  <si>
    <t>Reg AssetRR10Service Quality Performance Program</t>
  </si>
  <si>
    <t>Reg AssetRR10Stray Voltage</t>
  </si>
  <si>
    <t>MISC CUR &amp; ACCR LIAB - SPECIAL CUSTOMER PLANS PAY</t>
  </si>
  <si>
    <t>Pension-Electric Rate Year End Balance &amp; NCR</t>
  </si>
  <si>
    <t>OPEB Costes - Electric Rate Year End Balance &amp; NCR</t>
  </si>
  <si>
    <t>OPEB Costes - Gas Rate Year End Balance &amp; NCR</t>
  </si>
  <si>
    <t>Economic Development Agro Farmer</t>
  </si>
  <si>
    <t>Economic Development Emergency</t>
  </si>
  <si>
    <t>BTHUNGD</t>
  </si>
  <si>
    <t>BE030204</t>
  </si>
  <si>
    <t>BE030211</t>
  </si>
  <si>
    <t>BE030206</t>
  </si>
  <si>
    <t>BE030251</t>
  </si>
  <si>
    <t>BG030173</t>
  </si>
  <si>
    <t>BG030176</t>
  </si>
  <si>
    <t>BE030589</t>
  </si>
  <si>
    <t>BG030089</t>
  </si>
  <si>
    <t>BE030207</t>
  </si>
  <si>
    <t>BE030209</t>
  </si>
  <si>
    <t>BE030297</t>
  </si>
  <si>
    <t>BE030309</t>
  </si>
  <si>
    <t>BE030907</t>
  </si>
  <si>
    <t>BG030310</t>
  </si>
  <si>
    <t>BG030907</t>
  </si>
  <si>
    <t>BE030573</t>
  </si>
  <si>
    <t>BG030574</t>
  </si>
  <si>
    <t>BE030469</t>
  </si>
  <si>
    <t>BE030473</t>
  </si>
  <si>
    <t>BG030470</t>
  </si>
  <si>
    <t>BG030474</t>
  </si>
  <si>
    <t>BE030470</t>
  </si>
  <si>
    <t>BE030475</t>
  </si>
  <si>
    <t>BG030472</t>
  </si>
  <si>
    <t>BG030476</t>
  </si>
  <si>
    <t>Pension-Gas Rate Year End Balance &amp; NCR</t>
  </si>
  <si>
    <t>Mixed Use 263(a)-a</t>
  </si>
  <si>
    <t>Mixed Use 263(a)-b</t>
  </si>
  <si>
    <t>13-Month Rolling Average</t>
  </si>
  <si>
    <t>Amount of ASGA in Rate Base per 7/14/10 JP - transfer from Items Not in Rate Base</t>
  </si>
  <si>
    <t>Reg AssetRR10Deferred Gas Costs</t>
  </si>
  <si>
    <t>Net (Gains) / Losses on Interest Rate Hedge</t>
  </si>
  <si>
    <t>Adjustment for Disallowed Hedge Loss - transfer to Items Not in Rate Base</t>
  </si>
  <si>
    <t>Non-Qualified Retiree Trust (SERP)</t>
  </si>
  <si>
    <t>Disallowed - transfer to Items Not in Rate Base</t>
  </si>
  <si>
    <t>Reg Asset182301809008BE030581</t>
  </si>
  <si>
    <t>Reg Asset182301809008-CCBE030581</t>
  </si>
  <si>
    <t>Reg Asset182301809008-10BE030581</t>
  </si>
  <si>
    <t>Reg Asset182303809009BG030582</t>
  </si>
  <si>
    <t>Reg Asset182303809009-CCBG030582</t>
  </si>
  <si>
    <t>Reg Asset182303809009-10BG030582</t>
  </si>
  <si>
    <t>Back-up to Rate Base Amounts from 7/14/10 Joint Proposal:</t>
  </si>
  <si>
    <t>Underground Storage Gas</t>
  </si>
  <si>
    <t>R10R&amp;D Tax Credit</t>
  </si>
  <si>
    <t>PSC Assessment transfer Temp from Prepayments (R7) and General to DIT</t>
  </si>
  <si>
    <t>From Deferred Tax Rollforward Sch.</t>
  </si>
  <si>
    <t>Reg Asset1820450-146.67.000</t>
  </si>
  <si>
    <t>Reg Asset1823440-146.67.000</t>
  </si>
  <si>
    <t>Reg Asset2542700-149.49.12BE030328</t>
  </si>
  <si>
    <t>Reg Asset2542700-149.49.17BE030328</t>
  </si>
  <si>
    <t>Reg Asset2542700-149.49.19BE030339</t>
  </si>
  <si>
    <t>Reg Asset2542700-149.49.20BE030339</t>
  </si>
  <si>
    <t>Reg Asset2542700-149.49.26BE030328</t>
  </si>
  <si>
    <t>Reg Asset2542700-149.49.28BE030355</t>
  </si>
  <si>
    <t>Reg Asset2542700-242.98.02BE030291</t>
  </si>
  <si>
    <t>Reg Asset2542700-242.98.03BE030291</t>
  </si>
  <si>
    <t>Reg Asset2542700-242.98.04BE030291</t>
  </si>
  <si>
    <t>Reg Asset2542700-242.98.05BE030291</t>
  </si>
  <si>
    <t>Reg Asset2542700-242.99.08BE030364</t>
  </si>
  <si>
    <t>Reg Asset2542700-242.99.09BE030364</t>
  </si>
  <si>
    <t>Reg Asset2542700-243.11.04BE030331</t>
  </si>
  <si>
    <t>Reg Asset2542700-243.11.05BT010009</t>
  </si>
  <si>
    <t>Reg Asset2542700-243.11.06BE030333</t>
  </si>
  <si>
    <t>Reg Asset2542700-243.11.07BE030334</t>
  </si>
  <si>
    <t>Reg Asset2542700-243.11.08BE030335</t>
  </si>
  <si>
    <t>Reg Asset2542700-243.11.09BE030336</t>
  </si>
  <si>
    <t>Reg Asset2542700-243.11.11BE030337</t>
  </si>
  <si>
    <t>Reg Asset2542700-243.11.12BE030338</t>
  </si>
  <si>
    <t>Reg Asset2542700-243.11.14BE030339</t>
  </si>
  <si>
    <t>Reg Asset2542700-243.11.15BE030339</t>
  </si>
  <si>
    <t>Reg Asset2542700-243.11.16BE030328</t>
  </si>
  <si>
    <t>Reg Asset2542700-243.11.18BE030341</t>
  </si>
  <si>
    <t>Reg Asset2542700-243.11.19BE030202</t>
  </si>
  <si>
    <t>Reg Asset2542700-243.11.21BE030339</t>
  </si>
  <si>
    <t>Reg Asset2542700-243.11.50N/A</t>
  </si>
  <si>
    <t>Reg Asset2542700-243.11.51N/A</t>
  </si>
  <si>
    <t>Reg Asset2542700-243.11.52N/A</t>
  </si>
  <si>
    <t>Reg Asset2542700-243.11.53BT010277</t>
  </si>
  <si>
    <t>Reg Asset2542700-243.11.54BT010283</t>
  </si>
  <si>
    <t>Reg Asset2542700-243.11.55BT010269</t>
  </si>
  <si>
    <t>Reg Asset2542700-243.11.56BT010281</t>
  </si>
  <si>
    <t>Reg Asset2542700-243.11.57BT010276</t>
  </si>
  <si>
    <t>Reg Asset2542700-243.11.58BT010279</t>
  </si>
  <si>
    <t>Reg Asset2542700-243.11.59BT010280</t>
  </si>
  <si>
    <t>Reg Asset2542700-243.11.60BT010282</t>
  </si>
  <si>
    <t>Reg Asset2542700-243.11.61BT010209</t>
  </si>
  <si>
    <t>Reg Asset2542700-243.11.62N/A</t>
  </si>
  <si>
    <t>Reg Asset2542700-243.11.63BT010285</t>
  </si>
  <si>
    <t>Reg Asset2542700-243.11.64BT010284</t>
  </si>
  <si>
    <t>Reg Asset2542700-243.11.98BE030353</t>
  </si>
  <si>
    <t>Reg Asset2542700-243.11.99BE030354</t>
  </si>
  <si>
    <t>Reg Asset2542700-243.23.03BE030355</t>
  </si>
  <si>
    <t>Reg Asset254270800135BE030291</t>
  </si>
  <si>
    <t>Reg Asset254270800136BE030339</t>
  </si>
  <si>
    <t>Reg Asset254270800137BE030328</t>
  </si>
  <si>
    <t>Reg Asset254270800143BE030291</t>
  </si>
  <si>
    <t>Reg Asset254270800144BE030291</t>
  </si>
  <si>
    <t>Reg Asset254270800145BE030355</t>
  </si>
  <si>
    <t>Reg Asset254270800146BE030355</t>
  </si>
  <si>
    <t>Reg Asset254270800146-aBE030355</t>
  </si>
  <si>
    <t>Reg Asset254270800165BE030356</t>
  </si>
  <si>
    <t>Reg Asset254270800170BE030357</t>
  </si>
  <si>
    <t>Reg Asset254270800183BE030291</t>
  </si>
  <si>
    <t>Reg Asset254270807006BE030357</t>
  </si>
  <si>
    <t>Reg Asset254270807008BE030210</t>
  </si>
  <si>
    <t>Reg Asset254270Tax ItemBE030210</t>
  </si>
  <si>
    <t>Reg Asset254270807016BE030365</t>
  </si>
  <si>
    <t>Reg Asset254270807017BE030148</t>
  </si>
  <si>
    <t>Reg Asset254270807022BE030354</t>
  </si>
  <si>
    <t>Reg Asset254270807023BE030357</t>
  </si>
  <si>
    <t>Reg Asset254270807170BE030366</t>
  </si>
  <si>
    <t>Reg Asset254270808018BE030291</t>
  </si>
  <si>
    <t>Reg Asset254270808141BE030291</t>
  </si>
  <si>
    <t>Reg Asset254270808142BE030291</t>
  </si>
  <si>
    <t>Reg Asset254270808005BE030148</t>
  </si>
  <si>
    <t>Reg Asset254270808007BE030294</t>
  </si>
  <si>
    <t>Reg Asset254270808013BE30210</t>
  </si>
  <si>
    <t>Reg Asset254270808013-09BE30210</t>
  </si>
  <si>
    <t>Reg Asset254270Tax Item-2BE030333</t>
  </si>
  <si>
    <t>Reg Asset254270Tax Item-3BE030366</t>
  </si>
  <si>
    <t>Reg Asset254270Tax Item-4BT010347</t>
  </si>
  <si>
    <t>Reg Asset254270Tax Item-5BT010377</t>
  </si>
  <si>
    <t>Reg Asset254270809010BE030369</t>
  </si>
  <si>
    <t>Reg Asset254270809011BE030291</t>
  </si>
  <si>
    <t>Reg Asset254270Def Tax Grossup 1BT010284</t>
  </si>
  <si>
    <t>Reg Asset254270Def Tax Grossup 2BT010280</t>
  </si>
  <si>
    <t>Reg Asset254270Def Tax Grossup 3BT010009</t>
  </si>
  <si>
    <t>Reg Asset254270SQPM Def TaxBT010209</t>
  </si>
  <si>
    <t>Reg Asset254270809012BE030291</t>
  </si>
  <si>
    <t>Reg Asset254270809013BE030291</t>
  </si>
  <si>
    <t>Reg Asset254270809014BE030291</t>
  </si>
  <si>
    <t>Reg Asset254270809016BE030291</t>
  </si>
  <si>
    <t>Reg Asset254270809017BE030291</t>
  </si>
  <si>
    <t>Reg Asset254270809022BE030291</t>
  </si>
  <si>
    <t>Reg Asset254270809023BE030291</t>
  </si>
  <si>
    <t>Reg Asset254270809024BE030291</t>
  </si>
  <si>
    <t>Reg Asset254270810003BE030329</t>
  </si>
  <si>
    <t>Reg Asset254270810004BE030291</t>
  </si>
  <si>
    <t>Reg Asset254270801224BE030902</t>
  </si>
  <si>
    <t>Reg Asset254270BE030902</t>
  </si>
  <si>
    <t>Reg Asset254270801224-BBBE030902</t>
  </si>
  <si>
    <t>Reg Asset254996800170BE030185</t>
  </si>
  <si>
    <t>Reg Asset182303ReclassBG039999</t>
  </si>
  <si>
    <t>Reg Asset182320ReclassBC030142</t>
  </si>
  <si>
    <t>Reg Asset182371ReclassBG039999</t>
  </si>
  <si>
    <t>Reg Asset2540100-149.28.050</t>
  </si>
  <si>
    <t>Reg Asset254012ReclassBE039999</t>
  </si>
  <si>
    <t>Reg Asset2540150-149.28.05BC039999</t>
  </si>
  <si>
    <t>Reg Asset254015ReclassBG039999</t>
  </si>
  <si>
    <t>Reg Asset254015801251BG030586</t>
  </si>
  <si>
    <t>Reg Asset254017ReclassBG039999</t>
  </si>
  <si>
    <t>Reg Asset254025ReclassBE030196</t>
  </si>
  <si>
    <t>Reg Asset254170ReclassBE039999</t>
  </si>
  <si>
    <t>Reg Asset254171ReclassBE039999</t>
  </si>
  <si>
    <t>Reg Asset254210Reclass Balances0</t>
  </si>
  <si>
    <t>Reg Asset254016601139BE030192</t>
  </si>
  <si>
    <t>Reg Asset254017601140BE030588</t>
  </si>
  <si>
    <t>Reg Asset254016801254BE030579</t>
  </si>
  <si>
    <t>Reg Asset182301801255BE030579</t>
  </si>
  <si>
    <t>Reg Asset1820900-149.99.050</t>
  </si>
  <si>
    <t>Reg Asset1820900-149.99.060</t>
  </si>
  <si>
    <t>Reg Asset1820958001600</t>
  </si>
  <si>
    <t>Reg Asset182306810002BG030312</t>
  </si>
  <si>
    <t>Reg Asset2540100-242.99.010</t>
  </si>
  <si>
    <t>Reg Asset254017800182BG030312</t>
  </si>
  <si>
    <t>Reg Asset254025800127BE030196</t>
  </si>
  <si>
    <t>Reg Asset254025800128BE030196</t>
  </si>
  <si>
    <t>Reg Asset254025800129BE030196</t>
  </si>
  <si>
    <t>Reg Asset254025800160BE030196</t>
  </si>
  <si>
    <t>Reg Asset254025807015BE030196</t>
  </si>
  <si>
    <t>Reg Asset254025809002BE030196</t>
  </si>
  <si>
    <t>Reg Asset254025808014BE030196</t>
  </si>
  <si>
    <t>Reg Asset254025809002-10BE030196</t>
  </si>
  <si>
    <t>Reg Asset254025801220BE030196</t>
  </si>
  <si>
    <t>Reg Asset254025801262BE030196</t>
  </si>
  <si>
    <t>Reg Asset254025801263BE030196</t>
  </si>
  <si>
    <t>Def Tax190001Econ Devlp</t>
  </si>
  <si>
    <t>Def Tax190001Econ Devlp/283.22.29</t>
  </si>
  <si>
    <t>Def Tax190011Econ Devlp</t>
  </si>
  <si>
    <t>Def Tax190011Econ Devlp/286.01.43</t>
  </si>
  <si>
    <t>Def Tax190501Econ Devlp</t>
  </si>
  <si>
    <t>Def Tax190501Econ Devlp/283.22.29BT010069</t>
  </si>
  <si>
    <t>Def Tax190502Econ DevlpBT010069</t>
  </si>
  <si>
    <t>Def Tax190511Econ Devlp/286.01.43BT010069</t>
  </si>
  <si>
    <t>Def Tax190512Econ DevlpBT010069</t>
  </si>
  <si>
    <t>Reg Asset182306801232BG030312</t>
  </si>
  <si>
    <t>Reg Asset254026801232BG030312</t>
  </si>
  <si>
    <t>Reg Asset254026801233BG030312</t>
  </si>
  <si>
    <t>Reg Asset182306808171BG030176</t>
  </si>
  <si>
    <t>Reg Asset182306808421BG030590</t>
  </si>
  <si>
    <t>GL182000</t>
  </si>
  <si>
    <t>Reg Asset1823010-149.49.14BE030204</t>
  </si>
  <si>
    <t>Reg Asset182301800137BE030204</t>
  </si>
  <si>
    <t>Reg Asset182301800142BE030206</t>
  </si>
  <si>
    <t>Reg Asset182320801228BE030566</t>
  </si>
  <si>
    <t>Reg Asset182320801229BG030567</t>
  </si>
  <si>
    <t>Reg Asset182320801230BE030566</t>
  </si>
  <si>
    <t>Reg Asset182320801231BG030567</t>
  </si>
  <si>
    <t>Reg Asset182320801229-FEBG030567</t>
  </si>
  <si>
    <t>Reg Asset1825200-149.49.120</t>
  </si>
  <si>
    <t>Def Tax1900000-184.22.22</t>
  </si>
  <si>
    <t>Def Tax1900000-184.22.23</t>
  </si>
  <si>
    <t>Def Tax1900000-184.22.20</t>
  </si>
  <si>
    <t>Def Tax1900010-184.22.22</t>
  </si>
  <si>
    <t>Def Tax1900010-184.22.20</t>
  </si>
  <si>
    <t>Def Tax1900010-283.21.59</t>
  </si>
  <si>
    <t>Def Tax1900020-184.22.23</t>
  </si>
  <si>
    <t>Def Tax1900020-283.21.60</t>
  </si>
  <si>
    <t>Def Tax1900100-186.01.43</t>
  </si>
  <si>
    <t>Def Tax1900100-186.01.44</t>
  </si>
  <si>
    <t>Def Tax1900100-186.01.41</t>
  </si>
  <si>
    <t>Def Tax1900100-186.01.42</t>
  </si>
  <si>
    <t>Def Tax1900110-186.01.43</t>
  </si>
  <si>
    <t>Def Tax1900110-186.01.41</t>
  </si>
  <si>
    <t>Def Tax1900120-186.01.44</t>
  </si>
  <si>
    <t>Def Tax1900120-186.01.42</t>
  </si>
  <si>
    <t>Def Tax283500SIRBT010213</t>
  </si>
  <si>
    <t>Reg Asset2540100-242.39.010</t>
  </si>
  <si>
    <t>Reg Asset2540100-242.98.020</t>
  </si>
  <si>
    <t>Reg Asset2540100-242.98.030</t>
  </si>
  <si>
    <t>Reg Asset2540100-242.98.040</t>
  </si>
  <si>
    <t>Reg Asset2540100-242.98.050</t>
  </si>
  <si>
    <t>Reg Asset2540100-242.99.040</t>
  </si>
  <si>
    <t>Reg Asset2540120-242.98.02</t>
  </si>
  <si>
    <t>Reg Asset254012800135BE030294</t>
  </si>
  <si>
    <t>Reg Asset254012807017BE030148</t>
  </si>
  <si>
    <t>Reg Asset254012808005BE030148</t>
  </si>
  <si>
    <t>Reg Asset254012808007BE030294</t>
  </si>
  <si>
    <t>Reg Asset254012808005-09BE030148</t>
  </si>
  <si>
    <t>Def Tax1900000-184.22.14</t>
  </si>
  <si>
    <t>Def Tax1900000-184.22.15</t>
  </si>
  <si>
    <t>Def Tax1900010-184.22.18</t>
  </si>
  <si>
    <t>Def Tax1900020-184.22.15BT010220</t>
  </si>
  <si>
    <t>Def Tax1900020-184.22.19</t>
  </si>
  <si>
    <t>Def Tax1900100-186.01.33</t>
  </si>
  <si>
    <t>Def Tax1900100-186.01.34</t>
  </si>
  <si>
    <t>Def Tax1900100-186.01.39</t>
  </si>
  <si>
    <t>Def Tax1900100-186.01.40</t>
  </si>
  <si>
    <t>Def Tax1900110-186.01.33BT010220</t>
  </si>
  <si>
    <t>Def Tax1900120-186.01.34BT010220</t>
  </si>
  <si>
    <t>Def Tax1900317BT010220</t>
  </si>
  <si>
    <t>Def Tax1900327BT010220</t>
  </si>
  <si>
    <t>Def Tax1900363BT010356</t>
  </si>
  <si>
    <t>Def Tax1900373BT010356</t>
  </si>
  <si>
    <t>Def Tax1900417BT010220</t>
  </si>
  <si>
    <t>Def Tax1900427BT010220</t>
  </si>
  <si>
    <t>Def Tax1900463BT010356</t>
  </si>
  <si>
    <t>Def Tax1900473BT010356</t>
  </si>
  <si>
    <t>Reg Asset1820300-149.28.010</t>
  </si>
  <si>
    <t>Reg Asset1820300-149.28.030</t>
  </si>
  <si>
    <t>Reg Asset1820300-149.28.050</t>
  </si>
  <si>
    <t>Reg Asset1820300-149.28.060</t>
  </si>
  <si>
    <t>Reg Asset1820300-149.28.070</t>
  </si>
  <si>
    <t>Reg Asset1820300-149.28.130</t>
  </si>
  <si>
    <t>Reg Asset1820300-149.28.980</t>
  </si>
  <si>
    <t>Reg Asset1820300-149.28.990</t>
  </si>
  <si>
    <t>Reg Asset1820308001110</t>
  </si>
  <si>
    <t>Reg Asset1820308001180</t>
  </si>
  <si>
    <t>Reg Asset1820308001530</t>
  </si>
  <si>
    <t>Reg Asset1820308001540</t>
  </si>
  <si>
    <t>Reg Asset1820308001750</t>
  </si>
  <si>
    <t>Reg Asset1820308009990</t>
  </si>
  <si>
    <t>Reg Asset1820310-149.28.050</t>
  </si>
  <si>
    <t>Reg Asset1820310-149.28.130</t>
  </si>
  <si>
    <t>Reg Asset1820310-149.28.980</t>
  </si>
  <si>
    <t>Reg Asset1820318001110</t>
  </si>
  <si>
    <t>Reg Asset1820318001490</t>
  </si>
  <si>
    <t>Reg Asset1820318009990</t>
  </si>
  <si>
    <t>Reg Asset1820700-149.28.130</t>
  </si>
  <si>
    <t>Reg Asset1820700-149.48.100</t>
  </si>
  <si>
    <t>Reg Asset1823030-149.28.07BG030151</t>
  </si>
  <si>
    <t>Reg Asset182303808002BG030167</t>
  </si>
  <si>
    <t>Reg Asset182370800153BG030247</t>
  </si>
  <si>
    <t>Reg Asset182370800175BG030153</t>
  </si>
  <si>
    <t>Reg Asset182370808002BG030089</t>
  </si>
  <si>
    <t>Reg Asset182370808002-09BG030089</t>
  </si>
  <si>
    <t>Reg Asset182370808003BG030247</t>
  </si>
  <si>
    <t>Reg Asset182370808010BG030089</t>
  </si>
  <si>
    <t>Reg Asset182370808002-10BG030153</t>
  </si>
  <si>
    <t>Reg Asset182370808002-11BG030153</t>
  </si>
  <si>
    <t>Reg Asset182370808002-12BG030090</t>
  </si>
  <si>
    <t>Reg Asset1823710-149.28.98BG030158</t>
  </si>
  <si>
    <t>Reg Asset1823710-149.28.05BG030158</t>
  </si>
  <si>
    <t>Reg Asset182371800111BG030158</t>
  </si>
  <si>
    <t>Reg Asset182371800149BG030158</t>
  </si>
  <si>
    <t>Reg Asset182371800175BG030158</t>
  </si>
  <si>
    <t>Reg Asset182371808002-08BG030158</t>
  </si>
  <si>
    <t>Reg Asset182371809003BG030158</t>
  </si>
  <si>
    <t>Reg Asset182371809007BG030158</t>
  </si>
  <si>
    <t>Reg Asset182371808002-10BG030158</t>
  </si>
  <si>
    <t>Reg Asset182371808002-09BG030158</t>
  </si>
  <si>
    <t>Reg Asset182371801251BG030158</t>
  </si>
  <si>
    <t>Reg Asset182371808002-11BG030158</t>
  </si>
  <si>
    <t>Reg Asset1823740-149.28.01BG030147</t>
  </si>
  <si>
    <t>Reg Asset1823740-149.28.03BG030147</t>
  </si>
  <si>
    <t>Reg Asset2540100-242.58.160</t>
  </si>
  <si>
    <t>Def Tax1900000-183.15.00</t>
  </si>
  <si>
    <t>Def Tax1900020-184.22.31</t>
  </si>
  <si>
    <t>Def Tax1900100-186.01.23</t>
  </si>
  <si>
    <t>Def Tax1900120-186.01.23</t>
  </si>
  <si>
    <t>Def Tax190502BG030302</t>
  </si>
  <si>
    <t>Def Tax190512BG030302</t>
  </si>
  <si>
    <t>Reg Asset1820908001620</t>
  </si>
  <si>
    <t>Reg Asset1820958001610</t>
  </si>
  <si>
    <t>Reg Asset182306800162BG030184</t>
  </si>
  <si>
    <t>Reg Asset182306807030BG030184</t>
  </si>
  <si>
    <t>Reg Asset182306809004BG030184</t>
  </si>
  <si>
    <t>Reg Asset254017800123BG030299</t>
  </si>
  <si>
    <t>Reg Asset1820900-149.28.730</t>
  </si>
  <si>
    <t>Reg Asset1820900-149.28.750</t>
  </si>
  <si>
    <t>Reg Asset1820900-149.28.760</t>
  </si>
  <si>
    <t>Reg Asset1820900-149.28.790</t>
  </si>
  <si>
    <t>Reg Asset1820900-149.28.820</t>
  </si>
  <si>
    <t>Reg Asset1820900-149.28.840</t>
  </si>
  <si>
    <t>Reg Asset1820900-149.28.860</t>
  </si>
  <si>
    <t>Reg Asset1820900-149.28.900</t>
  </si>
  <si>
    <t>Reg Asset1820900-149.29.730</t>
  </si>
  <si>
    <t>Reg Asset1820900-149.29.750</t>
  </si>
  <si>
    <t>Reg Asset1820900-149.29.760</t>
  </si>
  <si>
    <t>Reg Asset1820900-149.29.790</t>
  </si>
  <si>
    <t>Reg Asset1820900-149.29.820</t>
  </si>
  <si>
    <t>Reg Asset1820900-149.29.840</t>
  </si>
  <si>
    <t>Reg Asset1820900-149.29.860</t>
  </si>
  <si>
    <t>Reg Asset2540108001100</t>
  </si>
  <si>
    <t>Reg Asset1820908001500</t>
  </si>
  <si>
    <t>Reg Asset182306800150BG030181</t>
  </si>
  <si>
    <t>Reg Asset182306807020BG030181</t>
  </si>
  <si>
    <t>Reg Asset182306807020-08BG030181</t>
  </si>
  <si>
    <t>Reg Asset182306807020-09BG030181</t>
  </si>
  <si>
    <t>Reg Asset182306807028BG030181</t>
  </si>
  <si>
    <t>Reg Asset182306809006BG030181</t>
  </si>
  <si>
    <t>Reg Asset182306807020-10BG030181</t>
  </si>
  <si>
    <t>Reg Asset182306801248BG030181</t>
  </si>
  <si>
    <t>Reg Asset254015601136BG030586</t>
  </si>
  <si>
    <t>Def Tax190002GSC RefundBG030586</t>
  </si>
  <si>
    <t>Def Tax190012GSC RefundBG030586</t>
  </si>
  <si>
    <t>Def Tax283210GSC RefundBG030586</t>
  </si>
  <si>
    <t>Def Tax283410GSC RefundBG030586</t>
  </si>
  <si>
    <t>GL176400</t>
  </si>
  <si>
    <t>GL219520</t>
  </si>
  <si>
    <t>GL219525</t>
  </si>
  <si>
    <t>GL219532</t>
  </si>
  <si>
    <t>GL219542</t>
  </si>
  <si>
    <t>GL219560</t>
  </si>
  <si>
    <t>GL219567</t>
  </si>
  <si>
    <t>GL245450</t>
  </si>
  <si>
    <t>GL245451</t>
  </si>
  <si>
    <t>Reg Asset182085Natural Gas0</t>
  </si>
  <si>
    <t>Reg Asset182366CFDBE030149</t>
  </si>
  <si>
    <t>Reg Asset182366DSOBE030149</t>
  </si>
  <si>
    <t>Reg Asset182375GasBG030162</t>
  </si>
  <si>
    <t>Reg Asset254266DSOBE030307</t>
  </si>
  <si>
    <t>Def Tax1900020-184.26.01</t>
  </si>
  <si>
    <t>Def Tax1900110-286.01.18</t>
  </si>
  <si>
    <t>Def Tax1900110-186.01.29</t>
  </si>
  <si>
    <t>Def Tax1900120-286.01.19</t>
  </si>
  <si>
    <t>Def Tax1900140-286.01.27</t>
  </si>
  <si>
    <t>Def Tax190501FAS 158 - SERP</t>
  </si>
  <si>
    <t>Def Tax2834200-286.01.26BT010121</t>
  </si>
  <si>
    <t>Reg Asset254016801217-11BE030599</t>
  </si>
  <si>
    <t>Reg Asset182306807173BG030177</t>
  </si>
  <si>
    <t>Reg Asset182306801241BG030177</t>
  </si>
  <si>
    <t>Reg Asset1823010-149.49.21BE030210</t>
  </si>
  <si>
    <t>Reg Asset182301800136BE030210</t>
  </si>
  <si>
    <t>Reg Asset182301800141BE030211</t>
  </si>
  <si>
    <t>Reg Asset182301807008BE030210</t>
  </si>
  <si>
    <t>Reg Asset182301808013BE030210</t>
  </si>
  <si>
    <t>Reg Asset182301808013-09BE030210</t>
  </si>
  <si>
    <t>Reg Asset182301808013-10BE030210</t>
  </si>
  <si>
    <t>Reg Asset182301801243BE030594</t>
  </si>
  <si>
    <t>Reg Asset182301801245BE030594</t>
  </si>
  <si>
    <t>Reg Asset182301801244BE030594</t>
  </si>
  <si>
    <t>Reg Asset182301801246BE030594</t>
  </si>
  <si>
    <t>Reg Asset182301801240BE030210</t>
  </si>
  <si>
    <t>Reg Asset182303801245BG030594</t>
  </si>
  <si>
    <t>Reg Asset182303801243BG030594</t>
  </si>
  <si>
    <t>Reg Asset182303801244BG030594</t>
  </si>
  <si>
    <t>Reg Asset182303801246BG030594</t>
  </si>
  <si>
    <t>Reg Asset1825200-149.49.19</t>
  </si>
  <si>
    <t>Reg Asset1825200-149.49.200</t>
  </si>
  <si>
    <t>Reg Asset1825200-149.49.210</t>
  </si>
  <si>
    <t>Reg Asset1825208001360</t>
  </si>
  <si>
    <t>Reg Asset1825208001410</t>
  </si>
  <si>
    <t>Def Tax283500LIPBE030594</t>
  </si>
  <si>
    <t>Def Tax283510LIPBG030594</t>
  </si>
  <si>
    <t>Def Tax283550LIPBE030594</t>
  </si>
  <si>
    <t>Def Tax283560LIPBG030594</t>
  </si>
  <si>
    <t>Reg Asset254016801214BE030596</t>
  </si>
  <si>
    <t>Reg Asset254017801214BG030596</t>
  </si>
  <si>
    <t>Reg Asset182301807045BE030155</t>
  </si>
  <si>
    <t>Reg Asset182301807046BE030155</t>
  </si>
  <si>
    <t>Reg Asset182301807045-10BE030155</t>
  </si>
  <si>
    <t>Reg Asset182301807045-11BE030155</t>
  </si>
  <si>
    <t>Reg Asset182301807045-12BE030155</t>
  </si>
  <si>
    <t>Reg Asset182367807045BE030369</t>
  </si>
  <si>
    <t>Reg Asset182367807046BE030369</t>
  </si>
  <si>
    <t>Reg Asset182303808003BG030247</t>
  </si>
  <si>
    <t>Reg Asset182303808003-09BG030247</t>
  </si>
  <si>
    <t>Reg Asset182303808003-10BG030247</t>
  </si>
  <si>
    <t>Reg Asset182303808003-11BG030247</t>
  </si>
  <si>
    <t>Reg Asset182303808003-12BG030247</t>
  </si>
  <si>
    <t>Reg Asset182301809015BE030587</t>
  </si>
  <si>
    <t>Reg Asset254016810052BE030922</t>
  </si>
  <si>
    <t>Reg Asset254017810052BG030922</t>
  </si>
  <si>
    <t>Def Tax283200Mixed Use 263(a)-aBT010390</t>
  </si>
  <si>
    <t>Def Tax283200Mixed Use 263(a)-bBT010390</t>
  </si>
  <si>
    <t>Def Tax283210Mixed Use 263(a)-aBT010390</t>
  </si>
  <si>
    <t>Def Tax283210Mixed Use 263(a)-bBT010390</t>
  </si>
  <si>
    <t>Def Tax283400Mixed Use 263(a)BT010390</t>
  </si>
  <si>
    <t>Def Tax283410Mixed Use 263(a)BT010390</t>
  </si>
  <si>
    <t>GL242180</t>
  </si>
  <si>
    <t>Reg Asset1823800-149.49.27BE030207</t>
  </si>
  <si>
    <t>Reg Asset1823800-149.49.28BE030208</t>
  </si>
  <si>
    <t>Reg Asset182380800145BE030209</t>
  </si>
  <si>
    <t>Reg Asset2540100-243.23.030</t>
  </si>
  <si>
    <t>Reg Asset2540108001460</t>
  </si>
  <si>
    <t>Reg Asset254016800146BE030297</t>
  </si>
  <si>
    <t>Reg Asset2540160-243.23.03BE030297</t>
  </si>
  <si>
    <t>Def Tax1900000-183.46.00</t>
  </si>
  <si>
    <t>Def Tax1900000-184.22.13</t>
  </si>
  <si>
    <t>Def Tax1900010-149.49.27</t>
  </si>
  <si>
    <t>Def Tax1900010-183.46.00</t>
  </si>
  <si>
    <t>Def Tax1900100-186.01.32</t>
  </si>
  <si>
    <t>Def Tax1900110-149.49.27</t>
  </si>
  <si>
    <t>GL128400</t>
  </si>
  <si>
    <t>Def Tax1900316BT010195</t>
  </si>
  <si>
    <t>Def Tax1900326BT010195</t>
  </si>
  <si>
    <t>Def Tax1900416BT010195</t>
  </si>
  <si>
    <t>Def Tax1900426BT010195</t>
  </si>
  <si>
    <t>GL122006</t>
  </si>
  <si>
    <t>Reg Asset1820900-149.08.020</t>
  </si>
  <si>
    <t>Reg Asset1820900-149.08.040</t>
  </si>
  <si>
    <t>Reg Asset1820900-149.08.050</t>
  </si>
  <si>
    <t>Reg Asset1823030-149.08.02BG030164</t>
  </si>
  <si>
    <t>Reg Asset1823030-149.08.04BG030164</t>
  </si>
  <si>
    <t>Reg Asset1823030-149.08.05BG030164</t>
  </si>
  <si>
    <t>Reg Asset182301OPEB ElectricBE030246</t>
  </si>
  <si>
    <t>Reg Asset182303OPEB GasBG030248</t>
  </si>
  <si>
    <t>Reg Asset254016OPEB EleBE030246</t>
  </si>
  <si>
    <t>Reg Asset254016801204BE030246</t>
  </si>
  <si>
    <t>Reg Asset254017OPEB GasBG030248</t>
  </si>
  <si>
    <t>Reg Asset254017801204BG030248</t>
  </si>
  <si>
    <t>Def Tax1905312BT010091</t>
  </si>
  <si>
    <t>Def Tax1905323BT010091</t>
  </si>
  <si>
    <t>Def Tax1905412BT010091</t>
  </si>
  <si>
    <t>Def Tax1905423BT010091</t>
  </si>
  <si>
    <t>Reg Asset1820900-149.99.030</t>
  </si>
  <si>
    <t>Reg Asset1820908001770</t>
  </si>
  <si>
    <t>Reg Asset1820958001790</t>
  </si>
  <si>
    <t>Reg Asset182306800177BG030165</t>
  </si>
  <si>
    <t>Reg Asset182306807029BG030165</t>
  </si>
  <si>
    <t>Reg Asset182306801242BG030165</t>
  </si>
  <si>
    <t>Def Tax190000182.18.01/183.39.00</t>
  </si>
  <si>
    <t>Def Tax190000182.18.02/183.40.00</t>
  </si>
  <si>
    <t>Def Tax190010186.01.21/186.01.05</t>
  </si>
  <si>
    <t>Def Tax190010186.01.22/186.01.06</t>
  </si>
  <si>
    <t>Def Tax190011186.01.21/186.01.05</t>
  </si>
  <si>
    <t>Def Tax190012186.01.22/186.01.06</t>
  </si>
  <si>
    <t>Def Tax1900321BT010049</t>
  </si>
  <si>
    <t>Reg Asset1820900-149.28.05</t>
  </si>
  <si>
    <t>Reg Asset1820900-149.28.080</t>
  </si>
  <si>
    <t>Reg Asset1820900-149.28.090</t>
  </si>
  <si>
    <t>Reg Asset1820900-149.28.100</t>
  </si>
  <si>
    <t>Reg Asset1820902-780.22.11.A0</t>
  </si>
  <si>
    <t>Reg Asset1820908001310</t>
  </si>
  <si>
    <t>Reg Asset182301BE030409</t>
  </si>
  <si>
    <t>Reg Asset182303801203BG030410</t>
  </si>
  <si>
    <t>Def Tax1905314BT010166</t>
  </si>
  <si>
    <t>Def Tax1905315BDEFAULT</t>
  </si>
  <si>
    <t>Def Tax1905322BG030167</t>
  </si>
  <si>
    <t>Def Tax1905325BT010166</t>
  </si>
  <si>
    <t>Def Tax1905414BT010166</t>
  </si>
  <si>
    <t>Def Tax1905422BG030167</t>
  </si>
  <si>
    <t>Def Tax1905425BT010166</t>
  </si>
  <si>
    <t>Reg Asset1820900-149.28.060</t>
  </si>
  <si>
    <t>Reg Asset1820900-149.99.010</t>
  </si>
  <si>
    <t>Reg Asset1820900-149.99.020</t>
  </si>
  <si>
    <t>Reg Asset182301801205BE030251</t>
  </si>
  <si>
    <t>Reg Asset182303801205BG030252</t>
  </si>
  <si>
    <t>Reg Asset182306801231BG030168</t>
  </si>
  <si>
    <t>Reg Asset2540100-242.99.080</t>
  </si>
  <si>
    <t>Reg Asset2540100-242.99.090</t>
  </si>
  <si>
    <t>Reg Asset2540160-242.99.08BE030295</t>
  </si>
  <si>
    <t>Reg Asset2540160-242.99.09BE030295</t>
  </si>
  <si>
    <t>Reg Asset254016807025BE030295</t>
  </si>
  <si>
    <t>Reg Asset254016807026BE030295</t>
  </si>
  <si>
    <t>Def Tax190001Prop Tax Ref</t>
  </si>
  <si>
    <t>Def Tax190011Prop Tax Ref</t>
  </si>
  <si>
    <t>Def Tax190511Prop Tax RefBE030295</t>
  </si>
  <si>
    <t>Reg Asset182301801225BE030904</t>
  </si>
  <si>
    <t>Reg Asset182301801225-11BE030904</t>
  </si>
  <si>
    <t>Reg Asset182303801225BG030904</t>
  </si>
  <si>
    <t>Reg Asset182303801225-11BG030904</t>
  </si>
  <si>
    <t>Reg Asset254016801225BE030904</t>
  </si>
  <si>
    <t>Reg Asset254016801225-11BE030904</t>
  </si>
  <si>
    <t>Reg Asset254017801225BG030904</t>
  </si>
  <si>
    <t>Reg Asset254017801225-11BG030904</t>
  </si>
  <si>
    <t>Reg Asset1820958001710</t>
  </si>
  <si>
    <t>Reg Asset2540100-243.11.750</t>
  </si>
  <si>
    <t>Reg Asset2540108001160</t>
  </si>
  <si>
    <t>Reg Asset2540108001170</t>
  </si>
  <si>
    <t>Def Tax1900000-183.23.00</t>
  </si>
  <si>
    <t>Def Tax190001283.20.23/183.23.00</t>
  </si>
  <si>
    <t>Def Tax1900010-183.23.00</t>
  </si>
  <si>
    <t>Def Tax190002R&amp;D Def</t>
  </si>
  <si>
    <t>Def Tax190012R&amp;D Def</t>
  </si>
  <si>
    <t>GL190985</t>
  </si>
  <si>
    <t>GL282985</t>
  </si>
  <si>
    <t>GL283985</t>
  </si>
  <si>
    <t>GL283990</t>
  </si>
  <si>
    <t>GL283991</t>
  </si>
  <si>
    <t>Category</t>
  </si>
  <si>
    <t>Reg Asset254016801226BE030907</t>
  </si>
  <si>
    <t>Reg Asset254017801226BG030907</t>
  </si>
  <si>
    <t>Subtotal - Medicare Subsidy</t>
  </si>
  <si>
    <t>Saranac Power</t>
  </si>
  <si>
    <t>Def Tax1900000-183.75.00</t>
  </si>
  <si>
    <t>Def Tax1900010-183.75.00BT010204</t>
  </si>
  <si>
    <t>Subtotal - Saranac</t>
  </si>
  <si>
    <t>Storage Gas Inventory</t>
  </si>
  <si>
    <t>End Balance</t>
  </si>
  <si>
    <t>CAIDI/SAIFI Audit Deferral</t>
  </si>
  <si>
    <t>808003-13</t>
  </si>
  <si>
    <t>Gas MFC RY3 through 8-13</t>
  </si>
  <si>
    <t>808002-13</t>
  </si>
  <si>
    <t>GSC Deferral 9/2012-8/2013</t>
  </si>
  <si>
    <t>BG030424</t>
  </si>
  <si>
    <t>Check Total</t>
  </si>
  <si>
    <t>Reg Asset182301801215BE030597</t>
  </si>
  <si>
    <t>GL118010</t>
  </si>
  <si>
    <t>GL118030</t>
  </si>
  <si>
    <t>GL119010</t>
  </si>
  <si>
    <t>GL119030</t>
  </si>
  <si>
    <t>GL228460</t>
  </si>
  <si>
    <t>GL230010</t>
  </si>
  <si>
    <t>GL230030</t>
  </si>
  <si>
    <t>Reg Asset1820908001250</t>
  </si>
  <si>
    <t>Reg Asset1820908001760</t>
  </si>
  <si>
    <t>Reg Asset1821300-149.55.000</t>
  </si>
  <si>
    <t>Reg Asset182355800125BE030099</t>
  </si>
  <si>
    <t>Reg Asset182355none</t>
  </si>
  <si>
    <t>Reg Asset182355PLTEXP</t>
  </si>
  <si>
    <t>Reg Asset1823560-149.55.00BG030179</t>
  </si>
  <si>
    <t>Reg Asset182356800176BG030179</t>
  </si>
  <si>
    <t>Reg Asset25467002432600BG030131</t>
  </si>
  <si>
    <t>Def Tax190001AROBT010303</t>
  </si>
  <si>
    <t>Def Tax190002AROBT010303</t>
  </si>
  <si>
    <t>Def Tax190011AROBT010303</t>
  </si>
  <si>
    <t>Def Tax190012AROBT010303</t>
  </si>
  <si>
    <t>Def Tax190502AROBT010343</t>
  </si>
  <si>
    <t>Def Tax190512AROBT010343</t>
  </si>
  <si>
    <t>Def Tax282200AROBT010351</t>
  </si>
  <si>
    <t>Def Tax282210AROBT010351</t>
  </si>
  <si>
    <t>Def Tax282240AROBT010351</t>
  </si>
  <si>
    <t>Def Tax282250AROBT010351</t>
  </si>
  <si>
    <t>Def Tax283500AROBT010323</t>
  </si>
  <si>
    <t>Def Tax283510AROBT010323</t>
  </si>
  <si>
    <t>Def Tax283550BT010323</t>
  </si>
  <si>
    <t>Def Tax283560AROBT010323</t>
  </si>
  <si>
    <t>Subtotal - Seneca Sale Gain</t>
  </si>
  <si>
    <t>GLRR10A&amp;S CHIP</t>
  </si>
  <si>
    <t>Accident &amp; Sickness Reserve</t>
  </si>
  <si>
    <t>R10A&amp;S CHIP</t>
  </si>
  <si>
    <t>R11A&amp;S CHIP</t>
  </si>
  <si>
    <t>Preliminary Survey and Investigation</t>
  </si>
  <si>
    <t>GLRR10Preliminary Engineering</t>
  </si>
  <si>
    <t>R10Preliminary Engineering</t>
  </si>
  <si>
    <t>Injuries &amp; Damages Reserve</t>
  </si>
  <si>
    <t>R10Injuries &amp; Damages</t>
  </si>
  <si>
    <t>GLRR10Workman's Comp Reserve</t>
  </si>
  <si>
    <t>R10Workman's Comp Reserve</t>
  </si>
  <si>
    <t>R11Workman's Comp Reserve</t>
  </si>
  <si>
    <t>R&amp;D Tax Credit Deferral</t>
  </si>
  <si>
    <t>Def Tax283210R&amp;D CreditBT010177</t>
  </si>
  <si>
    <t>Def Tax283410R&amp;D CreditBT010177</t>
  </si>
  <si>
    <t>Manual Adjs - Transfer to / from Items Not in RTBS:</t>
  </si>
  <si>
    <t>PSC General Assess Deferral - Transfer from Items Not in Rate Base</t>
  </si>
  <si>
    <t>ASGA - Transfer from Items Not in Rate Base (JP Amount)</t>
  </si>
  <si>
    <t>ACF - Transfer from Items Not in Rate Base</t>
  </si>
  <si>
    <t>Environmental - Transfer from Items Not in Rate Base</t>
  </si>
  <si>
    <t>Bonus Depreciation - Transfer to Items Not in RTBS</t>
  </si>
  <si>
    <t>Subtotal Deferred Taxes</t>
  </si>
  <si>
    <t>Fuel Inventory &amp; Underground Gas Stored</t>
  </si>
  <si>
    <t>M&amp;S, Prepayments, and Cash Working Capital</t>
  </si>
  <si>
    <t>Subtotal - Deferred Debits &amp; Credits</t>
  </si>
  <si>
    <t>Total Deferred Debits &amp; credits</t>
  </si>
  <si>
    <t>Deferred Income Taxes &amp; Investment Tax Credits</t>
  </si>
  <si>
    <t>2012 WITH</t>
  </si>
  <si>
    <t>2012 W/O</t>
  </si>
  <si>
    <t>13-Month Avg:</t>
  </si>
  <si>
    <t>OTHER COMPREHENSIVE INC-MISCELLANEOUS-COMMON</t>
  </si>
  <si>
    <t>OTHER COMPRE INC-FIT-MISCELLANEOUS-COMMON</t>
  </si>
  <si>
    <t>OTHER COMPRE INC-SIT-MISCELLANEOUS-COMMON</t>
  </si>
  <si>
    <t>OTHER DEFERRED CREDITS - SERP/SRBP</t>
  </si>
  <si>
    <t>Excess Interruptible Sales Margin</t>
  </si>
  <si>
    <t>Cap Ex Customer Credit</t>
  </si>
  <si>
    <t>OTH DEF CREDITS - RATE CASE ISSUES</t>
  </si>
  <si>
    <t>GL219575</t>
  </si>
  <si>
    <t>GL219580</t>
  </si>
  <si>
    <t>GL219582</t>
  </si>
  <si>
    <t>Funded DIT True-up</t>
  </si>
  <si>
    <t>BE030932</t>
  </si>
  <si>
    <t>Funded DIT True Up Elec</t>
  </si>
  <si>
    <t>Funded DIT Tax True-up Deferral - 2011</t>
  </si>
  <si>
    <t>Hung Deferred</t>
  </si>
  <si>
    <t>BEHUNGDT</t>
  </si>
  <si>
    <t>Hung Defd Reg Asset Gross Up Elec - Fed</t>
  </si>
  <si>
    <t>BG030932</t>
  </si>
  <si>
    <t>BGHUNGDT</t>
  </si>
  <si>
    <t>Funded DIT True Up Gas</t>
  </si>
  <si>
    <t>Hung Defd Reg Asset Gross Up Gas - Fed</t>
  </si>
  <si>
    <t>Hung Defd Reg Asset Gross Up Elec - State</t>
  </si>
  <si>
    <t>Hung Defd Reg Asset Gross Up Gas - State</t>
  </si>
  <si>
    <t>807045-13</t>
  </si>
  <si>
    <t>Hung Defd Reg Asset</t>
  </si>
  <si>
    <t>Funded Def Inc Tax True Up</t>
  </si>
  <si>
    <t>Funded Def Inc Tax True Up Elect 10-12</t>
  </si>
  <si>
    <t>REG LIAB -OPEB UNRECOGNIZED</t>
  </si>
  <si>
    <t>OTH NON-CUR LIAB-ACCUM PROV FOR RATE REFUND-ELEC</t>
  </si>
  <si>
    <t>801225-UB</t>
  </si>
  <si>
    <t>RDM Deferral - Elec Unbilled</t>
  </si>
  <si>
    <t>RDM Deferral - Gas Unbilled</t>
  </si>
  <si>
    <t>801257-FIN48</t>
  </si>
  <si>
    <t>CTA - Unit of Property Capitalization - FIN48</t>
  </si>
  <si>
    <t>GSC 8/12 Filing</t>
  </si>
  <si>
    <t>OPEB BS True Up GAAP</t>
  </si>
  <si>
    <t>BC0305562</t>
  </si>
  <si>
    <t>Net Plant Reconciliation</t>
  </si>
  <si>
    <t>801255</t>
  </si>
  <si>
    <t>BG030924</t>
  </si>
  <si>
    <t>CONSULTING CONTRACT RESERVE</t>
  </si>
  <si>
    <t>GRT AUDIT RESERVE</t>
  </si>
  <si>
    <t>Consulting Contract Reserve</t>
  </si>
  <si>
    <t>GRT Audit Reserve</t>
  </si>
  <si>
    <t>DERIVATIVES (BS Reclass)</t>
  </si>
  <si>
    <t>FIN 48 Fed</t>
  </si>
  <si>
    <t>OCI - Miscellaneous - Common Goodwill</t>
  </si>
  <si>
    <t>BT010143</t>
  </si>
  <si>
    <t>Hurricane Sandy Bill Credit</t>
  </si>
  <si>
    <t>GL229010</t>
  </si>
  <si>
    <t>Subtotal - Hurricane Sandy Bill Credit</t>
  </si>
  <si>
    <t>RDM Unbilled</t>
  </si>
  <si>
    <t>Unit of Property FIN48</t>
  </si>
  <si>
    <t>Subtotal - Unit of Property FIN48</t>
  </si>
  <si>
    <t>Contract Reserve</t>
  </si>
  <si>
    <t>BT010041</t>
  </si>
  <si>
    <t>BT010271</t>
  </si>
  <si>
    <t>Excess Interruptible Sales</t>
  </si>
  <si>
    <t>Def Tax190501BE030579</t>
  </si>
  <si>
    <t>Def Tax190010BT010143</t>
  </si>
  <si>
    <t>OCI - Miscellaneous - Goodwill</t>
  </si>
  <si>
    <t>Def Tax190000BT010143</t>
  </si>
  <si>
    <t>Def Tax190511BE030579</t>
  </si>
  <si>
    <t>PE2599004  EEPS-Elec</t>
  </si>
  <si>
    <t>PE2599155  MFC-Elec</t>
  </si>
  <si>
    <t>PE2599196  EDF-Elec</t>
  </si>
  <si>
    <t>PE2599251  PropTax-Elec</t>
  </si>
  <si>
    <t>PE2599400  ASGA-Elec</t>
  </si>
  <si>
    <t>PE2599423  POR-Elec</t>
  </si>
  <si>
    <t>PE2599581  PSC Assmt-Elec</t>
  </si>
  <si>
    <t>PE2599589  ESR-Elec</t>
  </si>
  <si>
    <t>PE2599594  LowIncPgm-Elec</t>
  </si>
  <si>
    <t>PE2599595  VegMgmt-Elec</t>
  </si>
  <si>
    <t>PE2599596  Mgmt Audit-Elec</t>
  </si>
  <si>
    <t>PE2599599  IncMaint-Elec</t>
  </si>
  <si>
    <t>PE2599900  SBC-Elec</t>
  </si>
  <si>
    <t>PE2599903  RPS-Elec</t>
  </si>
  <si>
    <t>PE2599904  RDM-Elec</t>
  </si>
  <si>
    <t>PE2599908  THEOR RESV-Elec</t>
  </si>
  <si>
    <t>PE2578     RA-RSS Surcharge</t>
  </si>
  <si>
    <t>PE2510001  UnB-Base Delivery</t>
  </si>
  <si>
    <t>PE2510004  UnB-EEPS-Elec</t>
  </si>
  <si>
    <t>PE2510155  UnB-MFC-Elec</t>
  </si>
  <si>
    <t>PE2510581  UnB-PSC Assmt-Elec</t>
  </si>
  <si>
    <t>PE2510900  UnB-SBC-Elec</t>
  </si>
  <si>
    <t>PE2510903  UnB-RPS-Elec</t>
  </si>
  <si>
    <t>PE2510904  UnB-RDM-Elec</t>
  </si>
  <si>
    <t>PG2599004  EEPS-Gas</t>
  </si>
  <si>
    <t>PG2599158  Purch Gas Adj (PGA/GSC)</t>
  </si>
  <si>
    <t>PG2599247  MFC-Gas</t>
  </si>
  <si>
    <t>PG2599252  PropTax-Gs</t>
  </si>
  <si>
    <t>PG2599266  Pipeline Integ-Gas</t>
  </si>
  <si>
    <t>PG2599312  EDF-Gas</t>
  </si>
  <si>
    <t>PG2599400  ASGA-Gas</t>
  </si>
  <si>
    <t>PG2599414  R&amp;D Tax Cr-Gas</t>
  </si>
  <si>
    <t>PG2599424  POR-Gas</t>
  </si>
  <si>
    <t>PG2599582  PSC Assmt-Gas</t>
  </si>
  <si>
    <t>PG2599594  Low Income Program - Gas</t>
  </si>
  <si>
    <t>PG2599595  VegMgmt-Gas</t>
  </si>
  <si>
    <t>PG2599596  Management Audit Exp-Gas</t>
  </si>
  <si>
    <t>PG2599599  Incr Maint/CRO - Gas</t>
  </si>
  <si>
    <t>PG2599904  RDM-Gas</t>
  </si>
  <si>
    <t>PG2510001  UnB-Base Delivery</t>
  </si>
  <si>
    <t>PG2510004  UnB-EEPS-Gas</t>
  </si>
  <si>
    <t>PG2510247  UnB-MFC-Gas</t>
  </si>
  <si>
    <t>PG2510582  UnB-PSC Assmt-Gas</t>
  </si>
  <si>
    <t>PG2510904  UnB-RDM-Gas</t>
  </si>
  <si>
    <t>Reg Asset182370808002-13BG030089</t>
  </si>
  <si>
    <t>R11Hung Deferred Taxes</t>
  </si>
  <si>
    <t>R11Capitalized Storm</t>
  </si>
  <si>
    <t>MFC Undercollection  - Electric Deferral 2013</t>
  </si>
  <si>
    <t>Reg Asset182301807045-13BE030155</t>
  </si>
  <si>
    <t>Reg Asset254270BT010282</t>
  </si>
  <si>
    <t>GL253340</t>
  </si>
  <si>
    <t>Reg Asset254017801216BG030598</t>
  </si>
  <si>
    <t>Reg AssetRR10Hung Deferred Taxes</t>
  </si>
  <si>
    <t>R10Hung Deferred Taxes</t>
  </si>
  <si>
    <t>Mixed Service Costs 263A Deferral</t>
  </si>
  <si>
    <t>Research &amp; Development Deduction</t>
  </si>
  <si>
    <t>Katz License - Reverse of Books</t>
  </si>
  <si>
    <t>Unit of Property 481 Adj</t>
  </si>
  <si>
    <t>Capitalized Plattsburgh Storm Amortization</t>
  </si>
  <si>
    <t>Casualty Loss - State</t>
  </si>
  <si>
    <t>CNY Premium Depreciation Deferral</t>
  </si>
  <si>
    <t>Def Tax190502BT010390</t>
  </si>
  <si>
    <t>Def Tax190511BT010390</t>
  </si>
  <si>
    <t>Def Tax190512BT010390</t>
  </si>
  <si>
    <t>BT010154</t>
  </si>
  <si>
    <t>Prepaid Software Licensing Amortization</t>
  </si>
  <si>
    <t>Def Tax282200Mixed Use 263(a)-aBT010390</t>
  </si>
  <si>
    <t>Def Tax282200Mixed Use 263(a)-bBT010390</t>
  </si>
  <si>
    <t>Def Tax2822000-283.20.82BT010038</t>
  </si>
  <si>
    <t>Def Tax282210R&amp;D CreditBT010177</t>
  </si>
  <si>
    <t>Def Tax282210Mixed Use 263(a)-aBT010390</t>
  </si>
  <si>
    <t>Def Tax282210Mixed Use 263(a)-bBT010390</t>
  </si>
  <si>
    <t>Def Tax282240Mixed Use 263(a)BT010390</t>
  </si>
  <si>
    <t>Def Tax282250R&amp;D CreditBT010177</t>
  </si>
  <si>
    <t>Def Tax282250Mixed Use 263(a)BT010390</t>
  </si>
  <si>
    <t>Net Plant reconciliation</t>
  </si>
  <si>
    <t>GLRR10Injuries &amp; damages</t>
  </si>
  <si>
    <t>Reg AssetRR10Net Plant Reconciliation</t>
  </si>
  <si>
    <t>R10Net Plant Reconciliation</t>
  </si>
  <si>
    <t>Reg Asset182371808002-12BG030158</t>
  </si>
  <si>
    <t>2013 WITH</t>
  </si>
  <si>
    <t>2013 W/O</t>
  </si>
  <si>
    <t>DEF CREDITS - ELECTRIC INTERCONNECTION COLLATERAL</t>
  </si>
  <si>
    <t>Cayuga Deferral</t>
  </si>
  <si>
    <t>AES Bankruptcy</t>
  </si>
  <si>
    <t>Reliability Support Services (RSS)</t>
  </si>
  <si>
    <t>Subtotal - R&amp;D Tax Credit Deferral</t>
  </si>
  <si>
    <t>Reg Asset182301801265BE030594</t>
  </si>
  <si>
    <t>Reg Asset182301801267BE030594</t>
  </si>
  <si>
    <t>Subtotal - Reliability Support Services (RSS)</t>
  </si>
  <si>
    <t>Defer TCO Columbia Pipeline Refund</t>
  </si>
  <si>
    <t>Reg Asset254015801268BG030586</t>
  </si>
  <si>
    <t>OTH COMPRE INC-FAS 112</t>
  </si>
  <si>
    <t>OTH COMPRE INC-FAS 112 FIT</t>
  </si>
  <si>
    <t>OTH COMPRE INC-FAS 112 SIT</t>
  </si>
  <si>
    <t>OTH REG LIAB - NBC/STRANDED COST-ELECTRIC</t>
  </si>
  <si>
    <t>OCI - FAS 112</t>
  </si>
  <si>
    <t>BT010145</t>
  </si>
  <si>
    <t xml:space="preserve">Pension  </t>
  </si>
  <si>
    <t>CAIDI/SAIFI - Electric</t>
  </si>
  <si>
    <t>RDM Deferral - Gas Unbiled</t>
  </si>
  <si>
    <t>Gas Hedges Gains 01-G-1668/1683 Sec 720-6.5 16 NYCRR</t>
  </si>
  <si>
    <t>NBC Balance Sheet Reclass</t>
  </si>
  <si>
    <t>GL219508</t>
  </si>
  <si>
    <t>GL219518</t>
  </si>
  <si>
    <t>GL219588</t>
  </si>
  <si>
    <t>Def Tax190010BT010145</t>
  </si>
  <si>
    <t>Def Tax190000BT010145</t>
  </si>
  <si>
    <t>Def Tax190511BE030597</t>
  </si>
  <si>
    <t>GL219510</t>
  </si>
  <si>
    <t>Subtotal - Stranded Gas Capacity</t>
  </si>
  <si>
    <t>ADIT - EEBEN - FEDERAL - OCI</t>
  </si>
  <si>
    <t>ADIT - EEBEN - STATE - OCI</t>
  </si>
  <si>
    <t>Medicare Subsidy - Flowthrough</t>
  </si>
  <si>
    <t>Medicare Part D Subsidy Pmts Recd - Fed</t>
  </si>
  <si>
    <t>Medicare Part D Subsidy Pmts Recd - State</t>
  </si>
  <si>
    <t>Capitalized OPEB</t>
  </si>
  <si>
    <t>Funded DIT True-Up Electric</t>
  </si>
  <si>
    <t>RSS AES Bankruptcy proceeds</t>
  </si>
  <si>
    <t>BE030934</t>
  </si>
  <si>
    <t>Funded DIT Tax True-up Deferral</t>
  </si>
  <si>
    <t>Reg AssetRR10Funded DIT Tax True-up Deferral</t>
  </si>
  <si>
    <t>R11Funded DIT Tax True-up Deferral</t>
  </si>
  <si>
    <t>R10Funded DIT Tax True-up Deferral</t>
  </si>
  <si>
    <t>Def Tax190030BT010145</t>
  </si>
  <si>
    <t>Def Tax1900300-184.26.01BT010141</t>
  </si>
  <si>
    <t>Def Tax190031BT010356</t>
  </si>
  <si>
    <t>Def Tax190032BT010356</t>
  </si>
  <si>
    <t>Def Tax190041BT010356</t>
  </si>
  <si>
    <t>Def Tax190042BT010356</t>
  </si>
  <si>
    <t>Def Tax190040BT010145</t>
  </si>
  <si>
    <t>Def Tax190040BT010141</t>
  </si>
  <si>
    <t>Def Tax283500MHP Meter CostsBE030587</t>
  </si>
  <si>
    <t>Def Tax283500BE030934</t>
  </si>
  <si>
    <t>Def Tax283500Ptax DefBT010268</t>
  </si>
  <si>
    <t>Reg Asset254016801267BE030934</t>
  </si>
  <si>
    <t>Reg Asset254085GAS</t>
  </si>
  <si>
    <t>Def Tax1905313BT010124</t>
  </si>
  <si>
    <t>Def Tax1905324BT010124</t>
  </si>
  <si>
    <t>Def Tax1905413BT010124</t>
  </si>
  <si>
    <t>Def Tax1905424BT010124</t>
  </si>
  <si>
    <t>Bonus Depreciation Deferral</t>
  </si>
  <si>
    <t>Elec Supply Reconciliation(ESR)</t>
  </si>
  <si>
    <t>GSC Reclass fm 182370</t>
  </si>
  <si>
    <t>Stray Voltage Cost Savings</t>
  </si>
  <si>
    <t>BE030255</t>
  </si>
  <si>
    <t>FIN 48  Interest Expense</t>
  </si>
  <si>
    <t>BT010119</t>
  </si>
  <si>
    <t>TAX COLLECT PAYABLE-FEDERAL W/HOLD-FOREIGN VENDOR</t>
  </si>
  <si>
    <t>Street Lighting Sale - State</t>
  </si>
  <si>
    <t>Street Lighting Sale - Fed</t>
  </si>
  <si>
    <t>BT010379</t>
  </si>
  <si>
    <t>Reg Asset254172801270BE030255</t>
  </si>
  <si>
    <t>Def Tax190501Str VoltageBE030186</t>
  </si>
  <si>
    <t>Def Tax190511Str VoltageBE030186</t>
  </si>
  <si>
    <t>Subtotal - Stray Voltage</t>
  </si>
  <si>
    <t>Def Tax190001BT010119</t>
  </si>
  <si>
    <t>Def Tax190002BT010119</t>
  </si>
  <si>
    <t>Def Tax190011BT010119</t>
  </si>
  <si>
    <t>Def Tax190012BT010119</t>
  </si>
  <si>
    <t>Street Lighting Sale</t>
  </si>
  <si>
    <t>NY TEMPORARY &amp; GENERAL ASSESSMENT-ELECTRIC</t>
  </si>
  <si>
    <t>NY TEMPORARY &amp; GENERAL ASSESSMENT-GAS</t>
  </si>
  <si>
    <t>Adj to Deferred Debits &amp; Credits from Not in RTBS (beg. Aug 2013)</t>
  </si>
  <si>
    <t>GL174210</t>
  </si>
  <si>
    <t>GL174220</t>
  </si>
  <si>
    <t xml:space="preserve">Adj: </t>
  </si>
  <si>
    <t>Reclass 809008-GEN to RTBS</t>
  </si>
  <si>
    <t>TOTAL</t>
  </si>
  <si>
    <t>Reclass 809009-GEN to RTBS</t>
  </si>
  <si>
    <t>PSC General Reg Deferral - transfer from Items Not in Rate Base to Deferred Debits / Credits</t>
  </si>
  <si>
    <t>General - Transfer from Not in RTBS</t>
  </si>
  <si>
    <t>Def Tax282200BT010206</t>
  </si>
  <si>
    <t>2014 WITH</t>
  </si>
  <si>
    <t>2014 W/O</t>
  </si>
  <si>
    <t>PSC Assessment transfer General to Deferred Debits &amp; Credits</t>
  </si>
  <si>
    <t>Def Tax190006BT010057</t>
  </si>
  <si>
    <t>Def Tax283015BC999998</t>
  </si>
  <si>
    <t>801233-13</t>
  </si>
  <si>
    <t>801233-14</t>
  </si>
  <si>
    <t>POR Deferral Gas RY3</t>
  </si>
  <si>
    <t>POR Deferral Gas RY4</t>
  </si>
  <si>
    <t>MFC Undercollection  - Electric Deferral 2014</t>
  </si>
  <si>
    <t>807045-14</t>
  </si>
  <si>
    <t>GSC Deferral 9/2013-8/2014</t>
  </si>
  <si>
    <t>808002-14</t>
  </si>
  <si>
    <t>Newark Rockstad Lease</t>
  </si>
  <si>
    <t>Reg Asset182301807045-14BE030155</t>
  </si>
  <si>
    <t>Reg Asset182370808002-14BG030089</t>
  </si>
  <si>
    <t>Reg Asset182390807034BE030188</t>
  </si>
  <si>
    <t>POR Deferral Electric RY3</t>
  </si>
  <si>
    <t>POR Deferral Electric RY4</t>
  </si>
  <si>
    <t>Property Tax Allocator - Electric</t>
  </si>
  <si>
    <t>Property Tax Allocator - Gas</t>
  </si>
  <si>
    <t xml:space="preserve">               * Electric (Plant accounts 310-346) and Gas (Plant Accounts 304-347)</t>
  </si>
  <si>
    <t>PE2599255  Stray Voltage Savings</t>
  </si>
  <si>
    <t>PE2599932  Funded DIT- Elec</t>
  </si>
  <si>
    <t>PE2599934  RSS Agreement</t>
  </si>
  <si>
    <t>PE2573     FS-RSS Surcharge</t>
  </si>
  <si>
    <t>PE2574     FS-Delivery Rebates</t>
  </si>
  <si>
    <t>PE2579     RA-Delivery Rebates</t>
  </si>
  <si>
    <t>PE2510934  UB - RSS Surcharge</t>
  </si>
  <si>
    <t>PE254102   Prov DIT OthIncDed</t>
  </si>
  <si>
    <t>PG2599925  CTA Unit of Property Gas</t>
  </si>
  <si>
    <t>PG2599932  Funded DIT- Gas</t>
  </si>
  <si>
    <t>Federal Effect of CT,ME &amp; NY NOL &amp; DTA DIT</t>
  </si>
  <si>
    <t>BTCTTXCF</t>
  </si>
  <si>
    <t>NY - NOL Benefit Current  Year</t>
  </si>
  <si>
    <t>(From 2009 Rate Case - Test Year 6/30/09 actual Elec &amp; Gas Plant ratio)</t>
  </si>
  <si>
    <t>(2004 Study)</t>
  </si>
  <si>
    <t>FUNDED / POWER TAX DEFERRED INCOME TAXES</t>
  </si>
  <si>
    <t>Economic Development Superstorm Sandy</t>
  </si>
  <si>
    <t>Funded/Power-Tax Deferred Income Taxes</t>
  </si>
  <si>
    <t>Reg Asset254025801269BE030196</t>
  </si>
  <si>
    <t>RSS Cayuga</t>
  </si>
  <si>
    <t>POR Deferral Gas RY1</t>
  </si>
  <si>
    <t>Reg Asset182371808002-13BG030158</t>
  </si>
  <si>
    <t>Reg Asset254016801265BE030934</t>
  </si>
  <si>
    <t>Reg Asset254016801217BE030599</t>
  </si>
  <si>
    <t>Compliance Reserve</t>
  </si>
  <si>
    <t>GL253355</t>
  </si>
  <si>
    <t>Subtotal - Compliance Reserve</t>
  </si>
  <si>
    <t>Def Tax2822300-182.20.01BT010192</t>
  </si>
  <si>
    <t>INTERCOMPANY INTEREST EXPENSE - SHORT TERM DEBT</t>
  </si>
  <si>
    <t>2014 Monthly Balances</t>
  </si>
  <si>
    <t>GL242020</t>
  </si>
  <si>
    <t>Concatenate</t>
  </si>
  <si>
    <t>BE030936</t>
  </si>
  <si>
    <t>Defer post term amortizations</t>
  </si>
  <si>
    <t>Continuation of Current Amorts Until New Rates Reset</t>
  </si>
  <si>
    <t>Reg AssetRR10Continuation of Current Amorts Until New Rates Reset</t>
  </si>
  <si>
    <t>R10Continuation of Current Amorts Until New Rates Reset</t>
  </si>
  <si>
    <t>BC030568</t>
  </si>
  <si>
    <t>801228-FE</t>
  </si>
  <si>
    <t>BE030416</t>
  </si>
  <si>
    <t>Vegetation Management Elec</t>
  </si>
  <si>
    <t>Reg Asset254016801236BE030595</t>
  </si>
  <si>
    <t>Reg Asset254016801216BE030598</t>
  </si>
  <si>
    <t>Low Income Program Bill Reduction</t>
  </si>
  <si>
    <t>Low Income Program Arrears Forgive</t>
  </si>
  <si>
    <t>Low Income Program Reconnect Fee Waiver</t>
  </si>
  <si>
    <t>Low Income Program Admin Expense</t>
  </si>
  <si>
    <t>Reg Asset254016801243BE030594</t>
  </si>
  <si>
    <t>Reg Asset254016801244BE030594</t>
  </si>
  <si>
    <t>Reg Asset254016801245BE030594</t>
  </si>
  <si>
    <t>Reg Asset254016801246BE030594</t>
  </si>
  <si>
    <t>Reg Asset182303808003-13BG030247</t>
  </si>
  <si>
    <t>BG030936</t>
  </si>
  <si>
    <t>Defer Post term Amortization of JP- Gas</t>
  </si>
  <si>
    <t>BG030414</t>
  </si>
  <si>
    <t>Reg Asset254017801258BG030414</t>
  </si>
  <si>
    <t>Reg Asset254017801217BG030599</t>
  </si>
  <si>
    <t>Reg Asset254025801247BE030196</t>
  </si>
  <si>
    <t>801232-L</t>
  </si>
  <si>
    <t>NCR Gas EDF Leftover</t>
  </si>
  <si>
    <t>Reg Asset254026801232-LBG030312</t>
  </si>
  <si>
    <t>Reg Asset254270BT010280</t>
  </si>
  <si>
    <t>Reg Asset254270BT010009</t>
  </si>
  <si>
    <t>BT030390</t>
  </si>
  <si>
    <t>Def Tax190501BT030390</t>
  </si>
  <si>
    <t>Seneca Lake Deferral</t>
  </si>
  <si>
    <t>Def Tax2822100-282.20.83BT010038</t>
  </si>
  <si>
    <t>BT010371</t>
  </si>
  <si>
    <t>FAS109</t>
  </si>
  <si>
    <t>Def Tax283506SFAS-109FAS109</t>
  </si>
  <si>
    <t>Def Tax283505SFAS-109FAS109</t>
  </si>
  <si>
    <t>Def Tax283510Ptax DefBT010268</t>
  </si>
  <si>
    <t>Def Tax283550Ptax DefBT010268</t>
  </si>
  <si>
    <t>Def Tax283550Theoretical ReserveBE030908</t>
  </si>
  <si>
    <t>BT030934</t>
  </si>
  <si>
    <t>Def Tax283550BT030934</t>
  </si>
  <si>
    <t>Def Tax283550MHP Meter CostsBE030587</t>
  </si>
  <si>
    <t>Def Tax283560Ptax DefBT010268</t>
  </si>
  <si>
    <t>Def Tax2838832838830</t>
  </si>
  <si>
    <t>Def Tax2838840</t>
  </si>
  <si>
    <t>Def Tax2839832839830</t>
  </si>
  <si>
    <t>Def Tax2839840</t>
  </si>
  <si>
    <t>Reg Asset182390807031-11BE030188</t>
  </si>
  <si>
    <t>Reg Asset182390807032-11BE030188</t>
  </si>
  <si>
    <t>Reg Asset182390807033-11BE030188</t>
  </si>
  <si>
    <t>Reg Asset1823970-149.51.99BT010103</t>
  </si>
  <si>
    <t>Reg Asset1823990-149.51.99BT010103</t>
  </si>
  <si>
    <t>Reg Asset254012801202BE030416</t>
  </si>
  <si>
    <t>Reg Asset182320801228-FEBE030566</t>
  </si>
  <si>
    <t>Reg Asset182370ReclassBG039999</t>
  </si>
  <si>
    <t>R11Continuation of Current Amorts Until New Rates Reset</t>
  </si>
  <si>
    <t>UNION BANK-DEP ACCT</t>
  </si>
  <si>
    <t>Post-Term Amortizations of JP</t>
  </si>
  <si>
    <t>BT010391</t>
  </si>
  <si>
    <t>Reg Asset182306801257-FIN48BG030925</t>
  </si>
  <si>
    <t>801009-10</t>
  </si>
  <si>
    <t>Nine Mile Unit 2</t>
  </si>
  <si>
    <t>Dominion Trans Refund - GSC</t>
  </si>
  <si>
    <t>Reg Asset254015601137BG030158</t>
  </si>
  <si>
    <t xml:space="preserve">    Fiscal Year: 2014</t>
  </si>
  <si>
    <t>2014 3</t>
  </si>
  <si>
    <t>2014 2</t>
  </si>
  <si>
    <t>2014 1</t>
  </si>
  <si>
    <t>PE2599936  Post-Term Rev Def-E</t>
  </si>
  <si>
    <t>PRE254190  IC Int/Div Income E</t>
  </si>
  <si>
    <t>PG2599936  Post-Term Rev Def-G</t>
  </si>
  <si>
    <t>PRG254190  IC Int/Div Income G</t>
  </si>
  <si>
    <t>OTH REG ASSETS - PROPERTY TAX DEFERRAL</t>
  </si>
  <si>
    <t>OTH REG LIAB - VARIABLE RATE DEBT DEFERRAL</t>
  </si>
  <si>
    <t>Other Regulatory Assets - Property Tax Deferral</t>
  </si>
  <si>
    <t>Property Tax deferral - Electric</t>
  </si>
  <si>
    <t>Property Tax deferral - Gas</t>
  </si>
  <si>
    <t>Reg Asset182307801205BE030251</t>
  </si>
  <si>
    <t>Reg Asset182307801205BG030252</t>
  </si>
  <si>
    <t>801216</t>
  </si>
  <si>
    <t>Other Regulatory Liabilities - VRD</t>
  </si>
  <si>
    <t>Deferral Variable Rate Debt - Electric</t>
  </si>
  <si>
    <t>Deferral Variable Rate Debt - Gas</t>
  </si>
  <si>
    <t>Reg Asset254021801216BE030598</t>
  </si>
  <si>
    <t>Reg Asset254021801216BG030598</t>
  </si>
  <si>
    <t>BE030937</t>
  </si>
  <si>
    <t>Defer NYS Tax Rate Chsnge 2014</t>
  </si>
  <si>
    <t>Excess DIT - New York State Tax Rate change</t>
  </si>
  <si>
    <t>BG030937</t>
  </si>
  <si>
    <t>BTMISCDT</t>
  </si>
  <si>
    <t>NYS Tax Rate Change - State</t>
  </si>
  <si>
    <t>BT010392</t>
  </si>
  <si>
    <t>NYS Tax Rate Change 7.1% - 6.5%</t>
  </si>
  <si>
    <t>NYS Tax Rate Change - Fed</t>
  </si>
  <si>
    <t>R10Excess DIT - New York State Tax Rate change</t>
  </si>
  <si>
    <t>R11Excess DIT - New York State Tax Rate change</t>
  </si>
  <si>
    <t>Leftover Property Tax</t>
  </si>
  <si>
    <t>Reg Asset182307801259BG030168</t>
  </si>
  <si>
    <t>2014 6</t>
  </si>
  <si>
    <t>2014 5</t>
  </si>
  <si>
    <t>2014 4</t>
  </si>
  <si>
    <t>PE2599937  NYS Tax Rate Chg - E</t>
  </si>
  <si>
    <t>PG2599937  NYS Tax Rate Chg - G</t>
  </si>
  <si>
    <t>BONUS DEPRECIATION NCR</t>
  </si>
  <si>
    <t>601140</t>
  </si>
  <si>
    <t>BG030588</t>
  </si>
  <si>
    <t>Bonus Depreciation NCR Electric</t>
  </si>
  <si>
    <t>Bonus Depreciation NCR Gas</t>
  </si>
  <si>
    <t>Reg Asset254022601139BE030192</t>
  </si>
  <si>
    <t>Reg Asset254022601140BG030588</t>
  </si>
  <si>
    <t>UNAMORTIZED GAIN ON REACQUIRED DEBT</t>
  </si>
  <si>
    <t>800168-CC</t>
  </si>
  <si>
    <t>BE030939</t>
  </si>
  <si>
    <t>BE030583</t>
  </si>
  <si>
    <t>BE030938</t>
  </si>
  <si>
    <t>RPS</t>
  </si>
  <si>
    <t>SBC Over/Under</t>
  </si>
  <si>
    <t>SBC NCR</t>
  </si>
  <si>
    <t>EEPS electric Over/Under Collection</t>
  </si>
  <si>
    <t>EEPS electric Over/Under Spending</t>
  </si>
  <si>
    <t>EEPS Electric NCR</t>
  </si>
  <si>
    <t>Reg Asset254016800168BE030583</t>
  </si>
  <si>
    <t>Reg Asset254016800168-CCBE030583</t>
  </si>
  <si>
    <t>Reg Asset254016808220BE030938</t>
  </si>
  <si>
    <t>Reg Asset254016808320BE030938</t>
  </si>
  <si>
    <t>BG030938</t>
  </si>
  <si>
    <t>EEPS gas Over/Under Collection</t>
  </si>
  <si>
    <t>EEPS gas Over/Under Spending</t>
  </si>
  <si>
    <t>EEPS Gas NCR</t>
  </si>
  <si>
    <t>Reg Asset254017808221BG030938</t>
  </si>
  <si>
    <t>Reg Asset254017808321BG030938</t>
  </si>
  <si>
    <t>Def Tax282161SFAS-109FAS109</t>
  </si>
  <si>
    <t>Def Tax282162SFAS-109FAS109</t>
  </si>
  <si>
    <t>Def Tax282171SFAS-109FAS109</t>
  </si>
  <si>
    <t>Def Tax282172SFAS-109FAS109</t>
  </si>
  <si>
    <t>Def Tax2831610FAS109</t>
  </si>
  <si>
    <t>Def Tax2831620FAS109</t>
  </si>
  <si>
    <t>Def Tax2831710FAS109</t>
  </si>
  <si>
    <t>Def Tax2831720FAS109</t>
  </si>
  <si>
    <t>Def Tax283515SFAS-109FAS109</t>
  </si>
  <si>
    <t>BT010299</t>
  </si>
  <si>
    <t>DSM/SBC Under/Over Collection</t>
  </si>
  <si>
    <t>Energy Efficiency (EEPS)</t>
  </si>
  <si>
    <t>Def Tax190501BE030583</t>
  </si>
  <si>
    <t>Def Tax190501BT010299</t>
  </si>
  <si>
    <t>Def Tax190502BT010299</t>
  </si>
  <si>
    <t>Def Tax190511BT010299</t>
  </si>
  <si>
    <t>Def Tax190511BE030583</t>
  </si>
  <si>
    <t>Def Tax190512BT010299</t>
  </si>
  <si>
    <t>Xfer to 254016</t>
  </si>
  <si>
    <t>EEPS DIT's transferred to Rate Base</t>
  </si>
  <si>
    <t>EEPS Deferred Taxes - Transfer from Items Not in Rate Base</t>
  </si>
  <si>
    <t>801233-15</t>
  </si>
  <si>
    <t>POR Deferral Electric RY</t>
  </si>
  <si>
    <t>POR Deferral Gas RY5</t>
  </si>
  <si>
    <t>808002-15</t>
  </si>
  <si>
    <t>GSC Deferral 9/2014-8/2015</t>
  </si>
  <si>
    <t>Reg Asset182370808002-15BG030089</t>
  </si>
  <si>
    <t>2014 9</t>
  </si>
  <si>
    <t>2014 8</t>
  </si>
  <si>
    <t>2014 7</t>
  </si>
  <si>
    <t>PE2582     FS - RAD</t>
  </si>
  <si>
    <t>PE2583     RA - RAD</t>
  </si>
  <si>
    <t>PE254291   Amort Gain Recq -CR</t>
  </si>
  <si>
    <t>PG258620   Maint of Structure</t>
  </si>
  <si>
    <t>PG254291   Amort Gain Recq -CR</t>
  </si>
  <si>
    <t>REVISED 9/30/14</t>
  </si>
  <si>
    <t>1) 2010 - 2013 depreciation is based on Tax Return Actuals</t>
  </si>
  <si>
    <t>No bonus assumed for 2014</t>
  </si>
  <si>
    <t>Reg AssetRR10Energy Efficiency Portfolio Standard</t>
  </si>
  <si>
    <t>R10Energy Efficiency Portfolio Standard</t>
  </si>
  <si>
    <t>Adjustment to Include:  Deferred taxes tracking EEPS item</t>
  </si>
  <si>
    <t>STRATEGIC BONUS PLAN 2011-2013 PLAN</t>
  </si>
  <si>
    <t>STRATEGIC BONUS PLAN 2014-2016 PLAN</t>
  </si>
  <si>
    <t>GL242036</t>
  </si>
  <si>
    <t>GL242037</t>
  </si>
  <si>
    <t>(Uses 10/20/14 TSAS NYSDPS Final Statement of Assessment Invoice)</t>
  </si>
  <si>
    <t>Corning</t>
  </si>
  <si>
    <t>Economic Development Corning</t>
  </si>
  <si>
    <t>Reg Asset254025CorningBE030196</t>
  </si>
  <si>
    <t>Transferred to 254016 eff Aug 2014</t>
  </si>
  <si>
    <t>Transferred to 254017 eff Aug 2014</t>
  </si>
  <si>
    <t>CORP SAP TR MIGRATION CLEARING</t>
  </si>
  <si>
    <t>GSC 8/14 Filing</t>
  </si>
  <si>
    <t>GSC 8/13 Filing</t>
  </si>
  <si>
    <t>Reg Asset182371808002-14BG030158</t>
  </si>
  <si>
    <t>GLRR10Gain / Loss on Reacquired Debt</t>
  </si>
  <si>
    <t>Compliance Filing Reserve</t>
  </si>
  <si>
    <t>Def Tax190012BT010371</t>
  </si>
  <si>
    <t>Def Tax190002BT010371</t>
  </si>
  <si>
    <t>BT010013</t>
  </si>
  <si>
    <t>Allowance for Funds Used During Construction - Equity</t>
  </si>
  <si>
    <t>ITC SFAS 96 Adjustment</t>
  </si>
  <si>
    <t>MixedFed</t>
  </si>
  <si>
    <t>MixedState</t>
  </si>
  <si>
    <t>Repair</t>
  </si>
  <si>
    <t>RepairState</t>
  </si>
  <si>
    <t>R&amp;D</t>
  </si>
  <si>
    <t>Retire</t>
  </si>
  <si>
    <t>TaxDepr</t>
  </si>
  <si>
    <t>UnitFed</t>
  </si>
  <si>
    <t>UnitState</t>
  </si>
  <si>
    <t>Def Tax283515BT010013</t>
  </si>
  <si>
    <t>Def Tax283515BT010264</t>
  </si>
  <si>
    <t>Def Tax283515ITC</t>
  </si>
  <si>
    <t>Def Tax283515MixedFed</t>
  </si>
  <si>
    <t>Def Tax283515MixedState</t>
  </si>
  <si>
    <t>Def Tax283515PropTax</t>
  </si>
  <si>
    <t>Def Tax283515Repair</t>
  </si>
  <si>
    <t>Def Tax283515RepairState</t>
  </si>
  <si>
    <t>Def Tax283515R&amp;D</t>
  </si>
  <si>
    <t>Def Tax283515Retire</t>
  </si>
  <si>
    <t>Def Tax283515TaxDepr</t>
  </si>
  <si>
    <t>Def Tax283515UnitFed</t>
  </si>
  <si>
    <t>Def Tax283515UnitState</t>
  </si>
  <si>
    <t>Def Tax283550BE030597</t>
  </si>
  <si>
    <t>Def Tax283500BE030597</t>
  </si>
  <si>
    <t>Balance at December 31, 2014</t>
  </si>
  <si>
    <t>Monthly Average - Year Ended December 2014</t>
  </si>
  <si>
    <t>2014 12</t>
  </si>
  <si>
    <t>2014 11</t>
  </si>
  <si>
    <t>2014 10</t>
  </si>
  <si>
    <t>REVISED 12/31/14</t>
  </si>
  <si>
    <t>2) 2014 depreciation is based on year end estimate</t>
  </si>
  <si>
    <t>3) No bonus depreciation is projected for 2015</t>
  </si>
  <si>
    <t>CORP TAX - ELE PROP</t>
  </si>
  <si>
    <t>Period</t>
  </si>
  <si>
    <t>Debit</t>
  </si>
  <si>
    <t>Credit</t>
  </si>
  <si>
    <t>Cumulative balance</t>
  </si>
  <si>
    <t>Balance Carryforward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</si>
  <si>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</si>
  <si>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</si>
  <si>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</si>
  <si>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</si>
  <si>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</si>
  <si>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</si>
  <si>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</si>
  <si>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</si>
  <si>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</si>
  <si>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</si>
  <si>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</si>
  <si>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</si>
  <si>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</si>
  <si>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</si>
  <si>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</si>
  <si>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</si>
  <si>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NYSEG Rate Base - TME 12/31/14</t>
  </si>
  <si>
    <t>TME 12/31/14</t>
  </si>
  <si>
    <t>CORP TAX - GAS PROP</t>
  </si>
  <si>
    <t>12 Months Ended December 31, 2014</t>
  </si>
  <si>
    <t>Def Tax283516SFAS-109FAS109</t>
  </si>
  <si>
    <t>(See below for comparison schedule that was in effect through November 2014)</t>
  </si>
  <si>
    <t>Client:     800                                                                                                                                                                                    Report Group: ZF02</t>
  </si>
  <si>
    <t xml:space="preserve">                                                                                                                                                                                                         Report: ZGROLL12</t>
  </si>
  <si>
    <t>Parameters:                                                                                         Twelve Month Rolling Backwards                                                                         Date: 01/19/2015</t>
  </si>
  <si>
    <t xml:space="preserve">                                                                                                       P25GAAP       NYS GAAP Income Stat                                                                  Time: 14:21:11</t>
  </si>
  <si>
    <t>TME 12/31/14 for Acct 555.</t>
  </si>
  <si>
    <t>Rate Base Average - EEPS Electric</t>
  </si>
  <si>
    <t>Rate Base Average - EEPS Gas</t>
  </si>
  <si>
    <t>Transferred to 182301 eff. July 2014 - See Reg Asset/Liab detail</t>
  </si>
  <si>
    <t>Transferred to 182303 eff. July 2014 - See Reg Asset/Liab detail</t>
  </si>
  <si>
    <t>Through year 2014</t>
  </si>
  <si>
    <t>2) 2014 depreciation is based on forecast from planning</t>
  </si>
  <si>
    <t>Bonus ADIT - Amounts to Remove from Rate Base:</t>
  </si>
</sst>
</file>

<file path=xl/styles.xml><?xml version="1.0" encoding="utf-8"?>
<styleSheet xmlns="http://schemas.openxmlformats.org/spreadsheetml/2006/main">
  <numFmts count="17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  <numFmt numFmtId="167" formatCode="0.000%"/>
    <numFmt numFmtId="168" formatCode="0_);\(0\)"/>
    <numFmt numFmtId="170" formatCode="General_)"/>
    <numFmt numFmtId="171" formatCode="dd\-mmm\-yy_)"/>
    <numFmt numFmtId="172" formatCode="_(* #,##0.0000_);_(* \(#,##0.0000\);_(* &quot;-&quot;??_);_(@_)"/>
    <numFmt numFmtId="173" formatCode="_(* #,##0.00000_);_(* \(#,##0.00000\);_(* &quot;-&quot;??_);_(@_)"/>
    <numFmt numFmtId="174" formatCode="0.0000%"/>
    <numFmt numFmtId="175" formatCode="[$-409]mmm\-yy;@"/>
    <numFmt numFmtId="176" formatCode="_(* #,##0.000000_);_(* \(#,##0.000000\);_(* &quot;-&quot;??_);_(@_)"/>
  </numFmts>
  <fonts count="12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8.5"/>
      <name val="MS Sans Serif"/>
      <family val="2"/>
    </font>
    <font>
      <sz val="8.5"/>
      <name val="MS Sans Serif"/>
      <family val="2"/>
    </font>
    <font>
      <b/>
      <sz val="8.5"/>
      <name val="Arial"/>
      <family val="2"/>
    </font>
    <font>
      <sz val="7"/>
      <name val="Arial"/>
      <family val="2"/>
    </font>
    <font>
      <b/>
      <sz val="7"/>
      <color indexed="12"/>
      <name val="Arial"/>
      <family val="2"/>
    </font>
    <font>
      <b/>
      <sz val="20"/>
      <name val="Arial"/>
      <family val="2"/>
    </font>
    <font>
      <b/>
      <sz val="7"/>
      <color indexed="17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u/>
      <sz val="7"/>
      <name val="Arial"/>
      <family val="2"/>
    </font>
    <font>
      <u/>
      <sz val="7"/>
      <name val="Arial"/>
      <family val="2"/>
    </font>
    <font>
      <u val="double"/>
      <sz val="7"/>
      <name val="Arial"/>
      <family val="2"/>
    </font>
    <font>
      <u val="singleAccounting"/>
      <sz val="7"/>
      <name val="Arial"/>
      <family val="2"/>
    </font>
    <font>
      <b/>
      <u val="double"/>
      <sz val="7"/>
      <name val="Arial"/>
      <family val="2"/>
    </font>
    <font>
      <sz val="7"/>
      <color indexed="12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8"/>
      <name val="SWISS"/>
    </font>
    <font>
      <sz val="10"/>
      <name val="MS Sans Serif"/>
      <family val="2"/>
    </font>
    <font>
      <b/>
      <sz val="10"/>
      <name val="Arial"/>
      <family val="2"/>
    </font>
    <font>
      <u val="singleAccounting"/>
      <sz val="10"/>
      <name val="MS Sans Serif"/>
      <family val="2"/>
    </font>
    <font>
      <u val="double"/>
      <sz val="10"/>
      <name val="MS Sans Serif"/>
      <family val="2"/>
    </font>
    <font>
      <u val="double"/>
      <sz val="10"/>
      <color indexed="12"/>
      <name val="MS Sans Serif"/>
      <family val="2"/>
    </font>
    <font>
      <sz val="10"/>
      <color indexed="12"/>
      <name val="MS Sans Serif"/>
      <family val="2"/>
    </font>
    <font>
      <sz val="10"/>
      <color indexed="12"/>
      <name val="Arial"/>
      <family val="2"/>
    </font>
    <font>
      <sz val="12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u/>
      <sz val="2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12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</font>
    <font>
      <sz val="10"/>
      <color indexed="12"/>
      <name val="Times New Roman"/>
      <family val="1"/>
    </font>
    <font>
      <b/>
      <sz val="12"/>
      <name val="Times New Roman"/>
      <family val="1"/>
    </font>
    <font>
      <b/>
      <sz val="12"/>
      <color indexed="10"/>
      <name val="Times New Roman"/>
      <family val="1"/>
    </font>
    <font>
      <sz val="10"/>
      <name val="Times New Roman"/>
      <family val="1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b/>
      <u/>
      <sz val="12"/>
      <name val="Times New Roman"/>
      <family val="1"/>
    </font>
    <font>
      <u/>
      <sz val="10"/>
      <name val="Times New Roman"/>
      <family val="1"/>
    </font>
    <font>
      <sz val="10"/>
      <color indexed="17"/>
      <name val="Times New Roman"/>
      <family val="1"/>
    </font>
    <font>
      <sz val="10"/>
      <color indexed="10"/>
      <name val="Times New Roman"/>
      <family val="1"/>
    </font>
    <font>
      <u/>
      <sz val="10"/>
      <color indexed="17"/>
      <name val="Times New Roman"/>
      <family val="1"/>
    </font>
    <font>
      <u val="singleAccounting"/>
      <sz val="10"/>
      <name val="Times New Roman"/>
      <family val="1"/>
    </font>
    <font>
      <sz val="10"/>
      <color indexed="9"/>
      <name val="Times New Roman"/>
      <family val="1"/>
    </font>
    <font>
      <u val="double"/>
      <sz val="10"/>
      <name val="Times New Roman"/>
      <family val="1"/>
    </font>
    <font>
      <u val="singleAccounting"/>
      <sz val="10"/>
      <color indexed="17"/>
      <name val="Times New Roman"/>
      <family val="1"/>
    </font>
    <font>
      <sz val="10"/>
      <color indexed="8"/>
      <name val="Times New Roman"/>
      <family val="1"/>
    </font>
    <font>
      <u/>
      <sz val="10"/>
      <color indexed="12"/>
      <name val="Times New Roman"/>
      <family val="1"/>
    </font>
    <font>
      <u val="singleAccounting"/>
      <sz val="10"/>
      <color indexed="8"/>
      <name val="Times New Roman"/>
      <family val="1"/>
    </font>
    <font>
      <u val="double"/>
      <sz val="10"/>
      <color indexed="8"/>
      <name val="Times New Roman"/>
      <family val="1"/>
    </font>
    <font>
      <u val="singleAccounting"/>
      <sz val="10"/>
      <color indexed="10"/>
      <name val="Times New Roman"/>
      <family val="1"/>
    </font>
    <font>
      <b/>
      <u val="double"/>
      <sz val="10"/>
      <color indexed="17"/>
      <name val="Times New Roman"/>
      <family val="1"/>
    </font>
    <font>
      <b/>
      <u val="double"/>
      <sz val="10"/>
      <name val="Times New Roman"/>
      <family val="1"/>
    </font>
    <font>
      <u val="double"/>
      <sz val="10"/>
      <color indexed="17"/>
      <name val="Times New Roman"/>
      <family val="1"/>
    </font>
    <font>
      <b/>
      <u/>
      <sz val="10"/>
      <color indexed="9"/>
      <name val="Times New Roman"/>
      <family val="1"/>
    </font>
    <font>
      <b/>
      <sz val="10"/>
      <color indexed="12"/>
      <name val="Times New Roman"/>
      <family val="1"/>
    </font>
    <font>
      <b/>
      <u/>
      <sz val="10"/>
      <color indexed="12"/>
      <name val="Times New Roman"/>
      <family val="1"/>
    </font>
    <font>
      <b/>
      <u val="doubleAccounting"/>
      <sz val="10"/>
      <name val="Times New Roman"/>
      <family val="1"/>
    </font>
    <font>
      <u val="singleAccounting"/>
      <sz val="10"/>
      <name val="Arial"/>
      <family val="2"/>
    </font>
    <font>
      <sz val="10"/>
      <color indexed="17"/>
      <name val="Arial"/>
      <family val="2"/>
    </font>
    <font>
      <u val="singleAccounting"/>
      <sz val="10"/>
      <color indexed="17"/>
      <name val="Arial"/>
      <family val="2"/>
    </font>
    <font>
      <u val="double"/>
      <sz val="10"/>
      <name val="Arial"/>
      <family val="2"/>
    </font>
    <font>
      <b/>
      <sz val="14"/>
      <name val="Arial"/>
      <family val="2"/>
    </font>
    <font>
      <u val="doubleAccounting"/>
      <sz val="10"/>
      <name val="Arial"/>
      <family val="2"/>
    </font>
    <font>
      <sz val="10"/>
      <name val="Courier"/>
      <family val="3"/>
    </font>
    <font>
      <b/>
      <sz val="11"/>
      <name val="Arial"/>
      <family val="2"/>
    </font>
    <font>
      <u val="singleAccounting"/>
      <sz val="10"/>
      <color indexed="12"/>
      <name val="Times New Roman"/>
      <family val="1"/>
    </font>
    <font>
      <u/>
      <sz val="7"/>
      <color indexed="17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u val="singleAccounting"/>
      <sz val="10"/>
      <name val="Arial"/>
      <family val="2"/>
    </font>
    <font>
      <b/>
      <sz val="10"/>
      <name val="MS Sans Serif"/>
      <family val="2"/>
    </font>
    <font>
      <sz val="16"/>
      <name val="Times New Roman"/>
      <family val="1"/>
    </font>
    <font>
      <b/>
      <sz val="18"/>
      <name val="Times New Roman"/>
      <family val="1"/>
    </font>
    <font>
      <u/>
      <sz val="10"/>
      <name val="Arial"/>
      <family val="2"/>
    </font>
    <font>
      <b/>
      <u/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indexed="19"/>
      <name val="Times New Roman"/>
      <family val="1"/>
    </font>
    <font>
      <b/>
      <sz val="10"/>
      <color indexed="9"/>
      <name val="Times New Roman"/>
      <family val="1"/>
    </font>
    <font>
      <sz val="10"/>
      <name val="Arial"/>
      <family val="2"/>
    </font>
    <font>
      <sz val="16"/>
      <color indexed="10"/>
      <name val="Arial"/>
      <family val="2"/>
    </font>
    <font>
      <sz val="16"/>
      <name val="Arial"/>
      <family val="2"/>
    </font>
    <font>
      <b/>
      <u val="singleAccounting"/>
      <sz val="10"/>
      <name val="Times New Roman"/>
      <family val="1"/>
    </font>
    <font>
      <sz val="10"/>
      <color theme="1"/>
      <name val="Times New Roman"/>
      <family val="2"/>
    </font>
    <font>
      <b/>
      <i/>
      <sz val="1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00B050"/>
      <name val="Times New Roman"/>
      <family val="1"/>
    </font>
    <font>
      <b/>
      <u/>
      <sz val="11"/>
      <color theme="1"/>
      <name val="Times New Roman"/>
      <family val="1"/>
    </font>
    <font>
      <u val="singleAccounting"/>
      <sz val="10"/>
      <color rgb="FF00B050"/>
      <name val="Times New Roman"/>
      <family val="1"/>
    </font>
    <font>
      <b/>
      <sz val="10"/>
      <color indexed="30"/>
      <name val="Arial"/>
      <family val="2"/>
    </font>
    <font>
      <b/>
      <sz val="11"/>
      <name val="Times New Roman"/>
      <family val="1"/>
    </font>
    <font>
      <sz val="10"/>
      <color rgb="FFFF0000"/>
      <name val="Times New Roman"/>
      <family val="1"/>
    </font>
    <font>
      <u val="singleAccounting"/>
      <sz val="10"/>
      <color rgb="FFFF0000"/>
      <name val="Times New Roman"/>
      <family val="1"/>
    </font>
    <font>
      <sz val="10"/>
      <color rgb="FF0070C0"/>
      <name val="Arial"/>
      <family val="2"/>
    </font>
    <font>
      <u/>
      <sz val="10"/>
      <color rgb="FF0070C0"/>
      <name val="Arial"/>
      <family val="2"/>
    </font>
    <font>
      <sz val="12"/>
      <color theme="1"/>
      <name val="Times New Roman"/>
      <family val="2"/>
    </font>
    <font>
      <sz val="10"/>
      <name val="Tahoma"/>
      <family val="2"/>
    </font>
    <font>
      <sz val="10"/>
      <name val="Arial"/>
      <family val="2"/>
    </font>
    <font>
      <b/>
      <sz val="10"/>
      <color indexed="39"/>
      <name val="Arial"/>
      <family val="2"/>
    </font>
    <font>
      <u val="singleAccounting"/>
      <sz val="11"/>
      <color theme="1"/>
      <name val="Times New Roman"/>
      <family val="1"/>
    </font>
  </fonts>
  <fills count="44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0"/>
      </patternFill>
    </fill>
  </fills>
  <borders count="4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31">
    <xf numFmtId="175" fontId="0" fillId="0" borderId="0"/>
    <xf numFmtId="43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5" fontId="4" fillId="0" borderId="0"/>
    <xf numFmtId="7" fontId="25" fillId="0" borderId="0"/>
    <xf numFmtId="170" fontId="39" fillId="0" borderId="0"/>
    <xf numFmtId="9" fontId="4" fillId="0" borderId="0" applyFont="0" applyFill="0" applyBorder="0" applyAlignment="0" applyProtection="0"/>
    <xf numFmtId="175" fontId="26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75" fontId="89" fillId="0" borderId="2">
      <alignment horizontal="center"/>
    </xf>
    <xf numFmtId="3" fontId="26" fillId="0" borderId="0" applyFont="0" applyFill="0" applyBorder="0" applyAlignment="0" applyProtection="0"/>
    <xf numFmtId="175" fontId="26" fillId="2" borderId="0" applyNumberFormat="0" applyFont="0" applyBorder="0" applyAlignment="0" applyProtection="0"/>
    <xf numFmtId="4" fontId="40" fillId="3" borderId="1" applyNumberFormat="0" applyProtection="0">
      <alignment vertical="center"/>
    </xf>
    <xf numFmtId="4" fontId="41" fillId="3" borderId="1" applyNumberFormat="0" applyProtection="0">
      <alignment vertical="center"/>
    </xf>
    <xf numFmtId="4" fontId="40" fillId="3" borderId="1" applyNumberFormat="0" applyProtection="0">
      <alignment horizontal="left" vertical="center" indent="1"/>
    </xf>
    <xf numFmtId="4" fontId="40" fillId="3" borderId="1" applyNumberFormat="0" applyProtection="0">
      <alignment horizontal="left" vertical="center" indent="1"/>
    </xf>
    <xf numFmtId="4" fontId="42" fillId="4" borderId="0" applyNumberFormat="0" applyProtection="0">
      <alignment horizontal="left" vertical="center" indent="1"/>
    </xf>
    <xf numFmtId="4" fontId="40" fillId="5" borderId="1" applyNumberFormat="0" applyProtection="0">
      <alignment horizontal="right" vertical="center"/>
    </xf>
    <xf numFmtId="4" fontId="40" fillId="6" borderId="1" applyNumberFormat="0" applyProtection="0">
      <alignment horizontal="right" vertical="center"/>
    </xf>
    <xf numFmtId="4" fontId="40" fillId="7" borderId="1" applyNumberFormat="0" applyProtection="0">
      <alignment horizontal="right" vertical="center"/>
    </xf>
    <xf numFmtId="4" fontId="40" fillId="8" borderId="1" applyNumberFormat="0" applyProtection="0">
      <alignment horizontal="right" vertical="center"/>
    </xf>
    <xf numFmtId="4" fontId="40" fillId="9" borderId="1" applyNumberFormat="0" applyProtection="0">
      <alignment horizontal="right" vertical="center"/>
    </xf>
    <xf numFmtId="4" fontId="40" fillId="10" borderId="1" applyNumberFormat="0" applyProtection="0">
      <alignment horizontal="right" vertical="center"/>
    </xf>
    <xf numFmtId="4" fontId="40" fillId="11" borderId="1" applyNumberFormat="0" applyProtection="0">
      <alignment horizontal="right" vertical="center"/>
    </xf>
    <xf numFmtId="4" fontId="40" fillId="12" borderId="1" applyNumberFormat="0" applyProtection="0">
      <alignment horizontal="right" vertical="center"/>
    </xf>
    <xf numFmtId="4" fontId="40" fillId="13" borderId="1" applyNumberFormat="0" applyProtection="0">
      <alignment horizontal="right" vertical="center"/>
    </xf>
    <xf numFmtId="4" fontId="42" fillId="14" borderId="3" applyNumberFormat="0" applyProtection="0">
      <alignment horizontal="left" vertical="center" indent="1"/>
    </xf>
    <xf numFmtId="4" fontId="40" fillId="15" borderId="0" applyNumberFormat="0" applyProtection="0">
      <alignment horizontal="left" vertical="center" indent="1"/>
    </xf>
    <xf numFmtId="4" fontId="43" fillId="16" borderId="0" applyNumberFormat="0" applyProtection="0">
      <alignment horizontal="left" vertical="center" indent="1"/>
    </xf>
    <xf numFmtId="175" fontId="27" fillId="17" borderId="1" applyNumberFormat="0" applyProtection="0">
      <alignment horizontal="left" vertical="center" indent="1"/>
    </xf>
    <xf numFmtId="4" fontId="44" fillId="15" borderId="0" applyNumberFormat="0" applyProtection="0">
      <alignment horizontal="left" vertical="center" indent="1"/>
    </xf>
    <xf numFmtId="4" fontId="44" fillId="4" borderId="0" applyNumberFormat="0" applyProtection="0">
      <alignment horizontal="left" vertical="center" indent="1"/>
    </xf>
    <xf numFmtId="175" fontId="4" fillId="16" borderId="4" applyNumberFormat="0" applyProtection="0">
      <alignment horizontal="left" vertical="center" indent="1"/>
    </xf>
    <xf numFmtId="175" fontId="4" fillId="18" borderId="1" applyNumberFormat="0" applyProtection="0">
      <alignment horizontal="left" vertical="center" indent="1"/>
    </xf>
    <xf numFmtId="175" fontId="4" fillId="4" borderId="4" applyNumberFormat="0" applyProtection="0">
      <alignment horizontal="left" vertical="center" indent="1"/>
    </xf>
    <xf numFmtId="175" fontId="4" fillId="19" borderId="1" applyNumberFormat="0" applyProtection="0">
      <alignment horizontal="left" vertical="center" indent="1"/>
    </xf>
    <xf numFmtId="175" fontId="4" fillId="20" borderId="4" applyNumberFormat="0" applyProtection="0">
      <alignment horizontal="left" vertical="center" indent="1"/>
    </xf>
    <xf numFmtId="175" fontId="4" fillId="21" borderId="1" applyNumberFormat="0" applyProtection="0">
      <alignment horizontal="left" vertical="center" indent="1"/>
    </xf>
    <xf numFmtId="175" fontId="4" fillId="22" borderId="4" applyNumberFormat="0" applyProtection="0">
      <alignment horizontal="left" vertical="center" indent="1"/>
    </xf>
    <xf numFmtId="175" fontId="4" fillId="17" borderId="1" applyNumberFormat="0" applyProtection="0">
      <alignment horizontal="left" vertical="center" indent="1"/>
    </xf>
    <xf numFmtId="4" fontId="40" fillId="23" borderId="1" applyNumberFormat="0" applyProtection="0">
      <alignment vertical="center"/>
    </xf>
    <xf numFmtId="4" fontId="41" fillId="23" borderId="1" applyNumberFormat="0" applyProtection="0">
      <alignment vertical="center"/>
    </xf>
    <xf numFmtId="4" fontId="40" fillId="23" borderId="1" applyNumberFormat="0" applyProtection="0">
      <alignment horizontal="left" vertical="center" indent="1"/>
    </xf>
    <xf numFmtId="4" fontId="40" fillId="23" borderId="1" applyNumberFormat="0" applyProtection="0">
      <alignment horizontal="left" vertical="center" indent="1"/>
    </xf>
    <xf numFmtId="4" fontId="40" fillId="15" borderId="4" applyNumberFormat="0" applyProtection="0">
      <alignment horizontal="right" vertical="center"/>
    </xf>
    <xf numFmtId="4" fontId="41" fillId="24" borderId="1" applyNumberFormat="0" applyProtection="0">
      <alignment horizontal="right" vertical="center"/>
    </xf>
    <xf numFmtId="4" fontId="40" fillId="25" borderId="4" applyNumberFormat="0" applyProtection="0">
      <alignment horizontal="left" vertical="center" indent="1"/>
    </xf>
    <xf numFmtId="175" fontId="40" fillId="4" borderId="4" applyNumberFormat="0" applyProtection="0">
      <alignment horizontal="left" vertical="top" indent="1"/>
    </xf>
    <xf numFmtId="4" fontId="45" fillId="26" borderId="0" applyNumberFormat="0" applyProtection="0">
      <alignment horizontal="left" vertical="center" indent="1"/>
    </xf>
    <xf numFmtId="4" fontId="38" fillId="24" borderId="1" applyNumberFormat="0" applyProtection="0">
      <alignment horizontal="right" vertical="center"/>
    </xf>
    <xf numFmtId="43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44" fontId="97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01" fillId="0" borderId="0" applyFont="0" applyFill="0" applyBorder="0" applyAlignment="0" applyProtection="0"/>
    <xf numFmtId="175" fontId="14" fillId="0" borderId="0"/>
    <xf numFmtId="175" fontId="101" fillId="0" borderId="0"/>
    <xf numFmtId="175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4" fillId="0" borderId="0"/>
    <xf numFmtId="175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5" fontId="4" fillId="0" borderId="0"/>
    <xf numFmtId="175" fontId="2" fillId="0" borderId="0"/>
    <xf numFmtId="43" fontId="2" fillId="0" borderId="0" applyFont="0" applyFill="0" applyBorder="0" applyAlignment="0" applyProtection="0"/>
    <xf numFmtId="175" fontId="116" fillId="0" borderId="0"/>
    <xf numFmtId="43" fontId="1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5" fontId="101" fillId="0" borderId="0"/>
    <xf numFmtId="175" fontId="1" fillId="0" borderId="0"/>
    <xf numFmtId="175" fontId="4" fillId="0" borderId="0"/>
    <xf numFmtId="9" fontId="4" fillId="0" borderId="0" applyFont="0" applyFill="0" applyBorder="0" applyAlignment="0" applyProtection="0"/>
    <xf numFmtId="175" fontId="117" fillId="0" borderId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41" borderId="0" applyFont="0" applyFill="0" applyBorder="0" applyAlignment="0" applyProtection="0"/>
    <xf numFmtId="3" fontId="4" fillId="41" borderId="0" applyFont="0" applyFill="0" applyBorder="0" applyAlignment="0" applyProtection="0"/>
    <xf numFmtId="44" fontId="118" fillId="0" borderId="0" applyFont="0" applyFill="0" applyBorder="0" applyAlignment="0" applyProtection="0"/>
    <xf numFmtId="5" fontId="4" fillId="41" borderId="0" applyFont="0" applyFill="0" applyBorder="0" applyAlignment="0" applyProtection="0"/>
    <xf numFmtId="5" fontId="4" fillId="41" borderId="0" applyFont="0" applyFill="0" applyBorder="0" applyAlignment="0" applyProtection="0"/>
    <xf numFmtId="175" fontId="4" fillId="41" borderId="0" applyFont="0" applyFill="0" applyBorder="0" applyAlignment="0" applyProtection="0"/>
    <xf numFmtId="175" fontId="4" fillId="41" borderId="0" applyFont="0" applyFill="0" applyBorder="0" applyAlignment="0" applyProtection="0"/>
    <xf numFmtId="2" fontId="4" fillId="41" borderId="0" applyFont="0" applyFill="0" applyBorder="0" applyAlignment="0" applyProtection="0"/>
    <xf numFmtId="2" fontId="4" fillId="41" borderId="0" applyFont="0" applyFill="0" applyBorder="0" applyAlignment="0" applyProtection="0"/>
    <xf numFmtId="175" fontId="4" fillId="0" borderId="0"/>
    <xf numFmtId="9" fontId="118" fillId="0" borderId="0" applyFont="0" applyFill="0" applyBorder="0" applyAlignment="0" applyProtection="0"/>
    <xf numFmtId="4" fontId="42" fillId="42" borderId="4" applyNumberFormat="0" applyProtection="0">
      <alignment vertical="center"/>
    </xf>
    <xf numFmtId="4" fontId="119" fillId="3" borderId="4" applyNumberFormat="0" applyProtection="0">
      <alignment vertical="center"/>
    </xf>
    <xf numFmtId="4" fontId="42" fillId="3" borderId="4" applyNumberFormat="0" applyProtection="0">
      <alignment horizontal="left" vertical="center" indent="1"/>
    </xf>
    <xf numFmtId="175" fontId="42" fillId="3" borderId="4" applyNumberFormat="0" applyProtection="0">
      <alignment horizontal="left" vertical="top" indent="1"/>
    </xf>
    <xf numFmtId="4" fontId="40" fillId="33" borderId="4" applyNumberFormat="0" applyProtection="0">
      <alignment horizontal="right" vertical="center"/>
    </xf>
    <xf numFmtId="4" fontId="40" fillId="34" borderId="4" applyNumberFormat="0" applyProtection="0">
      <alignment horizontal="right" vertical="center"/>
    </xf>
    <xf numFmtId="4" fontId="40" fillId="38" borderId="4" applyNumberFormat="0" applyProtection="0">
      <alignment horizontal="right" vertical="center"/>
    </xf>
    <xf numFmtId="4" fontId="40" fillId="36" borderId="4" applyNumberFormat="0" applyProtection="0">
      <alignment horizontal="right" vertical="center"/>
    </xf>
    <xf numFmtId="4" fontId="40" fillId="37" borderId="4" applyNumberFormat="0" applyProtection="0">
      <alignment horizontal="right" vertical="center"/>
    </xf>
    <xf numFmtId="4" fontId="40" fillId="40" borderId="4" applyNumberFormat="0" applyProtection="0">
      <alignment horizontal="right" vertical="center"/>
    </xf>
    <xf numFmtId="4" fontId="40" fillId="39" borderId="4" applyNumberFormat="0" applyProtection="0">
      <alignment horizontal="right" vertical="center"/>
    </xf>
    <xf numFmtId="4" fontId="40" fillId="43" borderId="4" applyNumberFormat="0" applyProtection="0">
      <alignment horizontal="right" vertical="center"/>
    </xf>
    <xf numFmtId="4" fontId="40" fillId="35" borderId="4" applyNumberFormat="0" applyProtection="0">
      <alignment horizontal="right" vertical="center"/>
    </xf>
    <xf numFmtId="4" fontId="40" fillId="25" borderId="4" applyNumberFormat="0" applyProtection="0">
      <alignment horizontal="right" vertical="center"/>
    </xf>
    <xf numFmtId="4" fontId="40" fillId="15" borderId="0" applyNumberFormat="0" applyProtection="0">
      <alignment horizontal="left" vertical="center" indent="1"/>
    </xf>
    <xf numFmtId="4" fontId="40" fillId="4" borderId="0" applyNumberFormat="0" applyProtection="0">
      <alignment horizontal="left" vertical="center" indent="1"/>
    </xf>
    <xf numFmtId="175" fontId="4" fillId="16" borderId="4" applyNumberFormat="0" applyProtection="0">
      <alignment horizontal="left" vertical="center" indent="1"/>
    </xf>
    <xf numFmtId="175" fontId="4" fillId="16" borderId="4" applyNumberFormat="0" applyProtection="0">
      <alignment horizontal="left" vertical="top" indent="1"/>
    </xf>
    <xf numFmtId="175" fontId="4" fillId="16" borderId="4" applyNumberFormat="0" applyProtection="0">
      <alignment horizontal="left" vertical="top" indent="1"/>
    </xf>
    <xf numFmtId="175" fontId="4" fillId="4" borderId="4" applyNumberFormat="0" applyProtection="0">
      <alignment horizontal="left" vertical="center" indent="1"/>
    </xf>
    <xf numFmtId="175" fontId="4" fillId="4" borderId="4" applyNumberFormat="0" applyProtection="0">
      <alignment horizontal="left" vertical="top" indent="1"/>
    </xf>
    <xf numFmtId="175" fontId="4" fillId="4" borderId="4" applyNumberFormat="0" applyProtection="0">
      <alignment horizontal="left" vertical="top" indent="1"/>
    </xf>
    <xf numFmtId="175" fontId="4" fillId="20" borderId="4" applyNumberFormat="0" applyProtection="0">
      <alignment horizontal="left" vertical="center" indent="1"/>
    </xf>
    <xf numFmtId="175" fontId="4" fillId="20" borderId="4" applyNumberFormat="0" applyProtection="0">
      <alignment horizontal="left" vertical="top" indent="1"/>
    </xf>
    <xf numFmtId="175" fontId="4" fillId="20" borderId="4" applyNumberFormat="0" applyProtection="0">
      <alignment horizontal="left" vertical="top" indent="1"/>
    </xf>
    <xf numFmtId="175" fontId="4" fillId="22" borderId="4" applyNumberFormat="0" applyProtection="0">
      <alignment horizontal="left" vertical="center" indent="1"/>
    </xf>
    <xf numFmtId="175" fontId="4" fillId="22" borderId="4" applyNumberFormat="0" applyProtection="0">
      <alignment horizontal="left" vertical="top" indent="1"/>
    </xf>
    <xf numFmtId="175" fontId="4" fillId="22" borderId="4" applyNumberFormat="0" applyProtection="0">
      <alignment horizontal="left" vertical="top" indent="1"/>
    </xf>
    <xf numFmtId="4" fontId="40" fillId="23" borderId="4" applyNumberFormat="0" applyProtection="0">
      <alignment vertical="center"/>
    </xf>
    <xf numFmtId="4" fontId="41" fillId="23" borderId="4" applyNumberFormat="0" applyProtection="0">
      <alignment vertical="center"/>
    </xf>
    <xf numFmtId="4" fontId="40" fillId="23" borderId="4" applyNumberFormat="0" applyProtection="0">
      <alignment horizontal="left" vertical="center" indent="1"/>
    </xf>
    <xf numFmtId="175" fontId="40" fillId="23" borderId="4" applyNumberFormat="0" applyProtection="0">
      <alignment horizontal="left" vertical="top" indent="1"/>
    </xf>
    <xf numFmtId="4" fontId="41" fillId="15" borderId="4" applyNumberFormat="0" applyProtection="0">
      <alignment horizontal="right" vertical="center"/>
    </xf>
    <xf numFmtId="4" fontId="38" fillId="15" borderId="4" applyNumberFormat="0" applyProtection="0">
      <alignment horizontal="right" vertical="center"/>
    </xf>
    <xf numFmtId="175" fontId="4" fillId="0" borderId="0"/>
    <xf numFmtId="175" fontId="4" fillId="0" borderId="0"/>
  </cellStyleXfs>
  <cellXfs count="896">
    <xf numFmtId="175" fontId="0" fillId="0" borderId="0" xfId="0"/>
    <xf numFmtId="175" fontId="0" fillId="3" borderId="0" xfId="0" applyFill="1"/>
    <xf numFmtId="175" fontId="0" fillId="0" borderId="0" xfId="0" applyAlignment="1">
      <alignment horizontal="center"/>
    </xf>
    <xf numFmtId="175" fontId="0" fillId="0" borderId="0" xfId="0" applyAlignment="1">
      <alignment horizontal="left"/>
    </xf>
    <xf numFmtId="49" fontId="7" fillId="23" borderId="7" xfId="0" applyNumberFormat="1" applyFont="1" applyFill="1" applyBorder="1" applyAlignment="1" applyProtection="1">
      <alignment horizontal="center"/>
    </xf>
    <xf numFmtId="49" fontId="7" fillId="21" borderId="7" xfId="0" applyNumberFormat="1" applyFont="1" applyFill="1" applyBorder="1" applyAlignment="1" applyProtection="1">
      <alignment horizontal="center"/>
    </xf>
    <xf numFmtId="49" fontId="7" fillId="0" borderId="7" xfId="0" applyNumberFormat="1" applyFont="1" applyFill="1" applyBorder="1" applyAlignment="1" applyProtection="1">
      <alignment horizontal="center"/>
    </xf>
    <xf numFmtId="49" fontId="7" fillId="23" borderId="0" xfId="0" applyNumberFormat="1" applyFont="1" applyFill="1" applyBorder="1" applyAlignment="1" applyProtection="1">
      <alignment horizontal="center"/>
    </xf>
    <xf numFmtId="49" fontId="7" fillId="21" borderId="0" xfId="0" applyNumberFormat="1" applyFont="1" applyFill="1" applyBorder="1" applyAlignment="1" applyProtection="1">
      <alignment horizontal="center"/>
    </xf>
    <xf numFmtId="49" fontId="7" fillId="0" borderId="0" xfId="0" applyNumberFormat="1" applyFont="1" applyFill="1" applyBorder="1" applyAlignment="1" applyProtection="1">
      <alignment horizontal="center"/>
    </xf>
    <xf numFmtId="1" fontId="7" fillId="23" borderId="0" xfId="0" applyNumberFormat="1" applyFont="1" applyFill="1" applyBorder="1" applyAlignment="1" applyProtection="1">
      <alignment horizontal="center" wrapText="1"/>
    </xf>
    <xf numFmtId="175" fontId="14" fillId="0" borderId="0" xfId="0" applyFont="1"/>
    <xf numFmtId="164" fontId="14" fillId="0" borderId="0" xfId="1" applyNumberFormat="1" applyFont="1"/>
    <xf numFmtId="164" fontId="4" fillId="0" borderId="0" xfId="1" applyNumberFormat="1" applyFont="1"/>
    <xf numFmtId="49" fontId="9" fillId="28" borderId="7" xfId="0" applyNumberFormat="1" applyFont="1" applyFill="1" applyBorder="1" applyAlignment="1" applyProtection="1">
      <alignment horizontal="center" wrapText="1"/>
    </xf>
    <xf numFmtId="49" fontId="9" fillId="28" borderId="0" xfId="0" applyNumberFormat="1" applyFont="1" applyFill="1" applyBorder="1" applyAlignment="1" applyProtection="1">
      <alignment horizontal="center" wrapText="1"/>
    </xf>
    <xf numFmtId="10" fontId="4" fillId="0" borderId="0" xfId="7" applyNumberFormat="1" applyAlignment="1">
      <alignment horizontal="center"/>
    </xf>
    <xf numFmtId="164" fontId="4" fillId="0" borderId="0" xfId="1" applyNumberFormat="1"/>
    <xf numFmtId="164" fontId="28" fillId="0" borderId="0" xfId="1" applyNumberFormat="1" applyFont="1"/>
    <xf numFmtId="164" fontId="29" fillId="0" borderId="0" xfId="1" applyNumberFormat="1" applyFont="1"/>
    <xf numFmtId="10" fontId="29" fillId="0" borderId="0" xfId="7" applyNumberFormat="1" applyFont="1"/>
    <xf numFmtId="10" fontId="4" fillId="0" borderId="0" xfId="7" applyNumberFormat="1"/>
    <xf numFmtId="10" fontId="30" fillId="0" borderId="0" xfId="7" applyNumberFormat="1" applyFont="1"/>
    <xf numFmtId="175" fontId="31" fillId="0" borderId="0" xfId="0" quotePrefix="1" applyFont="1" applyAlignment="1">
      <alignment horizontal="left"/>
    </xf>
    <xf numFmtId="175" fontId="5" fillId="0" borderId="0" xfId="0" applyFont="1" applyFill="1"/>
    <xf numFmtId="175" fontId="5" fillId="0" borderId="0" xfId="0" applyFont="1" applyFill="1" applyAlignment="1">
      <alignment horizontal="center"/>
    </xf>
    <xf numFmtId="10" fontId="5" fillId="0" borderId="0" xfId="7" applyNumberFormat="1" applyFont="1" applyFill="1" applyAlignment="1">
      <alignment horizontal="center"/>
    </xf>
    <xf numFmtId="175" fontId="0" fillId="0" borderId="0" xfId="0" applyFill="1" applyAlignment="1">
      <alignment horizontal="center"/>
    </xf>
    <xf numFmtId="10" fontId="4" fillId="0" borderId="0" xfId="7" applyNumberFormat="1" applyFill="1" applyAlignment="1">
      <alignment horizontal="center"/>
    </xf>
    <xf numFmtId="175" fontId="0" fillId="0" borderId="0" xfId="0" applyFill="1"/>
    <xf numFmtId="10" fontId="30" fillId="19" borderId="0" xfId="7" applyNumberFormat="1" applyFont="1" applyFill="1"/>
    <xf numFmtId="10" fontId="29" fillId="19" borderId="0" xfId="7" applyNumberFormat="1" applyFont="1" applyFill="1"/>
    <xf numFmtId="175" fontId="0" fillId="19" borderId="0" xfId="0" applyFill="1" applyAlignment="1">
      <alignment horizontal="right"/>
    </xf>
    <xf numFmtId="10" fontId="32" fillId="0" borderId="0" xfId="7" applyNumberFormat="1" applyFont="1"/>
    <xf numFmtId="10" fontId="4" fillId="19" borderId="0" xfId="7" applyNumberFormat="1" applyFill="1"/>
    <xf numFmtId="10" fontId="6" fillId="0" borderId="0" xfId="7" applyNumberFormat="1" applyFont="1" applyFill="1" applyAlignment="1">
      <alignment horizontal="center"/>
    </xf>
    <xf numFmtId="175" fontId="14" fillId="0" borderId="0" xfId="0" applyFont="1" applyFill="1"/>
    <xf numFmtId="175" fontId="14" fillId="0" borderId="0" xfId="0" applyFont="1" applyFill="1" applyBorder="1"/>
    <xf numFmtId="175" fontId="0" fillId="0" borderId="0" xfId="0" applyBorder="1"/>
    <xf numFmtId="175" fontId="5" fillId="0" borderId="0" xfId="0" applyFont="1"/>
    <xf numFmtId="175" fontId="5" fillId="0" borderId="0" xfId="0" applyFont="1" applyAlignment="1">
      <alignment horizontal="center"/>
    </xf>
    <xf numFmtId="175" fontId="14" fillId="0" borderId="0" xfId="0" applyFont="1" applyFill="1" applyAlignment="1">
      <alignment horizontal="center"/>
    </xf>
    <xf numFmtId="3" fontId="0" fillId="0" borderId="0" xfId="0" applyNumberFormat="1"/>
    <xf numFmtId="175" fontId="37" fillId="0" borderId="0" xfId="0" applyFont="1" applyAlignment="1">
      <alignment horizontal="left"/>
    </xf>
    <xf numFmtId="164" fontId="4" fillId="21" borderId="0" xfId="1" applyNumberFormat="1" applyFill="1"/>
    <xf numFmtId="164" fontId="37" fillId="0" borderId="0" xfId="1" applyNumberFormat="1" applyFont="1"/>
    <xf numFmtId="164" fontId="37" fillId="21" borderId="0" xfId="1" applyNumberFormat="1" applyFont="1" applyFill="1"/>
    <xf numFmtId="175" fontId="0" fillId="0" borderId="7" xfId="0" applyBorder="1"/>
    <xf numFmtId="164" fontId="4" fillId="0" borderId="7" xfId="1" applyNumberFormat="1" applyBorder="1"/>
    <xf numFmtId="175" fontId="5" fillId="0" borderId="0" xfId="0" applyFont="1" applyFill="1" applyBorder="1"/>
    <xf numFmtId="164" fontId="5" fillId="0" borderId="0" xfId="1" applyNumberFormat="1" applyFont="1"/>
    <xf numFmtId="3" fontId="4" fillId="0" borderId="0" xfId="3" applyNumberFormat="1"/>
    <xf numFmtId="3" fontId="4" fillId="0" borderId="7" xfId="3" applyNumberFormat="1" applyBorder="1"/>
    <xf numFmtId="3" fontId="5" fillId="0" borderId="0" xfId="0" applyNumberFormat="1" applyFont="1"/>
    <xf numFmtId="44" fontId="5" fillId="0" borderId="0" xfId="0" applyNumberFormat="1" applyFont="1"/>
    <xf numFmtId="175" fontId="5" fillId="3" borderId="0" xfId="0" applyFont="1" applyFill="1" applyBorder="1"/>
    <xf numFmtId="175" fontId="5" fillId="3" borderId="0" xfId="0" applyFont="1" applyFill="1"/>
    <xf numFmtId="37" fontId="14" fillId="3" borderId="0" xfId="0" applyNumberFormat="1" applyFont="1" applyFill="1"/>
    <xf numFmtId="175" fontId="5" fillId="3" borderId="7" xfId="0" applyFont="1" applyFill="1" applyBorder="1"/>
    <xf numFmtId="37" fontId="14" fillId="3" borderId="7" xfId="0" applyNumberFormat="1" applyFont="1" applyFill="1" applyBorder="1"/>
    <xf numFmtId="37" fontId="5" fillId="3" borderId="0" xfId="0" applyNumberFormat="1" applyFont="1" applyFill="1"/>
    <xf numFmtId="3" fontId="14" fillId="3" borderId="0" xfId="0" applyNumberFormat="1" applyFont="1" applyFill="1"/>
    <xf numFmtId="175" fontId="0" fillId="3" borderId="7" xfId="0" applyFill="1" applyBorder="1"/>
    <xf numFmtId="3" fontId="14" fillId="3" borderId="7" xfId="0" applyNumberFormat="1" applyFont="1" applyFill="1" applyBorder="1"/>
    <xf numFmtId="3" fontId="5" fillId="3" borderId="0" xfId="0" applyNumberFormat="1" applyFont="1" applyFill="1"/>
    <xf numFmtId="3" fontId="5" fillId="0" borderId="0" xfId="0" applyNumberFormat="1" applyFont="1" applyAlignment="1">
      <alignment horizontal="center"/>
    </xf>
    <xf numFmtId="3" fontId="5" fillId="0" borderId="0" xfId="3" applyNumberFormat="1" applyFont="1"/>
    <xf numFmtId="3" fontId="14" fillId="3" borderId="0" xfId="3" applyNumberFormat="1" applyFont="1" applyFill="1"/>
    <xf numFmtId="3" fontId="14" fillId="3" borderId="7" xfId="3" applyNumberFormat="1" applyFont="1" applyFill="1" applyBorder="1"/>
    <xf numFmtId="3" fontId="5" fillId="3" borderId="0" xfId="3" applyNumberFormat="1" applyFont="1" applyFill="1"/>
    <xf numFmtId="175" fontId="14" fillId="0" borderId="7" xfId="0" applyFont="1" applyBorder="1"/>
    <xf numFmtId="164" fontId="14" fillId="0" borderId="7" xfId="1" applyNumberFormat="1" applyFont="1" applyBorder="1"/>
    <xf numFmtId="175" fontId="0" fillId="0" borderId="0" xfId="0" applyNumberFormat="1" applyFill="1"/>
    <xf numFmtId="175" fontId="14" fillId="0" borderId="0" xfId="0" applyNumberFormat="1" applyFont="1" applyFill="1"/>
    <xf numFmtId="164" fontId="77" fillId="0" borderId="0" xfId="1" applyNumberFormat="1" applyFont="1"/>
    <xf numFmtId="164" fontId="78" fillId="0" borderId="0" xfId="1" applyNumberFormat="1" applyFont="1"/>
    <xf numFmtId="165" fontId="79" fillId="0" borderId="0" xfId="7" applyNumberFormat="1" applyFont="1" applyFill="1"/>
    <xf numFmtId="10" fontId="4" fillId="0" borderId="0" xfId="7" applyNumberFormat="1" applyFill="1"/>
    <xf numFmtId="10" fontId="4" fillId="0" borderId="0" xfId="7" applyNumberFormat="1" applyFont="1"/>
    <xf numFmtId="14" fontId="14" fillId="0" borderId="0" xfId="0" applyNumberFormat="1" applyFont="1" applyFill="1" applyAlignment="1">
      <alignment horizontal="left"/>
    </xf>
    <xf numFmtId="175" fontId="33" fillId="0" borderId="0" xfId="0" applyFont="1" applyFill="1" applyAlignment="1">
      <alignment horizontal="center"/>
    </xf>
    <xf numFmtId="1" fontId="14" fillId="0" borderId="0" xfId="0" applyNumberFormat="1" applyFont="1" applyFill="1" applyAlignment="1">
      <alignment horizontal="center"/>
    </xf>
    <xf numFmtId="1" fontId="5" fillId="0" borderId="0" xfId="0" applyNumberFormat="1" applyFont="1" applyFill="1" applyAlignment="1">
      <alignment horizontal="center"/>
    </xf>
    <xf numFmtId="49" fontId="14" fillId="0" borderId="0" xfId="0" applyNumberFormat="1" applyFont="1" applyFill="1"/>
    <xf numFmtId="39" fontId="14" fillId="0" borderId="0" xfId="0" applyNumberFormat="1" applyFont="1" applyFill="1"/>
    <xf numFmtId="4" fontId="14" fillId="0" borderId="0" xfId="0" applyNumberFormat="1" applyFont="1" applyFill="1"/>
    <xf numFmtId="4" fontId="14" fillId="0" borderId="0" xfId="0" applyNumberFormat="1" applyFont="1" applyFill="1" applyBorder="1"/>
    <xf numFmtId="39" fontId="5" fillId="0" borderId="14" xfId="0" applyNumberFormat="1" applyFont="1" applyFill="1" applyBorder="1"/>
    <xf numFmtId="164" fontId="4" fillId="0" borderId="0" xfId="7" applyNumberFormat="1"/>
    <xf numFmtId="164" fontId="81" fillId="0" borderId="0" xfId="7" applyNumberFormat="1" applyFont="1"/>
    <xf numFmtId="10" fontId="81" fillId="0" borderId="0" xfId="7" applyNumberFormat="1" applyFont="1"/>
    <xf numFmtId="164" fontId="7" fillId="27" borderId="16" xfId="1" applyNumberFormat="1" applyFont="1" applyFill="1" applyBorder="1" applyAlignment="1" applyProtection="1">
      <alignment horizontal="center"/>
    </xf>
    <xf numFmtId="164" fontId="7" fillId="13" borderId="7" xfId="1" applyNumberFormat="1" applyFont="1" applyFill="1" applyBorder="1" applyAlignment="1" applyProtection="1">
      <alignment horizontal="center"/>
    </xf>
    <xf numFmtId="164" fontId="7" fillId="13" borderId="0" xfId="1" applyNumberFormat="1" applyFont="1" applyFill="1" applyBorder="1" applyAlignment="1" applyProtection="1">
      <alignment horizontal="center"/>
    </xf>
    <xf numFmtId="1" fontId="7" fillId="13" borderId="0" xfId="1" applyNumberFormat="1" applyFont="1" applyFill="1" applyBorder="1" applyAlignment="1" applyProtection="1">
      <alignment horizontal="center"/>
    </xf>
    <xf numFmtId="164" fontId="7" fillId="13" borderId="7" xfId="1" applyNumberFormat="1" applyFont="1" applyFill="1" applyBorder="1" applyAlignment="1" applyProtection="1">
      <alignment horizontal="center" wrapText="1"/>
    </xf>
    <xf numFmtId="164" fontId="7" fillId="13" borderId="17" xfId="1" applyNumberFormat="1" applyFont="1" applyFill="1" applyBorder="1" applyAlignment="1" applyProtection="1">
      <alignment horizontal="center"/>
    </xf>
    <xf numFmtId="164" fontId="7" fillId="13" borderId="11" xfId="1" applyNumberFormat="1" applyFont="1" applyFill="1" applyBorder="1" applyAlignment="1" applyProtection="1">
      <alignment horizontal="center"/>
    </xf>
    <xf numFmtId="164" fontId="7" fillId="13" borderId="0" xfId="1" applyNumberFormat="1" applyFont="1" applyFill="1" applyBorder="1" applyAlignment="1" applyProtection="1">
      <alignment horizontal="center" wrapText="1"/>
    </xf>
    <xf numFmtId="164" fontId="7" fillId="13" borderId="18" xfId="1" applyNumberFormat="1" applyFont="1" applyFill="1" applyBorder="1" applyAlignment="1" applyProtection="1">
      <alignment horizontal="center"/>
    </xf>
    <xf numFmtId="1" fontId="7" fillId="13" borderId="11" xfId="1" applyNumberFormat="1" applyFont="1" applyFill="1" applyBorder="1" applyAlignment="1" applyProtection="1">
      <alignment horizontal="center"/>
    </xf>
    <xf numFmtId="1" fontId="7" fillId="13" borderId="0" xfId="1" applyNumberFormat="1" applyFont="1" applyFill="1" applyBorder="1" applyAlignment="1" applyProtection="1">
      <alignment horizontal="center" wrapText="1"/>
    </xf>
    <xf numFmtId="1" fontId="7" fillId="13" borderId="19" xfId="1" applyNumberFormat="1" applyFont="1" applyFill="1" applyBorder="1" applyAlignment="1" applyProtection="1">
      <alignment horizontal="center"/>
    </xf>
    <xf numFmtId="164" fontId="92" fillId="0" borderId="0" xfId="1" applyNumberFormat="1" applyFont="1"/>
    <xf numFmtId="164" fontId="7" fillId="27" borderId="12" xfId="1" applyNumberFormat="1" applyFont="1" applyFill="1" applyBorder="1" applyAlignment="1" applyProtection="1">
      <alignment horizontal="center"/>
    </xf>
    <xf numFmtId="1" fontId="7" fillId="27" borderId="12" xfId="1" applyNumberFormat="1" applyFont="1" applyFill="1" applyBorder="1" applyAlignment="1" applyProtection="1">
      <alignment horizontal="center"/>
    </xf>
    <xf numFmtId="164" fontId="10" fillId="31" borderId="0" xfId="1" applyNumberFormat="1" applyFont="1" applyFill="1" applyProtection="1"/>
    <xf numFmtId="175" fontId="6" fillId="31" borderId="0" xfId="0" applyFont="1" applyFill="1"/>
    <xf numFmtId="175" fontId="5" fillId="31" borderId="0" xfId="0" applyFont="1" applyFill="1"/>
    <xf numFmtId="175" fontId="49" fillId="32" borderId="20" xfId="0" applyFont="1" applyFill="1" applyBorder="1"/>
    <xf numFmtId="175" fontId="49" fillId="32" borderId="24" xfId="0" applyFont="1" applyFill="1" applyBorder="1"/>
    <xf numFmtId="175" fontId="49" fillId="32" borderId="0" xfId="0" applyFont="1" applyFill="1" applyBorder="1"/>
    <xf numFmtId="164" fontId="49" fillId="32" borderId="0" xfId="0" applyNumberFormat="1" applyFont="1" applyFill="1" applyBorder="1"/>
    <xf numFmtId="175" fontId="49" fillId="32" borderId="41" xfId="0" applyFont="1" applyFill="1" applyBorder="1"/>
    <xf numFmtId="164" fontId="49" fillId="32" borderId="2" xfId="0" applyNumberFormat="1" applyFont="1" applyFill="1" applyBorder="1"/>
    <xf numFmtId="17" fontId="56" fillId="32" borderId="21" xfId="0" applyNumberFormat="1" applyFont="1" applyFill="1" applyBorder="1"/>
    <xf numFmtId="175" fontId="10" fillId="31" borderId="0" xfId="0" applyFont="1" applyFill="1" applyAlignment="1">
      <alignment horizontal="center" vertical="center" wrapText="1"/>
    </xf>
    <xf numFmtId="175" fontId="10" fillId="31" borderId="0" xfId="0" applyFont="1" applyFill="1" applyAlignment="1">
      <alignment vertical="center" wrapText="1"/>
    </xf>
    <xf numFmtId="164" fontId="10" fillId="31" borderId="0" xfId="1" applyNumberFormat="1" applyFont="1" applyFill="1" applyAlignment="1">
      <alignment horizontal="center" vertical="center" wrapText="1"/>
    </xf>
    <xf numFmtId="175" fontId="10" fillId="31" borderId="0" xfId="0" applyNumberFormat="1" applyFont="1" applyFill="1" applyAlignment="1">
      <alignment horizontal="center" vertical="center" wrapText="1"/>
    </xf>
    <xf numFmtId="175" fontId="13" fillId="31" borderId="0" xfId="0" applyNumberFormat="1" applyFont="1" applyFill="1" applyAlignment="1">
      <alignment horizontal="center" vertical="center"/>
    </xf>
    <xf numFmtId="164" fontId="10" fillId="31" borderId="0" xfId="1" applyNumberFormat="1" applyFont="1" applyFill="1" applyAlignment="1">
      <alignment horizontal="center" vertical="center"/>
    </xf>
    <xf numFmtId="175" fontId="10" fillId="31" borderId="0" xfId="0" applyFont="1" applyFill="1" applyAlignment="1">
      <alignment horizontal="center" vertical="center"/>
    </xf>
    <xf numFmtId="175" fontId="10" fillId="31" borderId="0" xfId="7" applyNumberFormat="1" applyFont="1" applyFill="1" applyAlignment="1">
      <alignment horizontal="center" vertical="center" wrapText="1"/>
    </xf>
    <xf numFmtId="165" fontId="10" fillId="31" borderId="0" xfId="7" applyNumberFormat="1" applyFont="1" applyFill="1" applyAlignment="1">
      <alignment horizontal="center" vertical="center"/>
    </xf>
    <xf numFmtId="175" fontId="10" fillId="31" borderId="0" xfId="0" applyFont="1" applyFill="1" applyAlignment="1">
      <alignment vertical="center"/>
    </xf>
    <xf numFmtId="7" fontId="10" fillId="31" borderId="0" xfId="5" applyFont="1" applyFill="1" applyBorder="1" applyProtection="1"/>
    <xf numFmtId="175" fontId="108" fillId="31" borderId="0" xfId="60" applyFont="1" applyFill="1"/>
    <xf numFmtId="175" fontId="104" fillId="31" borderId="0" xfId="60" applyFont="1" applyFill="1"/>
    <xf numFmtId="175" fontId="49" fillId="31" borderId="0" xfId="1" applyNumberFormat="1" applyFont="1" applyFill="1" applyAlignment="1">
      <alignment horizontal="left"/>
    </xf>
    <xf numFmtId="1" fontId="46" fillId="31" borderId="0" xfId="1" applyNumberFormat="1" applyFont="1" applyFill="1" applyAlignment="1">
      <alignment horizontal="center"/>
    </xf>
    <xf numFmtId="164" fontId="56" fillId="31" borderId="0" xfId="1" applyNumberFormat="1" applyFont="1" applyFill="1" applyAlignment="1"/>
    <xf numFmtId="175" fontId="49" fillId="31" borderId="0" xfId="4" applyFont="1" applyFill="1" applyAlignment="1"/>
    <xf numFmtId="175" fontId="0" fillId="31" borderId="0" xfId="0" applyFill="1"/>
    <xf numFmtId="175" fontId="4" fillId="31" borderId="0" xfId="0" applyFont="1" applyFill="1"/>
    <xf numFmtId="175" fontId="49" fillId="31" borderId="0" xfId="0" applyFont="1" applyFill="1"/>
    <xf numFmtId="164" fontId="56" fillId="31" borderId="0" xfId="52" applyNumberFormat="1" applyFont="1" applyFill="1" applyAlignment="1"/>
    <xf numFmtId="164" fontId="49" fillId="31" borderId="0" xfId="1" applyNumberFormat="1" applyFont="1" applyFill="1"/>
    <xf numFmtId="164" fontId="56" fillId="31" borderId="0" xfId="1" applyNumberFormat="1" applyFont="1" applyFill="1"/>
    <xf numFmtId="166" fontId="62" fillId="31" borderId="0" xfId="3" applyNumberFormat="1" applyFont="1" applyFill="1"/>
    <xf numFmtId="164" fontId="76" fillId="0" borderId="0" xfId="7" applyNumberFormat="1" applyFont="1"/>
    <xf numFmtId="164" fontId="76" fillId="0" borderId="0" xfId="1" applyNumberFormat="1" applyFont="1"/>
    <xf numFmtId="164" fontId="49" fillId="32" borderId="0" xfId="1" applyNumberFormat="1" applyFont="1" applyFill="1" applyBorder="1"/>
    <xf numFmtId="175" fontId="53" fillId="32" borderId="0" xfId="0" applyFont="1" applyFill="1"/>
    <xf numFmtId="17" fontId="56" fillId="32" borderId="0" xfId="0" applyNumberFormat="1" applyFont="1" applyFill="1" applyBorder="1"/>
    <xf numFmtId="175" fontId="49" fillId="32" borderId="21" xfId="0" applyFont="1" applyFill="1" applyBorder="1"/>
    <xf numFmtId="164" fontId="49" fillId="32" borderId="2" xfId="1" applyNumberFormat="1" applyFont="1" applyFill="1" applyBorder="1"/>
    <xf numFmtId="166" fontId="49" fillId="31" borderId="0" xfId="3" applyNumberFormat="1" applyFont="1" applyFill="1" applyAlignment="1"/>
    <xf numFmtId="175" fontId="49" fillId="31" borderId="0" xfId="0" applyNumberFormat="1" applyFont="1" applyFill="1"/>
    <xf numFmtId="175" fontId="104" fillId="0" borderId="0" xfId="68" applyFont="1"/>
    <xf numFmtId="17" fontId="104" fillId="0" borderId="0" xfId="68" applyNumberFormat="1" applyFont="1"/>
    <xf numFmtId="43" fontId="104" fillId="0" borderId="0" xfId="69" applyFont="1"/>
    <xf numFmtId="43" fontId="104" fillId="0" borderId="0" xfId="68" applyNumberFormat="1" applyFont="1"/>
    <xf numFmtId="175" fontId="2" fillId="0" borderId="0" xfId="68"/>
    <xf numFmtId="175" fontId="0" fillId="0" borderId="0" xfId="0" applyAlignment="1">
      <alignment horizontal="left"/>
    </xf>
    <xf numFmtId="175" fontId="4" fillId="0" borderId="0" xfId="0" applyFont="1" applyAlignment="1">
      <alignment horizontal="left"/>
    </xf>
    <xf numFmtId="175" fontId="0" fillId="0" borderId="0" xfId="0" applyAlignment="1">
      <alignment horizontal="left"/>
    </xf>
    <xf numFmtId="175" fontId="34" fillId="0" borderId="0" xfId="0" applyFont="1" applyAlignment="1">
      <alignment horizontal="right"/>
    </xf>
    <xf numFmtId="164" fontId="34" fillId="0" borderId="0" xfId="1" applyNumberFormat="1" applyFont="1"/>
    <xf numFmtId="10" fontId="23" fillId="0" borderId="0" xfId="7" applyNumberFormat="1" applyFont="1"/>
    <xf numFmtId="43" fontId="10" fillId="31" borderId="0" xfId="0" applyNumberFormat="1" applyFont="1" applyFill="1" applyAlignment="1">
      <alignment vertical="center"/>
    </xf>
    <xf numFmtId="164" fontId="10" fillId="31" borderId="0" xfId="0" applyNumberFormat="1" applyFont="1" applyFill="1" applyAlignment="1">
      <alignment vertical="center"/>
    </xf>
    <xf numFmtId="175" fontId="10" fillId="31" borderId="0" xfId="0" applyNumberFormat="1" applyFont="1" applyFill="1" applyAlignment="1" applyProtection="1">
      <alignment horizontal="center" vertical="center"/>
    </xf>
    <xf numFmtId="175" fontId="10" fillId="31" borderId="0" xfId="5" applyNumberFormat="1" applyFont="1" applyFill="1" applyBorder="1" applyAlignment="1" applyProtection="1">
      <alignment horizontal="center" vertical="center"/>
    </xf>
    <xf numFmtId="175" fontId="5" fillId="31" borderId="0" xfId="0" applyNumberFormat="1" applyFont="1" applyFill="1"/>
    <xf numFmtId="175" fontId="0" fillId="31" borderId="0" xfId="0" applyNumberFormat="1" applyFill="1"/>
    <xf numFmtId="175" fontId="104" fillId="31" borderId="0" xfId="60" applyNumberFormat="1" applyFont="1" applyFill="1"/>
    <xf numFmtId="10" fontId="0" fillId="0" borderId="0" xfId="7" applyNumberFormat="1" applyFont="1" applyFill="1"/>
    <xf numFmtId="164" fontId="104" fillId="31" borderId="0" xfId="1" applyNumberFormat="1" applyFont="1" applyFill="1"/>
    <xf numFmtId="175" fontId="10" fillId="31" borderId="0" xfId="0" applyNumberFormat="1" applyFont="1" applyFill="1" applyAlignment="1">
      <alignment vertical="center" wrapText="1"/>
    </xf>
    <xf numFmtId="175" fontId="10" fillId="31" borderId="0" xfId="0" applyNumberFormat="1" applyFont="1" applyFill="1" applyAlignment="1">
      <alignment horizontal="center" vertical="center"/>
    </xf>
    <xf numFmtId="175" fontId="80" fillId="32" borderId="0" xfId="0" applyFont="1" applyFill="1" applyBorder="1"/>
    <xf numFmtId="175" fontId="14" fillId="32" borderId="0" xfId="0" applyFont="1" applyFill="1" applyBorder="1"/>
    <xf numFmtId="175" fontId="0" fillId="0" borderId="0" xfId="0" applyNumberFormat="1" applyAlignment="1">
      <alignment vertical="top"/>
    </xf>
    <xf numFmtId="175" fontId="0" fillId="21" borderId="40" xfId="0" applyNumberFormat="1" applyFill="1" applyBorder="1" applyAlignment="1">
      <alignment vertical="top"/>
    </xf>
    <xf numFmtId="2" fontId="0" fillId="0" borderId="0" xfId="0" applyNumberFormat="1" applyAlignment="1">
      <alignment horizontal="right" vertical="top"/>
    </xf>
    <xf numFmtId="175" fontId="49" fillId="32" borderId="0" xfId="0" applyFont="1" applyFill="1"/>
    <xf numFmtId="17" fontId="56" fillId="32" borderId="39" xfId="0" applyNumberFormat="1" applyFont="1" applyFill="1" applyBorder="1"/>
    <xf numFmtId="175" fontId="49" fillId="32" borderId="27" xfId="0" applyFont="1" applyFill="1" applyBorder="1"/>
    <xf numFmtId="164" fontId="49" fillId="32" borderId="27" xfId="0" applyNumberFormat="1" applyFont="1" applyFill="1" applyBorder="1"/>
    <xf numFmtId="164" fontId="49" fillId="32" borderId="35" xfId="0" applyNumberFormat="1" applyFont="1" applyFill="1" applyBorder="1"/>
    <xf numFmtId="0" fontId="7" fillId="23" borderId="6" xfId="0" applyNumberFormat="1" applyFont="1" applyFill="1" applyBorder="1" applyAlignment="1" applyProtection="1">
      <alignment horizontal="centerContinuous"/>
    </xf>
    <xf numFmtId="0" fontId="7" fillId="23" borderId="8" xfId="0" applyNumberFormat="1" applyFont="1" applyFill="1" applyBorder="1" applyAlignment="1" applyProtection="1">
      <alignment horizontal="center" wrapText="1"/>
    </xf>
    <xf numFmtId="0" fontId="7" fillId="23" borderId="11" xfId="0" applyNumberFormat="1" applyFont="1" applyFill="1" applyBorder="1" applyAlignment="1" applyProtection="1">
      <alignment horizontal="center" wrapText="1"/>
    </xf>
    <xf numFmtId="0" fontId="10" fillId="0" borderId="0" xfId="0" applyNumberFormat="1" applyFont="1" applyAlignment="1" applyProtection="1">
      <alignment horizontal="center"/>
    </xf>
    <xf numFmtId="0" fontId="10" fillId="9" borderId="0" xfId="0" applyNumberFormat="1" applyFont="1" applyFill="1" applyAlignment="1" applyProtection="1">
      <alignment horizontal="center"/>
    </xf>
    <xf numFmtId="0" fontId="10" fillId="31" borderId="0" xfId="0" applyNumberFormat="1" applyFont="1" applyFill="1" applyAlignment="1" applyProtection="1">
      <alignment horizontal="center" vertical="center"/>
    </xf>
    <xf numFmtId="0" fontId="10" fillId="30" borderId="0" xfId="0" applyNumberFormat="1" applyFont="1" applyFill="1" applyAlignment="1" applyProtection="1">
      <alignment horizontal="center"/>
    </xf>
    <xf numFmtId="0" fontId="7" fillId="23" borderId="5" xfId="0" applyNumberFormat="1" applyFont="1" applyFill="1" applyBorder="1" applyAlignment="1" applyProtection="1">
      <alignment horizontal="left"/>
    </xf>
    <xf numFmtId="0" fontId="7" fillId="23" borderId="7" xfId="0" applyNumberFormat="1" applyFont="1" applyFill="1" applyBorder="1" applyAlignment="1" applyProtection="1">
      <alignment horizontal="center" wrapText="1"/>
    </xf>
    <xf numFmtId="0" fontId="7" fillId="23" borderId="0" xfId="0" applyNumberFormat="1" applyFont="1" applyFill="1" applyBorder="1" applyAlignment="1" applyProtection="1">
      <alignment horizontal="center" wrapText="1"/>
    </xf>
    <xf numFmtId="0" fontId="10" fillId="0" borderId="0" xfId="0" applyNumberFormat="1" applyFont="1" applyAlignment="1">
      <alignment horizontal="left"/>
    </xf>
    <xf numFmtId="0" fontId="10" fillId="9" borderId="0" xfId="0" applyNumberFormat="1" applyFont="1" applyFill="1" applyAlignment="1">
      <alignment horizontal="left"/>
    </xf>
    <xf numFmtId="0" fontId="22" fillId="30" borderId="0" xfId="0" applyNumberFormat="1" applyFont="1" applyFill="1" applyAlignment="1" applyProtection="1">
      <alignment horizontal="left"/>
    </xf>
    <xf numFmtId="0" fontId="7" fillId="22" borderId="5" xfId="0" applyNumberFormat="1" applyFont="1" applyFill="1" applyBorder="1" applyAlignment="1" applyProtection="1">
      <alignment horizontal="center"/>
    </xf>
    <xf numFmtId="0" fontId="10" fillId="29" borderId="0" xfId="0" applyNumberFormat="1" applyFont="1" applyFill="1" applyAlignment="1">
      <alignment horizontal="center"/>
    </xf>
    <xf numFmtId="0" fontId="12" fillId="9" borderId="0" xfId="0" applyNumberFormat="1" applyFont="1" applyFill="1" applyAlignment="1">
      <alignment horizontal="left" vertical="center"/>
    </xf>
    <xf numFmtId="0" fontId="10" fillId="30" borderId="0" xfId="0" applyNumberFormat="1" applyFont="1" applyFill="1" applyAlignment="1" applyProtection="1">
      <alignment horizontal="left"/>
    </xf>
    <xf numFmtId="0" fontId="7" fillId="23" borderId="5" xfId="0" applyNumberFormat="1" applyFont="1" applyFill="1" applyBorder="1" applyAlignment="1" applyProtection="1">
      <alignment horizontal="centerContinuous"/>
    </xf>
    <xf numFmtId="0" fontId="7" fillId="23" borderId="9" xfId="0" applyNumberFormat="1" applyFont="1" applyFill="1" applyBorder="1" applyAlignment="1" applyProtection="1">
      <alignment horizontal="center" wrapText="1"/>
    </xf>
    <xf numFmtId="0" fontId="7" fillId="23" borderId="12" xfId="0" applyNumberFormat="1" applyFont="1" applyFill="1" applyBorder="1" applyAlignment="1" applyProtection="1">
      <alignment horizontal="center" wrapText="1"/>
    </xf>
    <xf numFmtId="0" fontId="10" fillId="31" borderId="0" xfId="0" applyNumberFormat="1" applyFont="1" applyFill="1" applyAlignment="1" applyProtection="1">
      <alignment horizontal="center" vertical="center" wrapText="1"/>
    </xf>
    <xf numFmtId="0" fontId="10" fillId="31" borderId="0" xfId="5" applyNumberFormat="1" applyFont="1" applyFill="1" applyBorder="1" applyAlignment="1" applyProtection="1">
      <alignment horizontal="center" vertical="center"/>
    </xf>
    <xf numFmtId="0" fontId="104" fillId="31" borderId="0" xfId="60" applyNumberFormat="1" applyFont="1" applyFill="1"/>
    <xf numFmtId="0" fontId="49" fillId="31" borderId="0" xfId="0" applyNumberFormat="1" applyFont="1" applyFill="1"/>
    <xf numFmtId="164" fontId="7" fillId="13" borderId="6" xfId="1" applyNumberFormat="1" applyFont="1" applyFill="1" applyBorder="1" applyAlignment="1" applyProtection="1">
      <alignment horizontal="center"/>
    </xf>
    <xf numFmtId="164" fontId="7" fillId="13" borderId="5" xfId="1" applyNumberFormat="1" applyFont="1" applyFill="1" applyBorder="1" applyAlignment="1" applyProtection="1">
      <alignment horizontal="center"/>
    </xf>
    <xf numFmtId="175" fontId="35" fillId="0" borderId="0" xfId="0" applyFont="1" applyAlignment="1">
      <alignment horizontal="center"/>
    </xf>
    <xf numFmtId="175" fontId="22" fillId="21" borderId="11" xfId="0" applyFont="1" applyFill="1" applyBorder="1" applyAlignment="1">
      <alignment horizontal="center"/>
    </xf>
    <xf numFmtId="175" fontId="22" fillId="21" borderId="0" xfId="0" applyFont="1" applyFill="1" applyBorder="1" applyAlignment="1">
      <alignment horizontal="center"/>
    </xf>
    <xf numFmtId="175" fontId="5" fillId="27" borderId="0" xfId="0" applyFont="1" applyFill="1" applyAlignment="1">
      <alignment horizontal="center"/>
    </xf>
    <xf numFmtId="175" fontId="5" fillId="0" borderId="0" xfId="0" applyFont="1" applyAlignment="1">
      <alignment horizontal="left"/>
    </xf>
    <xf numFmtId="175" fontId="0" fillId="0" borderId="0" xfId="0" applyAlignment="1">
      <alignment horizontal="left"/>
    </xf>
    <xf numFmtId="175" fontId="0" fillId="0" borderId="7" xfId="0" applyBorder="1" applyAlignment="1">
      <alignment horizontal="left"/>
    </xf>
    <xf numFmtId="0" fontId="10" fillId="31" borderId="0" xfId="0" applyNumberFormat="1" applyFont="1" applyFill="1" applyAlignment="1" applyProtection="1">
      <alignment horizontal="center"/>
    </xf>
    <xf numFmtId="175" fontId="10" fillId="31" borderId="0" xfId="0" applyNumberFormat="1" applyFont="1" applyFill="1" applyAlignment="1" applyProtection="1">
      <alignment horizontal="center"/>
    </xf>
    <xf numFmtId="0" fontId="10" fillId="31" borderId="0" xfId="0" applyNumberFormat="1" applyFont="1" applyFill="1" applyAlignment="1">
      <alignment horizontal="center" vertical="center" wrapText="1"/>
    </xf>
    <xf numFmtId="0" fontId="10" fillId="31" borderId="0" xfId="0" applyNumberFormat="1" applyFont="1" applyFill="1" applyAlignment="1">
      <alignment horizontal="left" vertical="center"/>
    </xf>
    <xf numFmtId="7" fontId="10" fillId="31" borderId="0" xfId="5" applyFont="1" applyFill="1" applyBorder="1"/>
    <xf numFmtId="7" fontId="10" fillId="31" borderId="0" xfId="5" applyFont="1" applyFill="1" applyBorder="1" applyAlignment="1">
      <alignment horizontal="left"/>
    </xf>
    <xf numFmtId="175" fontId="10" fillId="31" borderId="0" xfId="0" applyNumberFormat="1" applyFont="1" applyFill="1" applyBorder="1" applyAlignment="1">
      <alignment horizontal="center" vertical="center"/>
    </xf>
    <xf numFmtId="175" fontId="10" fillId="31" borderId="0" xfId="0" quotePrefix="1" applyNumberFormat="1" applyFont="1" applyFill="1" applyAlignment="1" applyProtection="1">
      <alignment horizontal="center" vertical="center"/>
    </xf>
    <xf numFmtId="0" fontId="10" fillId="31" borderId="0" xfId="0" applyNumberFormat="1" applyFont="1" applyFill="1" applyBorder="1" applyAlignment="1" applyProtection="1">
      <alignment horizontal="center" vertical="center"/>
    </xf>
    <xf numFmtId="164" fontId="10" fillId="31" borderId="0" xfId="1" applyNumberFormat="1" applyFont="1" applyFill="1" applyBorder="1" applyAlignment="1">
      <alignment horizontal="center" vertical="center" wrapText="1"/>
    </xf>
    <xf numFmtId="175" fontId="10" fillId="31" borderId="0" xfId="0" applyNumberFormat="1" applyFont="1" applyFill="1" applyBorder="1" applyAlignment="1">
      <alignment horizontal="center" vertical="center" wrapText="1"/>
    </xf>
    <xf numFmtId="175" fontId="13" fillId="31" borderId="0" xfId="0" applyNumberFormat="1" applyFont="1" applyFill="1" applyBorder="1" applyAlignment="1">
      <alignment horizontal="center" vertical="center"/>
    </xf>
    <xf numFmtId="175" fontId="10" fillId="31" borderId="0" xfId="0" applyFont="1" applyFill="1" applyBorder="1" applyAlignment="1">
      <alignment horizontal="center" vertical="center"/>
    </xf>
    <xf numFmtId="175" fontId="10" fillId="31" borderId="0" xfId="0" applyFont="1" applyFill="1" applyBorder="1" applyAlignment="1">
      <alignment horizontal="center" vertical="center" wrapText="1"/>
    </xf>
    <xf numFmtId="175" fontId="10" fillId="31" borderId="0" xfId="7" applyNumberFormat="1" applyFont="1" applyFill="1" applyBorder="1" applyAlignment="1">
      <alignment horizontal="center" vertical="center" wrapText="1"/>
    </xf>
    <xf numFmtId="165" fontId="10" fillId="31" borderId="0" xfId="7" applyNumberFormat="1" applyFont="1" applyFill="1" applyBorder="1" applyAlignment="1">
      <alignment horizontal="center" vertical="center"/>
    </xf>
    <xf numFmtId="175" fontId="10" fillId="31" borderId="0" xfId="0" applyFont="1" applyFill="1" applyBorder="1" applyAlignment="1">
      <alignment vertical="center"/>
    </xf>
    <xf numFmtId="175" fontId="11" fillId="31" borderId="0" xfId="0" applyNumberFormat="1" applyFont="1" applyFill="1" applyAlignment="1">
      <alignment horizontal="center" vertical="center"/>
    </xf>
    <xf numFmtId="0" fontId="10" fillId="31" borderId="0" xfId="1" applyNumberFormat="1" applyFont="1" applyFill="1" applyAlignment="1">
      <alignment horizontal="left" vertical="center"/>
    </xf>
    <xf numFmtId="43" fontId="10" fillId="31" borderId="0" xfId="1" applyFont="1" applyFill="1" applyAlignment="1">
      <alignment vertical="center"/>
    </xf>
    <xf numFmtId="175" fontId="15" fillId="31" borderId="0" xfId="0" applyNumberFormat="1" applyFont="1" applyFill="1" applyAlignment="1">
      <alignment horizontal="center" vertical="center"/>
    </xf>
    <xf numFmtId="164" fontId="10" fillId="31" borderId="0" xfId="1" applyNumberFormat="1" applyFont="1" applyFill="1" applyAlignment="1">
      <alignment vertical="center"/>
    </xf>
    <xf numFmtId="0" fontId="10" fillId="31" borderId="0" xfId="0" applyNumberFormat="1" applyFont="1" applyFill="1" applyAlignment="1" applyProtection="1">
      <alignment horizontal="left" vertical="center"/>
    </xf>
    <xf numFmtId="175" fontId="10" fillId="31" borderId="0" xfId="0" applyNumberFormat="1" applyFont="1" applyFill="1" applyAlignment="1" applyProtection="1">
      <alignment vertical="center" wrapText="1"/>
    </xf>
    <xf numFmtId="175" fontId="10" fillId="31" borderId="0" xfId="0" applyFont="1" applyFill="1" applyAlignment="1" applyProtection="1">
      <alignment vertical="center" wrapText="1"/>
    </xf>
    <xf numFmtId="164" fontId="10" fillId="31" borderId="0" xfId="1" applyNumberFormat="1" applyFont="1" applyFill="1" applyAlignment="1" applyProtection="1">
      <alignment horizontal="center" vertical="center"/>
    </xf>
    <xf numFmtId="175" fontId="15" fillId="31" borderId="0" xfId="0" applyNumberFormat="1" applyFont="1" applyFill="1" applyAlignment="1" applyProtection="1">
      <alignment horizontal="center" vertical="center"/>
    </xf>
    <xf numFmtId="175" fontId="10" fillId="31" borderId="0" xfId="0" applyFont="1" applyFill="1" applyAlignment="1" applyProtection="1">
      <alignment horizontal="center" vertical="center"/>
    </xf>
    <xf numFmtId="175" fontId="10" fillId="31" borderId="0" xfId="0" applyFont="1" applyFill="1" applyAlignment="1" applyProtection="1">
      <alignment horizontal="center" vertical="center" wrapText="1"/>
    </xf>
    <xf numFmtId="175" fontId="10" fillId="31" borderId="0" xfId="7" applyNumberFormat="1" applyFont="1" applyFill="1" applyAlignment="1" applyProtection="1">
      <alignment horizontal="center" vertical="center" wrapText="1"/>
    </xf>
    <xf numFmtId="165" fontId="10" fillId="31" borderId="0" xfId="7" applyNumberFormat="1" applyFont="1" applyFill="1" applyAlignment="1" applyProtection="1">
      <alignment horizontal="center" vertical="center"/>
    </xf>
    <xf numFmtId="175" fontId="10" fillId="31" borderId="0" xfId="0" applyFont="1" applyFill="1" applyAlignment="1" applyProtection="1">
      <alignment vertical="center"/>
    </xf>
    <xf numFmtId="0" fontId="10" fillId="31" borderId="0" xfId="0" applyNumberFormat="1" applyFont="1" applyFill="1" applyAlignment="1" applyProtection="1">
      <alignment horizontal="left"/>
    </xf>
    <xf numFmtId="175" fontId="10" fillId="31" borderId="0" xfId="0" applyNumberFormat="1" applyFont="1" applyFill="1" applyProtection="1"/>
    <xf numFmtId="175" fontId="10" fillId="31" borderId="0" xfId="0" applyFont="1" applyFill="1" applyProtection="1"/>
    <xf numFmtId="175" fontId="10" fillId="31" borderId="0" xfId="0" applyFont="1" applyFill="1" applyAlignment="1" applyProtection="1">
      <alignment horizontal="center"/>
    </xf>
    <xf numFmtId="175" fontId="10" fillId="31" borderId="0" xfId="0" applyFont="1" applyFill="1" applyAlignment="1" applyProtection="1">
      <alignment horizontal="center" wrapText="1"/>
    </xf>
    <xf numFmtId="175" fontId="10" fillId="31" borderId="0" xfId="0" applyNumberFormat="1" applyFont="1" applyFill="1" applyAlignment="1" applyProtection="1">
      <alignment horizontal="center" wrapText="1"/>
    </xf>
    <xf numFmtId="0" fontId="16" fillId="31" borderId="0" xfId="0" applyNumberFormat="1" applyFont="1" applyFill="1" applyProtection="1"/>
    <xf numFmtId="175" fontId="15" fillId="31" borderId="0" xfId="0" applyNumberFormat="1" applyFont="1" applyFill="1" applyProtection="1"/>
    <xf numFmtId="175" fontId="10" fillId="31" borderId="0" xfId="0" applyFont="1" applyFill="1" applyAlignment="1" applyProtection="1">
      <alignment wrapText="1"/>
    </xf>
    <xf numFmtId="175" fontId="10" fillId="31" borderId="0" xfId="0" applyNumberFormat="1" applyFont="1" applyFill="1" applyAlignment="1" applyProtection="1">
      <alignment wrapText="1"/>
    </xf>
    <xf numFmtId="0" fontId="10" fillId="31" borderId="0" xfId="0" applyNumberFormat="1" applyFont="1" applyFill="1" applyProtection="1"/>
    <xf numFmtId="175" fontId="17" fillId="31" borderId="0" xfId="0" applyNumberFormat="1" applyFont="1" applyFill="1" applyAlignment="1" applyProtection="1">
      <alignment horizontal="center"/>
    </xf>
    <xf numFmtId="175" fontId="17" fillId="31" borderId="0" xfId="0" applyFont="1" applyFill="1" applyAlignment="1" applyProtection="1">
      <alignment horizontal="center"/>
    </xf>
    <xf numFmtId="175" fontId="17" fillId="31" borderId="0" xfId="0" applyFont="1" applyFill="1" applyAlignment="1" applyProtection="1">
      <alignment wrapText="1"/>
    </xf>
    <xf numFmtId="175" fontId="17" fillId="31" borderId="0" xfId="0" applyNumberFormat="1" applyFont="1" applyFill="1" applyAlignment="1" applyProtection="1">
      <alignment wrapText="1"/>
    </xf>
    <xf numFmtId="164" fontId="17" fillId="31" borderId="0" xfId="1" applyNumberFormat="1" applyFont="1" applyFill="1" applyProtection="1"/>
    <xf numFmtId="175" fontId="17" fillId="31" borderId="0" xfId="0" applyFont="1" applyFill="1" applyProtection="1"/>
    <xf numFmtId="164" fontId="18" fillId="31" borderId="0" xfId="1" applyNumberFormat="1" applyFont="1" applyFill="1" applyProtection="1"/>
    <xf numFmtId="175" fontId="18" fillId="31" borderId="0" xfId="0" applyFont="1" applyFill="1" applyProtection="1"/>
    <xf numFmtId="0" fontId="10" fillId="31" borderId="0" xfId="1" applyNumberFormat="1" applyFont="1" applyFill="1" applyProtection="1"/>
    <xf numFmtId="175" fontId="10" fillId="31" borderId="0" xfId="0" applyNumberFormat="1" applyFont="1" applyFill="1" applyAlignment="1" applyProtection="1">
      <alignment horizontal="left"/>
    </xf>
    <xf numFmtId="175" fontId="10" fillId="31" borderId="0" xfId="0" applyFont="1" applyFill="1" applyAlignment="1" applyProtection="1">
      <alignment horizontal="left"/>
    </xf>
    <xf numFmtId="175" fontId="11" fillId="31" borderId="0" xfId="0" quotePrefix="1" applyNumberFormat="1" applyFont="1" applyFill="1" applyAlignment="1" applyProtection="1">
      <alignment horizontal="left"/>
    </xf>
    <xf numFmtId="175" fontId="10" fillId="31" borderId="0" xfId="1" applyNumberFormat="1" applyFont="1" applyFill="1" applyAlignment="1" applyProtection="1">
      <alignment horizontal="center"/>
    </xf>
    <xf numFmtId="164" fontId="10" fillId="31" borderId="0" xfId="1" applyNumberFormat="1" applyFont="1" applyFill="1" applyAlignment="1" applyProtection="1">
      <alignment horizontal="center"/>
    </xf>
    <xf numFmtId="164" fontId="10" fillId="31" borderId="0" xfId="1" applyNumberFormat="1" applyFont="1" applyFill="1" applyAlignment="1" applyProtection="1">
      <alignment wrapText="1"/>
    </xf>
    <xf numFmtId="175" fontId="10" fillId="31" borderId="0" xfId="1" applyNumberFormat="1" applyFont="1" applyFill="1" applyAlignment="1" applyProtection="1">
      <alignment wrapText="1"/>
    </xf>
    <xf numFmtId="175" fontId="15" fillId="31" borderId="0" xfId="0" applyNumberFormat="1" applyFont="1" applyFill="1" applyAlignment="1" applyProtection="1">
      <alignment horizontal="left"/>
    </xf>
    <xf numFmtId="164" fontId="19" fillId="31" borderId="0" xfId="1" applyNumberFormat="1" applyFont="1" applyFill="1" applyProtection="1"/>
    <xf numFmtId="0" fontId="15" fillId="31" borderId="0" xfId="0" applyNumberFormat="1" applyFont="1" applyFill="1" applyProtection="1"/>
    <xf numFmtId="175" fontId="10" fillId="31" borderId="0" xfId="1" applyNumberFormat="1" applyFont="1" applyFill="1" applyProtection="1"/>
    <xf numFmtId="0" fontId="18" fillId="31" borderId="0" xfId="0" applyNumberFormat="1" applyFont="1" applyFill="1" applyAlignment="1" applyProtection="1">
      <alignment horizontal="center"/>
    </xf>
    <xf numFmtId="175" fontId="18" fillId="31" borderId="0" xfId="0" applyNumberFormat="1" applyFont="1" applyFill="1" applyAlignment="1" applyProtection="1">
      <alignment horizontal="center"/>
    </xf>
    <xf numFmtId="175" fontId="18" fillId="31" borderId="0" xfId="0" applyFont="1" applyFill="1" applyAlignment="1" applyProtection="1">
      <alignment horizontal="center"/>
    </xf>
    <xf numFmtId="175" fontId="20" fillId="31" borderId="0" xfId="0" applyNumberFormat="1" applyFont="1" applyFill="1" applyProtection="1"/>
    <xf numFmtId="175" fontId="18" fillId="31" borderId="0" xfId="0" applyFont="1" applyFill="1" applyAlignment="1" applyProtection="1">
      <alignment wrapText="1"/>
    </xf>
    <xf numFmtId="175" fontId="18" fillId="31" borderId="0" xfId="0" applyNumberFormat="1" applyFont="1" applyFill="1" applyProtection="1"/>
    <xf numFmtId="0" fontId="18" fillId="31" borderId="0" xfId="0" applyNumberFormat="1" applyFont="1" applyFill="1" applyAlignment="1" applyProtection="1">
      <alignment horizontal="left"/>
    </xf>
    <xf numFmtId="175" fontId="17" fillId="31" borderId="0" xfId="0" applyNumberFormat="1" applyFont="1" applyFill="1" applyProtection="1"/>
    <xf numFmtId="0" fontId="21" fillId="31" borderId="0" xfId="0" applyNumberFormat="1" applyFont="1" applyFill="1" applyProtection="1"/>
    <xf numFmtId="175" fontId="97" fillId="31" borderId="0" xfId="0" applyFont="1" applyFill="1"/>
    <xf numFmtId="175" fontId="21" fillId="31" borderId="0" xfId="0" applyNumberFormat="1" applyFont="1" applyFill="1" applyProtection="1"/>
    <xf numFmtId="0" fontId="0" fillId="31" borderId="0" xfId="0" applyNumberFormat="1" applyFill="1"/>
    <xf numFmtId="164" fontId="85" fillId="31" borderId="0" xfId="1" applyNumberFormat="1" applyFont="1" applyFill="1" applyProtection="1"/>
    <xf numFmtId="0" fontId="21" fillId="31" borderId="0" xfId="0" applyNumberFormat="1" applyFont="1" applyFill="1" applyAlignment="1" applyProtection="1">
      <alignment horizontal="right"/>
    </xf>
    <xf numFmtId="175" fontId="19" fillId="31" borderId="0" xfId="0" applyFont="1" applyFill="1" applyProtection="1"/>
    <xf numFmtId="0" fontId="17" fillId="31" borderId="0" xfId="0" applyNumberFormat="1" applyFont="1" applyFill="1" applyAlignment="1" applyProtection="1">
      <alignment horizontal="left"/>
    </xf>
    <xf numFmtId="0" fontId="17" fillId="31" borderId="0" xfId="0" applyNumberFormat="1" applyFont="1" applyFill="1" applyAlignment="1" applyProtection="1">
      <alignment horizontal="center"/>
    </xf>
    <xf numFmtId="175" fontId="16" fillId="31" borderId="0" xfId="0" applyNumberFormat="1" applyFont="1" applyFill="1" applyProtection="1"/>
    <xf numFmtId="175" fontId="34" fillId="31" borderId="0" xfId="0" applyFont="1" applyFill="1"/>
    <xf numFmtId="0" fontId="21" fillId="31" borderId="0" xfId="1" applyNumberFormat="1" applyFont="1" applyFill="1" applyProtection="1"/>
    <xf numFmtId="0" fontId="98" fillId="31" borderId="0" xfId="0" applyNumberFormat="1" applyFont="1" applyFill="1" applyAlignment="1" applyProtection="1">
      <alignment horizontal="left"/>
    </xf>
    <xf numFmtId="0" fontId="99" fillId="31" borderId="0" xfId="0" applyNumberFormat="1" applyFont="1" applyFill="1" applyAlignment="1" applyProtection="1">
      <alignment horizontal="center"/>
    </xf>
    <xf numFmtId="175" fontId="99" fillId="31" borderId="0" xfId="0" applyNumberFormat="1" applyFont="1" applyFill="1" applyAlignment="1" applyProtection="1">
      <alignment horizontal="center"/>
    </xf>
    <xf numFmtId="175" fontId="98" fillId="31" borderId="0" xfId="0" applyNumberFormat="1" applyFont="1" applyFill="1" applyProtection="1"/>
    <xf numFmtId="175" fontId="98" fillId="31" borderId="0" xfId="0" applyFont="1" applyFill="1" applyProtection="1"/>
    <xf numFmtId="175" fontId="98" fillId="31" borderId="0" xfId="0" applyFont="1" applyFill="1" applyAlignment="1" applyProtection="1">
      <alignment horizontal="center"/>
    </xf>
    <xf numFmtId="175" fontId="98" fillId="31" borderId="0" xfId="0" applyNumberFormat="1" applyFont="1" applyFill="1" applyAlignment="1" applyProtection="1">
      <alignment horizontal="center"/>
    </xf>
    <xf numFmtId="175" fontId="98" fillId="31" borderId="0" xfId="0" applyFont="1" applyFill="1" applyAlignment="1" applyProtection="1">
      <alignment horizontal="center" wrapText="1"/>
    </xf>
    <xf numFmtId="0" fontId="7" fillId="23" borderId="5" xfId="0" applyNumberFormat="1" applyFont="1" applyFill="1" applyBorder="1" applyAlignment="1" applyProtection="1">
      <alignment horizontal="center"/>
    </xf>
    <xf numFmtId="0" fontId="7" fillId="28" borderId="5" xfId="0" applyNumberFormat="1" applyFont="1" applyFill="1" applyBorder="1" applyAlignment="1" applyProtection="1">
      <alignment horizontal="centerContinuous"/>
    </xf>
    <xf numFmtId="0" fontId="7" fillId="27" borderId="38" xfId="1" applyNumberFormat="1" applyFont="1" applyFill="1" applyBorder="1" applyAlignment="1" applyProtection="1">
      <alignment horizontal="center"/>
    </xf>
    <xf numFmtId="0" fontId="7" fillId="21" borderId="5" xfId="0" applyNumberFormat="1" applyFont="1" applyFill="1" applyBorder="1" applyProtection="1"/>
    <xf numFmtId="0" fontId="7" fillId="0" borderId="5" xfId="0" applyNumberFormat="1" applyFont="1" applyFill="1" applyBorder="1" applyProtection="1"/>
    <xf numFmtId="49" fontId="8" fillId="22" borderId="7" xfId="0" applyNumberFormat="1" applyFont="1" applyFill="1" applyBorder="1" applyAlignment="1" applyProtection="1">
      <alignment horizontal="center"/>
    </xf>
    <xf numFmtId="0" fontId="7" fillId="28" borderId="7" xfId="0" applyNumberFormat="1" applyFont="1" applyFill="1" applyBorder="1" applyAlignment="1" applyProtection="1">
      <alignment horizontal="center" wrapText="1"/>
    </xf>
    <xf numFmtId="49" fontId="9" fillId="23" borderId="7" xfId="0" applyNumberFormat="1" applyFont="1" applyFill="1" applyBorder="1" applyAlignment="1" applyProtection="1">
      <alignment horizontal="center" wrapText="1"/>
    </xf>
    <xf numFmtId="0" fontId="9" fillId="23" borderId="10" xfId="0" applyNumberFormat="1" applyFont="1" applyFill="1" applyBorder="1" applyAlignment="1" applyProtection="1">
      <alignment horizontal="center" wrapText="1"/>
    </xf>
    <xf numFmtId="0" fontId="7" fillId="23" borderId="7" xfId="0" applyNumberFormat="1" applyFont="1" applyFill="1" applyBorder="1" applyAlignment="1" applyProtection="1">
      <alignment horizontal="center"/>
    </xf>
    <xf numFmtId="49" fontId="8" fillId="22" borderId="0" xfId="0" applyNumberFormat="1" applyFont="1" applyFill="1" applyBorder="1" applyAlignment="1" applyProtection="1">
      <alignment horizontal="center"/>
    </xf>
    <xf numFmtId="0" fontId="7" fillId="23" borderId="13" xfId="0" applyNumberFormat="1" applyFont="1" applyFill="1" applyBorder="1" applyAlignment="1" applyProtection="1">
      <alignment horizontal="center"/>
    </xf>
    <xf numFmtId="0" fontId="7" fillId="23" borderId="12" xfId="0" applyNumberFormat="1" applyFont="1" applyFill="1" applyBorder="1" applyAlignment="1" applyProtection="1">
      <alignment horizontal="center"/>
    </xf>
    <xf numFmtId="0" fontId="7" fillId="28" borderId="0" xfId="0" applyNumberFormat="1" applyFont="1" applyFill="1" applyBorder="1" applyAlignment="1" applyProtection="1">
      <alignment horizontal="center"/>
    </xf>
    <xf numFmtId="0" fontId="7" fillId="23" borderId="0" xfId="0" applyNumberFormat="1" applyFont="1" applyFill="1" applyBorder="1" applyAlignment="1" applyProtection="1">
      <alignment horizontal="center"/>
    </xf>
    <xf numFmtId="1" fontId="8" fillId="22" borderId="0" xfId="0" applyNumberFormat="1" applyFont="1" applyFill="1" applyBorder="1" applyAlignment="1" applyProtection="1">
      <alignment horizontal="center"/>
    </xf>
    <xf numFmtId="1" fontId="7" fillId="23" borderId="11" xfId="0" applyNumberFormat="1" applyFont="1" applyFill="1" applyBorder="1" applyAlignment="1" applyProtection="1">
      <alignment horizontal="center" wrapText="1"/>
    </xf>
    <xf numFmtId="1" fontId="7" fillId="23" borderId="12" xfId="0" applyNumberFormat="1" applyFont="1" applyFill="1" applyBorder="1" applyAlignment="1" applyProtection="1">
      <alignment horizontal="center" wrapText="1"/>
    </xf>
    <xf numFmtId="0" fontId="10" fillId="0" borderId="0" xfId="0" applyNumberFormat="1" applyFont="1"/>
    <xf numFmtId="0" fontId="10" fillId="0" borderId="0" xfId="0" applyNumberFormat="1" applyFont="1" applyAlignment="1">
      <alignment horizontal="center"/>
    </xf>
    <xf numFmtId="0" fontId="10" fillId="0" borderId="0" xfId="0" applyNumberFormat="1" applyFont="1" applyFill="1"/>
    <xf numFmtId="0" fontId="10" fillId="9" borderId="0" xfId="0" applyNumberFormat="1" applyFont="1" applyFill="1"/>
    <xf numFmtId="0" fontId="10" fillId="9" borderId="0" xfId="0" applyNumberFormat="1" applyFont="1" applyFill="1" applyAlignment="1">
      <alignment horizontal="center"/>
    </xf>
    <xf numFmtId="0" fontId="10" fillId="9" borderId="0" xfId="0" applyNumberFormat="1" applyFont="1" applyFill="1" applyAlignment="1">
      <alignment vertical="center"/>
    </xf>
    <xf numFmtId="0" fontId="10" fillId="3" borderId="0" xfId="0" applyNumberFormat="1" applyFont="1" applyFill="1"/>
    <xf numFmtId="0" fontId="10" fillId="30" borderId="0" xfId="0" applyNumberFormat="1" applyFont="1" applyFill="1" applyProtection="1"/>
    <xf numFmtId="0" fontId="10" fillId="30" borderId="0" xfId="0" applyNumberFormat="1" applyFont="1" applyFill="1" applyAlignment="1" applyProtection="1">
      <alignment horizontal="center" wrapText="1"/>
    </xf>
    <xf numFmtId="175" fontId="103" fillId="31" borderId="0" xfId="60" applyFont="1" applyFill="1"/>
    <xf numFmtId="164" fontId="105" fillId="31" borderId="0" xfId="1" applyNumberFormat="1" applyFont="1" applyFill="1" applyAlignment="1">
      <alignment horizontal="right"/>
    </xf>
    <xf numFmtId="164" fontId="106" fillId="31" borderId="0" xfId="1" applyNumberFormat="1" applyFont="1" applyFill="1" applyAlignment="1">
      <alignment horizontal="center" wrapText="1"/>
    </xf>
    <xf numFmtId="0" fontId="53" fillId="31" borderId="5" xfId="60" applyNumberFormat="1" applyFont="1" applyFill="1" applyBorder="1" applyAlignment="1">
      <alignment horizontal="center"/>
    </xf>
    <xf numFmtId="175" fontId="53" fillId="31" borderId="0" xfId="60" applyFont="1" applyFill="1" applyAlignment="1">
      <alignment horizontal="center"/>
    </xf>
    <xf numFmtId="175" fontId="53" fillId="31" borderId="5" xfId="60" applyNumberFormat="1" applyFont="1" applyFill="1" applyBorder="1" applyAlignment="1">
      <alignment horizontal="center"/>
    </xf>
    <xf numFmtId="175" fontId="103" fillId="31" borderId="0" xfId="60" applyNumberFormat="1" applyFont="1" applyFill="1"/>
    <xf numFmtId="164" fontId="107" fillId="31" borderId="5" xfId="1" applyNumberFormat="1" applyFont="1" applyFill="1" applyBorder="1" applyAlignment="1">
      <alignment horizontal="center"/>
    </xf>
    <xf numFmtId="0" fontId="53" fillId="31" borderId="0" xfId="60" applyNumberFormat="1" applyFont="1" applyFill="1" applyAlignment="1">
      <alignment horizontal="center"/>
    </xf>
    <xf numFmtId="175" fontId="53" fillId="31" borderId="0" xfId="60" applyNumberFormat="1" applyFont="1" applyFill="1" applyAlignment="1">
      <alignment horizontal="center"/>
    </xf>
    <xf numFmtId="175" fontId="53" fillId="31" borderId="0" xfId="60" applyNumberFormat="1" applyFont="1" applyFill="1"/>
    <xf numFmtId="164" fontId="57" fillId="31" borderId="0" xfId="1" applyNumberFormat="1" applyFont="1" applyFill="1" applyAlignment="1">
      <alignment horizontal="center"/>
    </xf>
    <xf numFmtId="0" fontId="49" fillId="31" borderId="0" xfId="60" applyNumberFormat="1" applyFont="1" applyFill="1" applyAlignment="1">
      <alignment horizontal="center"/>
    </xf>
    <xf numFmtId="175" fontId="49" fillId="31" borderId="0" xfId="60" applyFont="1" applyFill="1" applyAlignment="1">
      <alignment horizontal="center"/>
    </xf>
    <xf numFmtId="175" fontId="49" fillId="31" borderId="0" xfId="60" applyNumberFormat="1" applyFont="1" applyFill="1" applyAlignment="1">
      <alignment horizontal="center"/>
    </xf>
    <xf numFmtId="175" fontId="49" fillId="31" borderId="0" xfId="60" applyNumberFormat="1" applyFont="1" applyFill="1"/>
    <xf numFmtId="0" fontId="104" fillId="31" borderId="0" xfId="60" applyNumberFormat="1" applyFont="1" applyFill="1" applyAlignment="1">
      <alignment horizontal="center"/>
    </xf>
    <xf numFmtId="175" fontId="104" fillId="31" borderId="0" xfId="60" applyNumberFormat="1" applyFont="1" applyFill="1" applyAlignment="1">
      <alignment horizontal="center"/>
    </xf>
    <xf numFmtId="164" fontId="104" fillId="31" borderId="5" xfId="1" applyNumberFormat="1" applyFont="1" applyFill="1" applyBorder="1"/>
    <xf numFmtId="0" fontId="53" fillId="31" borderId="0" xfId="60" applyNumberFormat="1" applyFont="1" applyFill="1" applyAlignment="1">
      <alignment horizontal="left"/>
    </xf>
    <xf numFmtId="175" fontId="53" fillId="31" borderId="0" xfId="60" applyFont="1" applyFill="1" applyAlignment="1">
      <alignment horizontal="left"/>
    </xf>
    <xf numFmtId="164" fontId="103" fillId="31" borderId="0" xfId="1" applyNumberFormat="1" applyFont="1" applyFill="1"/>
    <xf numFmtId="164" fontId="104" fillId="31" borderId="0" xfId="1" applyNumberFormat="1" applyFont="1" applyFill="1" applyBorder="1"/>
    <xf numFmtId="164" fontId="103" fillId="31" borderId="0" xfId="61" applyNumberFormat="1" applyFont="1" applyFill="1"/>
    <xf numFmtId="164" fontId="57" fillId="31" borderId="5" xfId="1" applyNumberFormat="1" applyFont="1" applyFill="1" applyBorder="1" applyAlignment="1">
      <alignment horizontal="center"/>
    </xf>
    <xf numFmtId="164" fontId="120" fillId="31" borderId="0" xfId="1" applyNumberFormat="1" applyFont="1" applyFill="1"/>
    <xf numFmtId="0" fontId="103" fillId="31" borderId="0" xfId="60" applyNumberFormat="1" applyFont="1" applyFill="1"/>
    <xf numFmtId="164" fontId="103" fillId="31" borderId="7" xfId="1" applyNumberFormat="1" applyFont="1" applyFill="1" applyBorder="1"/>
    <xf numFmtId="164" fontId="111" fillId="31" borderId="0" xfId="1" applyNumberFormat="1" applyFont="1" applyFill="1"/>
    <xf numFmtId="175" fontId="53" fillId="31" borderId="0" xfId="0" applyFont="1" applyFill="1" applyAlignment="1">
      <alignment horizontal="left"/>
    </xf>
    <xf numFmtId="17" fontId="49" fillId="31" borderId="0" xfId="0" applyNumberFormat="1" applyFont="1" applyFill="1"/>
    <xf numFmtId="175" fontId="49" fillId="31" borderId="0" xfId="0" applyFont="1" applyFill="1" applyAlignment="1">
      <alignment horizontal="left" indent="1"/>
    </xf>
    <xf numFmtId="164" fontId="49" fillId="31" borderId="0" xfId="55" applyNumberFormat="1" applyFont="1" applyFill="1"/>
    <xf numFmtId="164" fontId="60" fillId="31" borderId="0" xfId="55" applyNumberFormat="1" applyFont="1" applyFill="1"/>
    <xf numFmtId="175" fontId="49" fillId="31" borderId="0" xfId="0" applyFont="1" applyFill="1" applyAlignment="1">
      <alignment horizontal="left"/>
    </xf>
    <xf numFmtId="164" fontId="107" fillId="31" borderId="0" xfId="55" applyNumberFormat="1" applyFont="1" applyFill="1"/>
    <xf numFmtId="164" fontId="109" fillId="31" borderId="0" xfId="55" applyNumberFormat="1" applyFont="1" applyFill="1"/>
    <xf numFmtId="164" fontId="49" fillId="31" borderId="0" xfId="0" applyNumberFormat="1" applyFont="1" applyFill="1"/>
    <xf numFmtId="164" fontId="60" fillId="31" borderId="0" xfId="0" applyNumberFormat="1" applyFont="1" applyFill="1"/>
    <xf numFmtId="165" fontId="46" fillId="31" borderId="40" xfId="56" applyNumberFormat="1" applyFont="1" applyFill="1" applyBorder="1" applyAlignment="1">
      <alignment horizontal="center"/>
    </xf>
    <xf numFmtId="167" fontId="49" fillId="31" borderId="0" xfId="56" applyNumberFormat="1" applyFont="1" applyFill="1"/>
    <xf numFmtId="164" fontId="53" fillId="31" borderId="0" xfId="55" applyNumberFormat="1" applyFont="1" applyFill="1"/>
    <xf numFmtId="164" fontId="100" fillId="31" borderId="0" xfId="55" applyNumberFormat="1" applyFont="1" applyFill="1"/>
    <xf numFmtId="164" fontId="53" fillId="31" borderId="0" xfId="0" applyNumberFormat="1" applyFont="1" applyFill="1"/>
    <xf numFmtId="175" fontId="53" fillId="31" borderId="0" xfId="0" applyNumberFormat="1" applyFont="1" applyFill="1"/>
    <xf numFmtId="175" fontId="49" fillId="31" borderId="0" xfId="0" applyNumberFormat="1" applyFont="1" applyFill="1" applyAlignment="1">
      <alignment horizontal="center"/>
    </xf>
    <xf numFmtId="175" fontId="49" fillId="31" borderId="0" xfId="0" applyNumberFormat="1" applyFont="1" applyFill="1" applyBorder="1" applyAlignment="1">
      <alignment horizontal="center"/>
    </xf>
    <xf numFmtId="14" fontId="49" fillId="31" borderId="5" xfId="0" applyNumberFormat="1" applyFont="1" applyFill="1" applyBorder="1" applyAlignment="1">
      <alignment horizontal="center"/>
    </xf>
    <xf numFmtId="175" fontId="49" fillId="31" borderId="0" xfId="0" applyNumberFormat="1" applyFont="1" applyFill="1" applyBorder="1"/>
    <xf numFmtId="166" fontId="49" fillId="31" borderId="0" xfId="3" applyNumberFormat="1" applyFont="1" applyFill="1"/>
    <xf numFmtId="175" fontId="49" fillId="31" borderId="0" xfId="3" applyNumberFormat="1" applyFont="1" applyFill="1" applyBorder="1"/>
    <xf numFmtId="175" fontId="49" fillId="31" borderId="0" xfId="0" applyNumberFormat="1" applyFont="1" applyFill="1" applyBorder="1" applyProtection="1"/>
    <xf numFmtId="175" fontId="49" fillId="31" borderId="5" xfId="0" applyNumberFormat="1" applyFont="1" applyFill="1" applyBorder="1"/>
    <xf numFmtId="10" fontId="49" fillId="31" borderId="5" xfId="7" applyNumberFormat="1" applyFont="1" applyFill="1" applyBorder="1"/>
    <xf numFmtId="166" fontId="53" fillId="31" borderId="0" xfId="3" applyNumberFormat="1" applyFont="1" applyFill="1"/>
    <xf numFmtId="0" fontId="49" fillId="31" borderId="5" xfId="0" applyNumberFormat="1" applyFont="1" applyFill="1" applyBorder="1"/>
    <xf numFmtId="175" fontId="0" fillId="31" borderId="0" xfId="0" applyFill="1" applyAlignment="1">
      <alignment horizontal="left"/>
    </xf>
    <xf numFmtId="175" fontId="5" fillId="31" borderId="0" xfId="0" applyNumberFormat="1" applyFont="1" applyFill="1" applyAlignment="1">
      <alignment horizontal="left"/>
    </xf>
    <xf numFmtId="175" fontId="5" fillId="31" borderId="0" xfId="0" applyNumberFormat="1" applyFont="1" applyFill="1" applyAlignment="1"/>
    <xf numFmtId="175" fontId="5" fillId="31" borderId="0" xfId="1" applyNumberFormat="1" applyFont="1" applyFill="1"/>
    <xf numFmtId="175" fontId="0" fillId="31" borderId="0" xfId="0" applyFill="1" applyAlignment="1">
      <alignment horizontal="center"/>
    </xf>
    <xf numFmtId="175" fontId="35" fillId="31" borderId="0" xfId="0" applyFont="1" applyFill="1"/>
    <xf numFmtId="17" fontId="0" fillId="31" borderId="0" xfId="0" applyNumberFormat="1" applyFill="1"/>
    <xf numFmtId="17" fontId="14" fillId="31" borderId="0" xfId="0" applyNumberFormat="1" applyFont="1" applyFill="1" applyAlignment="1">
      <alignment horizontal="left"/>
    </xf>
    <xf numFmtId="17" fontId="5" fillId="31" borderId="0" xfId="0" applyNumberFormat="1" applyFont="1" applyFill="1"/>
    <xf numFmtId="164" fontId="114" fillId="31" borderId="0" xfId="0" applyNumberFormat="1" applyFont="1" applyFill="1"/>
    <xf numFmtId="164" fontId="0" fillId="31" borderId="0" xfId="0" applyNumberFormat="1" applyFill="1"/>
    <xf numFmtId="17" fontId="4" fillId="31" borderId="0" xfId="0" applyNumberFormat="1" applyFont="1" applyFill="1" applyAlignment="1">
      <alignment horizontal="left"/>
    </xf>
    <xf numFmtId="175" fontId="14" fillId="31" borderId="0" xfId="0" applyFont="1" applyFill="1" applyAlignment="1">
      <alignment horizontal="left"/>
    </xf>
    <xf numFmtId="0" fontId="5" fillId="32" borderId="24" xfId="0" applyNumberFormat="1" applyFont="1" applyFill="1" applyBorder="1" applyAlignment="1">
      <alignment horizontal="left"/>
    </xf>
    <xf numFmtId="175" fontId="14" fillId="31" borderId="0" xfId="0" applyFont="1" applyFill="1" applyBorder="1"/>
    <xf numFmtId="175" fontId="4" fillId="31" borderId="0" xfId="0" applyFont="1" applyFill="1" applyBorder="1"/>
    <xf numFmtId="175" fontId="5" fillId="31" borderId="0" xfId="0" applyFont="1" applyFill="1" applyBorder="1"/>
    <xf numFmtId="175" fontId="14" fillId="31" borderId="0" xfId="0" applyNumberFormat="1" applyFont="1" applyFill="1"/>
    <xf numFmtId="175" fontId="80" fillId="31" borderId="0" xfId="0" applyNumberFormat="1" applyFont="1" applyFill="1" applyBorder="1" applyAlignment="1">
      <alignment horizontal="left"/>
    </xf>
    <xf numFmtId="175" fontId="5" fillId="31" borderId="5" xfId="0" applyNumberFormat="1" applyFont="1" applyFill="1" applyBorder="1" applyAlignment="1">
      <alignment horizontal="center"/>
    </xf>
    <xf numFmtId="175" fontId="5" fillId="31" borderId="5" xfId="0" quotePrefix="1" applyNumberFormat="1" applyFont="1" applyFill="1" applyBorder="1" applyAlignment="1">
      <alignment horizontal="center"/>
    </xf>
    <xf numFmtId="175" fontId="5" fillId="31" borderId="0" xfId="0" applyNumberFormat="1" applyFont="1" applyFill="1" applyBorder="1" applyAlignment="1">
      <alignment horizontal="right"/>
    </xf>
    <xf numFmtId="175" fontId="5" fillId="31" borderId="0" xfId="0" applyNumberFormat="1" applyFont="1" applyFill="1" applyBorder="1" applyAlignment="1">
      <alignment horizontal="center"/>
    </xf>
    <xf numFmtId="175" fontId="5" fillId="31" borderId="20" xfId="0" applyNumberFormat="1" applyFont="1" applyFill="1" applyBorder="1" applyAlignment="1">
      <alignment horizontal="left"/>
    </xf>
    <xf numFmtId="43" fontId="23" fillId="31" borderId="22" xfId="1" applyFont="1" applyFill="1" applyBorder="1"/>
    <xf numFmtId="175" fontId="6" fillId="31" borderId="0" xfId="0" applyFont="1" applyFill="1" applyBorder="1"/>
    <xf numFmtId="175" fontId="5" fillId="31" borderId="24" xfId="0" applyNumberFormat="1" applyFont="1" applyFill="1" applyBorder="1" applyAlignment="1">
      <alignment horizontal="left"/>
    </xf>
    <xf numFmtId="175" fontId="6" fillId="31" borderId="23" xfId="0" applyFont="1" applyFill="1" applyBorder="1"/>
    <xf numFmtId="175" fontId="14" fillId="31" borderId="24" xfId="1" applyNumberFormat="1" applyFont="1" applyFill="1" applyBorder="1" applyAlignment="1">
      <alignment horizontal="left" indent="2"/>
    </xf>
    <xf numFmtId="164" fontId="23" fillId="31" borderId="23" xfId="1" applyNumberFormat="1" applyFont="1" applyFill="1" applyBorder="1"/>
    <xf numFmtId="175" fontId="23" fillId="31" borderId="0" xfId="0" applyFont="1" applyFill="1" applyBorder="1"/>
    <xf numFmtId="176" fontId="4" fillId="31" borderId="25" xfId="1" applyNumberFormat="1" applyFont="1" applyFill="1" applyBorder="1"/>
    <xf numFmtId="164" fontId="4" fillId="31" borderId="23" xfId="1" applyNumberFormat="1" applyFont="1" applyFill="1" applyBorder="1"/>
    <xf numFmtId="164" fontId="4" fillId="31" borderId="25" xfId="1" applyNumberFormat="1" applyFont="1" applyFill="1" applyBorder="1"/>
    <xf numFmtId="175" fontId="4" fillId="31" borderId="23" xfId="0" applyFont="1" applyFill="1" applyBorder="1"/>
    <xf numFmtId="43" fontId="4" fillId="31" borderId="23" xfId="1" applyFont="1" applyFill="1" applyBorder="1"/>
    <xf numFmtId="175" fontId="14" fillId="31" borderId="26" xfId="1" applyNumberFormat="1" applyFont="1" applyFill="1" applyBorder="1" applyAlignment="1">
      <alignment horizontal="left" indent="2"/>
    </xf>
    <xf numFmtId="172" fontId="14" fillId="31" borderId="0" xfId="1" applyNumberFormat="1" applyFont="1" applyFill="1" applyBorder="1"/>
    <xf numFmtId="175" fontId="5" fillId="31" borderId="24" xfId="1" applyNumberFormat="1" applyFont="1" applyFill="1" applyBorder="1"/>
    <xf numFmtId="43" fontId="76" fillId="31" borderId="23" xfId="1" applyFont="1" applyFill="1" applyBorder="1"/>
    <xf numFmtId="172" fontId="5" fillId="31" borderId="0" xfId="1" applyNumberFormat="1" applyFont="1" applyFill="1" applyBorder="1"/>
    <xf numFmtId="175" fontId="5" fillId="31" borderId="24" xfId="0" applyNumberFormat="1" applyFont="1" applyFill="1" applyBorder="1"/>
    <xf numFmtId="39" fontId="4" fillId="31" borderId="46" xfId="0" applyNumberFormat="1" applyFont="1" applyFill="1" applyBorder="1"/>
    <xf numFmtId="39" fontId="5" fillId="31" borderId="23" xfId="0" applyNumberFormat="1" applyFont="1" applyFill="1" applyBorder="1"/>
    <xf numFmtId="175" fontId="5" fillId="31" borderId="23" xfId="0" applyFont="1" applyFill="1" applyBorder="1"/>
    <xf numFmtId="39" fontId="4" fillId="31" borderId="23" xfId="3" applyNumberFormat="1" applyFont="1" applyFill="1" applyBorder="1"/>
    <xf numFmtId="175" fontId="14" fillId="31" borderId="24" xfId="0" applyNumberFormat="1" applyFont="1" applyFill="1" applyBorder="1" applyAlignment="1">
      <alignment horizontal="left"/>
    </xf>
    <xf numFmtId="43" fontId="5" fillId="31" borderId="23" xfId="1" applyFont="1" applyFill="1" applyBorder="1"/>
    <xf numFmtId="43" fontId="4" fillId="31" borderId="23" xfId="0" applyNumberFormat="1" applyFont="1" applyFill="1" applyBorder="1"/>
    <xf numFmtId="175" fontId="5" fillId="31" borderId="12" xfId="0" applyFont="1" applyFill="1" applyBorder="1"/>
    <xf numFmtId="39" fontId="5" fillId="31" borderId="12" xfId="0" applyNumberFormat="1" applyFont="1" applyFill="1" applyBorder="1"/>
    <xf numFmtId="175" fontId="5" fillId="31" borderId="24" xfId="0" quotePrefix="1" applyNumberFormat="1" applyFont="1" applyFill="1" applyBorder="1" applyAlignment="1">
      <alignment horizontal="left"/>
    </xf>
    <xf numFmtId="175" fontId="5" fillId="31" borderId="29" xfId="0" applyNumberFormat="1" applyFont="1" applyFill="1" applyBorder="1"/>
    <xf numFmtId="39" fontId="5" fillId="31" borderId="28" xfId="0" applyNumberFormat="1" applyFont="1" applyFill="1" applyBorder="1"/>
    <xf numFmtId="175" fontId="6" fillId="31" borderId="24" xfId="0" applyNumberFormat="1" applyFont="1" applyFill="1" applyBorder="1"/>
    <xf numFmtId="43" fontId="23" fillId="31" borderId="23" xfId="1" applyFont="1" applyFill="1" applyBorder="1"/>
    <xf numFmtId="43" fontId="6" fillId="31" borderId="23" xfId="1" applyFont="1" applyFill="1" applyBorder="1"/>
    <xf numFmtId="175" fontId="14" fillId="31" borderId="30" xfId="0" applyNumberFormat="1" applyFont="1" applyFill="1" applyBorder="1"/>
    <xf numFmtId="43" fontId="4" fillId="31" borderId="31" xfId="1" applyFont="1" applyFill="1" applyBorder="1"/>
    <xf numFmtId="175" fontId="14" fillId="31" borderId="0" xfId="0" applyNumberFormat="1" applyFont="1" applyFill="1" applyBorder="1"/>
    <xf numFmtId="175" fontId="4" fillId="31" borderId="33" xfId="0" applyFont="1" applyFill="1" applyBorder="1"/>
    <xf numFmtId="175" fontId="4" fillId="31" borderId="22" xfId="0" applyFont="1" applyFill="1" applyBorder="1"/>
    <xf numFmtId="175" fontId="14" fillId="31" borderId="24" xfId="0" applyNumberFormat="1" applyFont="1" applyFill="1" applyBorder="1"/>
    <xf numFmtId="39" fontId="4" fillId="31" borderId="23" xfId="0" applyNumberFormat="1" applyFont="1" applyFill="1" applyBorder="1"/>
    <xf numFmtId="175" fontId="14" fillId="31" borderId="24" xfId="0" quotePrefix="1" applyNumberFormat="1" applyFont="1" applyFill="1" applyBorder="1" applyAlignment="1">
      <alignment horizontal="left"/>
    </xf>
    <xf numFmtId="175" fontId="23" fillId="31" borderId="23" xfId="0" applyFont="1" applyFill="1" applyBorder="1"/>
    <xf numFmtId="43" fontId="23" fillId="31" borderId="32" xfId="1" applyFont="1" applyFill="1" applyBorder="1"/>
    <xf numFmtId="39" fontId="5" fillId="31" borderId="33" xfId="0" applyNumberFormat="1" applyFont="1" applyFill="1" applyBorder="1"/>
    <xf numFmtId="43" fontId="23" fillId="31" borderId="38" xfId="1" applyFont="1" applyFill="1" applyBorder="1"/>
    <xf numFmtId="39" fontId="4" fillId="31" borderId="32" xfId="0" applyNumberFormat="1" applyFont="1" applyFill="1" applyBorder="1"/>
    <xf numFmtId="39" fontId="4" fillId="31" borderId="31" xfId="0" applyNumberFormat="1" applyFont="1" applyFill="1" applyBorder="1"/>
    <xf numFmtId="43" fontId="4" fillId="31" borderId="45" xfId="0" applyNumberFormat="1" applyFont="1" applyFill="1" applyBorder="1"/>
    <xf numFmtId="175" fontId="14" fillId="31" borderId="23" xfId="0" applyNumberFormat="1" applyFont="1" applyFill="1" applyBorder="1" applyAlignment="1">
      <alignment horizontal="right"/>
    </xf>
    <xf numFmtId="175" fontId="14" fillId="31" borderId="23" xfId="0" quotePrefix="1" applyNumberFormat="1" applyFont="1" applyFill="1" applyBorder="1" applyAlignment="1">
      <alignment horizontal="left"/>
    </xf>
    <xf numFmtId="39" fontId="4" fillId="31" borderId="45" xfId="0" applyNumberFormat="1" applyFont="1" applyFill="1" applyBorder="1"/>
    <xf numFmtId="175" fontId="14" fillId="31" borderId="25" xfId="0" applyNumberFormat="1" applyFont="1" applyFill="1" applyBorder="1" applyAlignment="1">
      <alignment horizontal="left"/>
    </xf>
    <xf numFmtId="175" fontId="4" fillId="31" borderId="32" xfId="0" applyFont="1" applyFill="1" applyBorder="1"/>
    <xf numFmtId="39" fontId="5" fillId="31" borderId="32" xfId="0" applyNumberFormat="1" applyFont="1" applyFill="1" applyBorder="1"/>
    <xf numFmtId="39" fontId="5" fillId="31" borderId="41" xfId="0" applyNumberFormat="1" applyFont="1" applyFill="1" applyBorder="1"/>
    <xf numFmtId="175" fontId="5" fillId="31" borderId="20" xfId="0" quotePrefix="1" applyNumberFormat="1" applyFont="1" applyFill="1" applyBorder="1" applyAlignment="1">
      <alignment horizontal="left"/>
    </xf>
    <xf numFmtId="175" fontId="14" fillId="31" borderId="23" xfId="0" applyNumberFormat="1" applyFont="1" applyFill="1" applyBorder="1"/>
    <xf numFmtId="39" fontId="4" fillId="31" borderId="25" xfId="0" applyNumberFormat="1" applyFont="1" applyFill="1" applyBorder="1"/>
    <xf numFmtId="175" fontId="86" fillId="31" borderId="24" xfId="0" applyNumberFormat="1" applyFont="1" applyFill="1" applyBorder="1" applyAlignment="1"/>
    <xf numFmtId="174" fontId="4" fillId="31" borderId="23" xfId="7" applyNumberFormat="1" applyFont="1" applyFill="1" applyBorder="1"/>
    <xf numFmtId="165" fontId="4" fillId="31" borderId="23" xfId="7" applyNumberFormat="1" applyFont="1" applyFill="1" applyBorder="1"/>
    <xf numFmtId="175" fontId="86" fillId="31" borderId="24" xfId="0" applyNumberFormat="1" applyFont="1" applyFill="1" applyBorder="1" applyAlignment="1">
      <alignment horizontal="left"/>
    </xf>
    <xf numFmtId="175" fontId="14" fillId="31" borderId="24" xfId="0" applyNumberFormat="1" applyFont="1" applyFill="1" applyBorder="1" applyAlignment="1">
      <alignment horizontal="left" indent="1"/>
    </xf>
    <xf numFmtId="43" fontId="4" fillId="31" borderId="32" xfId="1" applyFont="1" applyFill="1" applyBorder="1"/>
    <xf numFmtId="39" fontId="5" fillId="31" borderId="22" xfId="0" applyNumberFormat="1" applyFont="1" applyFill="1" applyBorder="1"/>
    <xf numFmtId="175" fontId="14" fillId="31" borderId="5" xfId="0" applyNumberFormat="1" applyFont="1" applyFill="1" applyBorder="1"/>
    <xf numFmtId="175" fontId="5" fillId="31" borderId="33" xfId="0" applyFont="1" applyFill="1" applyBorder="1" applyAlignment="1">
      <alignment horizontal="center"/>
    </xf>
    <xf numFmtId="175" fontId="14" fillId="31" borderId="5" xfId="0" applyFont="1" applyFill="1" applyBorder="1"/>
    <xf numFmtId="175" fontId="5" fillId="31" borderId="0" xfId="0" quotePrefix="1" applyNumberFormat="1" applyFont="1" applyFill="1" applyAlignment="1">
      <alignment horizontal="left"/>
    </xf>
    <xf numFmtId="39" fontId="4" fillId="31" borderId="27" xfId="0" applyNumberFormat="1" applyFont="1" applyFill="1" applyBorder="1"/>
    <xf numFmtId="39" fontId="102" fillId="31" borderId="23" xfId="0" applyNumberFormat="1" applyFont="1" applyFill="1" applyBorder="1"/>
    <xf numFmtId="39" fontId="5" fillId="31" borderId="10" xfId="0" applyNumberFormat="1" applyFont="1" applyFill="1" applyBorder="1"/>
    <xf numFmtId="175" fontId="4" fillId="31" borderId="25" xfId="0" applyFont="1" applyFill="1" applyBorder="1"/>
    <xf numFmtId="175" fontId="6" fillId="31" borderId="0" xfId="0" applyNumberFormat="1" applyFont="1" applyFill="1"/>
    <xf numFmtId="43" fontId="4" fillId="31" borderId="0" xfId="0" applyNumberFormat="1" applyFont="1" applyFill="1" applyBorder="1"/>
    <xf numFmtId="43" fontId="5" fillId="32" borderId="32" xfId="1" applyFont="1" applyFill="1" applyBorder="1"/>
    <xf numFmtId="0" fontId="23" fillId="31" borderId="23" xfId="0" applyNumberFormat="1" applyFont="1" applyFill="1" applyBorder="1"/>
    <xf numFmtId="175" fontId="4" fillId="31" borderId="12" xfId="0" applyFont="1" applyFill="1" applyBorder="1"/>
    <xf numFmtId="43" fontId="6" fillId="31" borderId="12" xfId="1" applyFont="1" applyFill="1" applyBorder="1"/>
    <xf numFmtId="175" fontId="6" fillId="31" borderId="12" xfId="0" applyFont="1" applyFill="1" applyBorder="1"/>
    <xf numFmtId="43" fontId="23" fillId="31" borderId="12" xfId="1" applyFont="1" applyFill="1" applyBorder="1"/>
    <xf numFmtId="173" fontId="76" fillId="31" borderId="12" xfId="1" applyNumberFormat="1" applyFont="1" applyFill="1" applyBorder="1"/>
    <xf numFmtId="43" fontId="23" fillId="31" borderId="12" xfId="1" applyNumberFormat="1" applyFont="1" applyFill="1" applyBorder="1"/>
    <xf numFmtId="43" fontId="34" fillId="31" borderId="12" xfId="1" applyNumberFormat="1" applyFont="1" applyFill="1" applyBorder="1"/>
    <xf numFmtId="175" fontId="88" fillId="31" borderId="24" xfId="1" applyNumberFormat="1" applyFont="1" applyFill="1" applyBorder="1"/>
    <xf numFmtId="43" fontId="76" fillId="31" borderId="12" xfId="1" applyNumberFormat="1" applyFont="1" applyFill="1" applyBorder="1"/>
    <xf numFmtId="164" fontId="4" fillId="31" borderId="12" xfId="1" applyNumberFormat="1" applyFont="1" applyFill="1" applyBorder="1"/>
    <xf numFmtId="43" fontId="5" fillId="31" borderId="12" xfId="1" applyFont="1" applyFill="1" applyBorder="1"/>
    <xf numFmtId="39" fontId="4" fillId="31" borderId="12" xfId="0" applyNumberFormat="1" applyFont="1" applyFill="1" applyBorder="1"/>
    <xf numFmtId="39" fontId="23" fillId="31" borderId="15" xfId="3" applyNumberFormat="1" applyFont="1" applyFill="1" applyBorder="1"/>
    <xf numFmtId="39" fontId="5" fillId="31" borderId="12" xfId="3" applyNumberFormat="1" applyFont="1" applyFill="1" applyBorder="1"/>
    <xf numFmtId="39" fontId="5" fillId="31" borderId="40" xfId="0" applyNumberFormat="1" applyFont="1" applyFill="1" applyBorder="1"/>
    <xf numFmtId="43" fontId="23" fillId="31" borderId="15" xfId="1" applyFont="1" applyFill="1" applyBorder="1"/>
    <xf numFmtId="43" fontId="4" fillId="31" borderId="43" xfId="0" applyNumberFormat="1" applyFont="1" applyFill="1" applyBorder="1"/>
    <xf numFmtId="175" fontId="4" fillId="31" borderId="44" xfId="0" applyFont="1" applyFill="1" applyBorder="1"/>
    <xf numFmtId="43" fontId="4" fillId="31" borderId="12" xfId="1" applyFont="1" applyFill="1" applyBorder="1"/>
    <xf numFmtId="43" fontId="110" fillId="31" borderId="12" xfId="1" applyFont="1" applyFill="1" applyBorder="1"/>
    <xf numFmtId="43" fontId="4" fillId="31" borderId="15" xfId="1" applyFont="1" applyFill="1" applyBorder="1"/>
    <xf numFmtId="175" fontId="14" fillId="31" borderId="34" xfId="0" applyNumberFormat="1" applyFont="1" applyFill="1" applyBorder="1"/>
    <xf numFmtId="175" fontId="14" fillId="31" borderId="26" xfId="0" applyNumberFormat="1" applyFont="1" applyFill="1" applyBorder="1" applyAlignment="1">
      <alignment horizontal="left"/>
    </xf>
    <xf numFmtId="175" fontId="14" fillId="31" borderId="24" xfId="0" applyNumberFormat="1" applyFont="1" applyFill="1" applyBorder="1" applyAlignment="1">
      <alignment horizontal="right"/>
    </xf>
    <xf numFmtId="175" fontId="5" fillId="31" borderId="26" xfId="0" applyNumberFormat="1" applyFont="1" applyFill="1" applyBorder="1"/>
    <xf numFmtId="43" fontId="5" fillId="31" borderId="40" xfId="1" applyFont="1" applyFill="1" applyBorder="1"/>
    <xf numFmtId="173" fontId="4" fillId="31" borderId="12" xfId="1" applyNumberFormat="1" applyFont="1" applyFill="1" applyBorder="1"/>
    <xf numFmtId="4" fontId="4" fillId="31" borderId="15" xfId="0" applyNumberFormat="1" applyFont="1" applyFill="1" applyBorder="1"/>
    <xf numFmtId="39" fontId="4" fillId="31" borderId="43" xfId="0" applyNumberFormat="1" applyFont="1" applyFill="1" applyBorder="1"/>
    <xf numFmtId="175" fontId="6" fillId="31" borderId="0" xfId="0" applyNumberFormat="1" applyFont="1" applyFill="1" applyBorder="1"/>
    <xf numFmtId="43" fontId="5" fillId="31" borderId="0" xfId="1" applyFont="1" applyFill="1" applyBorder="1"/>
    <xf numFmtId="43" fontId="4" fillId="31" borderId="0" xfId="1" applyFont="1" applyFill="1" applyAlignment="1">
      <alignment horizontal="right"/>
    </xf>
    <xf numFmtId="43" fontId="23" fillId="31" borderId="0" xfId="1" applyFont="1" applyFill="1" applyAlignment="1">
      <alignment horizontal="right"/>
    </xf>
    <xf numFmtId="43" fontId="4" fillId="31" borderId="0" xfId="1" applyFont="1" applyFill="1" applyBorder="1" applyAlignment="1">
      <alignment horizontal="right"/>
    </xf>
    <xf numFmtId="0" fontId="5" fillId="31" borderId="20" xfId="0" applyNumberFormat="1" applyFont="1" applyFill="1" applyBorder="1" applyAlignment="1">
      <alignment horizontal="left"/>
    </xf>
    <xf numFmtId="0" fontId="14" fillId="31" borderId="0" xfId="0" applyNumberFormat="1" applyFont="1" applyFill="1" applyBorder="1"/>
    <xf numFmtId="0" fontId="5" fillId="31" borderId="42" xfId="0" applyNumberFormat="1" applyFont="1" applyFill="1" applyBorder="1" applyAlignment="1">
      <alignment horizontal="center"/>
    </xf>
    <xf numFmtId="39" fontId="5" fillId="32" borderId="32" xfId="0" applyNumberFormat="1" applyFont="1" applyFill="1" applyBorder="1"/>
    <xf numFmtId="39" fontId="4" fillId="31" borderId="24" xfId="0" applyNumberFormat="1" applyFont="1" applyFill="1" applyBorder="1"/>
    <xf numFmtId="43" fontId="5" fillId="32" borderId="24" xfId="1" applyFont="1" applyFill="1" applyBorder="1"/>
    <xf numFmtId="43" fontId="5" fillId="32" borderId="27" xfId="1" applyFont="1" applyFill="1" applyBorder="1"/>
    <xf numFmtId="43" fontId="5" fillId="32" borderId="0" xfId="1" applyFont="1" applyFill="1" applyBorder="1"/>
    <xf numFmtId="43" fontId="4" fillId="31" borderId="11" xfId="1" applyFont="1" applyFill="1" applyBorder="1"/>
    <xf numFmtId="39" fontId="5" fillId="32" borderId="24" xfId="0" applyNumberFormat="1" applyFont="1" applyFill="1" applyBorder="1"/>
    <xf numFmtId="39" fontId="5" fillId="32" borderId="0" xfId="0" applyNumberFormat="1" applyFont="1" applyFill="1" applyBorder="1"/>
    <xf numFmtId="0" fontId="4" fillId="31" borderId="12" xfId="0" applyNumberFormat="1" applyFont="1" applyFill="1" applyBorder="1"/>
    <xf numFmtId="0" fontId="35" fillId="31" borderId="36" xfId="0" applyNumberFormat="1" applyFont="1" applyFill="1" applyBorder="1"/>
    <xf numFmtId="0" fontId="0" fillId="31" borderId="11" xfId="0" applyNumberFormat="1" applyFill="1" applyBorder="1"/>
    <xf numFmtId="0" fontId="5" fillId="31" borderId="0" xfId="0" applyNumberFormat="1" applyFont="1" applyFill="1"/>
    <xf numFmtId="0" fontId="5" fillId="31" borderId="0" xfId="0" applyNumberFormat="1" applyFont="1" applyFill="1" applyAlignment="1">
      <alignment horizontal="center"/>
    </xf>
    <xf numFmtId="175" fontId="0" fillId="31" borderId="0" xfId="0" applyNumberFormat="1" applyFill="1" applyAlignment="1">
      <alignment horizontal="center"/>
    </xf>
    <xf numFmtId="0" fontId="37" fillId="31" borderId="0" xfId="0" applyNumberFormat="1" applyFont="1" applyFill="1" applyAlignment="1">
      <alignment horizontal="center"/>
    </xf>
    <xf numFmtId="175" fontId="37" fillId="31" borderId="0" xfId="0" applyFont="1" applyFill="1" applyBorder="1" applyAlignment="1">
      <alignment horizontal="center"/>
    </xf>
    <xf numFmtId="0" fontId="35" fillId="31" borderId="0" xfId="0" quotePrefix="1" applyNumberFormat="1" applyFont="1" applyFill="1" applyAlignment="1">
      <alignment horizontal="center"/>
    </xf>
    <xf numFmtId="14" fontId="0" fillId="31" borderId="0" xfId="0" quotePrefix="1" applyNumberFormat="1" applyFill="1"/>
    <xf numFmtId="175" fontId="37" fillId="31" borderId="0" xfId="0" applyNumberFormat="1" applyFont="1" applyFill="1" applyBorder="1" applyAlignment="1">
      <alignment horizontal="center"/>
    </xf>
    <xf numFmtId="0" fontId="37" fillId="31" borderId="0" xfId="0" applyNumberFormat="1" applyFont="1" applyFill="1" applyBorder="1" applyAlignment="1">
      <alignment horizontal="center"/>
    </xf>
    <xf numFmtId="0" fontId="35" fillId="31" borderId="0" xfId="0" applyNumberFormat="1" applyFont="1" applyFill="1"/>
    <xf numFmtId="0" fontId="14" fillId="31" borderId="0" xfId="1" applyNumberFormat="1" applyFont="1" applyFill="1"/>
    <xf numFmtId="43" fontId="0" fillId="31" borderId="0" xfId="1" applyFont="1" applyFill="1"/>
    <xf numFmtId="175" fontId="0" fillId="31" borderId="0" xfId="7" applyNumberFormat="1" applyFont="1" applyFill="1"/>
    <xf numFmtId="175" fontId="0" fillId="31" borderId="14" xfId="0" applyNumberFormat="1" applyFill="1" applyBorder="1"/>
    <xf numFmtId="0" fontId="0" fillId="31" borderId="14" xfId="0" applyNumberFormat="1" applyFill="1" applyBorder="1"/>
    <xf numFmtId="17" fontId="35" fillId="31" borderId="37" xfId="0" applyNumberFormat="1" applyFont="1" applyFill="1" applyBorder="1" applyAlignment="1">
      <alignment horizontal="center"/>
    </xf>
    <xf numFmtId="175" fontId="0" fillId="31" borderId="0" xfId="0" applyNumberFormat="1" applyFill="1" applyBorder="1"/>
    <xf numFmtId="0" fontId="0" fillId="31" borderId="0" xfId="0" applyNumberFormat="1" applyFill="1" applyBorder="1"/>
    <xf numFmtId="175" fontId="0" fillId="31" borderId="19" xfId="0" applyFill="1" applyBorder="1"/>
    <xf numFmtId="175" fontId="0" fillId="31" borderId="12" xfId="0" applyFill="1" applyBorder="1"/>
    <xf numFmtId="164" fontId="0" fillId="31" borderId="19" xfId="1" applyNumberFormat="1" applyFont="1" applyFill="1" applyBorder="1"/>
    <xf numFmtId="0" fontId="0" fillId="31" borderId="0" xfId="0" applyNumberFormat="1" applyFill="1" applyBorder="1" applyAlignment="1">
      <alignment horizontal="left" indent="1"/>
    </xf>
    <xf numFmtId="164" fontId="114" fillId="31" borderId="19" xfId="1" applyNumberFormat="1" applyFont="1" applyFill="1" applyBorder="1"/>
    <xf numFmtId="0" fontId="0" fillId="31" borderId="0" xfId="0" applyNumberFormat="1" applyFill="1" applyBorder="1" applyAlignment="1">
      <alignment horizontal="left"/>
    </xf>
    <xf numFmtId="0" fontId="14" fillId="31" borderId="0" xfId="0" applyNumberFormat="1" applyFont="1" applyFill="1" applyBorder="1" applyAlignment="1">
      <alignment horizontal="left" indent="1"/>
    </xf>
    <xf numFmtId="0" fontId="0" fillId="31" borderId="6" xfId="0" applyNumberFormat="1" applyFill="1" applyBorder="1"/>
    <xf numFmtId="175" fontId="0" fillId="31" borderId="5" xfId="0" applyNumberFormat="1" applyFill="1" applyBorder="1"/>
    <xf numFmtId="0" fontId="0" fillId="31" borderId="5" xfId="0" applyNumberFormat="1" applyFill="1" applyBorder="1"/>
    <xf numFmtId="0" fontId="14" fillId="31" borderId="5" xfId="0" applyNumberFormat="1" applyFont="1" applyFill="1" applyBorder="1"/>
    <xf numFmtId="164" fontId="0" fillId="31" borderId="38" xfId="1" applyNumberFormat="1" applyFont="1" applyFill="1" applyBorder="1"/>
    <xf numFmtId="0" fontId="35" fillId="31" borderId="11" xfId="0" applyNumberFormat="1" applyFont="1" applyFill="1" applyBorder="1"/>
    <xf numFmtId="0" fontId="14" fillId="31" borderId="11" xfId="0" applyNumberFormat="1" applyFont="1" applyFill="1" applyBorder="1"/>
    <xf numFmtId="4" fontId="114" fillId="31" borderId="0" xfId="0" applyNumberFormat="1" applyFont="1" applyFill="1" applyBorder="1"/>
    <xf numFmtId="4" fontId="0" fillId="31" borderId="19" xfId="0" applyNumberFormat="1" applyFill="1" applyBorder="1"/>
    <xf numFmtId="0" fontId="35" fillId="31" borderId="6" xfId="0" applyNumberFormat="1" applyFont="1" applyFill="1" applyBorder="1"/>
    <xf numFmtId="4" fontId="0" fillId="31" borderId="38" xfId="0" applyNumberFormat="1" applyFill="1" applyBorder="1"/>
    <xf numFmtId="43" fontId="114" fillId="31" borderId="0" xfId="1" applyFont="1" applyFill="1" applyBorder="1"/>
    <xf numFmtId="0" fontId="4" fillId="31" borderId="0" xfId="0" applyNumberFormat="1" applyFont="1" applyFill="1"/>
    <xf numFmtId="4" fontId="115" fillId="31" borderId="0" xfId="0" applyNumberFormat="1" applyFont="1" applyFill="1" applyBorder="1"/>
    <xf numFmtId="175" fontId="4" fillId="31" borderId="0" xfId="0" applyNumberFormat="1" applyFont="1" applyFill="1"/>
    <xf numFmtId="0" fontId="35" fillId="31" borderId="0" xfId="0" applyNumberFormat="1" applyFont="1" applyFill="1" applyAlignment="1">
      <alignment horizontal="left" indent="1"/>
    </xf>
    <xf numFmtId="0" fontId="5" fillId="31" borderId="0" xfId="0" applyNumberFormat="1" applyFont="1" applyFill="1" applyBorder="1"/>
    <xf numFmtId="4" fontId="5" fillId="31" borderId="0" xfId="0" applyNumberFormat="1" applyFont="1" applyFill="1"/>
    <xf numFmtId="0" fontId="4" fillId="31" borderId="0" xfId="0" applyNumberFormat="1" applyFont="1" applyFill="1" applyBorder="1"/>
    <xf numFmtId="0" fontId="35" fillId="31" borderId="5" xfId="0" applyNumberFormat="1" applyFont="1" applyFill="1" applyBorder="1" applyAlignment="1">
      <alignment horizontal="left" indent="1"/>
    </xf>
    <xf numFmtId="175" fontId="5" fillId="31" borderId="5" xfId="0" applyNumberFormat="1" applyFont="1" applyFill="1" applyBorder="1"/>
    <xf numFmtId="0" fontId="5" fillId="31" borderId="5" xfId="0" applyNumberFormat="1" applyFont="1" applyFill="1" applyBorder="1"/>
    <xf numFmtId="4" fontId="5" fillId="31" borderId="5" xfId="0" applyNumberFormat="1" applyFont="1" applyFill="1" applyBorder="1"/>
    <xf numFmtId="175" fontId="14" fillId="31" borderId="0" xfId="0" applyFont="1" applyFill="1"/>
    <xf numFmtId="43" fontId="5" fillId="32" borderId="0" xfId="1" applyFont="1" applyFill="1"/>
    <xf numFmtId="43" fontId="0" fillId="32" borderId="0" xfId="1" applyFont="1" applyFill="1"/>
    <xf numFmtId="10" fontId="0" fillId="31" borderId="0" xfId="0" applyNumberFormat="1" applyFill="1" applyBorder="1"/>
    <xf numFmtId="4" fontId="114" fillId="31" borderId="12" xfId="0" applyNumberFormat="1" applyFont="1" applyFill="1" applyBorder="1"/>
    <xf numFmtId="0" fontId="14" fillId="0" borderId="0" xfId="0" applyNumberFormat="1" applyFont="1" applyFill="1"/>
    <xf numFmtId="0" fontId="49" fillId="32" borderId="20" xfId="0" applyNumberFormat="1" applyFont="1" applyFill="1" applyBorder="1"/>
    <xf numFmtId="175" fontId="49" fillId="32" borderId="39" xfId="0" applyFont="1" applyFill="1" applyBorder="1"/>
    <xf numFmtId="17" fontId="56" fillId="32" borderId="27" xfId="0" applyNumberFormat="1" applyFont="1" applyFill="1" applyBorder="1"/>
    <xf numFmtId="164" fontId="49" fillId="32" borderId="27" xfId="1" applyNumberFormat="1" applyFont="1" applyFill="1" applyBorder="1"/>
    <xf numFmtId="164" fontId="49" fillId="32" borderId="35" xfId="1" applyNumberFormat="1" applyFont="1" applyFill="1" applyBorder="1"/>
    <xf numFmtId="175" fontId="90" fillId="31" borderId="0" xfId="0" applyFont="1" applyFill="1"/>
    <xf numFmtId="175" fontId="53" fillId="31" borderId="0" xfId="0" applyFont="1" applyFill="1"/>
    <xf numFmtId="175" fontId="49" fillId="31" borderId="0" xfId="0" applyFont="1" applyFill="1" applyAlignment="1">
      <alignment horizontal="center"/>
    </xf>
    <xf numFmtId="0" fontId="49" fillId="31" borderId="0" xfId="0" applyNumberFormat="1" applyFont="1" applyFill="1" applyAlignment="1">
      <alignment horizontal="center"/>
    </xf>
    <xf numFmtId="0" fontId="49" fillId="31" borderId="0" xfId="0" quotePrefix="1" applyNumberFormat="1" applyFont="1" applyFill="1" applyAlignment="1">
      <alignment horizontal="center"/>
    </xf>
    <xf numFmtId="175" fontId="49" fillId="31" borderId="0" xfId="0" quotePrefix="1" applyFont="1" applyFill="1" applyAlignment="1">
      <alignment horizontal="center"/>
    </xf>
    <xf numFmtId="3" fontId="49" fillId="31" borderId="0" xfId="0" applyNumberFormat="1" applyFont="1" applyFill="1"/>
    <xf numFmtId="43" fontId="49" fillId="31" borderId="0" xfId="1" applyFont="1" applyFill="1"/>
    <xf numFmtId="3" fontId="91" fillId="31" borderId="0" xfId="0" applyNumberFormat="1" applyFont="1" applyFill="1" applyAlignment="1"/>
    <xf numFmtId="3" fontId="47" fillId="31" borderId="0" xfId="58" applyNumberFormat="1" applyFont="1" applyFill="1" applyAlignment="1">
      <alignment horizontal="left"/>
    </xf>
    <xf numFmtId="175" fontId="49" fillId="31" borderId="0" xfId="0" applyFont="1" applyFill="1" applyBorder="1"/>
    <xf numFmtId="175" fontId="49" fillId="31" borderId="14" xfId="0" applyFont="1" applyFill="1" applyBorder="1" applyAlignment="1">
      <alignment horizontal="center"/>
    </xf>
    <xf numFmtId="3" fontId="49" fillId="31" borderId="14" xfId="0" applyNumberFormat="1" applyFont="1" applyFill="1" applyBorder="1"/>
    <xf numFmtId="175" fontId="49" fillId="31" borderId="14" xfId="0" applyFont="1" applyFill="1" applyBorder="1"/>
    <xf numFmtId="3" fontId="49" fillId="31" borderId="0" xfId="0" applyNumberFormat="1" applyFont="1" applyFill="1" applyBorder="1"/>
    <xf numFmtId="175" fontId="49" fillId="31" borderId="0" xfId="0" applyFont="1" applyFill="1" applyBorder="1" applyAlignment="1">
      <alignment horizontal="center"/>
    </xf>
    <xf numFmtId="41" fontId="49" fillId="31" borderId="0" xfId="1" applyNumberFormat="1" applyFont="1" applyFill="1" applyBorder="1"/>
    <xf numFmtId="175" fontId="49" fillId="31" borderId="5" xfId="0" applyFont="1" applyFill="1" applyBorder="1"/>
    <xf numFmtId="41" fontId="49" fillId="31" borderId="0" xfId="1" applyNumberFormat="1" applyFont="1" applyFill="1"/>
    <xf numFmtId="175" fontId="49" fillId="31" borderId="0" xfId="0" quotePrefix="1" applyFont="1" applyFill="1"/>
    <xf numFmtId="41" fontId="49" fillId="31" borderId="0" xfId="0" applyNumberFormat="1" applyFont="1" applyFill="1"/>
    <xf numFmtId="175" fontId="49" fillId="31" borderId="0" xfId="0" applyFont="1" applyFill="1" applyAlignment="1"/>
    <xf numFmtId="175" fontId="49" fillId="31" borderId="0" xfId="58" applyNumberFormat="1" applyFont="1" applyFill="1" applyAlignment="1">
      <alignment wrapText="1"/>
    </xf>
    <xf numFmtId="175" fontId="49" fillId="31" borderId="0" xfId="0" applyFont="1" applyFill="1" applyAlignment="1">
      <alignment wrapText="1"/>
    </xf>
    <xf numFmtId="3" fontId="53" fillId="31" borderId="0" xfId="0" applyNumberFormat="1" applyFont="1" applyFill="1"/>
    <xf numFmtId="164" fontId="49" fillId="31" borderId="0" xfId="1" applyNumberFormat="1" applyFont="1" applyFill="1" applyBorder="1"/>
    <xf numFmtId="164" fontId="49" fillId="31" borderId="2" xfId="1" applyNumberFormat="1" applyFont="1" applyFill="1" applyBorder="1"/>
    <xf numFmtId="0" fontId="49" fillId="31" borderId="0" xfId="0" quotePrefix="1" applyNumberFormat="1" applyFont="1" applyFill="1" applyBorder="1" applyAlignment="1">
      <alignment horizontal="center"/>
    </xf>
    <xf numFmtId="41" fontId="49" fillId="31" borderId="0" xfId="0" applyNumberFormat="1" applyFont="1" applyFill="1" applyBorder="1"/>
    <xf numFmtId="175" fontId="49" fillId="31" borderId="2" xfId="0" applyFont="1" applyFill="1" applyBorder="1"/>
    <xf numFmtId="175" fontId="49" fillId="32" borderId="2" xfId="0" applyFont="1" applyFill="1" applyBorder="1"/>
    <xf numFmtId="175" fontId="49" fillId="31" borderId="2" xfId="0" quotePrefix="1" applyFont="1" applyFill="1" applyBorder="1"/>
    <xf numFmtId="175" fontId="82" fillId="31" borderId="0" xfId="0" applyNumberFormat="1" applyFont="1" applyFill="1"/>
    <xf numFmtId="175" fontId="4" fillId="31" borderId="0" xfId="130" applyFill="1"/>
    <xf numFmtId="49" fontId="83" fillId="31" borderId="15" xfId="0" applyNumberFormat="1" applyFont="1" applyFill="1" applyBorder="1" applyAlignment="1">
      <alignment horizontal="left"/>
    </xf>
    <xf numFmtId="49" fontId="83" fillId="31" borderId="15" xfId="0" applyNumberFormat="1" applyFont="1" applyFill="1" applyBorder="1" applyAlignment="1">
      <alignment horizontal="center"/>
    </xf>
    <xf numFmtId="49" fontId="0" fillId="31" borderId="12" xfId="0" applyNumberFormat="1" applyFill="1" applyBorder="1" applyAlignment="1">
      <alignment horizontal="left"/>
    </xf>
    <xf numFmtId="37" fontId="0" fillId="31" borderId="12" xfId="0" applyNumberFormat="1" applyFill="1" applyBorder="1"/>
    <xf numFmtId="175" fontId="4" fillId="31" borderId="0" xfId="93" applyFill="1"/>
    <xf numFmtId="49" fontId="5" fillId="31" borderId="12" xfId="0" applyNumberFormat="1" applyFont="1" applyFill="1" applyBorder="1" applyAlignment="1">
      <alignment horizontal="left"/>
    </xf>
    <xf numFmtId="37" fontId="5" fillId="31" borderId="12" xfId="0" applyNumberFormat="1" applyFont="1" applyFill="1" applyBorder="1"/>
    <xf numFmtId="175" fontId="4" fillId="31" borderId="0" xfId="2" applyFill="1"/>
    <xf numFmtId="164" fontId="4" fillId="31" borderId="0" xfId="1" applyNumberFormat="1" applyFill="1"/>
    <xf numFmtId="0" fontId="0" fillId="0" borderId="0" xfId="0" applyNumberFormat="1" applyAlignment="1">
      <alignment vertical="top"/>
    </xf>
    <xf numFmtId="175" fontId="0" fillId="31" borderId="0" xfId="0" applyFill="1" applyAlignment="1">
      <alignment horizontal="center" wrapText="1"/>
    </xf>
    <xf numFmtId="175" fontId="0" fillId="31" borderId="0" xfId="0" applyFill="1" applyAlignment="1">
      <alignment wrapText="1"/>
    </xf>
    <xf numFmtId="175" fontId="5" fillId="31" borderId="0" xfId="0" applyFont="1" applyFill="1" applyAlignment="1">
      <alignment horizontal="center" wrapText="1"/>
    </xf>
    <xf numFmtId="175" fontId="5" fillId="31" borderId="0" xfId="0" applyFont="1" applyFill="1" applyAlignment="1">
      <alignment horizontal="left" wrapText="1"/>
    </xf>
    <xf numFmtId="175" fontId="52" fillId="31" borderId="0" xfId="0" applyFont="1" applyFill="1" applyBorder="1" applyAlignment="1"/>
    <xf numFmtId="2" fontId="49" fillId="31" borderId="0" xfId="0" applyNumberFormat="1" applyFont="1" applyFill="1" applyBorder="1" applyAlignment="1"/>
    <xf numFmtId="0" fontId="49" fillId="31" borderId="0" xfId="0" applyNumberFormat="1" applyFont="1" applyFill="1" applyBorder="1" applyAlignment="1">
      <alignment horizontal="center"/>
    </xf>
    <xf numFmtId="175" fontId="46" fillId="31" borderId="0" xfId="4" applyFont="1" applyFill="1" applyAlignment="1">
      <alignment horizontal="center"/>
    </xf>
    <xf numFmtId="2" fontId="49" fillId="31" borderId="0" xfId="0" applyNumberFormat="1" applyFont="1" applyFill="1" applyBorder="1" applyAlignment="1">
      <alignment horizontal="center"/>
    </xf>
    <xf numFmtId="9" fontId="49" fillId="31" borderId="0" xfId="7" applyNumberFormat="1" applyFont="1" applyFill="1" applyBorder="1" applyAlignment="1">
      <alignment horizontal="center"/>
    </xf>
    <xf numFmtId="164" fontId="49" fillId="31" borderId="0" xfId="1" applyNumberFormat="1" applyFont="1" applyFill="1" applyBorder="1" applyAlignment="1"/>
    <xf numFmtId="164" fontId="53" fillId="31" borderId="0" xfId="1" applyNumberFormat="1" applyFont="1" applyFill="1" applyBorder="1" applyAlignment="1">
      <alignment horizontal="left"/>
    </xf>
    <xf numFmtId="175" fontId="53" fillId="31" borderId="0" xfId="0" applyFont="1" applyFill="1" applyBorder="1" applyAlignment="1"/>
    <xf numFmtId="175" fontId="53" fillId="31" borderId="0" xfId="4" applyFont="1" applyFill="1" applyAlignment="1"/>
    <xf numFmtId="170" fontId="53" fillId="31" borderId="0" xfId="0" applyNumberFormat="1" applyFont="1" applyFill="1" applyAlignment="1" applyProtection="1">
      <alignment horizontal="center"/>
    </xf>
    <xf numFmtId="170" fontId="53" fillId="31" borderId="0" xfId="0" applyNumberFormat="1" applyFont="1" applyFill="1" applyAlignment="1" applyProtection="1">
      <alignment horizontal="center"/>
    </xf>
    <xf numFmtId="175" fontId="49" fillId="31" borderId="0" xfId="1" quotePrefix="1" applyNumberFormat="1" applyFont="1" applyFill="1" applyAlignment="1">
      <alignment horizontal="center"/>
    </xf>
    <xf numFmtId="0" fontId="53" fillId="31" borderId="0" xfId="0" applyNumberFormat="1" applyFont="1" applyFill="1" applyAlignment="1" applyProtection="1">
      <alignment horizontal="center"/>
    </xf>
    <xf numFmtId="175" fontId="52" fillId="31" borderId="0" xfId="4" applyFont="1" applyFill="1" applyAlignment="1"/>
    <xf numFmtId="0" fontId="52" fillId="31" borderId="0" xfId="0" applyNumberFormat="1" applyFont="1" applyFill="1" applyBorder="1" applyAlignment="1">
      <alignment horizontal="center"/>
    </xf>
    <xf numFmtId="175" fontId="52" fillId="31" borderId="0" xfId="0" applyFont="1" applyFill="1" applyBorder="1" applyAlignment="1">
      <alignment horizontal="center"/>
    </xf>
    <xf numFmtId="0" fontId="56" fillId="31" borderId="0" xfId="7" applyNumberFormat="1" applyFont="1" applyFill="1" applyAlignment="1">
      <alignment horizontal="center"/>
    </xf>
    <xf numFmtId="9" fontId="49" fillId="31" borderId="0" xfId="7" applyFont="1" applyFill="1" applyAlignment="1">
      <alignment horizontal="center"/>
    </xf>
    <xf numFmtId="9" fontId="56" fillId="31" borderId="0" xfId="7" applyNumberFormat="1" applyFont="1" applyFill="1" applyAlignment="1">
      <alignment horizontal="center"/>
    </xf>
    <xf numFmtId="164" fontId="62" fillId="31" borderId="0" xfId="1" applyNumberFormat="1" applyFont="1" applyFill="1" applyAlignment="1">
      <alignment horizontal="center"/>
    </xf>
    <xf numFmtId="0" fontId="46" fillId="31" borderId="0" xfId="1" applyNumberFormat="1" applyFont="1" applyFill="1" applyAlignment="1">
      <alignment horizontal="center"/>
    </xf>
    <xf numFmtId="175" fontId="49" fillId="31" borderId="0" xfId="1" applyNumberFormat="1" applyFont="1" applyFill="1" applyAlignment="1">
      <alignment horizontal="center"/>
    </xf>
    <xf numFmtId="164" fontId="49" fillId="31" borderId="0" xfId="1" applyNumberFormat="1" applyFont="1" applyFill="1" applyAlignment="1"/>
    <xf numFmtId="9" fontId="49" fillId="31" borderId="0" xfId="7" applyNumberFormat="1" applyFont="1" applyFill="1" applyAlignment="1">
      <alignment horizontal="center"/>
    </xf>
    <xf numFmtId="164" fontId="60" fillId="31" borderId="0" xfId="1" applyNumberFormat="1" applyFont="1" applyFill="1" applyAlignment="1"/>
    <xf numFmtId="0" fontId="65" fillId="31" borderId="0" xfId="7" applyNumberFormat="1" applyFont="1" applyFill="1" applyAlignment="1">
      <alignment horizontal="center"/>
    </xf>
    <xf numFmtId="166" fontId="70" fillId="31" borderId="0" xfId="3" applyNumberFormat="1" applyFont="1" applyFill="1" applyAlignment="1">
      <alignment horizontal="center"/>
    </xf>
    <xf numFmtId="164" fontId="70" fillId="31" borderId="0" xfId="1" applyNumberFormat="1" applyFont="1" applyFill="1" applyAlignment="1">
      <alignment horizontal="center"/>
    </xf>
    <xf numFmtId="166" fontId="53" fillId="31" borderId="0" xfId="3" applyNumberFormat="1" applyFont="1" applyFill="1" applyAlignment="1"/>
    <xf numFmtId="0" fontId="49" fillId="31" borderId="0" xfId="1" applyNumberFormat="1" applyFont="1" applyFill="1" applyAlignment="1">
      <alignment horizontal="center"/>
    </xf>
    <xf numFmtId="0" fontId="14" fillId="31" borderId="0" xfId="0" applyNumberFormat="1" applyFont="1" applyFill="1"/>
    <xf numFmtId="0" fontId="49" fillId="31" borderId="0" xfId="4" applyNumberFormat="1" applyFont="1" applyFill="1" applyAlignment="1">
      <alignment horizontal="center"/>
    </xf>
    <xf numFmtId="175" fontId="49" fillId="31" borderId="0" xfId="4" applyFont="1" applyFill="1" applyAlignment="1">
      <alignment horizontal="center"/>
    </xf>
    <xf numFmtId="170" fontId="53" fillId="31" borderId="0" xfId="0" quotePrefix="1" applyNumberFormat="1" applyFont="1" applyFill="1" applyAlignment="1" applyProtection="1">
      <alignment horizontal="centerContinuous"/>
    </xf>
    <xf numFmtId="170" fontId="53" fillId="31" borderId="0" xfId="0" applyNumberFormat="1" applyFont="1" applyFill="1" applyAlignment="1" applyProtection="1">
      <alignment horizontal="centerContinuous"/>
    </xf>
    <xf numFmtId="0" fontId="53" fillId="31" borderId="0" xfId="0" applyNumberFormat="1" applyFont="1" applyFill="1" applyAlignment="1" applyProtection="1">
      <alignment horizontal="centerContinuous"/>
    </xf>
    <xf numFmtId="175" fontId="56" fillId="31" borderId="0" xfId="4" applyFont="1" applyFill="1" applyAlignment="1"/>
    <xf numFmtId="166" fontId="62" fillId="31" borderId="0" xfId="3" applyNumberFormat="1" applyFont="1" applyFill="1" applyAlignment="1">
      <alignment horizontal="center"/>
    </xf>
    <xf numFmtId="0" fontId="52" fillId="31" borderId="0" xfId="7" applyNumberFormat="1" applyFont="1" applyFill="1" applyAlignment="1">
      <alignment horizontal="center"/>
    </xf>
    <xf numFmtId="175" fontId="73" fillId="31" borderId="0" xfId="4" applyFont="1" applyFill="1" applyAlignment="1">
      <alignment horizontal="center"/>
    </xf>
    <xf numFmtId="9" fontId="53" fillId="31" borderId="0" xfId="7" applyFont="1" applyFill="1" applyAlignment="1">
      <alignment horizontal="center"/>
    </xf>
    <xf numFmtId="9" fontId="52" fillId="31" borderId="0" xfId="7" applyNumberFormat="1" applyFont="1" applyFill="1" applyAlignment="1">
      <alignment horizontal="center"/>
    </xf>
    <xf numFmtId="175" fontId="52" fillId="31" borderId="0" xfId="0" applyFont="1" applyFill="1" applyAlignment="1"/>
    <xf numFmtId="164" fontId="49" fillId="31" borderId="0" xfId="1" applyNumberFormat="1" applyFont="1" applyFill="1" applyAlignment="1">
      <alignment horizontal="center"/>
    </xf>
    <xf numFmtId="176" fontId="49" fillId="31" borderId="0" xfId="1" applyNumberFormat="1" applyFont="1" applyFill="1" applyAlignment="1">
      <alignment horizontal="center"/>
    </xf>
    <xf numFmtId="176" fontId="49" fillId="31" borderId="0" xfId="1" applyNumberFormat="1" applyFont="1" applyFill="1" applyAlignment="1"/>
    <xf numFmtId="9" fontId="65" fillId="31" borderId="0" xfId="7" applyNumberFormat="1" applyFont="1" applyFill="1" applyAlignment="1">
      <alignment horizontal="center"/>
    </xf>
    <xf numFmtId="176" fontId="62" fillId="31" borderId="0" xfId="1" applyNumberFormat="1" applyFont="1" applyFill="1" applyAlignment="1">
      <alignment horizontal="center"/>
    </xf>
    <xf numFmtId="0" fontId="46" fillId="31" borderId="0" xfId="7" applyNumberFormat="1" applyFont="1" applyFill="1" applyAlignment="1">
      <alignment horizontal="center"/>
    </xf>
    <xf numFmtId="9" fontId="46" fillId="31" borderId="0" xfId="7" applyNumberFormat="1" applyFont="1" applyFill="1" applyAlignment="1">
      <alignment horizontal="center"/>
    </xf>
    <xf numFmtId="164" fontId="113" fillId="31" borderId="0" xfId="52" applyNumberFormat="1" applyFont="1" applyFill="1" applyAlignment="1"/>
    <xf numFmtId="175" fontId="113" fillId="31" borderId="0" xfId="4" applyNumberFormat="1" applyFont="1" applyFill="1" applyAlignment="1"/>
    <xf numFmtId="0" fontId="46" fillId="31" borderId="0" xfId="4" applyNumberFormat="1" applyFont="1" applyFill="1" applyAlignment="1">
      <alignment horizontal="center"/>
    </xf>
    <xf numFmtId="0" fontId="49" fillId="31" borderId="0" xfId="7" applyNumberFormat="1" applyFont="1" applyFill="1" applyAlignment="1">
      <alignment horizontal="center"/>
    </xf>
    <xf numFmtId="164" fontId="112" fillId="31" borderId="0" xfId="52" applyNumberFormat="1" applyFont="1" applyFill="1" applyAlignment="1"/>
    <xf numFmtId="164" fontId="59" fillId="31" borderId="0" xfId="1" applyNumberFormat="1" applyFont="1" applyFill="1" applyAlignment="1"/>
    <xf numFmtId="175" fontId="53" fillId="31" borderId="0" xfId="0" applyNumberFormat="1" applyFont="1" applyFill="1" applyAlignment="1"/>
    <xf numFmtId="175" fontId="49" fillId="31" borderId="0" xfId="0" applyFont="1" applyFill="1" applyBorder="1" applyAlignment="1" applyProtection="1">
      <alignment horizontal="left" indent="2"/>
    </xf>
    <xf numFmtId="164" fontId="46" fillId="31" borderId="0" xfId="1" applyNumberFormat="1" applyFont="1" applyFill="1" applyBorder="1" applyProtection="1"/>
    <xf numFmtId="164" fontId="65" fillId="31" borderId="0" xfId="1" applyNumberFormat="1" applyFont="1" applyFill="1" applyBorder="1" applyProtection="1"/>
    <xf numFmtId="175" fontId="49" fillId="31" borderId="0" xfId="0" applyFont="1" applyFill="1" applyBorder="1" applyProtection="1"/>
    <xf numFmtId="10" fontId="64" fillId="31" borderId="0" xfId="0" applyNumberFormat="1" applyFont="1" applyFill="1" applyBorder="1" applyProtection="1"/>
    <xf numFmtId="166" fontId="57" fillId="31" borderId="0" xfId="3" applyNumberFormat="1" applyFont="1" applyFill="1" applyProtection="1"/>
    <xf numFmtId="9" fontId="49" fillId="31" borderId="5" xfId="7" applyFont="1" applyFill="1" applyBorder="1" applyAlignment="1"/>
    <xf numFmtId="164" fontId="60" fillId="31" borderId="0" xfId="1" applyNumberFormat="1" applyFont="1" applyFill="1" applyAlignment="1">
      <alignment horizontal="center"/>
    </xf>
    <xf numFmtId="175" fontId="53" fillId="31" borderId="0" xfId="0" applyFont="1" applyFill="1" applyBorder="1" applyProtection="1"/>
    <xf numFmtId="0" fontId="49" fillId="31" borderId="0" xfId="0" applyNumberFormat="1" applyFont="1" applyFill="1" applyBorder="1" applyProtection="1"/>
    <xf numFmtId="164" fontId="49" fillId="31" borderId="0" xfId="1" applyNumberFormat="1" applyFont="1" applyFill="1" applyBorder="1" applyProtection="1"/>
    <xf numFmtId="175" fontId="49" fillId="31" borderId="0" xfId="0" quotePrefix="1" applyFont="1" applyFill="1" applyBorder="1" applyAlignment="1" applyProtection="1">
      <alignment horizontal="left"/>
    </xf>
    <xf numFmtId="164" fontId="64" fillId="31" borderId="0" xfId="1" applyNumberFormat="1" applyFont="1" applyFill="1" applyBorder="1" applyProtection="1"/>
    <xf numFmtId="175" fontId="49" fillId="31" borderId="0" xfId="0" applyFont="1" applyFill="1" applyBorder="1" applyAlignment="1" applyProtection="1">
      <alignment horizontal="left"/>
    </xf>
    <xf numFmtId="175" fontId="52" fillId="31" borderId="0" xfId="0" applyNumberFormat="1" applyFont="1" applyFill="1"/>
    <xf numFmtId="175" fontId="49" fillId="31" borderId="0" xfId="0" applyFont="1" applyFill="1" applyAlignment="1" applyProtection="1">
      <alignment horizontal="left"/>
    </xf>
    <xf numFmtId="0" fontId="60" fillId="31" borderId="0" xfId="1" applyNumberFormat="1" applyFont="1" applyFill="1" applyProtection="1"/>
    <xf numFmtId="164" fontId="60" fillId="31" borderId="0" xfId="1" applyNumberFormat="1" applyFont="1" applyFill="1" applyProtection="1"/>
    <xf numFmtId="175" fontId="49" fillId="31" borderId="0" xfId="0" applyFont="1" applyFill="1" applyProtection="1"/>
    <xf numFmtId="0" fontId="49" fillId="31" borderId="0" xfId="0" applyNumberFormat="1" applyFont="1" applyFill="1" applyProtection="1"/>
    <xf numFmtId="164" fontId="57" fillId="31" borderId="0" xfId="1" applyNumberFormat="1" applyFont="1" applyFill="1"/>
    <xf numFmtId="49" fontId="46" fillId="31" borderId="0" xfId="0" applyNumberFormat="1" applyFont="1" applyFill="1" applyProtection="1"/>
    <xf numFmtId="164" fontId="63" fillId="31" borderId="0" xfId="1" applyNumberFormat="1" applyFont="1" applyFill="1" applyBorder="1" applyProtection="1"/>
    <xf numFmtId="10" fontId="65" fillId="31" borderId="0" xfId="0" applyNumberFormat="1" applyFont="1" applyFill="1" applyBorder="1" applyProtection="1"/>
    <xf numFmtId="10" fontId="56" fillId="31" borderId="0" xfId="0" applyNumberFormat="1" applyFont="1" applyFill="1" applyBorder="1" applyProtection="1"/>
    <xf numFmtId="166" fontId="66" fillId="31" borderId="0" xfId="3" applyNumberFormat="1" applyFont="1" applyFill="1" applyBorder="1" applyProtection="1"/>
    <xf numFmtId="166" fontId="67" fillId="31" borderId="0" xfId="3" applyNumberFormat="1" applyFont="1" applyFill="1" applyBorder="1" applyProtection="1"/>
    <xf numFmtId="175" fontId="53" fillId="31" borderId="0" xfId="0" applyFont="1" applyFill="1" applyAlignment="1">
      <alignment horizontal="center"/>
    </xf>
    <xf numFmtId="0" fontId="53" fillId="31" borderId="0" xfId="0" applyNumberFormat="1" applyFont="1" applyFill="1" applyAlignment="1">
      <alignment horizontal="center"/>
    </xf>
    <xf numFmtId="175" fontId="93" fillId="31" borderId="0" xfId="4" applyFont="1" applyFill="1" applyAlignment="1"/>
    <xf numFmtId="175" fontId="94" fillId="31" borderId="0" xfId="4" applyFont="1" applyFill="1" applyAlignment="1"/>
    <xf numFmtId="0" fontId="93" fillId="31" borderId="0" xfId="0" applyNumberFormat="1" applyFont="1" applyFill="1" applyBorder="1" applyAlignment="1">
      <alignment horizontal="center"/>
    </xf>
    <xf numFmtId="175" fontId="93" fillId="31" borderId="0" xfId="0" applyFont="1" applyFill="1" applyBorder="1" applyAlignment="1">
      <alignment horizontal="center"/>
    </xf>
    <xf numFmtId="175" fontId="72" fillId="31" borderId="0" xfId="4" applyFont="1" applyFill="1" applyAlignment="1"/>
    <xf numFmtId="9" fontId="49" fillId="31" borderId="0" xfId="7" applyNumberFormat="1" applyFont="1" applyFill="1" applyAlignment="1">
      <alignment horizontal="right"/>
    </xf>
    <xf numFmtId="175" fontId="49" fillId="31" borderId="0" xfId="4" applyFont="1" applyFill="1" applyAlignment="1">
      <alignment horizontal="left"/>
    </xf>
    <xf numFmtId="164" fontId="56" fillId="31" borderId="0" xfId="1" applyNumberFormat="1" applyFont="1" applyFill="1" applyAlignment="1">
      <alignment horizontal="center"/>
    </xf>
    <xf numFmtId="164" fontId="95" fillId="31" borderId="0" xfId="1" applyNumberFormat="1" applyFont="1" applyFill="1" applyBorder="1"/>
    <xf numFmtId="175" fontId="96" fillId="31" borderId="0" xfId="4" applyFont="1" applyFill="1" applyAlignment="1"/>
    <xf numFmtId="0" fontId="46" fillId="31" borderId="0" xfId="4" applyNumberFormat="1" applyFont="1" applyFill="1" applyAlignment="1">
      <alignment horizontal="left"/>
    </xf>
    <xf numFmtId="175" fontId="60" fillId="31" borderId="0" xfId="4" applyFont="1" applyFill="1" applyAlignment="1"/>
    <xf numFmtId="175" fontId="46" fillId="31" borderId="0" xfId="4" applyFont="1" applyFill="1" applyAlignment="1">
      <alignment horizontal="right"/>
    </xf>
    <xf numFmtId="175" fontId="54" fillId="31" borderId="0" xfId="1" applyNumberFormat="1" applyFont="1" applyFill="1" applyAlignment="1">
      <alignment horizontal="center"/>
    </xf>
    <xf numFmtId="175" fontId="52" fillId="31" borderId="0" xfId="67" applyFont="1" applyFill="1" applyAlignment="1"/>
    <xf numFmtId="175" fontId="52" fillId="31" borderId="0" xfId="1" applyNumberFormat="1" applyFont="1" applyFill="1" applyAlignment="1">
      <alignment horizontal="left"/>
    </xf>
    <xf numFmtId="166" fontId="53" fillId="31" borderId="0" xfId="3" applyNumberFormat="1" applyFont="1" applyFill="1" applyAlignment="1">
      <alignment horizontal="center"/>
    </xf>
    <xf numFmtId="164" fontId="53" fillId="31" borderId="0" xfId="1" applyNumberFormat="1" applyFont="1" applyFill="1" applyAlignment="1">
      <alignment horizontal="center"/>
    </xf>
    <xf numFmtId="175" fontId="46" fillId="31" borderId="0" xfId="4" applyFont="1" applyFill="1" applyAlignment="1"/>
    <xf numFmtId="175" fontId="61" fillId="31" borderId="0" xfId="0" applyFont="1" applyFill="1" applyAlignment="1"/>
    <xf numFmtId="0" fontId="46" fillId="31" borderId="0" xfId="0" applyNumberFormat="1" applyFont="1" applyFill="1" applyBorder="1" applyAlignment="1">
      <alignment horizontal="center"/>
    </xf>
    <xf numFmtId="164" fontId="52" fillId="31" borderId="0" xfId="1" applyNumberFormat="1" applyFont="1" applyFill="1" applyAlignment="1"/>
    <xf numFmtId="164" fontId="65" fillId="31" borderId="0" xfId="4" applyNumberFormat="1" applyFont="1" applyFill="1" applyAlignment="1"/>
    <xf numFmtId="175" fontId="46" fillId="31" borderId="0" xfId="4" applyFont="1" applyFill="1" applyAlignment="1">
      <alignment horizontal="left"/>
    </xf>
    <xf numFmtId="175" fontId="52" fillId="31" borderId="0" xfId="0" applyFont="1" applyFill="1"/>
    <xf numFmtId="175" fontId="56" fillId="31" borderId="0" xfId="67" applyFont="1" applyFill="1"/>
    <xf numFmtId="175" fontId="49" fillId="31" borderId="0" xfId="0" applyNumberFormat="1" applyFont="1" applyFill="1" applyAlignment="1">
      <alignment horizontal="left"/>
    </xf>
    <xf numFmtId="175" fontId="49" fillId="31" borderId="0" xfId="4" applyNumberFormat="1" applyFont="1" applyFill="1" applyAlignment="1"/>
    <xf numFmtId="175" fontId="52" fillId="31" borderId="0" xfId="4" applyNumberFormat="1" applyFont="1" applyFill="1" applyAlignment="1"/>
    <xf numFmtId="175" fontId="49" fillId="31" borderId="0" xfId="52" applyNumberFormat="1" applyFont="1" applyFill="1" applyAlignment="1">
      <alignment horizontal="left"/>
    </xf>
    <xf numFmtId="175" fontId="49" fillId="31" borderId="0" xfId="52" applyNumberFormat="1" applyFont="1" applyFill="1" applyAlignment="1">
      <alignment horizontal="center"/>
    </xf>
    <xf numFmtId="175" fontId="52" fillId="31" borderId="0" xfId="67" applyFont="1" applyFill="1"/>
    <xf numFmtId="164" fontId="62" fillId="31" borderId="0" xfId="1" applyNumberFormat="1" applyFont="1" applyFill="1" applyBorder="1"/>
    <xf numFmtId="175" fontId="62" fillId="31" borderId="0" xfId="0" applyFont="1" applyFill="1" applyBorder="1"/>
    <xf numFmtId="175" fontId="52" fillId="31" borderId="2" xfId="0" applyFont="1" applyFill="1" applyBorder="1"/>
    <xf numFmtId="0" fontId="49" fillId="31" borderId="2" xfId="0" applyNumberFormat="1" applyFont="1" applyFill="1" applyBorder="1" applyAlignment="1">
      <alignment horizontal="center"/>
    </xf>
    <xf numFmtId="175" fontId="49" fillId="31" borderId="2" xfId="0" applyFont="1" applyFill="1" applyBorder="1" applyAlignment="1">
      <alignment horizontal="center"/>
    </xf>
    <xf numFmtId="43" fontId="49" fillId="31" borderId="2" xfId="0" applyNumberFormat="1" applyFont="1" applyFill="1" applyBorder="1"/>
    <xf numFmtId="175" fontId="46" fillId="31" borderId="0" xfId="0" applyNumberFormat="1" applyFont="1" applyFill="1"/>
    <xf numFmtId="175" fontId="65" fillId="31" borderId="0" xfId="0" applyNumberFormat="1" applyFont="1" applyFill="1"/>
    <xf numFmtId="39" fontId="49" fillId="31" borderId="0" xfId="3" applyNumberFormat="1" applyFont="1" applyFill="1" applyAlignment="1">
      <alignment horizontal="left"/>
    </xf>
    <xf numFmtId="175" fontId="49" fillId="31" borderId="5" xfId="0" applyNumberFormat="1" applyFont="1" applyFill="1" applyBorder="1" applyAlignment="1">
      <alignment horizontal="center"/>
    </xf>
    <xf numFmtId="175" fontId="56" fillId="31" borderId="0" xfId="0" applyNumberFormat="1" applyFont="1" applyFill="1" applyAlignment="1">
      <alignment horizontal="center"/>
    </xf>
    <xf numFmtId="14" fontId="49" fillId="31" borderId="0" xfId="1" applyNumberFormat="1" applyFont="1" applyFill="1" applyAlignment="1">
      <alignment horizontal="left"/>
    </xf>
    <xf numFmtId="175" fontId="46" fillId="31" borderId="5" xfId="0" applyNumberFormat="1" applyFont="1" applyFill="1" applyBorder="1"/>
    <xf numFmtId="164" fontId="56" fillId="31" borderId="5" xfId="1" applyNumberFormat="1" applyFont="1" applyFill="1" applyBorder="1"/>
    <xf numFmtId="164" fontId="49" fillId="31" borderId="5" xfId="1" applyNumberFormat="1" applyFont="1" applyFill="1" applyBorder="1"/>
    <xf numFmtId="175" fontId="0" fillId="31" borderId="5" xfId="0" applyFill="1" applyBorder="1"/>
    <xf numFmtId="175" fontId="47" fillId="31" borderId="0" xfId="0" applyFont="1" applyFill="1" applyAlignment="1">
      <alignment horizontal="left"/>
    </xf>
    <xf numFmtId="175" fontId="48" fillId="31" borderId="0" xfId="0" applyNumberFormat="1" applyFont="1" applyFill="1"/>
    <xf numFmtId="175" fontId="47" fillId="31" borderId="0" xfId="0" applyFont="1" applyFill="1"/>
    <xf numFmtId="0" fontId="47" fillId="31" borderId="0" xfId="0" applyNumberFormat="1" applyFont="1" applyFill="1"/>
    <xf numFmtId="175" fontId="51" fillId="31" borderId="0" xfId="0" applyFont="1" applyFill="1"/>
    <xf numFmtId="175" fontId="47" fillId="31" borderId="0" xfId="0" applyNumberFormat="1" applyFont="1" applyFill="1" applyAlignment="1">
      <alignment horizontal="centerContinuous"/>
    </xf>
    <xf numFmtId="0" fontId="47" fillId="31" borderId="0" xfId="0" applyNumberFormat="1" applyFont="1" applyFill="1" applyAlignment="1">
      <alignment horizontal="centerContinuous"/>
    </xf>
    <xf numFmtId="175" fontId="51" fillId="31" borderId="0" xfId="0" applyNumberFormat="1" applyFont="1" applyFill="1" applyAlignment="1">
      <alignment horizontal="centerContinuous"/>
    </xf>
    <xf numFmtId="0" fontId="51" fillId="31" borderId="0" xfId="0" applyNumberFormat="1" applyFont="1" applyFill="1" applyAlignment="1">
      <alignment horizontal="centerContinuous"/>
    </xf>
    <xf numFmtId="175" fontId="47" fillId="31" borderId="0" xfId="0" applyNumberFormat="1" applyFont="1" applyFill="1" applyAlignment="1" applyProtection="1">
      <alignment horizontal="centerContinuous"/>
    </xf>
    <xf numFmtId="175" fontId="51" fillId="31" borderId="0" xfId="0" applyNumberFormat="1" applyFont="1" applyFill="1" applyAlignment="1" applyProtection="1">
      <alignment horizontal="centerContinuous"/>
    </xf>
    <xf numFmtId="0" fontId="51" fillId="31" borderId="0" xfId="0" applyNumberFormat="1" applyFont="1" applyFill="1" applyAlignment="1" applyProtection="1">
      <alignment horizontal="centerContinuous"/>
    </xf>
    <xf numFmtId="175" fontId="47" fillId="31" borderId="0" xfId="0" quotePrefix="1" applyNumberFormat="1" applyFont="1" applyFill="1" applyAlignment="1" applyProtection="1">
      <alignment horizontal="centerContinuous"/>
    </xf>
    <xf numFmtId="175" fontId="54" fillId="31" borderId="0" xfId="0" applyNumberFormat="1" applyFont="1" applyFill="1"/>
    <xf numFmtId="175" fontId="53" fillId="31" borderId="0" xfId="0" applyFont="1" applyFill="1" applyAlignment="1">
      <alignment horizontal="center" wrapText="1"/>
    </xf>
    <xf numFmtId="164" fontId="53" fillId="31" borderId="0" xfId="1" applyNumberFormat="1" applyFont="1" applyFill="1" applyAlignment="1">
      <alignment horizontal="center" wrapText="1"/>
    </xf>
    <xf numFmtId="175" fontId="53" fillId="31" borderId="0" xfId="0" applyNumberFormat="1" applyFont="1" applyFill="1" applyAlignment="1">
      <alignment horizontal="center"/>
    </xf>
    <xf numFmtId="175" fontId="52" fillId="31" borderId="0" xfId="6" applyNumberFormat="1" applyFont="1" applyFill="1" applyBorder="1"/>
    <xf numFmtId="0" fontId="52" fillId="31" borderId="0" xfId="6" applyNumberFormat="1" applyFont="1" applyFill="1" applyBorder="1"/>
    <xf numFmtId="175" fontId="49" fillId="31" borderId="0" xfId="6" applyNumberFormat="1" applyFont="1" applyFill="1" applyBorder="1"/>
    <xf numFmtId="0" fontId="49" fillId="31" borderId="0" xfId="6" applyNumberFormat="1" applyFont="1" applyFill="1" applyBorder="1"/>
    <xf numFmtId="164" fontId="60" fillId="31" borderId="0" xfId="1" applyNumberFormat="1" applyFont="1" applyFill="1"/>
    <xf numFmtId="164" fontId="62" fillId="31" borderId="0" xfId="1" applyNumberFormat="1" applyFont="1" applyFill="1"/>
    <xf numFmtId="10" fontId="49" fillId="31" borderId="0" xfId="7" applyNumberFormat="1" applyFont="1" applyFill="1"/>
    <xf numFmtId="10" fontId="56" fillId="31" borderId="0" xfId="7" applyNumberFormat="1" applyFont="1" applyFill="1"/>
    <xf numFmtId="10" fontId="62" fillId="31" borderId="0" xfId="7" applyNumberFormat="1" applyFont="1" applyFill="1"/>
    <xf numFmtId="166" fontId="49" fillId="31" borderId="0" xfId="4" applyNumberFormat="1" applyFont="1" applyFill="1" applyAlignment="1"/>
    <xf numFmtId="166" fontId="49" fillId="31" borderId="0" xfId="7" applyNumberFormat="1" applyFont="1" applyFill="1" applyAlignment="1"/>
    <xf numFmtId="166" fontId="107" fillId="31" borderId="0" xfId="3" applyNumberFormat="1" applyFont="1" applyFill="1" applyAlignment="1"/>
    <xf numFmtId="164" fontId="46" fillId="31" borderId="0" xfId="1" applyNumberFormat="1" applyFont="1" applyFill="1" applyAlignment="1">
      <alignment horizontal="center"/>
    </xf>
    <xf numFmtId="175" fontId="49" fillId="31" borderId="0" xfId="72" applyNumberFormat="1" applyFont="1" applyFill="1" applyAlignment="1">
      <alignment horizontal="left"/>
    </xf>
    <xf numFmtId="175" fontId="46" fillId="31" borderId="0" xfId="129" applyFont="1" applyFill="1" applyAlignment="1">
      <alignment horizontal="center"/>
    </xf>
    <xf numFmtId="164" fontId="107" fillId="31" borderId="0" xfId="1" applyNumberFormat="1" applyFont="1" applyFill="1" applyAlignment="1"/>
    <xf numFmtId="164" fontId="107" fillId="31" borderId="5" xfId="1" applyNumberFormat="1" applyFont="1" applyFill="1" applyBorder="1" applyAlignment="1"/>
    <xf numFmtId="175" fontId="52" fillId="31" borderId="0" xfId="4" applyFont="1" applyFill="1" applyAlignment="1">
      <alignment horizontal="center"/>
    </xf>
    <xf numFmtId="168" fontId="53" fillId="31" borderId="0" xfId="0" applyNumberFormat="1" applyFont="1" applyFill="1"/>
    <xf numFmtId="175" fontId="52" fillId="31" borderId="0" xfId="0" applyNumberFormat="1" applyFont="1" applyFill="1" applyAlignment="1" applyProtection="1">
      <alignment horizontal="left"/>
    </xf>
    <xf numFmtId="1" fontId="49" fillId="31" borderId="0" xfId="1" applyNumberFormat="1" applyFont="1" applyFill="1" applyAlignment="1">
      <alignment horizontal="center"/>
    </xf>
    <xf numFmtId="166" fontId="49" fillId="31" borderId="0" xfId="7" applyNumberFormat="1" applyFont="1" applyFill="1"/>
    <xf numFmtId="164" fontId="60" fillId="31" borderId="0" xfId="7" applyNumberFormat="1" applyFont="1" applyFill="1"/>
    <xf numFmtId="175" fontId="49" fillId="31" borderId="0" xfId="0" applyNumberFormat="1" applyFont="1" applyFill="1" applyAlignment="1" applyProtection="1">
      <alignment horizontal="left"/>
    </xf>
    <xf numFmtId="0" fontId="52" fillId="31" borderId="0" xfId="0" applyNumberFormat="1" applyFont="1" applyFill="1" applyAlignment="1" applyProtection="1">
      <alignment horizontal="left"/>
    </xf>
    <xf numFmtId="175" fontId="52" fillId="31" borderId="0" xfId="0" applyFont="1" applyFill="1" applyAlignment="1">
      <alignment horizontal="center"/>
    </xf>
    <xf numFmtId="175" fontId="49" fillId="31" borderId="0" xfId="1" applyNumberFormat="1" applyFont="1" applyFill="1"/>
    <xf numFmtId="175" fontId="52" fillId="31" borderId="0" xfId="1" applyNumberFormat="1" applyFont="1" applyFill="1"/>
    <xf numFmtId="175" fontId="58" fillId="31" borderId="0" xfId="1" applyNumberFormat="1" applyFont="1" applyFill="1" applyAlignment="1"/>
    <xf numFmtId="164" fontId="68" fillId="31" borderId="0" xfId="1" applyNumberFormat="1" applyFont="1" applyFill="1" applyAlignment="1"/>
    <xf numFmtId="166" fontId="70" fillId="31" borderId="0" xfId="3" applyNumberFormat="1" applyFont="1" applyFill="1"/>
    <xf numFmtId="175" fontId="53" fillId="31" borderId="0" xfId="0" applyNumberFormat="1" applyFont="1" applyFill="1" applyAlignment="1" applyProtection="1">
      <alignment horizontal="left"/>
    </xf>
    <xf numFmtId="0" fontId="73" fillId="31" borderId="0" xfId="0" applyNumberFormat="1" applyFont="1" applyFill="1" applyAlignment="1" applyProtection="1">
      <alignment horizontal="left"/>
    </xf>
    <xf numFmtId="175" fontId="73" fillId="31" borderId="0" xfId="0" applyNumberFormat="1" applyFont="1" applyFill="1" applyAlignment="1" applyProtection="1">
      <alignment horizontal="left"/>
    </xf>
    <xf numFmtId="0" fontId="46" fillId="31" borderId="0" xfId="0" applyNumberFormat="1" applyFont="1" applyFill="1" applyAlignment="1" applyProtection="1">
      <alignment horizontal="left"/>
    </xf>
    <xf numFmtId="175" fontId="46" fillId="31" borderId="0" xfId="0" applyNumberFormat="1" applyFont="1" applyFill="1" applyAlignment="1" applyProtection="1">
      <alignment horizontal="left"/>
    </xf>
    <xf numFmtId="175" fontId="46" fillId="31" borderId="0" xfId="1" applyNumberFormat="1" applyFont="1" applyFill="1" applyAlignment="1">
      <alignment horizontal="center"/>
    </xf>
    <xf numFmtId="175" fontId="53" fillId="31" borderId="0" xfId="1" applyNumberFormat="1" applyFont="1" applyFill="1"/>
    <xf numFmtId="175" fontId="74" fillId="31" borderId="0" xfId="1" applyNumberFormat="1" applyFont="1" applyFill="1"/>
    <xf numFmtId="0" fontId="46" fillId="31" borderId="0" xfId="1" applyNumberFormat="1" applyFont="1" applyFill="1"/>
    <xf numFmtId="175" fontId="46" fillId="31" borderId="0" xfId="1" applyNumberFormat="1" applyFont="1" applyFill="1"/>
    <xf numFmtId="0" fontId="46" fillId="31" borderId="0" xfId="0" applyNumberFormat="1" applyFont="1" applyFill="1" applyAlignment="1">
      <alignment horizontal="center"/>
    </xf>
    <xf numFmtId="1" fontId="46" fillId="31" borderId="0" xfId="0" applyNumberFormat="1" applyFont="1" applyFill="1" applyAlignment="1">
      <alignment horizontal="center"/>
    </xf>
    <xf numFmtId="175" fontId="74" fillId="31" borderId="0" xfId="0" applyNumberFormat="1" applyFont="1" applyFill="1"/>
    <xf numFmtId="0" fontId="46" fillId="31" borderId="0" xfId="0" applyNumberFormat="1" applyFont="1" applyFill="1"/>
    <xf numFmtId="175" fontId="46" fillId="31" borderId="0" xfId="0" applyFont="1" applyFill="1"/>
    <xf numFmtId="175" fontId="52" fillId="31" borderId="0" xfId="0" applyNumberFormat="1" applyFont="1" applyFill="1" applyAlignment="1">
      <alignment horizontal="left"/>
    </xf>
    <xf numFmtId="0" fontId="46" fillId="31" borderId="0" xfId="1" applyNumberFormat="1" applyFont="1" applyFill="1" applyAlignment="1"/>
    <xf numFmtId="175" fontId="46" fillId="31" borderId="0" xfId="1" applyNumberFormat="1" applyFont="1" applyFill="1" applyAlignment="1"/>
    <xf numFmtId="164" fontId="53" fillId="31" borderId="0" xfId="1" applyNumberFormat="1" applyFont="1" applyFill="1"/>
    <xf numFmtId="164" fontId="70" fillId="31" borderId="0" xfId="1" applyNumberFormat="1" applyFont="1" applyFill="1"/>
    <xf numFmtId="1" fontId="49" fillId="31" borderId="0" xfId="0" applyNumberFormat="1" applyFont="1" applyFill="1"/>
    <xf numFmtId="175" fontId="46" fillId="31" borderId="0" xfId="1" applyNumberFormat="1" applyFont="1" applyFill="1" applyAlignment="1">
      <alignment horizontal="right"/>
    </xf>
    <xf numFmtId="164" fontId="52" fillId="31" borderId="0" xfId="1" applyNumberFormat="1" applyFont="1" applyFill="1"/>
    <xf numFmtId="175" fontId="49" fillId="31" borderId="0" xfId="1" applyNumberFormat="1" applyFont="1" applyFill="1" applyAlignment="1">
      <alignment horizontal="right"/>
    </xf>
    <xf numFmtId="175" fontId="14" fillId="31" borderId="0" xfId="0" applyNumberFormat="1" applyFont="1" applyFill="1" applyAlignment="1" applyProtection="1">
      <alignment horizontal="left"/>
    </xf>
    <xf numFmtId="166" fontId="75" fillId="31" borderId="0" xfId="0" applyNumberFormat="1" applyFont="1" applyFill="1"/>
    <xf numFmtId="175" fontId="75" fillId="31" borderId="0" xfId="0" applyFont="1" applyFill="1"/>
    <xf numFmtId="175" fontId="50" fillId="31" borderId="0" xfId="0" applyFont="1" applyFill="1" applyAlignment="1"/>
    <xf numFmtId="170" fontId="47" fillId="31" borderId="0" xfId="0" applyNumberFormat="1" applyFont="1" applyFill="1" applyAlignment="1" applyProtection="1">
      <alignment horizontal="centerContinuous"/>
    </xf>
    <xf numFmtId="175" fontId="49" fillId="31" borderId="0" xfId="0" applyNumberFormat="1" applyFont="1" applyFill="1" applyAlignment="1"/>
    <xf numFmtId="175" fontId="55" fillId="31" borderId="0" xfId="0" applyFont="1" applyFill="1" applyBorder="1" applyAlignment="1">
      <alignment horizontal="center"/>
    </xf>
    <xf numFmtId="175" fontId="57" fillId="31" borderId="0" xfId="0" applyNumberFormat="1" applyFont="1" applyFill="1" applyAlignment="1">
      <alignment horizontal="center"/>
    </xf>
    <xf numFmtId="175" fontId="46" fillId="31" borderId="0" xfId="0" quotePrefix="1" applyNumberFormat="1" applyFont="1" applyFill="1" applyAlignment="1">
      <alignment horizontal="center"/>
    </xf>
    <xf numFmtId="171" fontId="46" fillId="31" borderId="0" xfId="0" applyNumberFormat="1" applyFont="1" applyFill="1" applyAlignment="1">
      <alignment horizontal="center"/>
    </xf>
    <xf numFmtId="175" fontId="46" fillId="31" borderId="0" xfId="0" applyNumberFormat="1" applyFont="1" applyFill="1" applyAlignment="1">
      <alignment horizontal="center"/>
    </xf>
    <xf numFmtId="164" fontId="63" fillId="31" borderId="0" xfId="1" applyNumberFormat="1" applyFont="1" applyFill="1"/>
    <xf numFmtId="164" fontId="54" fillId="31" borderId="0" xfId="1" applyNumberFormat="1" applyFont="1" applyFill="1" applyAlignment="1">
      <alignment horizontal="right"/>
    </xf>
    <xf numFmtId="165" fontId="49" fillId="31" borderId="0" xfId="7" applyNumberFormat="1" applyFont="1" applyFill="1" applyAlignment="1">
      <alignment horizontal="center"/>
    </xf>
    <xf numFmtId="175" fontId="46" fillId="31" borderId="0" xfId="0" applyNumberFormat="1" applyFont="1" applyFill="1" applyBorder="1"/>
    <xf numFmtId="1" fontId="52" fillId="31" borderId="0" xfId="0" applyNumberFormat="1" applyFont="1" applyFill="1" applyAlignment="1">
      <alignment horizontal="center"/>
    </xf>
    <xf numFmtId="1" fontId="57" fillId="31" borderId="0" xfId="1" applyNumberFormat="1" applyFont="1" applyFill="1" applyAlignment="1">
      <alignment horizontal="center"/>
    </xf>
    <xf numFmtId="164" fontId="84" fillId="31" borderId="0" xfId="1" applyNumberFormat="1" applyFont="1" applyFill="1"/>
    <xf numFmtId="1" fontId="46" fillId="31" borderId="0" xfId="1" quotePrefix="1" applyNumberFormat="1" applyFont="1" applyFill="1" applyAlignment="1">
      <alignment horizontal="center"/>
    </xf>
    <xf numFmtId="175" fontId="46" fillId="31" borderId="0" xfId="0" quotePrefix="1" applyNumberFormat="1" applyFont="1" applyFill="1"/>
    <xf numFmtId="175" fontId="61" fillId="31" borderId="0" xfId="0" applyNumberFormat="1" applyFont="1" applyFill="1"/>
    <xf numFmtId="49" fontId="57" fillId="31" borderId="0" xfId="0" applyNumberFormat="1" applyFont="1" applyFill="1" applyAlignment="1">
      <alignment horizontal="center"/>
    </xf>
    <xf numFmtId="175" fontId="56" fillId="31" borderId="0" xfId="0" applyNumberFormat="1" applyFont="1" applyFill="1"/>
    <xf numFmtId="166" fontId="57" fillId="31" borderId="0" xfId="3" applyNumberFormat="1" applyFont="1" applyFill="1"/>
    <xf numFmtId="166" fontId="69" fillId="31" borderId="0" xfId="3" applyNumberFormat="1" applyFont="1" applyFill="1"/>
    <xf numFmtId="166" fontId="71" fillId="31" borderId="0" xfId="3" applyNumberFormat="1" applyFont="1" applyFill="1"/>
    <xf numFmtId="166" fontId="46" fillId="31" borderId="0" xfId="3" applyNumberFormat="1" applyFont="1" applyFill="1"/>
    <xf numFmtId="166" fontId="61" fillId="31" borderId="0" xfId="3" applyNumberFormat="1" applyFont="1" applyFill="1"/>
    <xf numFmtId="175" fontId="57" fillId="31" borderId="0" xfId="0" applyNumberFormat="1" applyFont="1" applyFill="1"/>
    <xf numFmtId="175" fontId="57" fillId="31" borderId="0" xfId="3" applyNumberFormat="1" applyFont="1" applyFill="1"/>
    <xf numFmtId="175" fontId="72" fillId="31" borderId="0" xfId="0" applyNumberFormat="1" applyFont="1" applyFill="1"/>
    <xf numFmtId="164" fontId="46" fillId="31" borderId="0" xfId="1" applyNumberFormat="1" applyFont="1" applyFill="1"/>
    <xf numFmtId="164" fontId="61" fillId="31" borderId="0" xfId="1" applyNumberFormat="1" applyFont="1" applyFill="1"/>
    <xf numFmtId="164" fontId="46" fillId="31" borderId="0" xfId="1" applyNumberFormat="1" applyFont="1" applyFill="1" applyAlignment="1">
      <alignment horizontal="left"/>
    </xf>
    <xf numFmtId="175" fontId="70" fillId="31" borderId="0" xfId="0" applyFont="1" applyFill="1"/>
    <xf numFmtId="166" fontId="70" fillId="31" borderId="0" xfId="0" applyNumberFormat="1" applyFont="1" applyFill="1"/>
    <xf numFmtId="175" fontId="46" fillId="31" borderId="2" xfId="0" quotePrefix="1" applyNumberFormat="1" applyFont="1" applyFill="1" applyBorder="1"/>
    <xf numFmtId="175" fontId="49" fillId="31" borderId="2" xfId="0" applyNumberFormat="1" applyFont="1" applyFill="1" applyBorder="1"/>
    <xf numFmtId="1" fontId="49" fillId="31" borderId="0" xfId="1" applyNumberFormat="1" applyFont="1" applyFill="1" applyAlignment="1">
      <alignment horizontal="left"/>
    </xf>
    <xf numFmtId="164" fontId="57" fillId="31" borderId="5" xfId="1" applyNumberFormat="1" applyFont="1" applyFill="1" applyBorder="1"/>
    <xf numFmtId="175" fontId="46" fillId="31" borderId="2" xfId="0" applyNumberFormat="1" applyFont="1" applyFill="1" applyBorder="1"/>
    <xf numFmtId="175" fontId="52" fillId="31" borderId="2" xfId="0" applyNumberFormat="1" applyFont="1" applyFill="1" applyBorder="1"/>
    <xf numFmtId="175" fontId="53" fillId="31" borderId="2" xfId="0" applyNumberFormat="1" applyFont="1" applyFill="1" applyBorder="1"/>
    <xf numFmtId="167" fontId="49" fillId="31" borderId="2" xfId="7" applyNumberFormat="1" applyFont="1" applyFill="1" applyBorder="1" applyAlignment="1">
      <alignment horizontal="left"/>
    </xf>
    <xf numFmtId="164" fontId="53" fillId="31" borderId="2" xfId="1" applyNumberFormat="1" applyFont="1" applyFill="1" applyBorder="1"/>
  </cellXfs>
  <cellStyles count="131">
    <cellStyle name="Comma" xfId="1" builtinId="3"/>
    <cellStyle name="Comma 2" xfId="52"/>
    <cellStyle name="Comma 2 2" xfId="72"/>
    <cellStyle name="Comma 3" xfId="55"/>
    <cellStyle name="Comma 3 2" xfId="73"/>
    <cellStyle name="Comma 4" xfId="57"/>
    <cellStyle name="Comma 4 2" xfId="74"/>
    <cellStyle name="Comma 4 3" xfId="83"/>
    <cellStyle name="Comma 5" xfId="61"/>
    <cellStyle name="Comma 6" xfId="66"/>
    <cellStyle name="Comma 7" xfId="69"/>
    <cellStyle name="Comma 8" xfId="71"/>
    <cellStyle name="Comma 9" xfId="82"/>
    <cellStyle name="Comma_ZF02_RP25FERC - TME August 2010" xfId="2"/>
    <cellStyle name="Comma0" xfId="84"/>
    <cellStyle name="Comma0 2" xfId="85"/>
    <cellStyle name="Currency" xfId="3" builtinId="4"/>
    <cellStyle name="Currency 2" xfId="54"/>
    <cellStyle name="Currency 2 2" xfId="75"/>
    <cellStyle name="Currency 3" xfId="62"/>
    <cellStyle name="Currency 4" xfId="76"/>
    <cellStyle name="Currency 5" xfId="86"/>
    <cellStyle name="Currency0" xfId="87"/>
    <cellStyle name="Currency0 2" xfId="88"/>
    <cellStyle name="Date" xfId="89"/>
    <cellStyle name="Date 2" xfId="90"/>
    <cellStyle name="Fixed" xfId="91"/>
    <cellStyle name="Fixed 2" xfId="92"/>
    <cellStyle name="Normal" xfId="0" builtinId="0"/>
    <cellStyle name="Normal 10" xfId="81"/>
    <cellStyle name="Normal 11" xfId="130"/>
    <cellStyle name="Normal 2" xfId="58"/>
    <cellStyle name="Normal 2 2" xfId="67"/>
    <cellStyle name="Normal 2 3" xfId="93"/>
    <cellStyle name="Normal 3" xfId="59"/>
    <cellStyle name="Normal 3 2" xfId="77"/>
    <cellStyle name="Normal 4" xfId="60"/>
    <cellStyle name="Normal 4 2" xfId="78"/>
    <cellStyle name="Normal 5" xfId="63"/>
    <cellStyle name="Normal 6" xfId="64"/>
    <cellStyle name="Normal 7" xfId="68"/>
    <cellStyle name="Normal 8" xfId="70"/>
    <cellStyle name="Normal 9" xfId="79"/>
    <cellStyle name="Normal_ebcap_Jun 02" xfId="4"/>
    <cellStyle name="Normal_ebcap_Jun 02 3" xfId="129"/>
    <cellStyle name="Normal_regulatory assets 1823 200206" xfId="5"/>
    <cellStyle name="Normal_SUM698 Restated" xfId="6"/>
    <cellStyle name="Percent" xfId="7" builtinId="5"/>
    <cellStyle name="Percent 2" xfId="53"/>
    <cellStyle name="Percent 2 2" xfId="80"/>
    <cellStyle name="Percent 3" xfId="56"/>
    <cellStyle name="Percent 4" xfId="65"/>
    <cellStyle name="Percent 5" xfId="94"/>
    <cellStyle name="PSChar" xfId="8"/>
    <cellStyle name="PSDate" xfId="9"/>
    <cellStyle name="PSDec" xfId="10"/>
    <cellStyle name="PSHeading" xfId="11"/>
    <cellStyle name="PSInt" xfId="12"/>
    <cellStyle name="PSSpacer" xfId="13"/>
    <cellStyle name="SAPBEXaggData" xfId="14"/>
    <cellStyle name="SAPBEXaggData 2" xfId="95"/>
    <cellStyle name="SAPBEXaggDataEmph" xfId="15"/>
    <cellStyle name="SAPBEXaggDataEmph 2" xfId="96"/>
    <cellStyle name="SAPBEXaggItem" xfId="16"/>
    <cellStyle name="SAPBEXaggItem 2" xfId="97"/>
    <cellStyle name="SAPBEXaggItemX" xfId="17"/>
    <cellStyle name="SAPBEXaggItemX 2" xfId="98"/>
    <cellStyle name="SAPBEXchaText" xfId="18"/>
    <cellStyle name="SAPBEXexcBad7" xfId="19"/>
    <cellStyle name="SAPBEXexcBad7 2" xfId="99"/>
    <cellStyle name="SAPBEXexcBad8" xfId="20"/>
    <cellStyle name="SAPBEXexcBad8 2" xfId="100"/>
    <cellStyle name="SAPBEXexcBad9" xfId="21"/>
    <cellStyle name="SAPBEXexcBad9 2" xfId="101"/>
    <cellStyle name="SAPBEXexcCritical4" xfId="22"/>
    <cellStyle name="SAPBEXexcCritical4 2" xfId="102"/>
    <cellStyle name="SAPBEXexcCritical5" xfId="23"/>
    <cellStyle name="SAPBEXexcCritical5 2" xfId="103"/>
    <cellStyle name="SAPBEXexcCritical6" xfId="24"/>
    <cellStyle name="SAPBEXexcCritical6 2" xfId="104"/>
    <cellStyle name="SAPBEXexcGood1" xfId="25"/>
    <cellStyle name="SAPBEXexcGood1 2" xfId="105"/>
    <cellStyle name="SAPBEXexcGood2" xfId="26"/>
    <cellStyle name="SAPBEXexcGood2 2" xfId="106"/>
    <cellStyle name="SAPBEXexcGood3" xfId="27"/>
    <cellStyle name="SAPBEXexcGood3 2" xfId="107"/>
    <cellStyle name="SAPBEXfilterDrill" xfId="28"/>
    <cellStyle name="SAPBEXfilterItem" xfId="29"/>
    <cellStyle name="SAPBEXfilterText" xfId="30"/>
    <cellStyle name="SAPBEXformats" xfId="31"/>
    <cellStyle name="SAPBEXformats 2" xfId="108"/>
    <cellStyle name="SAPBEXheaderItem" xfId="32"/>
    <cellStyle name="SAPBEXheaderItem 2" xfId="109"/>
    <cellStyle name="SAPBEXheaderText" xfId="33"/>
    <cellStyle name="SAPBEXheaderText 2" xfId="110"/>
    <cellStyle name="SAPBEXHLevel0" xfId="34"/>
    <cellStyle name="SAPBEXHLevel0 2" xfId="111"/>
    <cellStyle name="SAPBEXHLevel0X" xfId="35"/>
    <cellStyle name="SAPBEXHLevel0X 2" xfId="113"/>
    <cellStyle name="SAPBEXHLevel0X 3" xfId="112"/>
    <cellStyle name="SAPBEXHLevel1" xfId="36"/>
    <cellStyle name="SAPBEXHLevel1 2" xfId="114"/>
    <cellStyle name="SAPBEXHLevel1X" xfId="37"/>
    <cellStyle name="SAPBEXHLevel1X 2" xfId="116"/>
    <cellStyle name="SAPBEXHLevel1X 3" xfId="115"/>
    <cellStyle name="SAPBEXHLevel2" xfId="38"/>
    <cellStyle name="SAPBEXHLevel2 2" xfId="117"/>
    <cellStyle name="SAPBEXHLevel2X" xfId="39"/>
    <cellStyle name="SAPBEXHLevel2X 2" xfId="119"/>
    <cellStyle name="SAPBEXHLevel2X 3" xfId="118"/>
    <cellStyle name="SAPBEXHLevel3" xfId="40"/>
    <cellStyle name="SAPBEXHLevel3 2" xfId="120"/>
    <cellStyle name="SAPBEXHLevel3X" xfId="41"/>
    <cellStyle name="SAPBEXHLevel3X 2" xfId="122"/>
    <cellStyle name="SAPBEXHLevel3X 3" xfId="121"/>
    <cellStyle name="SAPBEXresData" xfId="42"/>
    <cellStyle name="SAPBEXresData 2" xfId="123"/>
    <cellStyle name="SAPBEXresDataEmph" xfId="43"/>
    <cellStyle name="SAPBEXresDataEmph 2" xfId="124"/>
    <cellStyle name="SAPBEXresItem" xfId="44"/>
    <cellStyle name="SAPBEXresItem 2" xfId="125"/>
    <cellStyle name="SAPBEXresItemX" xfId="45"/>
    <cellStyle name="SAPBEXresItemX 2" xfId="126"/>
    <cellStyle name="SAPBEXstdData" xfId="46"/>
    <cellStyle name="SAPBEXstdDataEmph" xfId="47"/>
    <cellStyle name="SAPBEXstdDataEmph 2" xfId="127"/>
    <cellStyle name="SAPBEXstdItem" xfId="48"/>
    <cellStyle name="SAPBEXstdItemX" xfId="49"/>
    <cellStyle name="SAPBEXtitle" xfId="50"/>
    <cellStyle name="SAPBEXundefined" xfId="51"/>
    <cellStyle name="SAPBEXundefined 2" xfId="128"/>
  </cellStyles>
  <dxfs count="1081">
    <dxf>
      <font>
        <condense val="0"/>
        <extend val="0"/>
        <color indexed="17"/>
      </font>
    </dxf>
    <dxf>
      <font>
        <condense val="0"/>
        <extend val="0"/>
        <color indexed="9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ill>
        <patternFill patternType="none">
          <bgColor indexed="65"/>
        </patternFill>
      </fill>
      <border>
        <left/>
        <right/>
        <top/>
        <bottom/>
      </border>
    </dxf>
    <dxf>
      <font>
        <strike val="0"/>
        <color rgb="FFFF0000"/>
      </font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colors>
    <mruColors>
      <color rgb="FFFFFF00"/>
      <color rgb="FFFFCC00"/>
      <color rgb="FFCCCC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17697" name="Line 1"/>
        <xdr:cNvSpPr>
          <a:spLocks noChangeShapeType="1"/>
        </xdr:cNvSpPr>
      </xdr:nvSpPr>
      <xdr:spPr bwMode="auto">
        <a:xfrm>
          <a:off x="238125" y="0"/>
          <a:ext cx="807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17698" name="Line 2"/>
        <xdr:cNvSpPr>
          <a:spLocks noChangeShapeType="1"/>
        </xdr:cNvSpPr>
      </xdr:nvSpPr>
      <xdr:spPr bwMode="auto">
        <a:xfrm>
          <a:off x="238125" y="0"/>
          <a:ext cx="807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17699" name="Line 3"/>
        <xdr:cNvSpPr>
          <a:spLocks noChangeShapeType="1"/>
        </xdr:cNvSpPr>
      </xdr:nvSpPr>
      <xdr:spPr bwMode="auto">
        <a:xfrm>
          <a:off x="238125" y="0"/>
          <a:ext cx="807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17700" name="Line 4"/>
        <xdr:cNvSpPr>
          <a:spLocks noChangeShapeType="1"/>
        </xdr:cNvSpPr>
      </xdr:nvSpPr>
      <xdr:spPr bwMode="auto">
        <a:xfrm>
          <a:off x="238125" y="0"/>
          <a:ext cx="807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693" name="Line 1"/>
        <xdr:cNvSpPr>
          <a:spLocks noChangeShapeType="1"/>
        </xdr:cNvSpPr>
      </xdr:nvSpPr>
      <xdr:spPr bwMode="auto">
        <a:xfrm>
          <a:off x="209550" y="0"/>
          <a:ext cx="88106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247650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694" name="Line 2"/>
        <xdr:cNvSpPr>
          <a:spLocks noChangeShapeType="1"/>
        </xdr:cNvSpPr>
      </xdr:nvSpPr>
      <xdr:spPr bwMode="auto">
        <a:xfrm>
          <a:off x="209550" y="0"/>
          <a:ext cx="88106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247650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695" name="Line 3"/>
        <xdr:cNvSpPr>
          <a:spLocks noChangeShapeType="1"/>
        </xdr:cNvSpPr>
      </xdr:nvSpPr>
      <xdr:spPr bwMode="auto">
        <a:xfrm>
          <a:off x="209550" y="0"/>
          <a:ext cx="88106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247650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696" name="Line 4"/>
        <xdr:cNvSpPr>
          <a:spLocks noChangeShapeType="1"/>
        </xdr:cNvSpPr>
      </xdr:nvSpPr>
      <xdr:spPr bwMode="auto">
        <a:xfrm>
          <a:off x="209550" y="0"/>
          <a:ext cx="88106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S%20Financial%20Services\General%20Accounting\Income%20Tax%20Services\MEPCO\2004\Closing\09%20September\MEPCO%20Close%20Template%20Sept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ateCalculations\RGE%20DAH%20Supply%20Components\2010-05-01%20RGE%20Supply%20Component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9\012009\GSA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7\112007\GSA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9\022009\GSA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9\012009\GSA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9\022009\GSA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weeneyc\Local%20Settings\Temporary%20Internet%20Files\OLK156\RGE%20VPO%20Rates%202010%20Re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GSC\2009\012009\GSA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Earnings\2012%20Earnings\Monthly%20Update\RGE\06Jun\RGE%20Ratebase%202012%20YTDJu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ISS06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audoip\Local%20Settings\Temporary%20Internet%20Files\OLK1B5\Model%20-%20NYSEG%20Gas%20Revenue%20Plan%202011%20Re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orged\Local%20Settings\Temporary%20Internet%20Files\OLK10B\Multi-Year%20RevReq%2003-18%20-%20Appendic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\ACUMEN%20II\NYSEG%20-%20ACUMEN%20II%20-%20workfile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GSRT/DOC/GSC/2004/072004/GSA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Journal Entry Upload"/>
      <sheetName val="Close Template"/>
      <sheetName val="Non-Operating"/>
      <sheetName val="ETRII"/>
      <sheetName val="Federal "/>
      <sheetName val="Maine"/>
      <sheetName val="Deferred"/>
      <sheetName val="FAS 109 WP"/>
      <sheetName val="ETR"/>
      <sheetName val="Journal Entry"/>
      <sheetName val="MAIN"/>
      <sheetName val="236210"/>
      <sheetName val="Def Summary"/>
      <sheetName val="Def Tax Bal"/>
      <sheetName val="Def Detail"/>
      <sheetName val="Def Tax Bal Sheet Amts"/>
      <sheetName val="GL Rec"/>
      <sheetName val="Acct Query"/>
      <sheetName val="Prior Month Bal"/>
      <sheetName val="Foot Not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GE"/>
      <sheetName val="Ancillary"/>
      <sheetName val="ESR"/>
      <sheetName val="Forecast"/>
      <sheetName val="Settlement"/>
    </sheetNames>
    <sheetDataSet>
      <sheetData sheetId="0">
        <row r="21">
          <cell r="C21">
            <v>40299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TS"/>
      <sheetName val="TS Worksheet"/>
      <sheetName val="TS SRS"/>
      <sheetName val="WNQ"/>
      <sheetName val="R&amp;D"/>
      <sheetName val="GCSA1"/>
      <sheetName val="GCSA2"/>
      <sheetName val="Merger"/>
      <sheetName val="Query"/>
      <sheetName val="Forecast"/>
      <sheetName val="GSC History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Cap Surcharge"/>
      <sheetName val="TS"/>
      <sheetName val="TS Worksheet"/>
      <sheetName val="TS SRS"/>
      <sheetName val="CSCC"/>
      <sheetName val="WNQ"/>
      <sheetName val="R&amp;D"/>
      <sheetName val="GCSA1"/>
      <sheetName val="GCSA2"/>
      <sheetName val="Merger"/>
      <sheetName val="Query"/>
      <sheetName val="CSCC Input"/>
      <sheetName val="CSCC Dmd Chgs"/>
      <sheetName val="CSCC Credits"/>
      <sheetName val="Forecast"/>
      <sheetName val="GSC History"/>
      <sheetName val="GS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Cap Surcharge"/>
      <sheetName val="TS"/>
      <sheetName val="TS Worksheet"/>
      <sheetName val="TS SRS"/>
      <sheetName val="TS Deferred-Uncontrollable"/>
      <sheetName val="CSCC"/>
      <sheetName val="WNQ"/>
      <sheetName val="R&amp;D"/>
      <sheetName val="GCSA1"/>
      <sheetName val="GCSA2"/>
      <sheetName val="Merger"/>
      <sheetName val="Query"/>
      <sheetName val="CSCC Input"/>
      <sheetName val="CSCC Dmd Chgs"/>
      <sheetName val="CSCC Credits"/>
      <sheetName val="Forecast"/>
      <sheetName val="GSC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TS"/>
      <sheetName val="TS Worksheet"/>
      <sheetName val="TS SRS"/>
      <sheetName val="WNQ"/>
      <sheetName val="R&amp;D"/>
      <sheetName val="GCSA1"/>
      <sheetName val="GCSA2"/>
      <sheetName val="Merger"/>
      <sheetName val="Query"/>
      <sheetName val="Forecast"/>
      <sheetName val="GSC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TS"/>
      <sheetName val="TS Worksheet"/>
      <sheetName val="TS SRS"/>
      <sheetName val="TS Deferred-Uncontrollable"/>
      <sheetName val="WNQ"/>
      <sheetName val="R&amp;D"/>
      <sheetName val="GCSA1"/>
      <sheetName val="GCSA2"/>
      <sheetName val="Merger"/>
      <sheetName val="Query"/>
      <sheetName val="Forecast"/>
      <sheetName val="GSC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VPOPrices"/>
      <sheetName val="forecast VPOPrices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ummary Statements"/>
      <sheetName val="IGSC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Cap Surcharge"/>
      <sheetName val="TS"/>
      <sheetName val="TS Worksheet"/>
      <sheetName val="TS SRS"/>
      <sheetName val="CSCC"/>
      <sheetName val="WNQ"/>
      <sheetName val="R&amp;D"/>
      <sheetName val="GCSA1"/>
      <sheetName val="GCSA2"/>
      <sheetName val="Merger"/>
      <sheetName val="Query"/>
      <sheetName val="CSCC Input"/>
      <sheetName val="CSCC Dmd Chgs"/>
      <sheetName val="CSCC Credits"/>
      <sheetName val="Forecast"/>
      <sheetName val="GSC History"/>
    </sheetNames>
    <sheetDataSet>
      <sheetData sheetId="0">
        <row r="7">
          <cell r="D7">
            <v>39814</v>
          </cell>
        </row>
      </sheetData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1-GL Input"/>
      <sheetName val="2-Non-IBCWIP"/>
      <sheetName val="2a-IBCWIP"/>
      <sheetName val="3-A&amp;L"/>
      <sheetName val="4-A&amp;L recon to GL"/>
      <sheetName val="5-Def Tax"/>
      <sheetName val="6-Recon Def Tax to GL"/>
      <sheetName val="7-Hedge Margin"/>
      <sheetName val="8-WC_Purch Power"/>
      <sheetName val="9-PSC Assess Liab"/>
      <sheetName val="10-EEPS Elec"/>
      <sheetName val="11-EEPS Gas"/>
      <sheetName val="12-Bonus Depr ADIT"/>
      <sheetName val="13-Capitalization"/>
      <sheetName val="14-O&amp;M est for CWC calc"/>
      <sheetName val="15-Rate Base Detail"/>
      <sheetName val="16-Items Not in Rate Base"/>
      <sheetName val="17-Rate Base"/>
      <sheetName val="SFAS-109"/>
      <sheetName val="RP12FERC - TME 12-31-11"/>
      <sheetName val="RP12 FERC 2012"/>
      <sheetName val="Allocators - 2011"/>
      <sheetName val="Common Plant Alloc - 6-30-09"/>
      <sheetName val="2011 Payroll Aloc - ELEC"/>
      <sheetName val="2011 Payroll Alloc - GAS"/>
      <sheetName val="EoP"/>
    </sheetNames>
    <sheetDataSet>
      <sheetData sheetId="0">
        <row r="1">
          <cell r="B1">
            <v>1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 t="str">
            <v>Account Match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 t="str">
            <v>Balance</v>
          </cell>
          <cell r="M2" t="str">
            <v>Balance</v>
          </cell>
          <cell r="N2" t="str">
            <v>Balance</v>
          </cell>
          <cell r="O2" t="str">
            <v>Balance</v>
          </cell>
          <cell r="P2" t="str">
            <v>Balance</v>
          </cell>
          <cell r="Q2" t="str">
            <v>Balance</v>
          </cell>
          <cell r="R2" t="str">
            <v>Balance</v>
          </cell>
          <cell r="S2" t="str">
            <v>Balance</v>
          </cell>
          <cell r="T2" t="str">
            <v>Balance</v>
          </cell>
          <cell r="U2" t="str">
            <v>Balance</v>
          </cell>
          <cell r="V2" t="str">
            <v>Balance</v>
          </cell>
          <cell r="W2" t="str">
            <v>Balance</v>
          </cell>
          <cell r="X2" t="str">
            <v>Balance</v>
          </cell>
          <cell r="Y2" t="str">
            <v>12 mos Dec-11</v>
          </cell>
        </row>
        <row r="3">
          <cell r="B3" t="str">
            <v>Account</v>
          </cell>
          <cell r="C3" t="str">
            <v>Location</v>
          </cell>
          <cell r="D3" t="str">
            <v>Description</v>
          </cell>
          <cell r="E3">
            <v>0</v>
          </cell>
          <cell r="F3" t="str">
            <v>A&amp;L RollFwd</v>
          </cell>
          <cell r="G3" t="str">
            <v>RTBS Backup</v>
          </cell>
          <cell r="H3" t="str">
            <v>SFAS-109</v>
          </cell>
          <cell r="I3" t="str">
            <v>Proof</v>
          </cell>
          <cell r="J3" t="str">
            <v>Not in RTBS</v>
          </cell>
          <cell r="K3" t="str">
            <v>Capital</v>
          </cell>
          <cell r="L3">
            <v>40513</v>
          </cell>
          <cell r="M3">
            <v>40544</v>
          </cell>
          <cell r="N3">
            <v>40575</v>
          </cell>
          <cell r="O3">
            <v>40603</v>
          </cell>
          <cell r="P3">
            <v>40634</v>
          </cell>
          <cell r="Q3">
            <v>40664</v>
          </cell>
          <cell r="R3">
            <v>40695</v>
          </cell>
          <cell r="S3">
            <v>40725</v>
          </cell>
          <cell r="T3">
            <v>40756</v>
          </cell>
          <cell r="U3">
            <v>40787</v>
          </cell>
          <cell r="V3">
            <v>40817</v>
          </cell>
          <cell r="W3">
            <v>40848</v>
          </cell>
          <cell r="X3">
            <v>40878</v>
          </cell>
          <cell r="Y3" t="str">
            <v>Average</v>
          </cell>
        </row>
        <row r="4">
          <cell r="B4">
            <v>101010</v>
          </cell>
          <cell r="C4" t="str">
            <v>RTBS</v>
          </cell>
          <cell r="D4" t="str">
            <v>PLANT IN SERVICE - ELECTRIC</v>
          </cell>
          <cell r="E4" t="str">
            <v/>
          </cell>
          <cell r="F4" t="str">
            <v/>
          </cell>
          <cell r="G4">
            <v>101010</v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>
            <v>1291175.2078199999</v>
          </cell>
          <cell r="M4">
            <v>1291024.39323</v>
          </cell>
          <cell r="N4">
            <v>1294084.79238</v>
          </cell>
          <cell r="O4">
            <v>1293920.5788799999</v>
          </cell>
          <cell r="P4">
            <v>1292088.9241899999</v>
          </cell>
          <cell r="Q4">
            <v>1292966.3547499999</v>
          </cell>
          <cell r="R4">
            <v>1293977.80485</v>
          </cell>
          <cell r="S4">
            <v>1293837.1250199999</v>
          </cell>
          <cell r="T4">
            <v>1295839.9050499999</v>
          </cell>
          <cell r="U4">
            <v>1295675.89521</v>
          </cell>
          <cell r="V4">
            <v>1295543.1689599999</v>
          </cell>
          <cell r="W4">
            <v>1295417.1743900001</v>
          </cell>
          <cell r="X4">
            <v>1305769.6596599999</v>
          </cell>
          <cell r="Y4">
            <v>1294404.0458879999</v>
          </cell>
        </row>
        <row r="5">
          <cell r="B5">
            <v>101030</v>
          </cell>
          <cell r="C5" t="str">
            <v>RTBS</v>
          </cell>
          <cell r="D5" t="str">
            <v>PLANT IN SERVICE - GAS</v>
          </cell>
          <cell r="E5" t="str">
            <v/>
          </cell>
          <cell r="F5" t="str">
            <v/>
          </cell>
          <cell r="G5">
            <v>101030</v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>
            <v>613717.86196999997</v>
          </cell>
          <cell r="M5">
            <v>613487.64405</v>
          </cell>
          <cell r="N5">
            <v>614984.79980000004</v>
          </cell>
          <cell r="O5">
            <v>614774.06721999997</v>
          </cell>
          <cell r="P5">
            <v>614675.97079000005</v>
          </cell>
          <cell r="Q5">
            <v>614657.46588000003</v>
          </cell>
          <cell r="R5">
            <v>614383.05969999998</v>
          </cell>
          <cell r="S5">
            <v>614211.38982000004</v>
          </cell>
          <cell r="T5">
            <v>614418.66914000001</v>
          </cell>
          <cell r="U5">
            <v>614295.23080999998</v>
          </cell>
          <cell r="V5">
            <v>614203.55581000005</v>
          </cell>
          <cell r="W5">
            <v>614049.91747999995</v>
          </cell>
          <cell r="X5">
            <v>634052.93863999995</v>
          </cell>
          <cell r="Y5">
            <v>615168.93090000004</v>
          </cell>
        </row>
        <row r="6">
          <cell r="B6">
            <v>101070</v>
          </cell>
          <cell r="C6" t="str">
            <v>RTBS</v>
          </cell>
          <cell r="D6" t="str">
            <v>PLANT IN SERVICE - COMMON</v>
          </cell>
          <cell r="E6" t="str">
            <v/>
          </cell>
          <cell r="F6" t="str">
            <v/>
          </cell>
          <cell r="G6">
            <v>101070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>
            <v>201987.66016</v>
          </cell>
          <cell r="M6">
            <v>200844.94542</v>
          </cell>
          <cell r="N6">
            <v>200438.05274000001</v>
          </cell>
          <cell r="O6">
            <v>200438.05274000001</v>
          </cell>
          <cell r="P6">
            <v>202406.09229</v>
          </cell>
          <cell r="Q6">
            <v>202300.15974</v>
          </cell>
          <cell r="R6">
            <v>202011.65210000001</v>
          </cell>
          <cell r="S6">
            <v>202011.65210000001</v>
          </cell>
          <cell r="T6">
            <v>202011.65210000001</v>
          </cell>
          <cell r="U6">
            <v>202000.3689</v>
          </cell>
          <cell r="V6">
            <v>202000.3689</v>
          </cell>
          <cell r="W6">
            <v>199459.82328000001</v>
          </cell>
          <cell r="X6">
            <v>199459.82328000001</v>
          </cell>
          <cell r="Y6">
            <v>201387.21350300001</v>
          </cell>
        </row>
        <row r="7">
          <cell r="B7">
            <v>102010</v>
          </cell>
          <cell r="C7" t="str">
            <v>Not in RTBS</v>
          </cell>
          <cell r="D7" t="str">
            <v>PLANT PURCHASED OR SOLD-ELECTRIC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102010</v>
          </cell>
          <cell r="K7" t="str">
            <v/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B8">
            <v>105010</v>
          </cell>
          <cell r="C8" t="str">
            <v>RTBS</v>
          </cell>
          <cell r="D8" t="str">
            <v>PLANT HELD-FUTURE USE-ELECTRIC</v>
          </cell>
          <cell r="E8" t="str">
            <v/>
          </cell>
          <cell r="F8" t="str">
            <v/>
          </cell>
          <cell r="G8">
            <v>105010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1623.62003</v>
          </cell>
          <cell r="M8">
            <v>1623.62003</v>
          </cell>
          <cell r="N8">
            <v>1623.62003</v>
          </cell>
          <cell r="O8">
            <v>1623.62003</v>
          </cell>
          <cell r="P8">
            <v>449.19159999999999</v>
          </cell>
          <cell r="Q8">
            <v>449.19159999999999</v>
          </cell>
          <cell r="R8">
            <v>449.19159999999999</v>
          </cell>
          <cell r="S8">
            <v>449.19159999999999</v>
          </cell>
          <cell r="T8">
            <v>448.66568999999998</v>
          </cell>
          <cell r="U8">
            <v>448.66568999999998</v>
          </cell>
          <cell r="V8">
            <v>448.66568999999998</v>
          </cell>
          <cell r="W8">
            <v>448.66568999999998</v>
          </cell>
          <cell r="X8">
            <v>448.66568999999998</v>
          </cell>
          <cell r="Y8">
            <v>791.53600900000004</v>
          </cell>
        </row>
        <row r="9">
          <cell r="B9">
            <v>106010</v>
          </cell>
          <cell r="C9" t="str">
            <v>RTBS</v>
          </cell>
          <cell r="D9" t="str">
            <v>COMPLETED CONSTRUCTION NOT CLASSIFIED - ELECTRIC</v>
          </cell>
          <cell r="E9" t="str">
            <v/>
          </cell>
          <cell r="F9" t="str">
            <v/>
          </cell>
          <cell r="G9">
            <v>106010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>
            <v>159596.49638</v>
          </cell>
          <cell r="M9">
            <v>161895.34226999999</v>
          </cell>
          <cell r="N9">
            <v>165607.31111000001</v>
          </cell>
          <cell r="O9">
            <v>167361.28215000001</v>
          </cell>
          <cell r="P9">
            <v>169931.52249</v>
          </cell>
          <cell r="Q9">
            <v>177063.35500000001</v>
          </cell>
          <cell r="R9">
            <v>183452.20324999999</v>
          </cell>
          <cell r="S9">
            <v>199699.99867999999</v>
          </cell>
          <cell r="T9">
            <v>200535.64475000001</v>
          </cell>
          <cell r="U9">
            <v>207540.37417</v>
          </cell>
          <cell r="V9">
            <v>214926.08931000001</v>
          </cell>
          <cell r="W9">
            <v>217421.73212</v>
          </cell>
          <cell r="X9">
            <v>213003.02580999999</v>
          </cell>
          <cell r="Y9">
            <v>187644.551366</v>
          </cell>
        </row>
        <row r="10">
          <cell r="B10">
            <v>106030</v>
          </cell>
          <cell r="C10" t="str">
            <v>RTBS</v>
          </cell>
          <cell r="D10" t="str">
            <v>COMPLETED CONSTRUCTION NOT CLASSIFIED - GAS</v>
          </cell>
          <cell r="E10" t="str">
            <v/>
          </cell>
          <cell r="F10" t="str">
            <v/>
          </cell>
          <cell r="G10">
            <v>106030</v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>
            <v>24746.10572</v>
          </cell>
          <cell r="M10">
            <v>26371.29594</v>
          </cell>
          <cell r="N10">
            <v>25495.262070000001</v>
          </cell>
          <cell r="O10">
            <v>26875.479039999998</v>
          </cell>
          <cell r="P10">
            <v>27794.36879</v>
          </cell>
          <cell r="Q10">
            <v>30681.74972</v>
          </cell>
          <cell r="R10">
            <v>31556.61851</v>
          </cell>
          <cell r="S10">
            <v>33105.82157</v>
          </cell>
          <cell r="T10">
            <v>35620.96688</v>
          </cell>
          <cell r="U10">
            <v>37472.665430000001</v>
          </cell>
          <cell r="V10">
            <v>41025.982060000002</v>
          </cell>
          <cell r="W10">
            <v>44160.335610000002</v>
          </cell>
          <cell r="X10">
            <v>25906.941650000001</v>
          </cell>
          <cell r="Y10">
            <v>32123.922441999999</v>
          </cell>
        </row>
        <row r="11">
          <cell r="B11">
            <v>106070</v>
          </cell>
          <cell r="C11" t="str">
            <v>RTBS</v>
          </cell>
          <cell r="D11" t="str">
            <v>COMPLETED CONSTRUCTION NOT CLASSIFIED - COMMON</v>
          </cell>
          <cell r="E11" t="str">
            <v/>
          </cell>
          <cell r="F11" t="str">
            <v/>
          </cell>
          <cell r="G11">
            <v>106070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4058.6300799999999</v>
          </cell>
          <cell r="M11">
            <v>4621.3662700000004</v>
          </cell>
          <cell r="N11">
            <v>14076.386710000001</v>
          </cell>
          <cell r="O11">
            <v>14308.431070000001</v>
          </cell>
          <cell r="P11">
            <v>14786.836359999999</v>
          </cell>
          <cell r="Q11">
            <v>15093.967060000001</v>
          </cell>
          <cell r="R11">
            <v>15131.24475</v>
          </cell>
          <cell r="S11">
            <v>15196.43403</v>
          </cell>
          <cell r="T11">
            <v>15371.08158</v>
          </cell>
          <cell r="U11">
            <v>15644.24116</v>
          </cell>
          <cell r="V11">
            <v>15804.972229999999</v>
          </cell>
          <cell r="W11">
            <v>16000.231760000001</v>
          </cell>
          <cell r="X11">
            <v>21175.939139999999</v>
          </cell>
          <cell r="Y11">
            <v>14054.373132999999</v>
          </cell>
        </row>
        <row r="12">
          <cell r="B12">
            <v>107010</v>
          </cell>
          <cell r="C12" t="str">
            <v>RTBS</v>
          </cell>
          <cell r="D12" t="str">
            <v>CONSTRUCTION WORK IN PROGRESS - ELECTRIC</v>
          </cell>
          <cell r="E12" t="str">
            <v/>
          </cell>
          <cell r="F12" t="str">
            <v/>
          </cell>
          <cell r="G12">
            <v>107010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106864.35488</v>
          </cell>
          <cell r="M12">
            <v>105856.99049</v>
          </cell>
          <cell r="N12">
            <v>106034.0248</v>
          </cell>
          <cell r="O12">
            <v>112444.36104</v>
          </cell>
          <cell r="P12">
            <v>114642.16106</v>
          </cell>
          <cell r="Q12">
            <v>113444.33344</v>
          </cell>
          <cell r="R12">
            <v>113290.85941</v>
          </cell>
          <cell r="S12">
            <v>103685.63009999999</v>
          </cell>
          <cell r="T12">
            <v>113271.72203999999</v>
          </cell>
          <cell r="U12">
            <v>119743.78449999999</v>
          </cell>
          <cell r="V12">
            <v>127191.25761</v>
          </cell>
          <cell r="W12">
            <v>138071.47479000001</v>
          </cell>
          <cell r="X12">
            <v>165426.71663000001</v>
          </cell>
          <cell r="Y12">
            <v>116985.17792</v>
          </cell>
        </row>
        <row r="13">
          <cell r="B13">
            <v>107030</v>
          </cell>
          <cell r="C13" t="str">
            <v>RTBS</v>
          </cell>
          <cell r="D13" t="str">
            <v>CONSTRUCTION WORK IN PROGRESS - GAS</v>
          </cell>
          <cell r="E13" t="str">
            <v/>
          </cell>
          <cell r="F13" t="str">
            <v/>
          </cell>
          <cell r="G13">
            <v>107030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4392.0168000000003</v>
          </cell>
          <cell r="M13">
            <v>3286.59719</v>
          </cell>
          <cell r="N13">
            <v>3682.3168099999998</v>
          </cell>
          <cell r="O13">
            <v>3823.54459</v>
          </cell>
          <cell r="P13">
            <v>4494.9873299999999</v>
          </cell>
          <cell r="Q13">
            <v>3424.8167699999999</v>
          </cell>
          <cell r="R13">
            <v>5129.22775</v>
          </cell>
          <cell r="S13">
            <v>6591.1587499999996</v>
          </cell>
          <cell r="T13">
            <v>6966.2108399999997</v>
          </cell>
          <cell r="U13">
            <v>8308.1488200000003</v>
          </cell>
          <cell r="V13">
            <v>8649.6125699999993</v>
          </cell>
          <cell r="W13">
            <v>8377.5288500000006</v>
          </cell>
          <cell r="X13">
            <v>11653.44081</v>
          </cell>
          <cell r="Y13">
            <v>5896.4065899999996</v>
          </cell>
        </row>
        <row r="14">
          <cell r="B14">
            <v>107070</v>
          </cell>
          <cell r="C14" t="str">
            <v>RTBS</v>
          </cell>
          <cell r="D14" t="str">
            <v>CONSTRUCTION WORK IN PROGRESS - COMMON</v>
          </cell>
          <cell r="E14" t="str">
            <v/>
          </cell>
          <cell r="F14" t="str">
            <v/>
          </cell>
          <cell r="G14">
            <v>107070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10220.66073</v>
          </cell>
          <cell r="M14">
            <v>9267.2875100000001</v>
          </cell>
          <cell r="N14">
            <v>442.95607999999999</v>
          </cell>
          <cell r="O14">
            <v>450.42496</v>
          </cell>
          <cell r="P14">
            <v>551.68994999999995</v>
          </cell>
          <cell r="Q14">
            <v>1585.3942999999999</v>
          </cell>
          <cell r="R14">
            <v>1627.3090400000001</v>
          </cell>
          <cell r="S14">
            <v>1991.3473799999999</v>
          </cell>
          <cell r="T14">
            <v>2508.7497699999999</v>
          </cell>
          <cell r="U14">
            <v>2730.9440300000001</v>
          </cell>
          <cell r="V14">
            <v>3623.0580500000001</v>
          </cell>
          <cell r="W14">
            <v>4529.9880999999996</v>
          </cell>
          <cell r="X14">
            <v>10631.059219999999</v>
          </cell>
          <cell r="Y14">
            <v>3311.2507620000001</v>
          </cell>
        </row>
        <row r="15">
          <cell r="B15">
            <v>108008</v>
          </cell>
          <cell r="C15" t="str">
            <v>RTBS</v>
          </cell>
          <cell r="D15" t="str">
            <v>NUCLEAR DECOMMISSIONING RESERVE</v>
          </cell>
          <cell r="E15" t="str">
            <v/>
          </cell>
          <cell r="F15" t="str">
            <v/>
          </cell>
          <cell r="G15">
            <v>108008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108009</v>
          </cell>
          <cell r="C16" t="str">
            <v>RTBS</v>
          </cell>
          <cell r="D16" t="str">
            <v>RUSSELL DECOMMISSION RESERVE - ELECTRIC</v>
          </cell>
          <cell r="E16" t="str">
            <v/>
          </cell>
          <cell r="F16" t="str">
            <v/>
          </cell>
          <cell r="G16">
            <v>108009</v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>
            <v>0</v>
          </cell>
          <cell r="M16">
            <v>0</v>
          </cell>
          <cell r="N16">
            <v>-11925.65322</v>
          </cell>
          <cell r="O16">
            <v>-11925.65322</v>
          </cell>
          <cell r="P16">
            <v>-11925.65322</v>
          </cell>
          <cell r="Q16">
            <v>-11925.65322</v>
          </cell>
          <cell r="R16">
            <v>-11925.65322</v>
          </cell>
          <cell r="S16">
            <v>-11925.65322</v>
          </cell>
          <cell r="T16">
            <v>-11925.65322</v>
          </cell>
          <cell r="U16">
            <v>-11925.65322</v>
          </cell>
          <cell r="V16">
            <v>-11925.65322</v>
          </cell>
          <cell r="W16">
            <v>-11925.65322</v>
          </cell>
          <cell r="X16">
            <v>-11925.65322</v>
          </cell>
          <cell r="Y16">
            <v>-10434.946567999999</v>
          </cell>
        </row>
        <row r="17">
          <cell r="B17">
            <v>108010</v>
          </cell>
          <cell r="C17" t="str">
            <v>RTBS</v>
          </cell>
          <cell r="D17" t="str">
            <v>ACCUMULATED DEPRECIATION RESERVE - ELECTRIC</v>
          </cell>
          <cell r="E17" t="str">
            <v/>
          </cell>
          <cell r="F17" t="str">
            <v/>
          </cell>
          <cell r="G17">
            <v>108010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>
            <v>-505071.46581999998</v>
          </cell>
          <cell r="M17">
            <v>-508405.89619</v>
          </cell>
          <cell r="N17">
            <v>-495978.36225000001</v>
          </cell>
          <cell r="O17">
            <v>-497226.18557999999</v>
          </cell>
          <cell r="P17">
            <v>-499928.96765000001</v>
          </cell>
          <cell r="Q17">
            <v>-501224.98181999999</v>
          </cell>
          <cell r="R17">
            <v>-502749.30549</v>
          </cell>
          <cell r="S17">
            <v>-504445.00769</v>
          </cell>
          <cell r="T17">
            <v>-506821.53807000001</v>
          </cell>
          <cell r="U17">
            <v>-509282.87550999998</v>
          </cell>
          <cell r="V17">
            <v>-511308.30105000001</v>
          </cell>
          <cell r="W17">
            <v>-513575.83049999998</v>
          </cell>
          <cell r="X17">
            <v>-514839.26932999998</v>
          </cell>
          <cell r="Y17">
            <v>-505075.21828099998</v>
          </cell>
        </row>
        <row r="18">
          <cell r="B18">
            <v>108011</v>
          </cell>
          <cell r="C18" t="str">
            <v>RTBS</v>
          </cell>
          <cell r="D18" t="str">
            <v>ACCUMULATED DEPRECIATION SALVAGE - ELECTRIC</v>
          </cell>
          <cell r="E18" t="str">
            <v/>
          </cell>
          <cell r="F18" t="str">
            <v/>
          </cell>
          <cell r="G18">
            <v>108011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108015</v>
          </cell>
          <cell r="C19" t="str">
            <v>RTBS</v>
          </cell>
          <cell r="D19" t="str">
            <v>UNDEPRECIATED RETIREMENT - ELECTRIC</v>
          </cell>
          <cell r="E19" t="str">
            <v/>
          </cell>
          <cell r="F19" t="str">
            <v/>
          </cell>
          <cell r="G19">
            <v>108015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>
            <v>108016</v>
          </cell>
          <cell r="C20" t="str">
            <v>RTBS</v>
          </cell>
          <cell r="D20" t="str">
            <v>ACCUM PROV-DEPR-ELEC-NON-POOL INCLUDING LAND</v>
          </cell>
          <cell r="E20" t="str">
            <v/>
          </cell>
          <cell r="F20" t="str">
            <v/>
          </cell>
          <cell r="G20">
            <v>108016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B21">
            <v>108019</v>
          </cell>
          <cell r="C21" t="str">
            <v>RTBS</v>
          </cell>
          <cell r="D21" t="str">
            <v>ACCUM DEPRECIATION ELECTRIC-MANUAL ADJUSTMENT</v>
          </cell>
          <cell r="E21" t="str">
            <v/>
          </cell>
          <cell r="F21" t="str">
            <v/>
          </cell>
          <cell r="G21">
            <v>108019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108030</v>
          </cell>
          <cell r="C22" t="str">
            <v>RTBS</v>
          </cell>
          <cell r="D22" t="str">
            <v>ACCUMULATED DEPRECIATION RESERVE - GAS</v>
          </cell>
          <cell r="E22" t="str">
            <v/>
          </cell>
          <cell r="F22" t="str">
            <v/>
          </cell>
          <cell r="G22">
            <v>108030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-243435.75558</v>
          </cell>
          <cell r="M22">
            <v>-244453.96664</v>
          </cell>
          <cell r="N22">
            <v>-245462.89955999999</v>
          </cell>
          <cell r="O22">
            <v>-246364.29337999999</v>
          </cell>
          <cell r="P22">
            <v>-247457.17540000001</v>
          </cell>
          <cell r="Q22">
            <v>-248225.94894999999</v>
          </cell>
          <cell r="R22">
            <v>-249111.96158</v>
          </cell>
          <cell r="S22">
            <v>-250172.70530999999</v>
          </cell>
          <cell r="T22">
            <v>-250812.00808</v>
          </cell>
          <cell r="U22">
            <v>-251912.88716000001</v>
          </cell>
          <cell r="V22">
            <v>-252941.77439999999</v>
          </cell>
          <cell r="W22">
            <v>-254118.30637000001</v>
          </cell>
          <cell r="X22">
            <v>-255403.86296999999</v>
          </cell>
          <cell r="Y22">
            <v>-249204.47800900001</v>
          </cell>
        </row>
        <row r="23">
          <cell r="B23">
            <v>108031</v>
          </cell>
          <cell r="C23" t="str">
            <v>RTBS</v>
          </cell>
          <cell r="D23" t="str">
            <v>ACCUMULATED DEPRECIATION SALVAGE - GAS</v>
          </cell>
          <cell r="E23" t="str">
            <v/>
          </cell>
          <cell r="F23" t="str">
            <v/>
          </cell>
          <cell r="G23">
            <v>108031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108035</v>
          </cell>
          <cell r="C24" t="str">
            <v>RTBS</v>
          </cell>
          <cell r="D24" t="str">
            <v>UNDEPRECIATED RETIREMENT - GAS</v>
          </cell>
          <cell r="E24" t="str">
            <v/>
          </cell>
          <cell r="F24" t="str">
            <v/>
          </cell>
          <cell r="G24">
            <v>108035</v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108039</v>
          </cell>
          <cell r="C25" t="str">
            <v>RTBS</v>
          </cell>
          <cell r="D25" t="str">
            <v>ACCUMULATED DEPRECIATION-GAS MANUAL ADJUSTMENT</v>
          </cell>
          <cell r="E25" t="str">
            <v/>
          </cell>
          <cell r="F25" t="str">
            <v/>
          </cell>
          <cell r="G25">
            <v>108039</v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108070</v>
          </cell>
          <cell r="C26" t="str">
            <v>RTBS</v>
          </cell>
          <cell r="D26" t="str">
            <v>ACCUMULATED DEPRECIATION RESERVE - COMMON</v>
          </cell>
          <cell r="E26" t="str">
            <v/>
          </cell>
          <cell r="F26" t="str">
            <v/>
          </cell>
          <cell r="G26">
            <v>108070</v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>
            <v>-59503.695849999996</v>
          </cell>
          <cell r="M26">
            <v>-58910.449090000002</v>
          </cell>
          <cell r="N26">
            <v>-59041.922590000002</v>
          </cell>
          <cell r="O26">
            <v>-59625.683700000001</v>
          </cell>
          <cell r="P26">
            <v>-60267.501980000001</v>
          </cell>
          <cell r="Q26">
            <v>-60775.467360000002</v>
          </cell>
          <cell r="R26">
            <v>-61114.217980000001</v>
          </cell>
          <cell r="S26">
            <v>-61698.568149999999</v>
          </cell>
          <cell r="T26">
            <v>-62283.849390000003</v>
          </cell>
          <cell r="U26">
            <v>-62853.105750000002</v>
          </cell>
          <cell r="V26">
            <v>-63606.629659999999</v>
          </cell>
          <cell r="W26">
            <v>-61572.578549999998</v>
          </cell>
          <cell r="X26">
            <v>-61712.39589</v>
          </cell>
          <cell r="Y26">
            <v>-61029.835006000001</v>
          </cell>
        </row>
        <row r="27">
          <cell r="B27">
            <v>108071</v>
          </cell>
          <cell r="C27" t="str">
            <v>RTBS</v>
          </cell>
          <cell r="D27" t="str">
            <v>ACCUMULATED DEPRECIATION SALVAGE - COMMON</v>
          </cell>
          <cell r="E27" t="str">
            <v/>
          </cell>
          <cell r="F27" t="str">
            <v/>
          </cell>
          <cell r="G27">
            <v>108071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>
            <v>108075</v>
          </cell>
          <cell r="C28" t="str">
            <v>RTBS</v>
          </cell>
          <cell r="D28" t="str">
            <v>UNDEPRECIATED RETIREMENT - COMMON</v>
          </cell>
          <cell r="E28" t="str">
            <v/>
          </cell>
          <cell r="F28" t="str">
            <v/>
          </cell>
          <cell r="G28">
            <v>108075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B29">
            <v>108076</v>
          </cell>
          <cell r="C29" t="str">
            <v>RTBS</v>
          </cell>
          <cell r="D29" t="str">
            <v>ACCUM DEPREC-COMMON-GAIN/LOSS CLEAR</v>
          </cell>
          <cell r="E29" t="str">
            <v/>
          </cell>
          <cell r="F29" t="str">
            <v/>
          </cell>
          <cell r="G29">
            <v>108076</v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108101</v>
          </cell>
          <cell r="C30" t="str">
            <v>RTBS</v>
          </cell>
          <cell r="D30" t="str">
            <v>RETIRE WIP - COST OF REMOVAL - ELECTRIC</v>
          </cell>
          <cell r="E30" t="str">
            <v/>
          </cell>
          <cell r="F30" t="str">
            <v/>
          </cell>
          <cell r="G30">
            <v>108101</v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108103</v>
          </cell>
          <cell r="C31" t="str">
            <v>RTBS</v>
          </cell>
          <cell r="D31" t="str">
            <v>RETIRE WIP - COST OF REMOVAL - GAS</v>
          </cell>
          <cell r="E31" t="str">
            <v/>
          </cell>
          <cell r="F31" t="str">
            <v/>
          </cell>
          <cell r="G31">
            <v>108103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108107</v>
          </cell>
          <cell r="C32" t="str">
            <v>RTBS</v>
          </cell>
          <cell r="D32" t="str">
            <v>RETIRE WIP - COST OF REMOVAL - COMMON</v>
          </cell>
          <cell r="E32" t="str">
            <v/>
          </cell>
          <cell r="F32" t="str">
            <v/>
          </cell>
          <cell r="G32">
            <v>108107</v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B33">
            <v>108111</v>
          </cell>
          <cell r="C33" t="str">
            <v>RTBS</v>
          </cell>
          <cell r="D33" t="str">
            <v>RETIRE WIP - SALVAGE - ELECTRIC</v>
          </cell>
          <cell r="E33" t="str">
            <v/>
          </cell>
          <cell r="F33" t="str">
            <v/>
          </cell>
          <cell r="G33">
            <v>108111</v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B34">
            <v>108113</v>
          </cell>
          <cell r="C34" t="str">
            <v>RTBS</v>
          </cell>
          <cell r="D34" t="str">
            <v>RETIRE WIP - SALVAGE - GAS</v>
          </cell>
          <cell r="E34" t="str">
            <v/>
          </cell>
          <cell r="F34" t="str">
            <v/>
          </cell>
          <cell r="G34">
            <v>108113</v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108117</v>
          </cell>
          <cell r="C35" t="str">
            <v>RTBS</v>
          </cell>
          <cell r="D35" t="str">
            <v>RETIRE WIP - SALVAGE - COMMON</v>
          </cell>
          <cell r="E35" t="str">
            <v/>
          </cell>
          <cell r="F35" t="str">
            <v/>
          </cell>
          <cell r="G35">
            <v>108117</v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111010</v>
          </cell>
          <cell r="C36" t="str">
            <v>RTBS</v>
          </cell>
          <cell r="D36" t="str">
            <v>ACCUM PROV-AMORT OF ELEC PLANT</v>
          </cell>
          <cell r="E36" t="str">
            <v/>
          </cell>
          <cell r="F36" t="str">
            <v/>
          </cell>
          <cell r="G36">
            <v>111010</v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>
            <v>-5194.53208</v>
          </cell>
          <cell r="M36">
            <v>-5202.3870100000004</v>
          </cell>
          <cell r="N36">
            <v>-5210.2419399999999</v>
          </cell>
          <cell r="O36">
            <v>-5218.0968700000003</v>
          </cell>
          <cell r="P36">
            <v>-5225.9517900000001</v>
          </cell>
          <cell r="Q36">
            <v>-5233.8067199999996</v>
          </cell>
          <cell r="R36">
            <v>-5241.66165</v>
          </cell>
          <cell r="S36">
            <v>-5249.5165699999998</v>
          </cell>
          <cell r="T36">
            <v>-5257.3714900000004</v>
          </cell>
          <cell r="U36">
            <v>-5265.22642</v>
          </cell>
          <cell r="V36">
            <v>-5273.0813500000004</v>
          </cell>
          <cell r="W36">
            <v>-5280.9362799999999</v>
          </cell>
          <cell r="X36">
            <v>-5288.7912100000003</v>
          </cell>
          <cell r="Y36">
            <v>-5241.6616450000001</v>
          </cell>
        </row>
        <row r="37">
          <cell r="B37">
            <v>111030</v>
          </cell>
          <cell r="C37" t="str">
            <v>RTBS</v>
          </cell>
          <cell r="D37" t="str">
            <v>ACCUM PROV-AMORT OF GAS PLANT</v>
          </cell>
          <cell r="E37" t="str">
            <v/>
          </cell>
          <cell r="F37" t="str">
            <v/>
          </cell>
          <cell r="G37">
            <v>111030</v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>
            <v>-567.97293000000002</v>
          </cell>
          <cell r="M37">
            <v>-582.24553000000003</v>
          </cell>
          <cell r="N37">
            <v>-596.51811999999995</v>
          </cell>
          <cell r="O37">
            <v>-610.79071999999996</v>
          </cell>
          <cell r="P37">
            <v>-625.06331</v>
          </cell>
          <cell r="Q37">
            <v>-639.33591000000001</v>
          </cell>
          <cell r="R37">
            <v>-653.60850000000005</v>
          </cell>
          <cell r="S37">
            <v>-667.88109999999995</v>
          </cell>
          <cell r="T37">
            <v>-682.15369999999996</v>
          </cell>
          <cell r="U37">
            <v>-696.42628999999999</v>
          </cell>
          <cell r="V37">
            <v>-710.69889000000001</v>
          </cell>
          <cell r="W37">
            <v>-724.97148000000004</v>
          </cell>
          <cell r="X37">
            <v>-739.24408000000005</v>
          </cell>
          <cell r="Y37">
            <v>-653.60850500000004</v>
          </cell>
        </row>
        <row r="38">
          <cell r="B38">
            <v>111070</v>
          </cell>
          <cell r="C38" t="str">
            <v>RTBS</v>
          </cell>
          <cell r="D38" t="str">
            <v>ACCUM PROV-AMORT OF COMMON PLANT</v>
          </cell>
          <cell r="E38" t="str">
            <v/>
          </cell>
          <cell r="F38" t="str">
            <v/>
          </cell>
          <cell r="G38">
            <v>111070</v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>
            <v>-66473.154580000002</v>
          </cell>
          <cell r="M38">
            <v>-66756.673439999999</v>
          </cell>
          <cell r="N38">
            <v>-67040.192309999999</v>
          </cell>
          <cell r="O38">
            <v>-67339.228350000005</v>
          </cell>
          <cell r="P38">
            <v>-67638.488570000001</v>
          </cell>
          <cell r="Q38">
            <v>-67937.998989999993</v>
          </cell>
          <cell r="R38">
            <v>-68237.554180000006</v>
          </cell>
          <cell r="S38">
            <v>-68539.313099999999</v>
          </cell>
          <cell r="T38">
            <v>-68828.829849999995</v>
          </cell>
          <cell r="U38">
            <v>-69119.470600000001</v>
          </cell>
          <cell r="V38">
            <v>-69410.904370000004</v>
          </cell>
          <cell r="W38">
            <v>-69703.032789999997</v>
          </cell>
          <cell r="X38">
            <v>-69995.733680000005</v>
          </cell>
          <cell r="Y38">
            <v>-68232.177557000003</v>
          </cell>
        </row>
        <row r="39">
          <cell r="B39">
            <v>114010</v>
          </cell>
          <cell r="C39" t="str">
            <v>RTBS</v>
          </cell>
          <cell r="D39" t="str">
            <v>PLANT ACQUISITION ADJUSTMENTS-ELEC-WATER RIGHTS</v>
          </cell>
          <cell r="E39" t="str">
            <v/>
          </cell>
          <cell r="F39" t="str">
            <v/>
          </cell>
          <cell r="G39">
            <v>114010</v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B40">
            <v>114011</v>
          </cell>
          <cell r="C40" t="str">
            <v>RTBS</v>
          </cell>
          <cell r="D40" t="str">
            <v>PLANT ACQUIS ADJ B.BAL-ELECTRIC</v>
          </cell>
          <cell r="E40" t="str">
            <v/>
          </cell>
          <cell r="F40" t="str">
            <v/>
          </cell>
          <cell r="G40">
            <v>114011</v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B41">
            <v>114020</v>
          </cell>
          <cell r="C41" t="str">
            <v>RTBS</v>
          </cell>
          <cell r="D41" t="str">
            <v>PLANT ACQUIS ADJ-ELEC-WATER RIGHTS-AMORTIZATION</v>
          </cell>
          <cell r="E41" t="str">
            <v/>
          </cell>
          <cell r="F41" t="str">
            <v/>
          </cell>
          <cell r="G41">
            <v>114020</v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118010</v>
          </cell>
          <cell r="C42" t="str">
            <v>Not in RTBS</v>
          </cell>
          <cell r="D42" t="str">
            <v>PLANT - ASSET RETIREMENT OBLIGATION - ELECTRIC</v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118010</v>
          </cell>
          <cell r="K42" t="str">
            <v/>
          </cell>
          <cell r="L42">
            <v>6012.64516</v>
          </cell>
          <cell r="M42">
            <v>6012.64516</v>
          </cell>
          <cell r="N42">
            <v>6012.64516</v>
          </cell>
          <cell r="O42">
            <v>6012.64516</v>
          </cell>
          <cell r="P42">
            <v>6012.64516</v>
          </cell>
          <cell r="Q42">
            <v>6012.64516</v>
          </cell>
          <cell r="R42">
            <v>6012.64516</v>
          </cell>
          <cell r="S42">
            <v>6012.64516</v>
          </cell>
          <cell r="T42">
            <v>6012.64516</v>
          </cell>
          <cell r="U42">
            <v>6012.64516</v>
          </cell>
          <cell r="V42">
            <v>6012.64516</v>
          </cell>
          <cell r="W42">
            <v>6012.64516</v>
          </cell>
          <cell r="X42">
            <v>6012.64516</v>
          </cell>
          <cell r="Y42">
            <v>6012.64516</v>
          </cell>
        </row>
        <row r="43">
          <cell r="B43">
            <v>118030</v>
          </cell>
          <cell r="C43" t="str">
            <v>Not in RTBS</v>
          </cell>
          <cell r="D43" t="str">
            <v>PLANT - ASSET RETIREMENT OBLIGATION - GAS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118030</v>
          </cell>
          <cell r="K43" t="str">
            <v/>
          </cell>
          <cell r="L43">
            <v>165.59869</v>
          </cell>
          <cell r="M43">
            <v>165.59869</v>
          </cell>
          <cell r="N43">
            <v>165.59869</v>
          </cell>
          <cell r="O43">
            <v>165.59869</v>
          </cell>
          <cell r="P43">
            <v>165.59869</v>
          </cell>
          <cell r="Q43">
            <v>165.59869</v>
          </cell>
          <cell r="R43">
            <v>165.59869</v>
          </cell>
          <cell r="S43">
            <v>165.59869</v>
          </cell>
          <cell r="T43">
            <v>165.59869</v>
          </cell>
          <cell r="U43">
            <v>165.59869</v>
          </cell>
          <cell r="V43">
            <v>165.59869</v>
          </cell>
          <cell r="W43">
            <v>165.59869</v>
          </cell>
          <cell r="X43">
            <v>165.59869</v>
          </cell>
          <cell r="Y43">
            <v>165.59869</v>
          </cell>
        </row>
        <row r="44">
          <cell r="B44">
            <v>119010</v>
          </cell>
          <cell r="C44" t="str">
            <v>Not in RTBS</v>
          </cell>
          <cell r="D44" t="str">
            <v>ACCUMULATED PROVISION FOR DEPRECIATION-ARO-ELEC</v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119010</v>
          </cell>
          <cell r="K44" t="str">
            <v/>
          </cell>
          <cell r="L44">
            <v>-4480.5490399999999</v>
          </cell>
          <cell r="M44">
            <v>-4496.9991900000005</v>
          </cell>
          <cell r="N44">
            <v>-4513.4493400000001</v>
          </cell>
          <cell r="O44">
            <v>-4529.8994700000003</v>
          </cell>
          <cell r="P44">
            <v>-4546.34962</v>
          </cell>
          <cell r="Q44">
            <v>-4562.7997699999996</v>
          </cell>
          <cell r="R44">
            <v>-4579.2499200000002</v>
          </cell>
          <cell r="S44">
            <v>-4595.7000799999996</v>
          </cell>
          <cell r="T44">
            <v>-4612.1502300000002</v>
          </cell>
          <cell r="U44">
            <v>-4628.6003899999996</v>
          </cell>
          <cell r="V44">
            <v>-4645.0505199999998</v>
          </cell>
          <cell r="W44">
            <v>-4661.50065</v>
          </cell>
          <cell r="X44">
            <v>-4677.9507899999999</v>
          </cell>
          <cell r="Y44">
            <v>-4579.2499250000001</v>
          </cell>
        </row>
        <row r="45">
          <cell r="B45">
            <v>119030</v>
          </cell>
          <cell r="C45" t="str">
            <v>Not in RTBS</v>
          </cell>
          <cell r="D45" t="str">
            <v>ACCUMULATED PROVISION FOR DEPRECIATION-ARO-GAS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119030</v>
          </cell>
          <cell r="K45" t="str">
            <v/>
          </cell>
          <cell r="L45">
            <v>-84.910259999999994</v>
          </cell>
          <cell r="M45">
            <v>-85.177040000000005</v>
          </cell>
          <cell r="N45">
            <v>-85.443820000000002</v>
          </cell>
          <cell r="O45">
            <v>-85.710599999999999</v>
          </cell>
          <cell r="P45">
            <v>-85.977379999999997</v>
          </cell>
          <cell r="Q45">
            <v>-86.244159999999994</v>
          </cell>
          <cell r="R45">
            <v>-86.510940000000005</v>
          </cell>
          <cell r="S45">
            <v>-86.777720000000002</v>
          </cell>
          <cell r="T45">
            <v>-87.044499999999999</v>
          </cell>
          <cell r="U45">
            <v>-87.311279999999996</v>
          </cell>
          <cell r="V45">
            <v>-87.578059999999994</v>
          </cell>
          <cell r="W45">
            <v>-87.844840000000005</v>
          </cell>
          <cell r="X45">
            <v>-88.111620000000002</v>
          </cell>
          <cell r="Y45">
            <v>-86.510940000000005</v>
          </cell>
        </row>
        <row r="46">
          <cell r="B46">
            <v>120100</v>
          </cell>
          <cell r="C46" t="str">
            <v>NOT USED</v>
          </cell>
          <cell r="D46" t="str">
            <v>NUCLEAR FUEL IN PROCESS - GINNA</v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120111</v>
          </cell>
          <cell r="C47" t="str">
            <v>RTBS</v>
          </cell>
          <cell r="D47" t="str">
            <v>NUCLEAR FUEL BEGINNING BALANCE</v>
          </cell>
          <cell r="E47" t="str">
            <v/>
          </cell>
          <cell r="F47" t="str">
            <v/>
          </cell>
          <cell r="G47">
            <v>120111</v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B48">
            <v>120200</v>
          </cell>
          <cell r="C48" t="str">
            <v>RTBS</v>
          </cell>
          <cell r="D48" t="str">
            <v>NUCLEAR FUEL IN STOCK</v>
          </cell>
          <cell r="E48" t="str">
            <v/>
          </cell>
          <cell r="F48" t="str">
            <v/>
          </cell>
          <cell r="G48">
            <v>120200</v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B49">
            <v>120300</v>
          </cell>
          <cell r="C49" t="str">
            <v>RTBS</v>
          </cell>
          <cell r="D49" t="str">
            <v>NUCLEAR FUEL IN REACTOR - GINNA</v>
          </cell>
          <cell r="E49" t="str">
            <v/>
          </cell>
          <cell r="F49" t="str">
            <v/>
          </cell>
          <cell r="G49">
            <v>120300</v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120400</v>
          </cell>
          <cell r="C50" t="str">
            <v>RTBS</v>
          </cell>
          <cell r="D50" t="str">
            <v>SPEND NUCLEAR FUEL - GINNA</v>
          </cell>
          <cell r="E50" t="str">
            <v/>
          </cell>
          <cell r="F50" t="str">
            <v/>
          </cell>
          <cell r="G50">
            <v>120400</v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120510</v>
          </cell>
          <cell r="C51" t="str">
            <v>RTBS</v>
          </cell>
          <cell r="D51" t="str">
            <v>ACCUM PROV - NUCL FUEL BURNUP - GINNA</v>
          </cell>
          <cell r="E51" t="str">
            <v/>
          </cell>
          <cell r="F51" t="str">
            <v/>
          </cell>
          <cell r="G51">
            <v>120510</v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B52">
            <v>120520</v>
          </cell>
          <cell r="C52" t="str">
            <v>RTBS</v>
          </cell>
          <cell r="D52" t="str">
            <v>ACCUM PROV - NUCL FUEL SHIP/DISPOSAL - GINNA</v>
          </cell>
          <cell r="E52" t="str">
            <v/>
          </cell>
          <cell r="F52" t="str">
            <v/>
          </cell>
          <cell r="G52">
            <v>120520</v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B53">
            <v>120540</v>
          </cell>
          <cell r="C53" t="str">
            <v>RTBS</v>
          </cell>
          <cell r="D53" t="str">
            <v>ACCUM PROV - NUCL FUEL RETIRED - GINNA</v>
          </cell>
          <cell r="E53" t="str">
            <v/>
          </cell>
          <cell r="F53" t="str">
            <v/>
          </cell>
          <cell r="G53">
            <v>120540</v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120590</v>
          </cell>
          <cell r="C54" t="str">
            <v>RTBS</v>
          </cell>
          <cell r="D54" t="str">
            <v>SPEND NUCL FUEL - DEPARTMENT OF ENERGY (DOE)</v>
          </cell>
          <cell r="E54" t="str">
            <v/>
          </cell>
          <cell r="F54" t="str">
            <v/>
          </cell>
          <cell r="G54">
            <v>120590</v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121000</v>
          </cell>
          <cell r="C55" t="str">
            <v>Not in RTBS</v>
          </cell>
          <cell r="D55" t="str">
            <v>NONUTILITY PROPERTY</v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>
            <v>121000</v>
          </cell>
          <cell r="K55" t="str">
            <v/>
          </cell>
          <cell r="L55">
            <v>2479.87662</v>
          </cell>
          <cell r="M55">
            <v>2479.87662</v>
          </cell>
          <cell r="N55">
            <v>2479.87662</v>
          </cell>
          <cell r="O55">
            <v>2479.87662</v>
          </cell>
          <cell r="P55">
            <v>3654.3050499999999</v>
          </cell>
          <cell r="Q55">
            <v>3654.3050499999999</v>
          </cell>
          <cell r="R55">
            <v>3654.3050499999999</v>
          </cell>
          <cell r="S55">
            <v>3654.3050499999999</v>
          </cell>
          <cell r="T55">
            <v>3654.8309599999998</v>
          </cell>
          <cell r="U55">
            <v>3654.8309599999998</v>
          </cell>
          <cell r="V55">
            <v>3654.8309599999998</v>
          </cell>
          <cell r="W55">
            <v>3654.8309599999998</v>
          </cell>
          <cell r="X55">
            <v>3654.8309599999998</v>
          </cell>
          <cell r="Y55">
            <v>3311.9606410000001</v>
          </cell>
        </row>
        <row r="56">
          <cell r="B56">
            <v>122000</v>
          </cell>
          <cell r="C56" t="str">
            <v>Not in RTBS</v>
          </cell>
          <cell r="D56" t="str">
            <v>ACCUM PROV-DEPREC-NONUTILITY PROP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>
            <v>122000</v>
          </cell>
          <cell r="K56" t="str">
            <v/>
          </cell>
          <cell r="L56">
            <v>-879.26174000000003</v>
          </cell>
          <cell r="M56">
            <v>-881.78319999999997</v>
          </cell>
          <cell r="N56">
            <v>-884.30466000000001</v>
          </cell>
          <cell r="O56">
            <v>-886.82611999999995</v>
          </cell>
          <cell r="P56">
            <v>-889.34757999999999</v>
          </cell>
          <cell r="Q56">
            <v>-891.86904000000004</v>
          </cell>
          <cell r="R56">
            <v>-894.39049999999997</v>
          </cell>
          <cell r="S56">
            <v>-896.91196000000002</v>
          </cell>
          <cell r="T56">
            <v>-899.43341999999996</v>
          </cell>
          <cell r="U56">
            <v>-901.95488</v>
          </cell>
          <cell r="V56">
            <v>-904.47634000000005</v>
          </cell>
          <cell r="W56">
            <v>-906.99779999999998</v>
          </cell>
          <cell r="X56">
            <v>-909.51926000000003</v>
          </cell>
          <cell r="Y56">
            <v>-894.39049999999997</v>
          </cell>
        </row>
        <row r="57">
          <cell r="B57">
            <v>124000</v>
          </cell>
          <cell r="C57" t="str">
            <v>Not in RTBS</v>
          </cell>
          <cell r="D57" t="str">
            <v>OTHER INVESTMENTS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124000</v>
          </cell>
          <cell r="K57" t="str">
            <v/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100</v>
          </cell>
          <cell r="W57">
            <v>100</v>
          </cell>
          <cell r="X57">
            <v>100</v>
          </cell>
          <cell r="Y57">
            <v>100</v>
          </cell>
        </row>
        <row r="58">
          <cell r="B58">
            <v>124200</v>
          </cell>
          <cell r="C58" t="str">
            <v>Not in RTBS</v>
          </cell>
          <cell r="D58" t="str">
            <v>OTHER INVESTMENTS - THE MONROE FUND LLC</v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124200</v>
          </cell>
          <cell r="K58" t="str">
            <v/>
          </cell>
          <cell r="L58">
            <v>148.95776000000001</v>
          </cell>
          <cell r="M58">
            <v>148.95776000000001</v>
          </cell>
          <cell r="N58">
            <v>148.95776000000001</v>
          </cell>
          <cell r="O58">
            <v>148.95776000000001</v>
          </cell>
          <cell r="P58">
            <v>148.95776000000001</v>
          </cell>
          <cell r="Q58">
            <v>148.95776000000001</v>
          </cell>
          <cell r="R58">
            <v>148.95776000000001</v>
          </cell>
          <cell r="S58">
            <v>126.20156</v>
          </cell>
          <cell r="T58">
            <v>126.20156</v>
          </cell>
          <cell r="U58">
            <v>126.20156</v>
          </cell>
          <cell r="V58">
            <v>126.20156</v>
          </cell>
          <cell r="W58">
            <v>126.20156</v>
          </cell>
          <cell r="X58">
            <v>124.05719999999999</v>
          </cell>
          <cell r="Y58">
            <v>138.43848700000001</v>
          </cell>
        </row>
        <row r="59">
          <cell r="B59">
            <v>124202</v>
          </cell>
          <cell r="C59" t="str">
            <v>Not in RTBS</v>
          </cell>
          <cell r="D59" t="str">
            <v>OTHER INVESTMENTS - THE MONROE FUND LLC</v>
          </cell>
          <cell r="E59">
            <v>0</v>
          </cell>
        </row>
        <row r="60">
          <cell r="B60">
            <v>124220</v>
          </cell>
          <cell r="C60" t="str">
            <v>Not in RTBS</v>
          </cell>
          <cell r="D60" t="str">
            <v>OTHER INVESTMENTS-NY BUSINESS DEVELOPMENT CORP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>
            <v>124220</v>
          </cell>
          <cell r="K60" t="str">
            <v/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128000</v>
          </cell>
          <cell r="C61" t="str">
            <v>RTBS</v>
          </cell>
          <cell r="D61" t="str">
            <v>OTH SPEC FUNDS</v>
          </cell>
          <cell r="E61" t="str">
            <v/>
          </cell>
          <cell r="F61" t="str">
            <v/>
          </cell>
          <cell r="G61">
            <v>128000</v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>
            <v>41.27</v>
          </cell>
          <cell r="M61">
            <v>41.27</v>
          </cell>
          <cell r="N61">
            <v>41.27</v>
          </cell>
          <cell r="O61">
            <v>41.27</v>
          </cell>
          <cell r="P61">
            <v>41.27</v>
          </cell>
          <cell r="Q61">
            <v>41.27</v>
          </cell>
          <cell r="R61">
            <v>41.27</v>
          </cell>
          <cell r="S61">
            <v>41.27</v>
          </cell>
          <cell r="T61">
            <v>41.27</v>
          </cell>
          <cell r="U61">
            <v>41.27</v>
          </cell>
          <cell r="V61">
            <v>41.27</v>
          </cell>
          <cell r="W61">
            <v>41.27</v>
          </cell>
          <cell r="X61">
            <v>163.77000000000001</v>
          </cell>
          <cell r="Y61">
            <v>46.374167</v>
          </cell>
        </row>
        <row r="62">
          <cell r="B62">
            <v>128100</v>
          </cell>
          <cell r="C62" t="str">
            <v>NOT USED</v>
          </cell>
          <cell r="D62" t="str">
            <v>OTH SPEC FUNDS - GINNA DECOM-QUAL ASSETS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128110</v>
          </cell>
          <cell r="C63" t="str">
            <v>NOT USED</v>
          </cell>
          <cell r="D63" t="str">
            <v>OTH SPEC FUNDS - GINNA DECOM-NON QUAL ASSETS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128400</v>
          </cell>
          <cell r="C64" t="str">
            <v>Not in RTBS</v>
          </cell>
          <cell r="D64" t="str">
            <v>OTH SPEC FUNDS - RABBI TRUST</v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>
            <v>128400</v>
          </cell>
          <cell r="K64" t="str">
            <v/>
          </cell>
          <cell r="L64">
            <v>9578.5970300000008</v>
          </cell>
          <cell r="M64">
            <v>9603.0126999999993</v>
          </cell>
          <cell r="N64">
            <v>9627.4283699999996</v>
          </cell>
          <cell r="O64">
            <v>9277.5630000000001</v>
          </cell>
          <cell r="P64">
            <v>9301.9786700000004</v>
          </cell>
          <cell r="Q64">
            <v>9326.3943400000007</v>
          </cell>
          <cell r="R64">
            <v>9106.06502</v>
          </cell>
          <cell r="S64">
            <v>9130.4806900000003</v>
          </cell>
          <cell r="T64">
            <v>9154.8963600000006</v>
          </cell>
          <cell r="U64">
            <v>8996.5036600000003</v>
          </cell>
          <cell r="V64">
            <v>9045.3349999999991</v>
          </cell>
          <cell r="W64">
            <v>9069.7506699999994</v>
          </cell>
          <cell r="X64">
            <v>8783.6705500000007</v>
          </cell>
          <cell r="Y64">
            <v>9235.0451890000004</v>
          </cell>
        </row>
        <row r="65">
          <cell r="B65">
            <v>129215</v>
          </cell>
          <cell r="C65" t="str">
            <v>RTBS</v>
          </cell>
          <cell r="D65" t="str">
            <v>SPECIAL DEPOSITS - PENSION PLANS</v>
          </cell>
          <cell r="E65" t="str">
            <v/>
          </cell>
          <cell r="F65" t="str">
            <v/>
          </cell>
          <cell r="G65">
            <v>129215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131000</v>
          </cell>
          <cell r="C66" t="str">
            <v>Working Capital</v>
          </cell>
          <cell r="D66" t="str">
            <v>JPMC - AP Main</v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>
            <v>131000</v>
          </cell>
          <cell r="J66" t="str">
            <v/>
          </cell>
          <cell r="K66" t="str">
            <v/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131002</v>
          </cell>
          <cell r="C67" t="str">
            <v>Working Capital</v>
          </cell>
          <cell r="D67" t="str">
            <v>JPMC - AP Check Clearing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>
            <v>131002</v>
          </cell>
          <cell r="J67" t="str">
            <v/>
          </cell>
          <cell r="K67" t="str">
            <v/>
          </cell>
          <cell r="L67">
            <v>-778.92827</v>
          </cell>
          <cell r="M67">
            <v>-8864.3337900000006</v>
          </cell>
          <cell r="N67">
            <v>-4680.1295799999998</v>
          </cell>
          <cell r="O67">
            <v>-2655.8113600000001</v>
          </cell>
          <cell r="P67">
            <v>-1048.1086</v>
          </cell>
          <cell r="Q67">
            <v>-574.67735000000005</v>
          </cell>
          <cell r="R67">
            <v>-677.73221000000001</v>
          </cell>
          <cell r="S67">
            <v>-29357.6666</v>
          </cell>
          <cell r="T67">
            <v>-533.49771999999996</v>
          </cell>
          <cell r="U67">
            <v>-5409.5421299999998</v>
          </cell>
          <cell r="V67">
            <v>-1137.7995000000001</v>
          </cell>
          <cell r="W67">
            <v>-768.47753</v>
          </cell>
          <cell r="X67">
            <v>-4940.1577100000004</v>
          </cell>
          <cell r="Y67">
            <v>-4880.6099469999999</v>
          </cell>
        </row>
        <row r="68">
          <cell r="B68">
            <v>131010</v>
          </cell>
          <cell r="C68" t="str">
            <v>Working Capital</v>
          </cell>
          <cell r="D68" t="str">
            <v>JPMC - Concentration Mai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>
            <v>131010</v>
          </cell>
          <cell r="J68" t="str">
            <v/>
          </cell>
          <cell r="K68" t="str">
            <v/>
          </cell>
          <cell r="L68">
            <v>78.049689999999998</v>
          </cell>
          <cell r="M68">
            <v>51.678469999999997</v>
          </cell>
          <cell r="N68">
            <v>44.071210000000001</v>
          </cell>
          <cell r="O68">
            <v>386.06058000000002</v>
          </cell>
          <cell r="P68">
            <v>463.89251000000002</v>
          </cell>
          <cell r="Q68">
            <v>160.18423000000001</v>
          </cell>
          <cell r="R68">
            <v>389.88378</v>
          </cell>
          <cell r="S68">
            <v>476.74619999999999</v>
          </cell>
          <cell r="T68">
            <v>363.08670000000001</v>
          </cell>
          <cell r="U68">
            <v>431.80430000000001</v>
          </cell>
          <cell r="V68">
            <v>174.74423999999999</v>
          </cell>
          <cell r="W68">
            <v>452.10419999999999</v>
          </cell>
          <cell r="X68">
            <v>127.17307</v>
          </cell>
          <cell r="Y68">
            <v>291.40564999999998</v>
          </cell>
        </row>
        <row r="69">
          <cell r="B69">
            <v>131011</v>
          </cell>
          <cell r="C69" t="str">
            <v>Working Capital</v>
          </cell>
          <cell r="D69" t="str">
            <v>JPMC - Concentration Deposit Cle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>
            <v>131011</v>
          </cell>
          <cell r="J69" t="str">
            <v/>
          </cell>
          <cell r="K69" t="str">
            <v/>
          </cell>
          <cell r="L69">
            <v>-554.26224999999999</v>
          </cell>
          <cell r="M69">
            <v>-569.02922999999998</v>
          </cell>
          <cell r="N69">
            <v>-473.95199000000002</v>
          </cell>
          <cell r="O69">
            <v>-376.21564999999998</v>
          </cell>
          <cell r="P69">
            <v>-443.90289000000001</v>
          </cell>
          <cell r="Q69">
            <v>-356.68128000000002</v>
          </cell>
          <cell r="R69">
            <v>117.16736</v>
          </cell>
          <cell r="S69">
            <v>632.82096000000001</v>
          </cell>
          <cell r="T69">
            <v>-57.945320000000002</v>
          </cell>
          <cell r="U69">
            <v>264.24698000000001</v>
          </cell>
          <cell r="V69">
            <v>220.3672</v>
          </cell>
          <cell r="W69">
            <v>62.799340000000001</v>
          </cell>
          <cell r="X69">
            <v>72.962220000000002</v>
          </cell>
          <cell r="Y69">
            <v>-101.747878</v>
          </cell>
        </row>
        <row r="70">
          <cell r="B70">
            <v>131013</v>
          </cell>
          <cell r="C70" t="str">
            <v>Working Capital</v>
          </cell>
          <cell r="D70" t="str">
            <v>JPMC - Concen.Wire/ACH C</v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>
            <v>131013</v>
          </cell>
          <cell r="J70" t="str">
            <v/>
          </cell>
          <cell r="K70" t="str">
            <v/>
          </cell>
          <cell r="L70">
            <v>3.8407399999999998</v>
          </cell>
          <cell r="M70">
            <v>2.09111</v>
          </cell>
          <cell r="N70">
            <v>0.93198000000000003</v>
          </cell>
          <cell r="O70">
            <v>6.9322800000000004</v>
          </cell>
          <cell r="P70">
            <v>31.52919</v>
          </cell>
          <cell r="Q70">
            <v>1.3656299999999999</v>
          </cell>
          <cell r="R70">
            <v>2.58833</v>
          </cell>
          <cell r="S70">
            <v>4.3520700000000003</v>
          </cell>
          <cell r="T70">
            <v>14.75394</v>
          </cell>
          <cell r="U70">
            <v>2.0882700000000001</v>
          </cell>
          <cell r="V70">
            <v>8.0778199999999991</v>
          </cell>
          <cell r="W70">
            <v>-2106.1638600000001</v>
          </cell>
          <cell r="X70">
            <v>-60.22954</v>
          </cell>
          <cell r="Y70">
            <v>-171.637303</v>
          </cell>
        </row>
        <row r="71">
          <cell r="B71">
            <v>131030</v>
          </cell>
          <cell r="C71" t="str">
            <v>Working Capital</v>
          </cell>
          <cell r="D71" t="str">
            <v>JPMC - EFT Receipts Account</v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>
            <v>131030</v>
          </cell>
          <cell r="J71" t="str">
            <v/>
          </cell>
          <cell r="K71" t="str">
            <v/>
          </cell>
          <cell r="L71">
            <v>40.70664</v>
          </cell>
          <cell r="M71">
            <v>190.03047000000001</v>
          </cell>
          <cell r="N71">
            <v>109.23808</v>
          </cell>
          <cell r="O71">
            <v>14.64213</v>
          </cell>
          <cell r="P71">
            <v>-0.98463000000000001</v>
          </cell>
          <cell r="Q71">
            <v>55.037289999999999</v>
          </cell>
          <cell r="R71">
            <v>7.5062699999999998</v>
          </cell>
          <cell r="S71">
            <v>11.930720000000001</v>
          </cell>
          <cell r="T71">
            <v>4.6591800000000001</v>
          </cell>
          <cell r="U71">
            <v>16.068719999999999</v>
          </cell>
          <cell r="V71">
            <v>47.722450000000002</v>
          </cell>
          <cell r="W71">
            <v>6.4797500000000001</v>
          </cell>
          <cell r="X71">
            <v>18.743749999999999</v>
          </cell>
          <cell r="Y71">
            <v>41.004635</v>
          </cell>
        </row>
        <row r="72">
          <cell r="B72">
            <v>131070</v>
          </cell>
          <cell r="C72" t="str">
            <v>Working Capital</v>
          </cell>
          <cell r="D72" t="str">
            <v>JPMC - NYC Revolver Checking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>
            <v>131070</v>
          </cell>
          <cell r="J72" t="str">
            <v/>
          </cell>
          <cell r="K72" t="str">
            <v/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131081</v>
          </cell>
          <cell r="C73" t="str">
            <v>Working Capital</v>
          </cell>
          <cell r="D73" t="str">
            <v>JPMC -Refund Checking Account</v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>
            <v>131081</v>
          </cell>
          <cell r="J73" t="str">
            <v/>
          </cell>
          <cell r="K73" t="str">
            <v/>
          </cell>
          <cell r="L73">
            <v>-493.06193000000002</v>
          </cell>
          <cell r="M73">
            <v>-921.71154000000001</v>
          </cell>
          <cell r="N73">
            <v>-764.55215999999996</v>
          </cell>
          <cell r="O73">
            <v>-585.83843999999999</v>
          </cell>
          <cell r="P73">
            <v>-517.01705000000004</v>
          </cell>
          <cell r="Q73">
            <v>-487.07172000000003</v>
          </cell>
          <cell r="R73">
            <v>-505.00662</v>
          </cell>
          <cell r="S73">
            <v>-502.12588</v>
          </cell>
          <cell r="T73">
            <v>-461.24862999999999</v>
          </cell>
          <cell r="U73">
            <v>-467.83310999999998</v>
          </cell>
          <cell r="V73">
            <v>-469.24261000000001</v>
          </cell>
          <cell r="W73">
            <v>-521.97580000000005</v>
          </cell>
          <cell r="X73">
            <v>-551.68101999999999</v>
          </cell>
          <cell r="Y73">
            <v>-560.49958600000002</v>
          </cell>
        </row>
        <row r="74">
          <cell r="B74">
            <v>131083</v>
          </cell>
          <cell r="C74" t="str">
            <v>Working Capital</v>
          </cell>
          <cell r="D74" t="str">
            <v>JPMC -P.Cash Transportation Checkin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>
            <v>131083</v>
          </cell>
          <cell r="J74" t="str">
            <v/>
          </cell>
          <cell r="K74" t="str">
            <v/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131086</v>
          </cell>
          <cell r="C75" t="str">
            <v>Working Capital</v>
          </cell>
          <cell r="D75" t="str">
            <v>JPMC - P.Cash Real Estate Ac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131086</v>
          </cell>
          <cell r="J75" t="str">
            <v/>
          </cell>
          <cell r="K75" t="str">
            <v/>
          </cell>
          <cell r="L75">
            <v>2</v>
          </cell>
          <cell r="M75">
            <v>2</v>
          </cell>
          <cell r="N75">
            <v>2</v>
          </cell>
          <cell r="O75">
            <v>2</v>
          </cell>
          <cell r="P75">
            <v>2</v>
          </cell>
          <cell r="Q75">
            <v>2</v>
          </cell>
          <cell r="R75">
            <v>2</v>
          </cell>
          <cell r="S75">
            <v>1.6212500000000001</v>
          </cell>
          <cell r="T75">
            <v>1.6212500000000001</v>
          </cell>
          <cell r="U75">
            <v>1.6212500000000001</v>
          </cell>
          <cell r="V75">
            <v>0</v>
          </cell>
          <cell r="W75">
            <v>0</v>
          </cell>
          <cell r="X75">
            <v>0</v>
          </cell>
          <cell r="Y75">
            <v>1.4886459999999999</v>
          </cell>
        </row>
        <row r="76">
          <cell r="B76">
            <v>131087</v>
          </cell>
          <cell r="C76" t="str">
            <v>Working Capital</v>
          </cell>
          <cell r="D76" t="str">
            <v>JPMC -GINNA REFUND CHECKING ACCOUNT</v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>
            <v>131087</v>
          </cell>
          <cell r="J76" t="str">
            <v/>
          </cell>
          <cell r="K76" t="str">
            <v/>
          </cell>
          <cell r="L76">
            <v>-798.99279999999999</v>
          </cell>
          <cell r="M76">
            <v>-798.99279999999999</v>
          </cell>
          <cell r="N76">
            <v>-798.99279999999999</v>
          </cell>
          <cell r="O76">
            <v>-798.99279999999999</v>
          </cell>
          <cell r="P76">
            <v>-798.99279999999999</v>
          </cell>
          <cell r="Q76">
            <v>-798.99279999999999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-366.20503300000001</v>
          </cell>
        </row>
        <row r="77">
          <cell r="B77">
            <v>131090</v>
          </cell>
          <cell r="C77" t="str">
            <v>Working Capital</v>
          </cell>
          <cell r="D77" t="str">
            <v>JPMC -Auto Bill Payment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>
            <v>131090</v>
          </cell>
          <cell r="J77" t="str">
            <v/>
          </cell>
          <cell r="K77" t="str">
            <v/>
          </cell>
          <cell r="L77">
            <v>-889.43863999999996</v>
          </cell>
          <cell r="M77">
            <v>379.91394000000003</v>
          </cell>
          <cell r="N77">
            <v>391.59352999999999</v>
          </cell>
          <cell r="O77">
            <v>0.76007999999999998</v>
          </cell>
          <cell r="P77">
            <v>5.7962100000000003</v>
          </cell>
          <cell r="Q77">
            <v>510.70853</v>
          </cell>
          <cell r="R77">
            <v>-0.12634999999999999</v>
          </cell>
          <cell r="S77">
            <v>5.35318</v>
          </cell>
          <cell r="T77">
            <v>0.1216</v>
          </cell>
          <cell r="U77">
            <v>-0.33478000000000002</v>
          </cell>
          <cell r="V77">
            <v>270.69236000000001</v>
          </cell>
          <cell r="W77">
            <v>-0.10443</v>
          </cell>
          <cell r="X77">
            <v>4.4436200000000001</v>
          </cell>
          <cell r="Y77">
            <v>93.489697000000007</v>
          </cell>
        </row>
        <row r="78">
          <cell r="B78">
            <v>131091</v>
          </cell>
          <cell r="C78" t="str">
            <v>Working Capital</v>
          </cell>
          <cell r="D78" t="str">
            <v>JPMC -Damage Claim Acc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>
            <v>131091</v>
          </cell>
          <cell r="J78" t="str">
            <v/>
          </cell>
          <cell r="K78" t="str">
            <v/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>
            <v>131131</v>
          </cell>
          <cell r="C79" t="str">
            <v>Working Capital</v>
          </cell>
          <cell r="D79" t="str">
            <v>Fleet - Remittance Account</v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>
            <v>131131</v>
          </cell>
          <cell r="J79" t="str">
            <v/>
          </cell>
          <cell r="K79" t="str">
            <v/>
          </cell>
          <cell r="L79">
            <v>2918.9909899999998</v>
          </cell>
          <cell r="M79">
            <v>6536.2425999999996</v>
          </cell>
          <cell r="N79">
            <v>6302.0103799999997</v>
          </cell>
          <cell r="O79">
            <v>3070.4315900000001</v>
          </cell>
          <cell r="P79">
            <v>5151.6943499999998</v>
          </cell>
          <cell r="Q79">
            <v>6421.6150699999998</v>
          </cell>
          <cell r="R79">
            <v>4041.1941099999999</v>
          </cell>
          <cell r="S79">
            <v>5901.5925800000005</v>
          </cell>
          <cell r="T79">
            <v>324.32177999999999</v>
          </cell>
          <cell r="U79">
            <v>2377.1995200000001</v>
          </cell>
          <cell r="V79">
            <v>4748.4394300000004</v>
          </cell>
          <cell r="W79">
            <v>2146.8881500000002</v>
          </cell>
          <cell r="X79">
            <v>3219.37201</v>
          </cell>
          <cell r="Y79">
            <v>4174.2342550000003</v>
          </cell>
        </row>
        <row r="80">
          <cell r="B80">
            <v>131132</v>
          </cell>
          <cell r="C80" t="str">
            <v>Working Capital</v>
          </cell>
          <cell r="D80" t="str">
            <v>Fleet - Petty Cash Ginna Chec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>
            <v>131132</v>
          </cell>
          <cell r="J80" t="str">
            <v/>
          </cell>
          <cell r="K80" t="str">
            <v/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131162</v>
          </cell>
          <cell r="C81" t="str">
            <v>Working Capital</v>
          </cell>
          <cell r="D81" t="str">
            <v>Fleet - Comon Stock Dividend Checki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>
            <v>131162</v>
          </cell>
          <cell r="J81" t="str">
            <v/>
          </cell>
          <cell r="K81" t="str">
            <v/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B82">
            <v>131400</v>
          </cell>
          <cell r="C82" t="str">
            <v>Working Capital</v>
          </cell>
          <cell r="D82" t="str">
            <v>BoNY- Disbursement Acco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>
            <v>131400</v>
          </cell>
          <cell r="J82" t="str">
            <v/>
          </cell>
          <cell r="K82" t="str">
            <v/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131405</v>
          </cell>
          <cell r="C83" t="str">
            <v>Working Capital</v>
          </cell>
          <cell r="D83" t="str">
            <v>Deutsche Bk - Trustee Disb</v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>
            <v>131405</v>
          </cell>
          <cell r="J83" t="str">
            <v/>
          </cell>
          <cell r="K83" t="str">
            <v/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131500</v>
          </cell>
          <cell r="C84" t="str">
            <v>Working Capital</v>
          </cell>
          <cell r="D84" t="str">
            <v>Key Bk - Depository Acc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>
            <v>131500</v>
          </cell>
          <cell r="J84" t="str">
            <v/>
          </cell>
          <cell r="K84" t="str">
            <v/>
          </cell>
          <cell r="L84">
            <v>21.538499999999999</v>
          </cell>
          <cell r="M84">
            <v>52.023589999999999</v>
          </cell>
          <cell r="N84">
            <v>37.720100000000002</v>
          </cell>
          <cell r="O84">
            <v>43.80153</v>
          </cell>
          <cell r="P84">
            <v>253.44757000000001</v>
          </cell>
          <cell r="Q84">
            <v>460.34607999999997</v>
          </cell>
          <cell r="R84">
            <v>210.60729000000001</v>
          </cell>
          <cell r="S84">
            <v>28.674630000000001</v>
          </cell>
          <cell r="T84">
            <v>189.35168999999999</v>
          </cell>
          <cell r="U84">
            <v>323.58656999999999</v>
          </cell>
          <cell r="V84">
            <v>23.20646</v>
          </cell>
          <cell r="W84">
            <v>0</v>
          </cell>
          <cell r="X84">
            <v>0</v>
          </cell>
          <cell r="Y84">
            <v>136.12789699999999</v>
          </cell>
        </row>
        <row r="85">
          <cell r="B85">
            <v>131510</v>
          </cell>
          <cell r="C85" t="str">
            <v>Working Capital</v>
          </cell>
          <cell r="D85" t="str">
            <v>CENTURY - DEPOSITORY ACCOUNT</v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>
            <v>131510</v>
          </cell>
          <cell r="J85" t="str">
            <v/>
          </cell>
          <cell r="K85" t="str">
            <v/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131562</v>
          </cell>
          <cell r="C86" t="str">
            <v>Working Capital</v>
          </cell>
          <cell r="D86" t="str">
            <v>NB of Savannah - Depository Ac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>
            <v>131562</v>
          </cell>
          <cell r="J86" t="str">
            <v/>
          </cell>
          <cell r="K86" t="str">
            <v/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131605</v>
          </cell>
          <cell r="C87" t="str">
            <v>Working Capital</v>
          </cell>
          <cell r="D87" t="str">
            <v>Wyoming County Bank - Depository Account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>
            <v>131605</v>
          </cell>
          <cell r="J87" t="str">
            <v/>
          </cell>
          <cell r="K87" t="str">
            <v/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B88">
            <v>131620</v>
          </cell>
          <cell r="C88" t="str">
            <v>Working Capital</v>
          </cell>
          <cell r="D88" t="str">
            <v>Community Bk -Depository A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>
            <v>131620</v>
          </cell>
          <cell r="J88" t="str">
            <v/>
          </cell>
          <cell r="K88" t="str">
            <v/>
          </cell>
          <cell r="L88">
            <v>14.170970000000001</v>
          </cell>
          <cell r="M88">
            <v>20.974150000000002</v>
          </cell>
          <cell r="N88">
            <v>20.58709</v>
          </cell>
          <cell r="O88">
            <v>15.65945</v>
          </cell>
          <cell r="P88">
            <v>154.09962999999999</v>
          </cell>
          <cell r="Q88">
            <v>296.98012999999997</v>
          </cell>
          <cell r="R88">
            <v>169.06216000000001</v>
          </cell>
          <cell r="S88">
            <v>22.856100000000001</v>
          </cell>
          <cell r="T88">
            <v>177.30582000000001</v>
          </cell>
          <cell r="U88">
            <v>360.02048000000002</v>
          </cell>
          <cell r="V88">
            <v>50.478490000000001</v>
          </cell>
          <cell r="W88">
            <v>73.20693</v>
          </cell>
          <cell r="X88">
            <v>375.29516000000001</v>
          </cell>
          <cell r="Y88">
            <v>129.663625</v>
          </cell>
        </row>
        <row r="89">
          <cell r="B89">
            <v>131625</v>
          </cell>
          <cell r="C89" t="str">
            <v>Working Capital</v>
          </cell>
          <cell r="D89" t="str">
            <v>HSBC - Depository Acco</v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>
            <v>131625</v>
          </cell>
          <cell r="J89" t="str">
            <v/>
          </cell>
          <cell r="K89" t="str">
            <v/>
          </cell>
          <cell r="L89">
            <v>586.66525000000001</v>
          </cell>
          <cell r="M89">
            <v>1498.1119200000001</v>
          </cell>
          <cell r="N89">
            <v>2063.6180300000001</v>
          </cell>
          <cell r="O89">
            <v>848.78339000000005</v>
          </cell>
          <cell r="P89">
            <v>1233.0187699999999</v>
          </cell>
          <cell r="Q89">
            <v>713.80767000000003</v>
          </cell>
          <cell r="R89">
            <v>142.90574000000001</v>
          </cell>
          <cell r="S89">
            <v>368.94492000000002</v>
          </cell>
          <cell r="T89">
            <v>96.792029999999997</v>
          </cell>
          <cell r="U89">
            <v>99.156530000000004</v>
          </cell>
          <cell r="V89">
            <v>174.68418</v>
          </cell>
          <cell r="W89">
            <v>578.61032</v>
          </cell>
          <cell r="X89">
            <v>384.19913000000003</v>
          </cell>
          <cell r="Y89">
            <v>691.98880799999995</v>
          </cell>
        </row>
        <row r="90">
          <cell r="B90">
            <v>131641</v>
          </cell>
          <cell r="C90" t="str">
            <v>Working Capital</v>
          </cell>
          <cell r="D90" t="str">
            <v>CONTRA CASH TO 134481 SPECIAL DEPOSITS</v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>
            <v>131641</v>
          </cell>
          <cell r="J90" t="str">
            <v/>
          </cell>
          <cell r="K90" t="str">
            <v/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B91">
            <v>131782</v>
          </cell>
          <cell r="C91" t="str">
            <v>Working Capital</v>
          </cell>
          <cell r="D91" t="str">
            <v>JPMC - CCS REFUND CHECKING ACCOUNT-CLEARING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>
            <v>131782</v>
          </cell>
          <cell r="J91" t="str">
            <v/>
          </cell>
          <cell r="K91" t="str">
            <v/>
          </cell>
          <cell r="L91">
            <v>-99.395859999999999</v>
          </cell>
          <cell r="M91">
            <v>-93.886529999999993</v>
          </cell>
          <cell r="N91">
            <v>-118.29841</v>
          </cell>
          <cell r="O91">
            <v>-118.57743000000001</v>
          </cell>
          <cell r="P91">
            <v>-115.36133</v>
          </cell>
          <cell r="Q91">
            <v>-89.631479999999996</v>
          </cell>
          <cell r="R91">
            <v>-115.18167</v>
          </cell>
          <cell r="S91">
            <v>-120.00979</v>
          </cell>
          <cell r="T91">
            <v>-118.59228</v>
          </cell>
          <cell r="U91">
            <v>-119.25913</v>
          </cell>
          <cell r="V91">
            <v>-114.01531</v>
          </cell>
          <cell r="W91">
            <v>-114.07187999999999</v>
          </cell>
          <cell r="X91">
            <v>-124.64154000000001</v>
          </cell>
          <cell r="Y91">
            <v>-112.40866200000001</v>
          </cell>
        </row>
        <row r="92">
          <cell r="B92">
            <v>131990</v>
          </cell>
          <cell r="C92" t="str">
            <v>Working Capital</v>
          </cell>
          <cell r="D92" t="str">
            <v>RECLASS - CASH (WITH ACCOUNT 131991)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>
            <v>131990</v>
          </cell>
          <cell r="J92" t="str">
            <v/>
          </cell>
          <cell r="K92" t="str">
            <v/>
          </cell>
          <cell r="L92">
            <v>3489.4826800000001</v>
          </cell>
          <cell r="M92">
            <v>10622.2399</v>
          </cell>
          <cell r="N92">
            <v>6288.0901400000002</v>
          </cell>
          <cell r="O92">
            <v>4125.04061</v>
          </cell>
          <cell r="P92">
            <v>2421.14939</v>
          </cell>
          <cell r="Q92">
            <v>1577.7589499999999</v>
          </cell>
          <cell r="R92">
            <v>778.90111000000002</v>
          </cell>
          <cell r="S92">
            <v>28846.977889999998</v>
          </cell>
          <cell r="T92">
            <v>690.24924999999996</v>
          </cell>
          <cell r="U92">
            <v>5181.9831000000004</v>
          </cell>
          <cell r="V92">
            <v>6941.8982999999998</v>
          </cell>
          <cell r="W92">
            <v>2410.7998899999998</v>
          </cell>
          <cell r="X92">
            <v>5506.6880199999996</v>
          </cell>
          <cell r="Y92">
            <v>6198.5978230000001</v>
          </cell>
        </row>
        <row r="93">
          <cell r="B93">
            <v>131991</v>
          </cell>
          <cell r="C93" t="str">
            <v>Working Capital</v>
          </cell>
          <cell r="D93" t="str">
            <v>RECLASS - CASH (WITH ACCOUNT 131990)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>
            <v>131991</v>
          </cell>
          <cell r="J93" t="str">
            <v/>
          </cell>
          <cell r="K93" t="str">
            <v/>
          </cell>
          <cell r="L93">
            <v>-3489.4826800000001</v>
          </cell>
          <cell r="M93">
            <v>-10622.2399</v>
          </cell>
          <cell r="N93">
            <v>-6288.0901400000002</v>
          </cell>
          <cell r="O93">
            <v>-4125.04061</v>
          </cell>
          <cell r="P93">
            <v>-2421.14939</v>
          </cell>
          <cell r="Q93">
            <v>-1577.7589499999999</v>
          </cell>
          <cell r="R93">
            <v>-778.90111000000002</v>
          </cell>
          <cell r="S93">
            <v>-28846.977889999998</v>
          </cell>
          <cell r="T93">
            <v>-690.24924999999996</v>
          </cell>
          <cell r="U93">
            <v>-5181.9831000000004</v>
          </cell>
          <cell r="V93">
            <v>-6941.8982999999998</v>
          </cell>
          <cell r="W93">
            <v>-2410.7998899999998</v>
          </cell>
          <cell r="X93">
            <v>-5506.6880199999996</v>
          </cell>
          <cell r="Y93">
            <v>-6198.5978230000001</v>
          </cell>
        </row>
        <row r="94">
          <cell r="B94">
            <v>134300</v>
          </cell>
          <cell r="C94" t="str">
            <v>Working Capital</v>
          </cell>
          <cell r="D94" t="str">
            <v>OTHER SPECIAL DEPOSITS - BANKERS TRUST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>
            <v>134300</v>
          </cell>
          <cell r="J94" t="str">
            <v/>
          </cell>
          <cell r="K94" t="str">
            <v/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134481</v>
          </cell>
          <cell r="C95" t="str">
            <v>Working Capital</v>
          </cell>
          <cell r="D95" t="str">
            <v>OTH SPEC DEP -HESS COLLATERAL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>
            <v>134481</v>
          </cell>
          <cell r="J95" t="str">
            <v/>
          </cell>
          <cell r="K95" t="str">
            <v/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135000</v>
          </cell>
          <cell r="C96" t="str">
            <v>Working Capital</v>
          </cell>
          <cell r="D96" t="str">
            <v>WORKING FUNDS - REGULAR</v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>
            <v>135000</v>
          </cell>
          <cell r="J96" t="str">
            <v/>
          </cell>
          <cell r="K96" t="str">
            <v/>
          </cell>
          <cell r="L96">
            <v>16.149999999999999</v>
          </cell>
          <cell r="M96">
            <v>16.149999999999999</v>
          </cell>
          <cell r="N96">
            <v>16.149999999999999</v>
          </cell>
          <cell r="O96">
            <v>16.149999999999999</v>
          </cell>
          <cell r="P96">
            <v>16.149999999999999</v>
          </cell>
          <cell r="Q96">
            <v>16.149999999999999</v>
          </cell>
          <cell r="R96">
            <v>16.149999999999999</v>
          </cell>
          <cell r="S96">
            <v>16.149999999999999</v>
          </cell>
          <cell r="T96">
            <v>15.95</v>
          </cell>
          <cell r="U96">
            <v>16.149999999999999</v>
          </cell>
          <cell r="V96">
            <v>16.149999999999999</v>
          </cell>
          <cell r="W96">
            <v>16.149999999999999</v>
          </cell>
          <cell r="X96">
            <v>16.149999999999999</v>
          </cell>
          <cell r="Y96">
            <v>16.133333</v>
          </cell>
        </row>
        <row r="97">
          <cell r="B97">
            <v>135011</v>
          </cell>
          <cell r="C97" t="str">
            <v>Working Capital</v>
          </cell>
          <cell r="D97" t="str">
            <v>WORKING FUNDS - BEGINNING BALANCE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>
            <v>135011</v>
          </cell>
          <cell r="J97" t="str">
            <v/>
          </cell>
          <cell r="K97" t="str">
            <v/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135200</v>
          </cell>
          <cell r="C98" t="str">
            <v>Working Capital</v>
          </cell>
          <cell r="D98" t="str">
            <v>WORKING FUNDS - NINE MILE # 2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>
            <v>135200</v>
          </cell>
          <cell r="J98" t="str">
            <v/>
          </cell>
          <cell r="K98" t="str">
            <v/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135500</v>
          </cell>
          <cell r="C99" t="str">
            <v>Working Capital</v>
          </cell>
          <cell r="D99" t="str">
            <v>WORKING FUNDS - NY ISO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>
            <v>135500</v>
          </cell>
          <cell r="J99" t="str">
            <v/>
          </cell>
          <cell r="K99" t="str">
            <v/>
          </cell>
          <cell r="L99">
            <v>402.70398999999998</v>
          </cell>
          <cell r="M99">
            <v>372.31220000000002</v>
          </cell>
          <cell r="N99">
            <v>372.32965999999999</v>
          </cell>
          <cell r="O99">
            <v>372.34539999999998</v>
          </cell>
          <cell r="P99">
            <v>372.35786000000002</v>
          </cell>
          <cell r="Q99">
            <v>372.37209000000001</v>
          </cell>
          <cell r="R99">
            <v>372.38643999999999</v>
          </cell>
          <cell r="S99">
            <v>372.40375</v>
          </cell>
          <cell r="T99">
            <v>372.43056000000001</v>
          </cell>
          <cell r="U99">
            <v>372.44778000000002</v>
          </cell>
          <cell r="V99">
            <v>372.46683000000002</v>
          </cell>
          <cell r="W99">
            <v>264.73487999999998</v>
          </cell>
          <cell r="X99">
            <v>264.75358999999997</v>
          </cell>
          <cell r="Y99">
            <v>360.19301999999999</v>
          </cell>
        </row>
        <row r="100">
          <cell r="B100">
            <v>136000</v>
          </cell>
          <cell r="C100" t="str">
            <v>Not in RTBS</v>
          </cell>
          <cell r="D100" t="str">
            <v>TEMPORARY CASH INVESTMENTS-UNDER 90 DAYS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>
            <v>136000</v>
          </cell>
          <cell r="K100" t="str">
            <v/>
          </cell>
          <cell r="L100">
            <v>34900.000999999997</v>
          </cell>
          <cell r="M100">
            <v>23340.001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74000</v>
          </cell>
          <cell r="T100">
            <v>59597.854169999999</v>
          </cell>
          <cell r="U100">
            <v>26998.670849999999</v>
          </cell>
          <cell r="V100">
            <v>30600.748609999999</v>
          </cell>
          <cell r="W100">
            <v>49347.664420000001</v>
          </cell>
          <cell r="X100">
            <v>37192.359669999998</v>
          </cell>
          <cell r="Y100">
            <v>24994.259948999999</v>
          </cell>
        </row>
        <row r="101">
          <cell r="B101">
            <v>136990</v>
          </cell>
          <cell r="C101" t="str">
            <v>Not in RTBS</v>
          </cell>
          <cell r="D101" t="str">
            <v>AUCTION RATE SECURITIES RECLASS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>
            <v>136990</v>
          </cell>
          <cell r="K101" t="str">
            <v/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136991</v>
          </cell>
          <cell r="C102" t="str">
            <v>Not in RTBS</v>
          </cell>
          <cell r="D102" t="str">
            <v>AUCTION RATE SECURITIES RECLASS (DEBIT)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>
            <v>136991</v>
          </cell>
          <cell r="K102" t="str">
            <v/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136992</v>
          </cell>
          <cell r="C103" t="str">
            <v>Not in RTBS</v>
          </cell>
          <cell r="D103" t="str">
            <v>RECLASS TCI TO MARKETABLE SECURITIES (WITH 224992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>
            <v>136992</v>
          </cell>
          <cell r="K103" t="str">
            <v/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142010</v>
          </cell>
          <cell r="C104" t="str">
            <v>Working Capital</v>
          </cell>
          <cell r="D104" t="str">
            <v>A/R - CUSTOMER (CCS)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>
            <v>142010</v>
          </cell>
          <cell r="J104" t="str">
            <v/>
          </cell>
          <cell r="K104" t="str">
            <v/>
          </cell>
          <cell r="L104">
            <v>115485.62153999999</v>
          </cell>
          <cell r="M104">
            <v>143885.51655999999</v>
          </cell>
          <cell r="N104">
            <v>158517.91485999999</v>
          </cell>
          <cell r="O104">
            <v>142929.63524</v>
          </cell>
          <cell r="P104">
            <v>141510.03604000001</v>
          </cell>
          <cell r="Q104">
            <v>129767.91731999999</v>
          </cell>
          <cell r="R104">
            <v>124032.87317000001</v>
          </cell>
          <cell r="S104">
            <v>127160.91176</v>
          </cell>
          <cell r="T104">
            <v>122607.38948</v>
          </cell>
          <cell r="U104">
            <v>117453.90579</v>
          </cell>
          <cell r="V104">
            <v>108784.82798</v>
          </cell>
          <cell r="W104">
            <v>108440.14056</v>
          </cell>
          <cell r="X104">
            <v>114610.43973</v>
          </cell>
          <cell r="Y104">
            <v>128344.92495</v>
          </cell>
        </row>
        <row r="105">
          <cell r="B105">
            <v>142100</v>
          </cell>
          <cell r="C105" t="str">
            <v>Working Capital</v>
          </cell>
          <cell r="D105" t="str">
            <v>CUSTOMER A/R - REGULAR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>
            <v>142100</v>
          </cell>
          <cell r="J105" t="str">
            <v/>
          </cell>
          <cell r="K105" t="str">
            <v/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142110</v>
          </cell>
          <cell r="C106" t="str">
            <v>Working Capital</v>
          </cell>
          <cell r="D106" t="str">
            <v>CUSTOMER A/R - BUDGET PAY'T ACCTING ADJS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>
            <v>142110</v>
          </cell>
          <cell r="J106" t="str">
            <v/>
          </cell>
          <cell r="K106" t="str">
            <v/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142120</v>
          </cell>
          <cell r="C107" t="str">
            <v>Working Capital</v>
          </cell>
          <cell r="D107" t="str">
            <v>CUSTOMER A/R - CUSTOMER DEPOSITS BILLED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>
            <v>142120</v>
          </cell>
          <cell r="J107" t="str">
            <v/>
          </cell>
          <cell r="K107" t="str">
            <v/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142190</v>
          </cell>
          <cell r="C108" t="str">
            <v>Working Capital</v>
          </cell>
          <cell r="D108" t="str">
            <v>CUSTOMER A/R -UNAPPLIED CASH RECEIPTS</v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>
            <v>142190</v>
          </cell>
          <cell r="J108" t="str">
            <v/>
          </cell>
          <cell r="K108" t="str">
            <v/>
          </cell>
          <cell r="L108">
            <v>-784.87606000000005</v>
          </cell>
          <cell r="M108">
            <v>-113.16370999999999</v>
          </cell>
          <cell r="N108">
            <v>19.399470000000001</v>
          </cell>
          <cell r="O108">
            <v>9.2886900000000008</v>
          </cell>
          <cell r="P108">
            <v>52.326039999999999</v>
          </cell>
          <cell r="Q108">
            <v>25.792490000000001</v>
          </cell>
          <cell r="R108">
            <v>-32.042720000000003</v>
          </cell>
          <cell r="S108">
            <v>5.6686300000000003</v>
          </cell>
          <cell r="T108">
            <v>0.23182</v>
          </cell>
          <cell r="U108">
            <v>10.69257</v>
          </cell>
          <cell r="V108">
            <v>73.717770000000002</v>
          </cell>
          <cell r="W108">
            <v>57.106830000000002</v>
          </cell>
          <cell r="X108">
            <v>-251.29626999999999</v>
          </cell>
          <cell r="Y108">
            <v>-34.089024000000002</v>
          </cell>
        </row>
        <row r="109">
          <cell r="B109">
            <v>142200</v>
          </cell>
          <cell r="C109" t="str">
            <v>Working Capital</v>
          </cell>
          <cell r="D109" t="str">
            <v>CUSTOMER A/R - MISCELLANEOUS</v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>
            <v>142200</v>
          </cell>
          <cell r="J109" t="str">
            <v/>
          </cell>
          <cell r="K109" t="str">
            <v/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142220</v>
          </cell>
          <cell r="C110" t="str">
            <v>Working Capital</v>
          </cell>
          <cell r="D110" t="str">
            <v>CUSTOMER A/R -GAS OFF SYSTEM</v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>
            <v>142220</v>
          </cell>
          <cell r="J110" t="str">
            <v/>
          </cell>
          <cell r="K110" t="str">
            <v/>
          </cell>
          <cell r="L110">
            <v>1430.0201</v>
          </cell>
          <cell r="M110">
            <v>288.65800000000002</v>
          </cell>
          <cell r="N110">
            <v>221.06988999999999</v>
          </cell>
          <cell r="O110">
            <v>301.19499999999999</v>
          </cell>
          <cell r="P110">
            <v>0</v>
          </cell>
          <cell r="Q110">
            <v>409.07589999999999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16.55</v>
          </cell>
          <cell r="X110">
            <v>0</v>
          </cell>
          <cell r="Y110">
            <v>162.62990300000001</v>
          </cell>
        </row>
        <row r="111">
          <cell r="B111">
            <v>142240</v>
          </cell>
          <cell r="C111" t="str">
            <v>Working Capital</v>
          </cell>
          <cell r="D111" t="str">
            <v>CUSTOMER A/R -OTH</v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>
            <v>142240</v>
          </cell>
          <cell r="J111" t="str">
            <v/>
          </cell>
          <cell r="K111" t="str">
            <v/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>
            <v>142250</v>
          </cell>
          <cell r="C112" t="str">
            <v>Working Capital</v>
          </cell>
          <cell r="D112" t="str">
            <v>CUSTOMER A/R -3RD PARTY PROVIDERS</v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>
            <v>142250</v>
          </cell>
          <cell r="J112" t="str">
            <v/>
          </cell>
          <cell r="K112" t="str">
            <v/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</row>
        <row r="113">
          <cell r="B113">
            <v>142300</v>
          </cell>
          <cell r="C113" t="str">
            <v>Working Capital</v>
          </cell>
          <cell r="D113" t="str">
            <v>CUSTOMER A/R - WHOLESALE TO OTH ELEC UTILITIES</v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>
            <v>142300</v>
          </cell>
          <cell r="J113" t="str">
            <v/>
          </cell>
          <cell r="K113" t="str">
            <v/>
          </cell>
          <cell r="L113">
            <v>15126.176020000001</v>
          </cell>
          <cell r="M113">
            <v>13318.24798</v>
          </cell>
          <cell r="N113">
            <v>10230.0699</v>
          </cell>
          <cell r="O113">
            <v>11033.07206</v>
          </cell>
          <cell r="P113">
            <v>9276.4927900000002</v>
          </cell>
          <cell r="Q113">
            <v>1068.5054399999999</v>
          </cell>
          <cell r="R113">
            <v>5988.7637299999997</v>
          </cell>
          <cell r="S113">
            <v>10871.397000000001</v>
          </cell>
          <cell r="T113">
            <v>8281.5526399999999</v>
          </cell>
          <cell r="U113">
            <v>15029.23207</v>
          </cell>
          <cell r="V113">
            <v>6742.99712</v>
          </cell>
          <cell r="W113">
            <v>4938.2122499999996</v>
          </cell>
          <cell r="X113">
            <v>2280.7758699999999</v>
          </cell>
          <cell r="Y113">
            <v>8790.1682440000004</v>
          </cell>
        </row>
        <row r="114">
          <cell r="B114">
            <v>142400</v>
          </cell>
          <cell r="C114" t="str">
            <v>Working Capital</v>
          </cell>
          <cell r="D114" t="str">
            <v>CUSTOMER A/R - PURCHASED GAS</v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>
            <v>142400</v>
          </cell>
          <cell r="J114" t="str">
            <v/>
          </cell>
          <cell r="K114" t="str">
            <v/>
          </cell>
          <cell r="L114">
            <v>0</v>
          </cell>
          <cell r="M114">
            <v>0</v>
          </cell>
          <cell r="N114">
            <v>3.9295100000000001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2.614E-2</v>
          </cell>
          <cell r="W114">
            <v>0</v>
          </cell>
          <cell r="X114">
            <v>0</v>
          </cell>
          <cell r="Y114">
            <v>0.32963799999999999</v>
          </cell>
        </row>
        <row r="115">
          <cell r="B115">
            <v>142500</v>
          </cell>
          <cell r="C115" t="str">
            <v>Working Capital</v>
          </cell>
          <cell r="D115" t="str">
            <v>CUSTOMER A/R-REMITTANCE CONTROL</v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>
            <v>142500</v>
          </cell>
          <cell r="J115" t="str">
            <v/>
          </cell>
          <cell r="K115" t="str">
            <v/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10.929169999999999</v>
          </cell>
          <cell r="W115">
            <v>-2.05307</v>
          </cell>
          <cell r="X115">
            <v>0.10310999999999999</v>
          </cell>
          <cell r="Y115">
            <v>0.74397100000000005</v>
          </cell>
        </row>
        <row r="116">
          <cell r="B116">
            <v>142505</v>
          </cell>
          <cell r="C116" t="str">
            <v>Working Capital</v>
          </cell>
          <cell r="D116" t="str">
            <v>WMS/SD CASH CLEARING</v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>
            <v>142505</v>
          </cell>
          <cell r="J116" t="str">
            <v/>
          </cell>
          <cell r="K116" t="str">
            <v/>
          </cell>
          <cell r="L116">
            <v>0</v>
          </cell>
          <cell r="M116">
            <v>0</v>
          </cell>
          <cell r="N116">
            <v>0.31340000000000001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-0.21726000000000001</v>
          </cell>
          <cell r="V116">
            <v>0</v>
          </cell>
          <cell r="W116">
            <v>-0.36199999999999999</v>
          </cell>
          <cell r="X116">
            <v>0.05</v>
          </cell>
          <cell r="Y116">
            <v>-2.0072E-2</v>
          </cell>
        </row>
        <row r="117">
          <cell r="B117">
            <v>142515</v>
          </cell>
          <cell r="C117" t="str">
            <v>Working Capital</v>
          </cell>
          <cell r="D117" t="str">
            <v>DSS/HEAP PAYMENT CLEARING</v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142515</v>
          </cell>
          <cell r="J117" t="str">
            <v/>
          </cell>
          <cell r="K117" t="str">
            <v/>
          </cell>
          <cell r="L117">
            <v>1213.8524199999999</v>
          </cell>
          <cell r="M117">
            <v>1735.3289299999999</v>
          </cell>
          <cell r="N117">
            <v>1878.91254</v>
          </cell>
          <cell r="O117">
            <v>2795.6252500000001</v>
          </cell>
          <cell r="P117">
            <v>3383.8748599999999</v>
          </cell>
          <cell r="Q117">
            <v>2540.2029900000002</v>
          </cell>
          <cell r="R117">
            <v>1309.87787</v>
          </cell>
          <cell r="S117">
            <v>1236.9119000000001</v>
          </cell>
          <cell r="T117">
            <v>1146.8379</v>
          </cell>
          <cell r="U117">
            <v>759.96579999999994</v>
          </cell>
          <cell r="V117">
            <v>629.73218999999995</v>
          </cell>
          <cell r="W117">
            <v>907.92652999999996</v>
          </cell>
          <cell r="X117">
            <v>677.33142999999995</v>
          </cell>
          <cell r="Y117">
            <v>1605.8990570000001</v>
          </cell>
        </row>
        <row r="118">
          <cell r="B118">
            <v>142520</v>
          </cell>
          <cell r="C118" t="str">
            <v>Working Capital</v>
          </cell>
          <cell r="D118" t="str">
            <v>CCS CHANGE DRAWER CLEARING CONTROL</v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>
            <v>142520</v>
          </cell>
          <cell r="J118" t="str">
            <v/>
          </cell>
          <cell r="K118" t="str">
            <v/>
          </cell>
          <cell r="L118">
            <v>5.6</v>
          </cell>
          <cell r="M118">
            <v>5.6</v>
          </cell>
          <cell r="N118">
            <v>5.6</v>
          </cell>
          <cell r="O118">
            <v>5.6</v>
          </cell>
          <cell r="P118">
            <v>5.6</v>
          </cell>
          <cell r="Q118">
            <v>5.6</v>
          </cell>
          <cell r="R118">
            <v>5.6</v>
          </cell>
          <cell r="S118">
            <v>5.6</v>
          </cell>
          <cell r="T118">
            <v>5.6</v>
          </cell>
          <cell r="U118">
            <v>5.6</v>
          </cell>
          <cell r="V118">
            <v>5.6</v>
          </cell>
          <cell r="W118">
            <v>5.6</v>
          </cell>
          <cell r="X118">
            <v>5.6</v>
          </cell>
          <cell r="Y118">
            <v>5.6</v>
          </cell>
        </row>
        <row r="119">
          <cell r="B119">
            <v>143000</v>
          </cell>
          <cell r="C119" t="str">
            <v>Working Capital</v>
          </cell>
          <cell r="D119" t="str">
            <v>OTHER ACCTS/RECEIVABLE</v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>
            <v>143000</v>
          </cell>
          <cell r="J119" t="str">
            <v/>
          </cell>
          <cell r="K119" t="str">
            <v/>
          </cell>
          <cell r="L119">
            <v>1948.0454099999999</v>
          </cell>
          <cell r="M119">
            <v>1922.5829799999999</v>
          </cell>
          <cell r="N119">
            <v>2327.9073800000001</v>
          </cell>
          <cell r="O119">
            <v>2065.3148099999999</v>
          </cell>
          <cell r="P119">
            <v>1934.63581</v>
          </cell>
          <cell r="Q119">
            <v>1993.51812</v>
          </cell>
          <cell r="R119">
            <v>1700.7039299999999</v>
          </cell>
          <cell r="S119">
            <v>2238.7676700000002</v>
          </cell>
          <cell r="T119">
            <v>2003.5982300000001</v>
          </cell>
          <cell r="U119">
            <v>1935.0142900000001</v>
          </cell>
          <cell r="V119">
            <v>1129.8156100000001</v>
          </cell>
          <cell r="W119">
            <v>1255.69613</v>
          </cell>
          <cell r="X119">
            <v>1380.87743</v>
          </cell>
          <cell r="Y119">
            <v>1847.668032</v>
          </cell>
        </row>
        <row r="120">
          <cell r="B120">
            <v>143005</v>
          </cell>
          <cell r="C120" t="str">
            <v>Working Capital</v>
          </cell>
          <cell r="D120" t="str">
            <v>ACCOUNTS RECEIVABLE ACCRUALS - MISCELLANEOUS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>
            <v>143005</v>
          </cell>
          <cell r="J120" t="str">
            <v/>
          </cell>
          <cell r="K120" t="str">
            <v/>
          </cell>
          <cell r="L120">
            <v>14533.2155</v>
          </cell>
          <cell r="M120">
            <v>10652.509819999999</v>
          </cell>
          <cell r="N120">
            <v>8155.07701</v>
          </cell>
          <cell r="O120">
            <v>7994.63598</v>
          </cell>
          <cell r="P120">
            <v>7178.7312899999997</v>
          </cell>
          <cell r="Q120">
            <v>7218.4342299999998</v>
          </cell>
          <cell r="R120">
            <v>7318.1788500000002</v>
          </cell>
          <cell r="S120">
            <v>7270.9558100000004</v>
          </cell>
          <cell r="T120">
            <v>8101.4655899999998</v>
          </cell>
          <cell r="U120">
            <v>8667.5931700000001</v>
          </cell>
          <cell r="V120">
            <v>9713.6313300000002</v>
          </cell>
          <cell r="W120">
            <v>11072.839319999999</v>
          </cell>
          <cell r="X120">
            <v>15519.42246</v>
          </cell>
          <cell r="Y120">
            <v>9030.8642820000005</v>
          </cell>
        </row>
        <row r="121">
          <cell r="B121">
            <v>143006</v>
          </cell>
          <cell r="C121" t="str">
            <v>Working Capital</v>
          </cell>
          <cell r="D121" t="str">
            <v>A/R ACCRUALS - MISCELLANEOUS ENERGY &amp; DERIVATIVE</v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>
            <v>143006</v>
          </cell>
          <cell r="J121" t="str">
            <v/>
          </cell>
          <cell r="K121" t="str">
            <v/>
          </cell>
          <cell r="L121">
            <v>1420.8071199999999</v>
          </cell>
          <cell r="M121">
            <v>1220.9067</v>
          </cell>
          <cell r="N121">
            <v>1364.4797900000001</v>
          </cell>
          <cell r="O121">
            <v>1282.5246199999999</v>
          </cell>
          <cell r="P121">
            <v>2035.32322</v>
          </cell>
          <cell r="Q121">
            <v>1235.9419800000001</v>
          </cell>
          <cell r="R121">
            <v>1101.64348</v>
          </cell>
          <cell r="S121">
            <v>655.35240999999996</v>
          </cell>
          <cell r="T121">
            <v>732.44389000000001</v>
          </cell>
          <cell r="U121">
            <v>818.35817999999995</v>
          </cell>
          <cell r="V121">
            <v>757.76311999999996</v>
          </cell>
          <cell r="W121">
            <v>612.67143999999996</v>
          </cell>
          <cell r="X121">
            <v>550.31925000000001</v>
          </cell>
          <cell r="Y121">
            <v>1066.9143349999999</v>
          </cell>
        </row>
        <row r="122">
          <cell r="B122">
            <v>143020</v>
          </cell>
          <cell r="C122" t="str">
            <v>Working Capital</v>
          </cell>
          <cell r="D122" t="str">
            <v>OTH A/R -MISCELLANEOUS A/R</v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>
            <v>143020</v>
          </cell>
          <cell r="J122" t="str">
            <v/>
          </cell>
          <cell r="K122" t="str">
            <v/>
          </cell>
          <cell r="L122">
            <v>19.920860000000001</v>
          </cell>
          <cell r="M122">
            <v>19.889060000000001</v>
          </cell>
          <cell r="N122">
            <v>19.889060000000001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2.18194</v>
          </cell>
          <cell r="T122">
            <v>2.18194</v>
          </cell>
          <cell r="U122">
            <v>2.18194</v>
          </cell>
          <cell r="V122">
            <v>2.18194</v>
          </cell>
          <cell r="W122">
            <v>2.18194</v>
          </cell>
          <cell r="X122">
            <v>2.18194</v>
          </cell>
          <cell r="Y122">
            <v>5.1449350000000003</v>
          </cell>
        </row>
        <row r="123">
          <cell r="B123">
            <v>143030</v>
          </cell>
          <cell r="C123" t="str">
            <v>Working Capital</v>
          </cell>
          <cell r="D123" t="str">
            <v>OTHER A/R -GREEN POWER</v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>
            <v>143030</v>
          </cell>
          <cell r="J123" t="str">
            <v/>
          </cell>
          <cell r="K123" t="str">
            <v/>
          </cell>
          <cell r="L123">
            <v>0</v>
          </cell>
          <cell r="M123">
            <v>-0.71172999999999997</v>
          </cell>
          <cell r="N123">
            <v>5.1167400000000001</v>
          </cell>
          <cell r="O123">
            <v>5.0581699999999996</v>
          </cell>
          <cell r="P123">
            <v>3.16554</v>
          </cell>
          <cell r="Q123">
            <v>-2.8378999999999999</v>
          </cell>
          <cell r="R123">
            <v>3.0381200000000002</v>
          </cell>
          <cell r="S123">
            <v>3.0954199999999998</v>
          </cell>
          <cell r="T123">
            <v>-0.80720000000000003</v>
          </cell>
          <cell r="U123">
            <v>-0.89771999999999996</v>
          </cell>
          <cell r="V123">
            <v>-0.99972000000000005</v>
          </cell>
          <cell r="W123">
            <v>-1.1127100000000001</v>
          </cell>
          <cell r="X123">
            <v>-1.0725499999999999</v>
          </cell>
          <cell r="Y123">
            <v>0.96422799999999997</v>
          </cell>
        </row>
        <row r="124">
          <cell r="B124">
            <v>143100</v>
          </cell>
          <cell r="C124" t="str">
            <v>Working Capital</v>
          </cell>
          <cell r="D124" t="str">
            <v>OTHER A/R - PAYROLL CLAIMS</v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>
            <v>143100</v>
          </cell>
          <cell r="J124" t="str">
            <v/>
          </cell>
          <cell r="K124" t="str">
            <v/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143101</v>
          </cell>
          <cell r="C125" t="str">
            <v>Working Capital</v>
          </cell>
          <cell r="D125" t="str">
            <v>OTHER A/R -PAYROLL ADVANCES</v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>
            <v>143101</v>
          </cell>
          <cell r="J125" t="str">
            <v/>
          </cell>
          <cell r="K125" t="str">
            <v/>
          </cell>
          <cell r="L125">
            <v>8.4717599999999997</v>
          </cell>
          <cell r="M125">
            <v>7.9466599999999996</v>
          </cell>
          <cell r="N125">
            <v>7.6162200000000002</v>
          </cell>
          <cell r="O125">
            <v>7.2857799999999999</v>
          </cell>
          <cell r="P125">
            <v>6.8727499999999999</v>
          </cell>
          <cell r="Q125">
            <v>6.8727499999999999</v>
          </cell>
          <cell r="R125">
            <v>6.8727499999999999</v>
          </cell>
          <cell r="S125">
            <v>6.8727499999999999</v>
          </cell>
          <cell r="T125">
            <v>7.0429899999999996</v>
          </cell>
          <cell r="U125">
            <v>7.83697</v>
          </cell>
          <cell r="V125">
            <v>8.9558800000000005</v>
          </cell>
          <cell r="W125">
            <v>11.21707</v>
          </cell>
          <cell r="X125">
            <v>10.83639</v>
          </cell>
          <cell r="Y125">
            <v>7.9205540000000001</v>
          </cell>
        </row>
        <row r="126">
          <cell r="B126">
            <v>143125</v>
          </cell>
          <cell r="C126" t="str">
            <v>Working Capital</v>
          </cell>
          <cell r="D126" t="str">
            <v>OTH A/R -PROPERTY TAX REFUND-COUNTY</v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>
            <v>143125</v>
          </cell>
          <cell r="J126" t="str">
            <v/>
          </cell>
          <cell r="K126" t="str">
            <v/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143180</v>
          </cell>
          <cell r="C127" t="str">
            <v>Working Capital</v>
          </cell>
          <cell r="D127" t="str">
            <v>OTH A/R -DAMAGE CLAIMS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>
            <v>143180</v>
          </cell>
          <cell r="J127" t="str">
            <v/>
          </cell>
          <cell r="K127" t="str">
            <v/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>
            <v>143220</v>
          </cell>
          <cell r="C128" t="str">
            <v>Working Capital</v>
          </cell>
          <cell r="D128" t="str">
            <v>OTH A/R -BROKER-OTC</v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>
            <v>143220</v>
          </cell>
          <cell r="J128" t="str">
            <v/>
          </cell>
          <cell r="K128" t="str">
            <v/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143230</v>
          </cell>
          <cell r="C129" t="str">
            <v>Working Capital</v>
          </cell>
          <cell r="D129" t="str">
            <v>OTH A/R -BROKER-ADVEST/REFCO</v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>
            <v>143230</v>
          </cell>
          <cell r="J129" t="str">
            <v/>
          </cell>
          <cell r="K129" t="str">
            <v/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143240</v>
          </cell>
          <cell r="C130" t="str">
            <v>Working Capital</v>
          </cell>
          <cell r="D130" t="str">
            <v>OTH A/R -BROKER-ABN-AMRO INC.</v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>
            <v>143240</v>
          </cell>
          <cell r="J130" t="str">
            <v/>
          </cell>
          <cell r="K130" t="str">
            <v/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143270</v>
          </cell>
          <cell r="C131" t="str">
            <v>Working Capital</v>
          </cell>
          <cell r="D131" t="str">
            <v>OTH A/R - SINGLE BILL-ESCO-ON SYSTEM</v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>
            <v>143270</v>
          </cell>
          <cell r="J131" t="str">
            <v/>
          </cell>
          <cell r="K131" t="str">
            <v/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143333</v>
          </cell>
          <cell r="C132" t="str">
            <v>Working Capital</v>
          </cell>
          <cell r="D132" t="str">
            <v>A/R-CUSTOMERS (WMS)</v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>
            <v>143333</v>
          </cell>
          <cell r="J132" t="str">
            <v/>
          </cell>
          <cell r="K132" t="str">
            <v/>
          </cell>
          <cell r="L132">
            <v>1698.6736800000001</v>
          </cell>
          <cell r="M132">
            <v>2147.7696299999998</v>
          </cell>
          <cell r="N132">
            <v>2504.4891299999999</v>
          </cell>
          <cell r="O132">
            <v>3134.4264499999999</v>
          </cell>
          <cell r="P132">
            <v>3085.3321900000001</v>
          </cell>
          <cell r="Q132">
            <v>2923.09465</v>
          </cell>
          <cell r="R132">
            <v>2818.6001999999999</v>
          </cell>
          <cell r="S132">
            <v>2356.05519</v>
          </cell>
          <cell r="T132">
            <v>2257.65753</v>
          </cell>
          <cell r="U132">
            <v>2114.9219699999999</v>
          </cell>
          <cell r="V132">
            <v>2383.7358199999999</v>
          </cell>
          <cell r="W132">
            <v>2167.4750300000001</v>
          </cell>
          <cell r="X132">
            <v>-756.88804000000005</v>
          </cell>
          <cell r="Y132">
            <v>2363.7042179999999</v>
          </cell>
        </row>
        <row r="133">
          <cell r="B133">
            <v>143334</v>
          </cell>
          <cell r="C133" t="str">
            <v>Working Capital</v>
          </cell>
          <cell r="D133" t="str">
            <v>A/R-MISCELLANEOUS (FROM SD TO CCS)</v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>
            <v>143334</v>
          </cell>
          <cell r="J133" t="str">
            <v/>
          </cell>
          <cell r="K133" t="str">
            <v/>
          </cell>
          <cell r="L133">
            <v>39.146360000000001</v>
          </cell>
          <cell r="M133">
            <v>39.99924</v>
          </cell>
          <cell r="N133">
            <v>42.855870000000003</v>
          </cell>
          <cell r="O133">
            <v>39.813630000000003</v>
          </cell>
          <cell r="P133">
            <v>34.248860000000001</v>
          </cell>
          <cell r="Q133">
            <v>38.638190000000002</v>
          </cell>
          <cell r="R133">
            <v>39.659379999999999</v>
          </cell>
          <cell r="S133">
            <v>41.102789999999999</v>
          </cell>
          <cell r="T133">
            <v>40.155430000000003</v>
          </cell>
          <cell r="U133">
            <v>41.326770000000003</v>
          </cell>
          <cell r="V133">
            <v>40.346339999999998</v>
          </cell>
          <cell r="W133">
            <v>40.015749999999997</v>
          </cell>
          <cell r="X133">
            <v>39.283070000000002</v>
          </cell>
          <cell r="Y133">
            <v>39.781413999999998</v>
          </cell>
        </row>
        <row r="134">
          <cell r="B134">
            <v>143365</v>
          </cell>
          <cell r="C134" t="str">
            <v>Working Capital</v>
          </cell>
          <cell r="D134" t="str">
            <v>OTH A/R - CORAL ENERGY ALLIANCE</v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>
            <v>143365</v>
          </cell>
          <cell r="J134" t="str">
            <v/>
          </cell>
          <cell r="K134" t="str">
            <v/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</row>
        <row r="135">
          <cell r="B135">
            <v>143370</v>
          </cell>
          <cell r="C135" t="str">
            <v>Working Capital</v>
          </cell>
          <cell r="D135" t="str">
            <v>OTH A/R -BP ENERGY ALLIANCE</v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>
            <v>143370</v>
          </cell>
          <cell r="J135" t="str">
            <v/>
          </cell>
          <cell r="K135" t="str">
            <v/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B136">
            <v>143375</v>
          </cell>
          <cell r="C136" t="str">
            <v>Working Capital</v>
          </cell>
          <cell r="D136" t="str">
            <v>0000143375 OTH A/R - TENASKA OPTIMIZATION</v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>
            <v>143375</v>
          </cell>
          <cell r="J136" t="str">
            <v/>
          </cell>
          <cell r="K136" t="str">
            <v/>
          </cell>
          <cell r="L136">
            <v>111.36863</v>
          </cell>
          <cell r="M136">
            <v>152.69512</v>
          </cell>
          <cell r="N136">
            <v>51.414389999999997</v>
          </cell>
          <cell r="O136">
            <v>30.017410000000002</v>
          </cell>
          <cell r="P136">
            <v>16.933309999999999</v>
          </cell>
          <cell r="Q136">
            <v>3.35459</v>
          </cell>
          <cell r="R136">
            <v>31.053100000000001</v>
          </cell>
          <cell r="S136">
            <v>43.389449999999997</v>
          </cell>
          <cell r="T136">
            <v>6.7740099999999996</v>
          </cell>
          <cell r="U136">
            <v>3.8956900000000001</v>
          </cell>
          <cell r="V136">
            <v>35.487769999999998</v>
          </cell>
          <cell r="W136">
            <v>8.9446999999999992</v>
          </cell>
          <cell r="X136">
            <v>28.521799999999999</v>
          </cell>
          <cell r="Y136">
            <v>37.825395999999998</v>
          </cell>
        </row>
        <row r="137">
          <cell r="B137">
            <v>144110</v>
          </cell>
          <cell r="C137" t="str">
            <v>Working Capital</v>
          </cell>
          <cell r="D137" t="str">
            <v>ACCUM PROV FOR UNCOLL ACCTS - CR-ELEC</v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>
            <v>144110</v>
          </cell>
          <cell r="J137" t="str">
            <v/>
          </cell>
          <cell r="K137" t="str">
            <v/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B138">
            <v>144120</v>
          </cell>
          <cell r="C138" t="str">
            <v>Working Capital</v>
          </cell>
          <cell r="D138" t="str">
            <v>ACCUM PROV-UNCOLL ACCTS-CREDIT -TAX EXEMPT SUNDRY</v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>
            <v>144120</v>
          </cell>
          <cell r="J138" t="str">
            <v/>
          </cell>
          <cell r="K138" t="str">
            <v/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39">
          <cell r="B139">
            <v>144125</v>
          </cell>
          <cell r="C139" t="str">
            <v>Working Capital</v>
          </cell>
          <cell r="D139" t="str">
            <v>ACCUM PROV-UNCOLLECTIBLE ACCTS-SUNDRY</v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>
            <v>144125</v>
          </cell>
          <cell r="J139" t="str">
            <v/>
          </cell>
          <cell r="K139" t="str">
            <v/>
          </cell>
          <cell r="L139">
            <v>-63.93</v>
          </cell>
          <cell r="M139">
            <v>-60.69</v>
          </cell>
          <cell r="N139">
            <v>-64.650000000000006</v>
          </cell>
          <cell r="O139">
            <v>-64.650000000000006</v>
          </cell>
          <cell r="P139">
            <v>-71.849999999999994</v>
          </cell>
          <cell r="Q139">
            <v>-74.73</v>
          </cell>
          <cell r="R139">
            <v>-83.37</v>
          </cell>
          <cell r="S139">
            <v>-79.05</v>
          </cell>
          <cell r="T139">
            <v>-86.25</v>
          </cell>
          <cell r="U139">
            <v>-87.33</v>
          </cell>
          <cell r="V139">
            <v>-87.69</v>
          </cell>
          <cell r="W139">
            <v>-87.69</v>
          </cell>
          <cell r="X139">
            <v>-86.25</v>
          </cell>
          <cell r="Y139">
            <v>-76.92</v>
          </cell>
        </row>
        <row r="140">
          <cell r="B140">
            <v>144130</v>
          </cell>
          <cell r="C140" t="str">
            <v>Working Capital</v>
          </cell>
          <cell r="D140" t="str">
            <v>ACCUM PROV FOR UNCOLL ACCTS - CR-GAS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>
            <v>144130</v>
          </cell>
          <cell r="J140" t="str">
            <v/>
          </cell>
          <cell r="K140" t="str">
            <v/>
          </cell>
          <cell r="L140">
            <v>-5873.3540000000003</v>
          </cell>
          <cell r="M140">
            <v>-6089.3540000000003</v>
          </cell>
          <cell r="N140">
            <v>-6485.3540000000003</v>
          </cell>
          <cell r="O140">
            <v>-6845.3540000000003</v>
          </cell>
          <cell r="P140">
            <v>-7097.3540000000003</v>
          </cell>
          <cell r="Q140">
            <v>-7421.3540000000003</v>
          </cell>
          <cell r="R140">
            <v>-7565.3540000000003</v>
          </cell>
          <cell r="S140">
            <v>-7673.3540000000003</v>
          </cell>
          <cell r="T140">
            <v>-7781.3540000000003</v>
          </cell>
          <cell r="U140">
            <v>-7745.3540000000003</v>
          </cell>
          <cell r="V140">
            <v>-7529.3540000000003</v>
          </cell>
          <cell r="W140">
            <v>-7601.3540000000003</v>
          </cell>
          <cell r="X140">
            <v>-7313.3540000000003</v>
          </cell>
          <cell r="Y140">
            <v>-7202.3540000000003</v>
          </cell>
        </row>
        <row r="141">
          <cell r="B141">
            <v>144135</v>
          </cell>
          <cell r="C141" t="str">
            <v>Working Capital</v>
          </cell>
          <cell r="D141" t="str">
            <v>ACCUM PROV-UNCOLLECTIBLE ACCTS-SUNDRY-ELECTRIC</v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>
            <v>144135</v>
          </cell>
          <cell r="J141" t="str">
            <v/>
          </cell>
          <cell r="K141" t="str">
            <v/>
          </cell>
          <cell r="L141">
            <v>-541.07000000000005</v>
          </cell>
          <cell r="M141">
            <v>-535.30999999999995</v>
          </cell>
          <cell r="N141">
            <v>-542.35</v>
          </cell>
          <cell r="O141">
            <v>-542.35</v>
          </cell>
          <cell r="P141">
            <v>-555.15</v>
          </cell>
          <cell r="Q141">
            <v>-560.27</v>
          </cell>
          <cell r="R141">
            <v>-575.63</v>
          </cell>
          <cell r="S141">
            <v>-567.95000000000005</v>
          </cell>
          <cell r="T141">
            <v>-580.75</v>
          </cell>
          <cell r="U141">
            <v>-582.66999999999996</v>
          </cell>
          <cell r="V141">
            <v>-583.30999999999995</v>
          </cell>
          <cell r="W141">
            <v>-583.30999999999995</v>
          </cell>
          <cell r="X141">
            <v>-580.75</v>
          </cell>
          <cell r="Y141">
            <v>-564.16333299999997</v>
          </cell>
        </row>
        <row r="142">
          <cell r="B142">
            <v>144140</v>
          </cell>
          <cell r="C142" t="str">
            <v>Working Capital</v>
          </cell>
          <cell r="D142" t="str">
            <v>ACCUM PROV FOR UNCOLL ACCTS - CR-DISPUTES</v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>
            <v>144140</v>
          </cell>
          <cell r="J142" t="str">
            <v/>
          </cell>
          <cell r="K142" t="str">
            <v/>
          </cell>
          <cell r="L142">
            <v>-1300</v>
          </cell>
          <cell r="M142">
            <v>-1300</v>
          </cell>
          <cell r="N142">
            <v>-1300</v>
          </cell>
          <cell r="O142">
            <v>-1300</v>
          </cell>
          <cell r="P142">
            <v>-1300</v>
          </cell>
          <cell r="Q142">
            <v>-1300</v>
          </cell>
          <cell r="R142">
            <v>-1300</v>
          </cell>
          <cell r="S142">
            <v>-1300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-812.5</v>
          </cell>
        </row>
        <row r="143">
          <cell r="B143">
            <v>144170</v>
          </cell>
          <cell r="C143" t="str">
            <v>Working Capital</v>
          </cell>
          <cell r="D143" t="str">
            <v>ACCUM PROV FOR UNCOLL ACCTS-CREDIT ELECTRIC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>
            <v>144170</v>
          </cell>
          <cell r="J143" t="str">
            <v/>
          </cell>
          <cell r="K143" t="str">
            <v/>
          </cell>
          <cell r="L143">
            <v>-11326.646000000001</v>
          </cell>
          <cell r="M143">
            <v>-11710.646000000001</v>
          </cell>
          <cell r="N143">
            <v>-12414.646000000001</v>
          </cell>
          <cell r="O143">
            <v>-13054.646000000001</v>
          </cell>
          <cell r="P143">
            <v>-13502.646000000001</v>
          </cell>
          <cell r="Q143">
            <v>-14078.646000000001</v>
          </cell>
          <cell r="R143">
            <v>-14334.646000000001</v>
          </cell>
          <cell r="S143">
            <v>-14526.646000000001</v>
          </cell>
          <cell r="T143">
            <v>-14718.646000000001</v>
          </cell>
          <cell r="U143">
            <v>-14654.646000000001</v>
          </cell>
          <cell r="V143">
            <v>-14270.646000000001</v>
          </cell>
          <cell r="W143">
            <v>-14398.646000000001</v>
          </cell>
          <cell r="X143">
            <v>-13886.646000000001</v>
          </cell>
          <cell r="Y143">
            <v>-13689.312667</v>
          </cell>
        </row>
        <row r="144">
          <cell r="B144">
            <v>144171</v>
          </cell>
          <cell r="C144" t="str">
            <v>Working Capital</v>
          </cell>
          <cell r="D144" t="str">
            <v>ACCTS RECEIVEABLE RESERVE-SALES OF BAD DEBT</v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>
            <v>144171</v>
          </cell>
          <cell r="J144" t="str">
            <v/>
          </cell>
          <cell r="K144" t="str">
            <v/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144510</v>
          </cell>
          <cell r="C145" t="str">
            <v>Working Capital</v>
          </cell>
          <cell r="D145" t="str">
            <v>ACCUM PROV FOR UNCOLL ACCTS - DR-UNCOLL PROV</v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>
            <v>144510</v>
          </cell>
          <cell r="J145" t="str">
            <v/>
          </cell>
          <cell r="K145" t="str">
            <v/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144520</v>
          </cell>
          <cell r="C146" t="str">
            <v>Working Capital</v>
          </cell>
          <cell r="D146" t="str">
            <v>ACCUM PROV FOR UNCOLL ACCTS - CR-UNCOLL PROV</v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>
            <v>144520</v>
          </cell>
          <cell r="J146" t="str">
            <v/>
          </cell>
          <cell r="K146" t="str">
            <v/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145026</v>
          </cell>
          <cell r="C147" t="str">
            <v>Not in RTBS</v>
          </cell>
          <cell r="D147" t="str">
            <v>NOTES RECEIVABLE FR ASSOC COS (W/ TRADING PARTNER</v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>
            <v>145026</v>
          </cell>
          <cell r="K147" t="str">
            <v/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146030</v>
          </cell>
          <cell r="C148" t="str">
            <v>Not in RTBS</v>
          </cell>
          <cell r="D148" t="str">
            <v>I/C DUE FROM ENERGETIX - FIT</v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>
            <v>146030</v>
          </cell>
          <cell r="K148" t="str">
            <v/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146040</v>
          </cell>
          <cell r="C149" t="str">
            <v>Not in RTBS</v>
          </cell>
          <cell r="D149" t="str">
            <v>I/C DUE FROM GRIFFITH - FIT</v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>
            <v>146040</v>
          </cell>
          <cell r="K149" t="str">
            <v/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146041</v>
          </cell>
          <cell r="C150" t="str">
            <v>Not in RTBS</v>
          </cell>
          <cell r="D150" t="str">
            <v>I/C DUE FROM GRIFFITH - SIT</v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>
            <v>146041</v>
          </cell>
          <cell r="K150" t="str">
            <v/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B151">
            <v>146042</v>
          </cell>
          <cell r="C151" t="str">
            <v>Not in RTBS</v>
          </cell>
          <cell r="D151" t="str">
            <v>I/C DUE FROM ENERGETIX - SIT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>
            <v>146042</v>
          </cell>
          <cell r="K151" t="str">
            <v/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B152">
            <v>146060</v>
          </cell>
          <cell r="C152" t="str">
            <v>Not in RTBS</v>
          </cell>
          <cell r="D152" t="str">
            <v>A/R FR AFFILIATE-AUTOMATIC CLEARING</v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>
            <v>146060</v>
          </cell>
          <cell r="K152" t="str">
            <v/>
          </cell>
          <cell r="L152">
            <v>13716.270200000001</v>
          </cell>
          <cell r="M152">
            <v>10852.80478</v>
          </cell>
          <cell r="N152">
            <v>12002.75491</v>
          </cell>
          <cell r="O152">
            <v>11411.687980000001</v>
          </cell>
          <cell r="P152">
            <v>11388.367</v>
          </cell>
          <cell r="Q152">
            <v>11532.665849999999</v>
          </cell>
          <cell r="R152">
            <v>10977.417649999999</v>
          </cell>
          <cell r="S152">
            <v>10611.199790000001</v>
          </cell>
          <cell r="T152">
            <v>13379.91993</v>
          </cell>
          <cell r="U152">
            <v>16365.36139</v>
          </cell>
          <cell r="V152">
            <v>12257.59419</v>
          </cell>
          <cell r="W152">
            <v>12939.96956</v>
          </cell>
          <cell r="X152">
            <v>15349.492399999999</v>
          </cell>
          <cell r="Y152">
            <v>12354.385361000001</v>
          </cell>
        </row>
        <row r="153">
          <cell r="B153">
            <v>146290</v>
          </cell>
          <cell r="C153" t="str">
            <v>Not in RTBS</v>
          </cell>
          <cell r="D153" t="str">
            <v>I/C DUE FROM ENERGETIX - SERVICES</v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>
            <v>146290</v>
          </cell>
          <cell r="K153" t="str">
            <v/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146890</v>
          </cell>
          <cell r="C154" t="str">
            <v>Not in RTBS</v>
          </cell>
          <cell r="D154" t="str">
            <v>I/C DUE FROM RGS ENERGY GROUP</v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>
            <v>146890</v>
          </cell>
          <cell r="K154" t="str">
            <v/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B155">
            <v>146900</v>
          </cell>
          <cell r="C155" t="str">
            <v>Not in RTBS</v>
          </cell>
          <cell r="D155" t="str">
            <v>I/C DUE FROM EEMC - Pension and FAS 106</v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>
            <v>146900</v>
          </cell>
          <cell r="K155" t="str">
            <v/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146901</v>
          </cell>
          <cell r="C156" t="str">
            <v>Not in RTBS</v>
          </cell>
          <cell r="D156" t="str">
            <v>I/C DUE FROM EEMC - SERVICES</v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>
            <v>146901</v>
          </cell>
          <cell r="K156" t="str">
            <v/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B157">
            <v>146910</v>
          </cell>
          <cell r="C157" t="str">
            <v>Not in RTBS</v>
          </cell>
          <cell r="D157" t="str">
            <v>I/C DUE FROM NYSEG - SALES AND RENTS</v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>
            <v>146910</v>
          </cell>
          <cell r="K157" t="str">
            <v/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B158">
            <v>146911</v>
          </cell>
          <cell r="C158" t="str">
            <v>Not in RTBS</v>
          </cell>
          <cell r="D158" t="str">
            <v>I/C DUE FROM NYSEG - SERVICES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>
            <v>146911</v>
          </cell>
          <cell r="K158" t="str">
            <v/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B159">
            <v>146913</v>
          </cell>
          <cell r="C159" t="str">
            <v>Not in RTBS</v>
          </cell>
          <cell r="D159" t="str">
            <v>I/C DUE FROM BERKSHIRE</v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>
            <v>146913</v>
          </cell>
          <cell r="K159" t="str">
            <v/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146920</v>
          </cell>
          <cell r="C160" t="str">
            <v>Not in RTBS</v>
          </cell>
          <cell r="D160" t="str">
            <v>I/C DUE FROM ENERGETIX - DISTRIBUTION</v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>
            <v>146920</v>
          </cell>
          <cell r="K160" t="str">
            <v/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146930</v>
          </cell>
          <cell r="C161" t="str">
            <v>Not in RTBS</v>
          </cell>
          <cell r="D161" t="str">
            <v>I/C DUE FROM ENERGETIX - INFIELD GAS TRANSFER</v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>
            <v>146930</v>
          </cell>
          <cell r="K161" t="str">
            <v/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>
            <v>151540</v>
          </cell>
          <cell r="C162" t="str">
            <v>RTBS</v>
          </cell>
          <cell r="D162" t="str">
            <v>M&amp;S - COAL IN TRANSIT</v>
          </cell>
          <cell r="E162" t="str">
            <v/>
          </cell>
          <cell r="F162" t="str">
            <v/>
          </cell>
          <cell r="G162">
            <v>151540</v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151610</v>
          </cell>
          <cell r="C163" t="str">
            <v>RTBS</v>
          </cell>
          <cell r="D163" t="str">
            <v>M&amp;S - COAL - STATION 7</v>
          </cell>
          <cell r="E163" t="str">
            <v/>
          </cell>
          <cell r="F163" t="str">
            <v/>
          </cell>
          <cell r="G163">
            <v>151610</v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151640</v>
          </cell>
          <cell r="C164" t="str">
            <v>RTBS</v>
          </cell>
          <cell r="D164" t="str">
            <v>M&amp;S - #2 FUEL OIL - STATION 7</v>
          </cell>
          <cell r="E164" t="str">
            <v/>
          </cell>
          <cell r="F164" t="str">
            <v/>
          </cell>
          <cell r="G164">
            <v>151640</v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151650</v>
          </cell>
          <cell r="C165" t="str">
            <v>RTBS</v>
          </cell>
          <cell r="D165" t="str">
            <v>M&amp;S - #2 FUEL OIL - STATION 3</v>
          </cell>
          <cell r="E165" t="str">
            <v/>
          </cell>
          <cell r="F165" t="str">
            <v/>
          </cell>
          <cell r="G165">
            <v>151650</v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>
            <v>106.53377</v>
          </cell>
          <cell r="M165">
            <v>106.53377</v>
          </cell>
          <cell r="N165">
            <v>105.69602</v>
          </cell>
          <cell r="O165">
            <v>105.69602</v>
          </cell>
          <cell r="P165">
            <v>98.268000000000001</v>
          </cell>
          <cell r="Q165">
            <v>60.044699999999999</v>
          </cell>
          <cell r="R165">
            <v>21.234220000000001</v>
          </cell>
          <cell r="S165">
            <v>154.69188</v>
          </cell>
          <cell r="T165">
            <v>154.69188</v>
          </cell>
          <cell r="U165">
            <v>139.30452</v>
          </cell>
          <cell r="V165">
            <v>138.39482000000001</v>
          </cell>
          <cell r="W165">
            <v>138.39482000000001</v>
          </cell>
          <cell r="X165">
            <v>132.02137999999999</v>
          </cell>
          <cell r="Y165">
            <v>111.852352</v>
          </cell>
        </row>
        <row r="166">
          <cell r="B166">
            <v>151900</v>
          </cell>
          <cell r="C166" t="str">
            <v>RTBS</v>
          </cell>
          <cell r="D166" t="str">
            <v>M&amp;S - #2 FUEL OIL - ALL DISTRICTS</v>
          </cell>
          <cell r="E166" t="str">
            <v/>
          </cell>
          <cell r="F166" t="str">
            <v/>
          </cell>
          <cell r="G166">
            <v>151900</v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154210</v>
          </cell>
          <cell r="C167" t="str">
            <v>RTBS</v>
          </cell>
          <cell r="D167" t="str">
            <v>M&amp;S - RECON - STOCK MATERIALS</v>
          </cell>
          <cell r="E167" t="str">
            <v/>
          </cell>
          <cell r="F167" t="str">
            <v/>
          </cell>
          <cell r="G167">
            <v>154210</v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>
            <v>8676.2526400000006</v>
          </cell>
          <cell r="M167">
            <v>9789.8928699999997</v>
          </cell>
          <cell r="N167">
            <v>8872.5301600000003</v>
          </cell>
          <cell r="O167">
            <v>9037.0213100000001</v>
          </cell>
          <cell r="P167">
            <v>9010.8576099999991</v>
          </cell>
          <cell r="Q167">
            <v>9114.5718500000003</v>
          </cell>
          <cell r="R167">
            <v>9248.7554199999995</v>
          </cell>
          <cell r="S167">
            <v>9188.2913599999993</v>
          </cell>
          <cell r="T167">
            <v>9325.8454700000002</v>
          </cell>
          <cell r="U167">
            <v>9958.2325600000004</v>
          </cell>
          <cell r="V167">
            <v>9734.0352899999998</v>
          </cell>
          <cell r="W167">
            <v>10212.69188</v>
          </cell>
          <cell r="X167">
            <v>10133.201290000001</v>
          </cell>
          <cell r="Y167">
            <v>9408.1210620000002</v>
          </cell>
        </row>
        <row r="168">
          <cell r="B168">
            <v>154212</v>
          </cell>
          <cell r="C168" t="str">
            <v>RTBS</v>
          </cell>
          <cell r="D168" t="str">
            <v>M&amp;S - INVENTORY FUEL</v>
          </cell>
          <cell r="E168" t="str">
            <v/>
          </cell>
          <cell r="F168" t="str">
            <v/>
          </cell>
          <cell r="G168">
            <v>154212</v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2.8900000000000002E-3</v>
          </cell>
          <cell r="X168">
            <v>2.8900000000000002E-3</v>
          </cell>
          <cell r="Y168">
            <v>3.6099999999999999E-4</v>
          </cell>
        </row>
        <row r="169">
          <cell r="B169">
            <v>154530</v>
          </cell>
          <cell r="C169" t="str">
            <v>RTBS</v>
          </cell>
          <cell r="D169" t="str">
            <v>M&amp;S - RECON - ALLEGANY</v>
          </cell>
          <cell r="E169" t="str">
            <v/>
          </cell>
          <cell r="F169" t="str">
            <v/>
          </cell>
          <cell r="G169">
            <v>154530</v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>
            <v>577.10386000000005</v>
          </cell>
          <cell r="M169">
            <v>577.10386000000005</v>
          </cell>
          <cell r="N169">
            <v>577.10386000000005</v>
          </cell>
          <cell r="O169">
            <v>577.10386000000005</v>
          </cell>
          <cell r="P169">
            <v>577.10386000000005</v>
          </cell>
          <cell r="Q169">
            <v>577.10386000000005</v>
          </cell>
          <cell r="R169">
            <v>577.10386000000005</v>
          </cell>
          <cell r="S169">
            <v>577.10386000000005</v>
          </cell>
          <cell r="T169">
            <v>577.10386000000005</v>
          </cell>
          <cell r="U169">
            <v>571.86986000000002</v>
          </cell>
          <cell r="V169">
            <v>571.86986000000002</v>
          </cell>
          <cell r="W169">
            <v>571.86986000000002</v>
          </cell>
          <cell r="X169">
            <v>579.36886000000004</v>
          </cell>
          <cell r="Y169">
            <v>575.88973499999997</v>
          </cell>
        </row>
        <row r="170">
          <cell r="B170">
            <v>154820</v>
          </cell>
          <cell r="C170" t="str">
            <v>RTBS</v>
          </cell>
          <cell r="D170" t="str">
            <v>M&amp;S - GASOLINE</v>
          </cell>
          <cell r="E170" t="str">
            <v/>
          </cell>
          <cell r="F170" t="str">
            <v/>
          </cell>
          <cell r="G170">
            <v>154820</v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154950</v>
          </cell>
          <cell r="C171" t="str">
            <v>RTBS</v>
          </cell>
          <cell r="D171" t="str">
            <v>M&amp;S - RESERVE FOR OBSOLESCENCE</v>
          </cell>
          <cell r="E171" t="str">
            <v/>
          </cell>
          <cell r="F171" t="str">
            <v/>
          </cell>
          <cell r="G171">
            <v>154950</v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B172">
            <v>154970</v>
          </cell>
          <cell r="C172" t="str">
            <v>Working Capital</v>
          </cell>
          <cell r="D172" t="str">
            <v>M&amp;S - RECON- MATERIALS RECEIVED CLEARING</v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>
            <v>154970</v>
          </cell>
          <cell r="J172" t="str">
            <v/>
          </cell>
          <cell r="K172" t="str">
            <v/>
          </cell>
          <cell r="L172">
            <v>-32190.140360000001</v>
          </cell>
          <cell r="M172">
            <v>-28287.209169999998</v>
          </cell>
          <cell r="N172">
            <v>-17773.632949999901</v>
          </cell>
          <cell r="O172">
            <v>-16624.413530000002</v>
          </cell>
          <cell r="P172">
            <v>-14469.6</v>
          </cell>
          <cell r="Q172">
            <v>-17694.26843</v>
          </cell>
          <cell r="R172">
            <v>-20304.748739999999</v>
          </cell>
          <cell r="S172">
            <v>-22001.050859999999</v>
          </cell>
          <cell r="T172">
            <v>-27459.608130000001</v>
          </cell>
          <cell r="U172">
            <v>-30607.64777</v>
          </cell>
          <cell r="V172">
            <v>-32988.053330000002</v>
          </cell>
          <cell r="W172">
            <v>-25824.998950000001</v>
          </cell>
          <cell r="X172">
            <v>-52386.402430000002</v>
          </cell>
          <cell r="Y172">
            <v>-24693.625271000001</v>
          </cell>
        </row>
        <row r="173">
          <cell r="B173">
            <v>154975</v>
          </cell>
          <cell r="C173" t="str">
            <v>Not in RTBS</v>
          </cell>
          <cell r="D173" t="str">
            <v>TRANSFER GOODS RECEIPT LIABILITY</v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>
            <v>154975</v>
          </cell>
          <cell r="K173" t="str">
            <v/>
          </cell>
          <cell r="L173">
            <v>0</v>
          </cell>
          <cell r="M173">
            <v>0</v>
          </cell>
          <cell r="N173">
            <v>0</v>
          </cell>
          <cell r="O173">
            <v>16624.413530000002</v>
          </cell>
          <cell r="P173">
            <v>0</v>
          </cell>
          <cell r="Q173">
            <v>0</v>
          </cell>
          <cell r="R173">
            <v>20304.748739999999</v>
          </cell>
          <cell r="S173">
            <v>0</v>
          </cell>
          <cell r="T173">
            <v>0</v>
          </cell>
          <cell r="U173">
            <v>20304.748739999999</v>
          </cell>
          <cell r="V173">
            <v>0</v>
          </cell>
          <cell r="W173">
            <v>0</v>
          </cell>
          <cell r="X173">
            <v>52386.402430000002</v>
          </cell>
          <cell r="Y173">
            <v>6952.259352</v>
          </cell>
        </row>
        <row r="174">
          <cell r="B174">
            <v>154980</v>
          </cell>
          <cell r="C174" t="str">
            <v>RTBS</v>
          </cell>
          <cell r="D174" t="str">
            <v>M&amp;S - RECON - CONVERSION ACCT FOR SAP START</v>
          </cell>
          <cell r="E174" t="str">
            <v/>
          </cell>
          <cell r="F174" t="str">
            <v/>
          </cell>
          <cell r="G174">
            <v>154980</v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158100</v>
          </cell>
          <cell r="C175" t="str">
            <v>RTBS</v>
          </cell>
          <cell r="D175" t="str">
            <v>M&amp;S - NITROUS OXIDE ALLOWANCES - FEDERAL</v>
          </cell>
          <cell r="E175" t="str">
            <v/>
          </cell>
          <cell r="F175" t="str">
            <v/>
          </cell>
          <cell r="G175">
            <v>158100</v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>
            <v>99.171300000000002</v>
          </cell>
          <cell r="M175">
            <v>99.171300000000002</v>
          </cell>
          <cell r="N175">
            <v>99.171300000000002</v>
          </cell>
          <cell r="O175">
            <v>99.171300000000002</v>
          </cell>
          <cell r="P175">
            <v>99.171300000000002</v>
          </cell>
          <cell r="Q175">
            <v>99.171300000000002</v>
          </cell>
          <cell r="R175">
            <v>99.171300000000002</v>
          </cell>
          <cell r="S175">
            <v>99.171300000000002</v>
          </cell>
          <cell r="T175">
            <v>99.171300000000002</v>
          </cell>
          <cell r="U175">
            <v>99.171300000000002</v>
          </cell>
          <cell r="V175">
            <v>99.171300000000002</v>
          </cell>
          <cell r="W175">
            <v>0</v>
          </cell>
          <cell r="X175">
            <v>0</v>
          </cell>
          <cell r="Y175">
            <v>86.774888000000004</v>
          </cell>
        </row>
        <row r="176">
          <cell r="B176">
            <v>158102</v>
          </cell>
          <cell r="C176" t="str">
            <v>RTBS</v>
          </cell>
          <cell r="D176" t="str">
            <v>M&amp;S - NITROUS OXIDE ALLOWANCES - NY STATE</v>
          </cell>
          <cell r="E176" t="str">
            <v/>
          </cell>
          <cell r="F176" t="str">
            <v/>
          </cell>
          <cell r="G176">
            <v>158102</v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</row>
        <row r="177">
          <cell r="B177">
            <v>158110</v>
          </cell>
          <cell r="C177" t="str">
            <v>RTBS</v>
          </cell>
          <cell r="D177" t="str">
            <v>M&amp;S - SO2 ALLOWANCES - FEDERAL</v>
          </cell>
          <cell r="E177" t="str">
            <v/>
          </cell>
          <cell r="F177" t="str">
            <v/>
          </cell>
          <cell r="G177">
            <v>158110</v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>
            <v>-3.7509000000000001</v>
          </cell>
          <cell r="M177">
            <v>-3.7509000000000001</v>
          </cell>
          <cell r="N177">
            <v>-3.7509000000000001</v>
          </cell>
          <cell r="O177">
            <v>-3.7509000000000001</v>
          </cell>
          <cell r="P177">
            <v>-3.7509000000000001</v>
          </cell>
          <cell r="Q177">
            <v>-3.7509000000000001</v>
          </cell>
          <cell r="R177">
            <v>-3.7509000000000001</v>
          </cell>
          <cell r="S177">
            <v>-3.7509000000000001</v>
          </cell>
          <cell r="T177">
            <v>-3.7509000000000001</v>
          </cell>
          <cell r="U177">
            <v>-3.7509000000000001</v>
          </cell>
          <cell r="V177">
            <v>-3.7509000000000001</v>
          </cell>
          <cell r="W177">
            <v>-3.7509000000000001</v>
          </cell>
          <cell r="X177">
            <v>-3.7509000000000001</v>
          </cell>
          <cell r="Y177">
            <v>-3.7509000000000001</v>
          </cell>
        </row>
        <row r="178">
          <cell r="B178">
            <v>158112</v>
          </cell>
          <cell r="C178" t="str">
            <v>RTBS</v>
          </cell>
          <cell r="D178" t="str">
            <v>M&amp;S - SO2 ALLOWANCES - NY STATE</v>
          </cell>
          <cell r="E178" t="str">
            <v/>
          </cell>
          <cell r="F178" t="str">
            <v/>
          </cell>
          <cell r="G178">
            <v>158112</v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158115</v>
          </cell>
          <cell r="C179" t="str">
            <v>RTBS</v>
          </cell>
          <cell r="D179" t="str">
            <v>M&amp;S - CO2 ALLOWANCES - RGGI</v>
          </cell>
          <cell r="E179" t="str">
            <v/>
          </cell>
          <cell r="F179" t="str">
            <v/>
          </cell>
          <cell r="G179">
            <v>158115</v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>
            <v>-2.444E-2</v>
          </cell>
          <cell r="M179">
            <v>-2.444E-2</v>
          </cell>
          <cell r="N179">
            <v>-2.444E-2</v>
          </cell>
          <cell r="O179">
            <v>-2.444E-2</v>
          </cell>
          <cell r="P179">
            <v>-2.444E-2</v>
          </cell>
          <cell r="Q179">
            <v>-2.444E-2</v>
          </cell>
          <cell r="R179">
            <v>0.73939999999999995</v>
          </cell>
          <cell r="S179">
            <v>1.2595700000000001</v>
          </cell>
          <cell r="T179">
            <v>1.55403</v>
          </cell>
          <cell r="U179">
            <v>-6.5567700000000002</v>
          </cell>
          <cell r="V179">
            <v>-16.15305</v>
          </cell>
          <cell r="W179">
            <v>-28.80996</v>
          </cell>
          <cell r="X179">
            <v>1.34849</v>
          </cell>
          <cell r="Y179">
            <v>-3.9522460000000001</v>
          </cell>
        </row>
        <row r="180">
          <cell r="B180">
            <v>164100</v>
          </cell>
          <cell r="C180" t="str">
            <v>RTBS</v>
          </cell>
          <cell r="D180" t="str">
            <v>GAS STORED UNDERGROUND - INVENTORY</v>
          </cell>
          <cell r="E180" t="str">
            <v/>
          </cell>
          <cell r="F180" t="str">
            <v/>
          </cell>
          <cell r="G180">
            <v>164100</v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>
            <v>16289.750910000001</v>
          </cell>
          <cell r="M180">
            <v>10126.195460000001</v>
          </cell>
          <cell r="N180">
            <v>5215.3951800000004</v>
          </cell>
          <cell r="O180">
            <v>1052.23918</v>
          </cell>
          <cell r="P180">
            <v>3764.1302300000002</v>
          </cell>
          <cell r="Q180">
            <v>7462.68444</v>
          </cell>
          <cell r="R180">
            <v>11024.3334</v>
          </cell>
          <cell r="S180">
            <v>14641.236440000001</v>
          </cell>
          <cell r="T180">
            <v>18227.817869999999</v>
          </cell>
          <cell r="U180">
            <v>21360.459289999999</v>
          </cell>
          <cell r="V180">
            <v>22452.822759999999</v>
          </cell>
          <cell r="W180">
            <v>21456.260389999999</v>
          </cell>
          <cell r="X180">
            <v>16984.91302</v>
          </cell>
          <cell r="Y180">
            <v>12785.07555</v>
          </cell>
        </row>
        <row r="181">
          <cell r="B181">
            <v>164102</v>
          </cell>
          <cell r="C181" t="str">
            <v>RTBS</v>
          </cell>
          <cell r="D181" t="str">
            <v>GAS STORED UNDERGROUND - DOMINION TRANSMISSION IN</v>
          </cell>
          <cell r="E181" t="str">
            <v/>
          </cell>
          <cell r="F181" t="str">
            <v/>
          </cell>
          <cell r="G181">
            <v>164102</v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164105</v>
          </cell>
          <cell r="C182" t="str">
            <v>RTBS</v>
          </cell>
          <cell r="D182" t="str">
            <v>GAS STORED UNDERGROUND - ALLEGANY IMBALANCE</v>
          </cell>
          <cell r="E182" t="str">
            <v/>
          </cell>
          <cell r="F182" t="str">
            <v/>
          </cell>
          <cell r="G182">
            <v>164105</v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>
            <v>8.1350000000000006E-2</v>
          </cell>
          <cell r="M182">
            <v>-0.31383</v>
          </cell>
          <cell r="N182">
            <v>4.6219999999999997E-2</v>
          </cell>
          <cell r="O182">
            <v>-0.54010999999999998</v>
          </cell>
          <cell r="P182">
            <v>-0.60709999999999997</v>
          </cell>
          <cell r="Q182">
            <v>-3.7740000000000003E-2</v>
          </cell>
          <cell r="R182">
            <v>-13.76444</v>
          </cell>
          <cell r="S182">
            <v>13.06854</v>
          </cell>
          <cell r="T182">
            <v>17.032540000000001</v>
          </cell>
          <cell r="U182">
            <v>13.159879999999999</v>
          </cell>
          <cell r="V182">
            <v>-2.84091</v>
          </cell>
          <cell r="W182">
            <v>-9.9100199999999994</v>
          </cell>
          <cell r="X182">
            <v>-11.182550000000001</v>
          </cell>
          <cell r="Y182">
            <v>0.81186899999999995</v>
          </cell>
        </row>
        <row r="183">
          <cell r="B183">
            <v>164107</v>
          </cell>
          <cell r="C183" t="str">
            <v>RTBS</v>
          </cell>
          <cell r="D183" t="str">
            <v>GAS STORED UNDERGROUND - UNION STORAGE BASE</v>
          </cell>
          <cell r="E183" t="str">
            <v/>
          </cell>
          <cell r="F183" t="str">
            <v/>
          </cell>
          <cell r="G183">
            <v>164107</v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164108</v>
          </cell>
          <cell r="C184" t="str">
            <v>RTBS</v>
          </cell>
          <cell r="D184" t="str">
            <v>GAS STORED UNDERGROUND - UNION STORAGE PEAKING</v>
          </cell>
          <cell r="E184" t="str">
            <v/>
          </cell>
          <cell r="F184" t="str">
            <v/>
          </cell>
          <cell r="G184">
            <v>164108</v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164110</v>
          </cell>
          <cell r="C185" t="str">
            <v>RTBS</v>
          </cell>
          <cell r="D185" t="str">
            <v>GAS STORED UNDERGROUND - FAS 133</v>
          </cell>
          <cell r="E185" t="str">
            <v/>
          </cell>
          <cell r="F185" t="str">
            <v/>
          </cell>
          <cell r="G185">
            <v>164110</v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164160</v>
          </cell>
          <cell r="C186" t="str">
            <v>RTBS</v>
          </cell>
          <cell r="D186" t="str">
            <v>GAS STORED-DOMINION TRANSMISSION</v>
          </cell>
          <cell r="E186" t="str">
            <v/>
          </cell>
          <cell r="F186" t="str">
            <v/>
          </cell>
          <cell r="G186">
            <v>164160</v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>
            <v>11023.618539999999</v>
          </cell>
          <cell r="M186">
            <v>7219.4013699999996</v>
          </cell>
          <cell r="N186">
            <v>3265.00452</v>
          </cell>
          <cell r="O186">
            <v>1996.2966899999999</v>
          </cell>
          <cell r="P186">
            <v>3191.5201999999999</v>
          </cell>
          <cell r="Q186">
            <v>5609.5588500000003</v>
          </cell>
          <cell r="R186">
            <v>8634.5019400000001</v>
          </cell>
          <cell r="S186">
            <v>11253.72258</v>
          </cell>
          <cell r="T186">
            <v>13525.465700000001</v>
          </cell>
          <cell r="U186">
            <v>15263.225700000001</v>
          </cell>
          <cell r="V186">
            <v>15533.93253</v>
          </cell>
          <cell r="W186">
            <v>14032.55747</v>
          </cell>
          <cell r="X186">
            <v>11183.30595</v>
          </cell>
          <cell r="Y186">
            <v>9219.0541499999999</v>
          </cell>
        </row>
        <row r="187">
          <cell r="B187">
            <v>165020</v>
          </cell>
          <cell r="C187" t="str">
            <v>RTBS</v>
          </cell>
          <cell r="D187" t="str">
            <v>PREPAYMENTS - INSURANCE</v>
          </cell>
          <cell r="E187" t="str">
            <v/>
          </cell>
          <cell r="F187" t="str">
            <v/>
          </cell>
          <cell r="G187">
            <v>165020</v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>
            <v>775.28800999999999</v>
          </cell>
          <cell r="M187">
            <v>641.13243</v>
          </cell>
          <cell r="N187">
            <v>455.81727000000001</v>
          </cell>
          <cell r="O187">
            <v>270.53219999999999</v>
          </cell>
          <cell r="P187">
            <v>170.68682000000001</v>
          </cell>
          <cell r="Q187">
            <v>6.5696599999999998</v>
          </cell>
          <cell r="R187">
            <v>-194.68186</v>
          </cell>
          <cell r="S187">
            <v>654.37495999999999</v>
          </cell>
          <cell r="T187">
            <v>553.59189000000003</v>
          </cell>
          <cell r="U187">
            <v>1073.1349399999999</v>
          </cell>
          <cell r="V187">
            <v>1000.30773</v>
          </cell>
          <cell r="W187">
            <v>893.22645999999997</v>
          </cell>
          <cell r="X187">
            <v>745.77016000000003</v>
          </cell>
          <cell r="Y187">
            <v>523.76846499999999</v>
          </cell>
        </row>
        <row r="188">
          <cell r="B188">
            <v>165030</v>
          </cell>
          <cell r="C188" t="str">
            <v>RTBS</v>
          </cell>
          <cell r="D188" t="str">
            <v>PREPAYMENTS - POSTAGE</v>
          </cell>
          <cell r="E188" t="str">
            <v/>
          </cell>
          <cell r="F188" t="str">
            <v/>
          </cell>
          <cell r="G188">
            <v>165030</v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>
            <v>264.70026000000001</v>
          </cell>
          <cell r="M188">
            <v>242.64989</v>
          </cell>
          <cell r="N188">
            <v>92.227360000000004</v>
          </cell>
          <cell r="O188">
            <v>325.26292000000001</v>
          </cell>
          <cell r="P188">
            <v>343.87191000000001</v>
          </cell>
          <cell r="Q188">
            <v>364.77334000000002</v>
          </cell>
          <cell r="R188">
            <v>382.83762999999999</v>
          </cell>
          <cell r="S188">
            <v>407.93565000000001</v>
          </cell>
          <cell r="T188">
            <v>615.07414000000006</v>
          </cell>
          <cell r="U188">
            <v>447.70967999999999</v>
          </cell>
          <cell r="V188">
            <v>313.21471000000003</v>
          </cell>
          <cell r="W188">
            <v>539.67397000000005</v>
          </cell>
          <cell r="X188">
            <v>527.96618999999998</v>
          </cell>
          <cell r="Y188">
            <v>372.63036899999997</v>
          </cell>
        </row>
        <row r="189">
          <cell r="B189">
            <v>165040</v>
          </cell>
          <cell r="C189" t="str">
            <v>RTBS</v>
          </cell>
          <cell r="D189" t="str">
            <v>PREPAYMENTS - MISCELLANEOUS</v>
          </cell>
          <cell r="E189" t="str">
            <v/>
          </cell>
          <cell r="F189" t="str">
            <v/>
          </cell>
          <cell r="G189">
            <v>165040</v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4.0428600000000001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109.57917</v>
          </cell>
          <cell r="Y189">
            <v>4.902704</v>
          </cell>
        </row>
        <row r="190">
          <cell r="B190">
            <v>165050</v>
          </cell>
          <cell r="C190" t="str">
            <v>RTBS</v>
          </cell>
          <cell r="D190" t="str">
            <v>PREPAYMENTS - NYS LOW LEV RAD WASTE DISP-GINNA</v>
          </cell>
          <cell r="E190" t="str">
            <v/>
          </cell>
          <cell r="F190" t="str">
            <v/>
          </cell>
          <cell r="G190">
            <v>165050</v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</row>
        <row r="191">
          <cell r="B191">
            <v>165110</v>
          </cell>
          <cell r="C191" t="str">
            <v>RTBS</v>
          </cell>
          <cell r="D191" t="str">
            <v>PREPAYMENTS - REAL PROPERTY</v>
          </cell>
          <cell r="E191" t="str">
            <v/>
          </cell>
          <cell r="F191" t="str">
            <v/>
          </cell>
          <cell r="G191">
            <v>165110</v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>
            <v>27225.476139999999</v>
          </cell>
          <cell r="M191">
            <v>45417.449460000003</v>
          </cell>
          <cell r="N191">
            <v>38840.567230000001</v>
          </cell>
          <cell r="O191">
            <v>32227.47004</v>
          </cell>
          <cell r="P191">
            <v>25520.409510000001</v>
          </cell>
          <cell r="Q191">
            <v>18854.50532</v>
          </cell>
          <cell r="R191">
            <v>13102.534879999999</v>
          </cell>
          <cell r="S191">
            <v>36901.259720000002</v>
          </cell>
          <cell r="T191">
            <v>32599.603510000001</v>
          </cell>
          <cell r="U191">
            <v>46412.684569999998</v>
          </cell>
          <cell r="V191">
            <v>41089.52837</v>
          </cell>
          <cell r="W191">
            <v>34358.955719999998</v>
          </cell>
          <cell r="X191">
            <v>27628.385320000001</v>
          </cell>
          <cell r="Y191">
            <v>32729.324922</v>
          </cell>
        </row>
        <row r="192">
          <cell r="B192">
            <v>165120</v>
          </cell>
          <cell r="C192" t="str">
            <v>RTBS</v>
          </cell>
          <cell r="D192" t="str">
            <v>PREPAYMENTS - SPECIAL FRANCHISE</v>
          </cell>
          <cell r="E192" t="str">
            <v/>
          </cell>
          <cell r="F192" t="str">
            <v/>
          </cell>
          <cell r="G192">
            <v>165120</v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</row>
        <row r="193">
          <cell r="B193">
            <v>165170</v>
          </cell>
          <cell r="C193" t="str">
            <v>RTBS</v>
          </cell>
          <cell r="D193" t="str">
            <v>PREPAYMENTS - FEDERAL EXCISE</v>
          </cell>
          <cell r="E193" t="str">
            <v/>
          </cell>
          <cell r="F193" t="str">
            <v/>
          </cell>
          <cell r="G193">
            <v>165170</v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>
            <v>165290</v>
          </cell>
          <cell r="C194" t="str">
            <v>RTBS</v>
          </cell>
          <cell r="D194" t="str">
            <v>PREPAYMENTS -PSC GEN ASSESSMENT INCL ERDA</v>
          </cell>
          <cell r="E194" t="str">
            <v/>
          </cell>
          <cell r="F194" t="str">
            <v/>
          </cell>
          <cell r="G194">
            <v>165290</v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>
            <v>6563.0958600000004</v>
          </cell>
          <cell r="M194">
            <v>4375.3972599999997</v>
          </cell>
          <cell r="N194">
            <v>2187.69866</v>
          </cell>
          <cell r="O194">
            <v>13177.005139999999</v>
          </cell>
          <cell r="P194">
            <v>10980.83761</v>
          </cell>
          <cell r="Q194">
            <v>8784.6700799999999</v>
          </cell>
          <cell r="R194">
            <v>6588.5025500000002</v>
          </cell>
          <cell r="S194">
            <v>4392.3350200000004</v>
          </cell>
          <cell r="T194">
            <v>2418.9723100000001</v>
          </cell>
          <cell r="U194">
            <v>12909.639289999999</v>
          </cell>
          <cell r="V194">
            <v>10758.032719999999</v>
          </cell>
          <cell r="W194">
            <v>8606.4261499999993</v>
          </cell>
          <cell r="X194">
            <v>6454.8195800000003</v>
          </cell>
          <cell r="Y194">
            <v>7640.7062089999999</v>
          </cell>
        </row>
        <row r="195">
          <cell r="B195">
            <v>171000</v>
          </cell>
          <cell r="C195" t="str">
            <v>Working Capital</v>
          </cell>
          <cell r="D195" t="str">
            <v>INTEREST &amp; DIVIDENDS RECEIVABLE</v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>
            <v>171000</v>
          </cell>
          <cell r="J195" t="str">
            <v/>
          </cell>
          <cell r="K195" t="str">
            <v/>
          </cell>
          <cell r="L195">
            <v>19.752559999999999</v>
          </cell>
          <cell r="M195">
            <v>27.094670000000001</v>
          </cell>
          <cell r="N195">
            <v>23.15438</v>
          </cell>
          <cell r="O195">
            <v>21.061419999999998</v>
          </cell>
          <cell r="P195">
            <v>21.78464</v>
          </cell>
          <cell r="Q195">
            <v>19.805700000000002</v>
          </cell>
          <cell r="R195">
            <v>19.81626</v>
          </cell>
          <cell r="S195">
            <v>21.156669999999998</v>
          </cell>
          <cell r="T195">
            <v>27.490939999999998</v>
          </cell>
          <cell r="U195">
            <v>24.513639999999999</v>
          </cell>
          <cell r="V195">
            <v>21.101150000000001</v>
          </cell>
          <cell r="W195">
            <v>24.479179999999999</v>
          </cell>
          <cell r="X195">
            <v>26.280270000000002</v>
          </cell>
          <cell r="Y195">
            <v>22.872921999999999</v>
          </cell>
        </row>
        <row r="196">
          <cell r="B196">
            <v>171099</v>
          </cell>
          <cell r="C196">
            <v>0</v>
          </cell>
          <cell r="D196" t="str">
            <v>INTERCOMPANY INTEREST RECEIVABLE ELIMINATION</v>
          </cell>
          <cell r="E196">
            <v>0</v>
          </cell>
        </row>
        <row r="197">
          <cell r="B197">
            <v>172000</v>
          </cell>
          <cell r="C197" t="str">
            <v>Working Capital</v>
          </cell>
          <cell r="D197" t="str">
            <v>RENTS RECEIVABLE</v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>
            <v>172000</v>
          </cell>
          <cell r="J197" t="str">
            <v/>
          </cell>
          <cell r="K197" t="str">
            <v/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</row>
        <row r="198">
          <cell r="B198">
            <v>173100</v>
          </cell>
          <cell r="C198" t="str">
            <v>Working Capital</v>
          </cell>
          <cell r="D198" t="str">
            <v>ACCRUED UTILITY REVENUES - ELECTRIC</v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>
            <v>173100</v>
          </cell>
          <cell r="J198" t="str">
            <v/>
          </cell>
          <cell r="K198" t="str">
            <v/>
          </cell>
          <cell r="L198">
            <v>25776.943889999999</v>
          </cell>
          <cell r="M198">
            <v>25718.952000000001</v>
          </cell>
          <cell r="N198">
            <v>16889.722570000002</v>
          </cell>
          <cell r="O198">
            <v>18584.800080000001</v>
          </cell>
          <cell r="P198">
            <v>17495.29725</v>
          </cell>
          <cell r="Q198">
            <v>21946.626270000001</v>
          </cell>
          <cell r="R198">
            <v>22999.39776</v>
          </cell>
          <cell r="S198">
            <v>29239.031760000002</v>
          </cell>
          <cell r="T198">
            <v>27965.488420000001</v>
          </cell>
          <cell r="U198">
            <v>22786.021359999999</v>
          </cell>
          <cell r="V198">
            <v>19978.786090000001</v>
          </cell>
          <cell r="W198">
            <v>21203.83167</v>
          </cell>
          <cell r="X198">
            <v>22987.131369999999</v>
          </cell>
          <cell r="Y198">
            <v>22432.499404999999</v>
          </cell>
        </row>
        <row r="199">
          <cell r="B199">
            <v>173200</v>
          </cell>
          <cell r="C199" t="str">
            <v>Working Capital</v>
          </cell>
          <cell r="D199" t="str">
            <v>ACCRUED UTILITY REVENUES - GAS</v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>
            <v>173200</v>
          </cell>
          <cell r="J199" t="str">
            <v/>
          </cell>
          <cell r="K199" t="str">
            <v/>
          </cell>
          <cell r="L199">
            <v>27125.306629999999</v>
          </cell>
          <cell r="M199">
            <v>28346.238649999999</v>
          </cell>
          <cell r="N199">
            <v>23902.35267</v>
          </cell>
          <cell r="O199">
            <v>20086.7768</v>
          </cell>
          <cell r="P199">
            <v>12638.31709</v>
          </cell>
          <cell r="Q199">
            <v>7814.3726299999998</v>
          </cell>
          <cell r="R199">
            <v>3665.5668799999999</v>
          </cell>
          <cell r="S199">
            <v>2905.4349900000002</v>
          </cell>
          <cell r="T199">
            <v>4855.1627600000002</v>
          </cell>
          <cell r="U199">
            <v>4757.56495</v>
          </cell>
          <cell r="V199">
            <v>9458.7455000000009</v>
          </cell>
          <cell r="W199">
            <v>12693.810380000001</v>
          </cell>
          <cell r="X199">
            <v>18954.963629999998</v>
          </cell>
          <cell r="Y199">
            <v>12847.039869</v>
          </cell>
        </row>
        <row r="200">
          <cell r="B200">
            <v>174100</v>
          </cell>
          <cell r="C200" t="str">
            <v>Working Capital</v>
          </cell>
          <cell r="D200" t="str">
            <v>DEFERRED PURCHASED POWER COSTS</v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>
            <v>174100</v>
          </cell>
          <cell r="J200" t="str">
            <v/>
          </cell>
          <cell r="K200" t="str">
            <v/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</row>
        <row r="201">
          <cell r="B201">
            <v>174110</v>
          </cell>
          <cell r="C201" t="str">
            <v>RTBS</v>
          </cell>
          <cell r="D201" t="str">
            <v>MISC CUR&amp;ACCRD ASSETS -MISC</v>
          </cell>
          <cell r="E201" t="str">
            <v/>
          </cell>
          <cell r="F201" t="str">
            <v/>
          </cell>
          <cell r="G201">
            <v>174110</v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-59.594000000000001</v>
          </cell>
          <cell r="S201">
            <v>3412.2346200000002</v>
          </cell>
          <cell r="T201">
            <v>3308.8348900000001</v>
          </cell>
          <cell r="U201">
            <v>3316.2881200000002</v>
          </cell>
          <cell r="V201">
            <v>3983.7495800000002</v>
          </cell>
          <cell r="W201">
            <v>4136.7175399999996</v>
          </cell>
          <cell r="X201">
            <v>2216.3624399999999</v>
          </cell>
          <cell r="Y201">
            <v>1600.5343310000001</v>
          </cell>
        </row>
        <row r="202">
          <cell r="B202">
            <v>174130</v>
          </cell>
          <cell r="C202" t="str">
            <v>Working Capital</v>
          </cell>
          <cell r="D202" t="str">
            <v>MISC CUR&amp;ACCRD ASSETS -ASSOC CO BILLING</v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>
            <v>174130</v>
          </cell>
          <cell r="J202" t="str">
            <v/>
          </cell>
          <cell r="K202" t="str">
            <v/>
          </cell>
          <cell r="L202">
            <v>11.336880000000001</v>
          </cell>
          <cell r="M202">
            <v>8.2061600000000006</v>
          </cell>
          <cell r="N202">
            <v>21.65401</v>
          </cell>
          <cell r="O202">
            <v>13.99366</v>
          </cell>
          <cell r="P202">
            <v>16.207709999999999</v>
          </cell>
          <cell r="Q202">
            <v>16.953510000000001</v>
          </cell>
          <cell r="R202">
            <v>18.140940000000001</v>
          </cell>
          <cell r="S202">
            <v>19.716840000000001</v>
          </cell>
          <cell r="T202">
            <v>15.11767</v>
          </cell>
          <cell r="U202">
            <v>18.197559999999999</v>
          </cell>
          <cell r="V202">
            <v>18.491050000000001</v>
          </cell>
          <cell r="W202">
            <v>17.08569</v>
          </cell>
          <cell r="X202">
            <v>16.30442</v>
          </cell>
          <cell r="Y202">
            <v>16.465454000000001</v>
          </cell>
        </row>
        <row r="203">
          <cell r="B203">
            <v>174140</v>
          </cell>
          <cell r="C203" t="str">
            <v>Working Capital</v>
          </cell>
          <cell r="D203" t="str">
            <v>MISC CUR&amp;ACCRD ASSETS -OTH BILLING CHARGES</v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>
            <v>174140</v>
          </cell>
          <cell r="J203" t="str">
            <v/>
          </cell>
          <cell r="K203" t="str">
            <v/>
          </cell>
          <cell r="L203">
            <v>0.51385000000000003</v>
          </cell>
          <cell r="M203">
            <v>0.51385000000000003</v>
          </cell>
          <cell r="N203">
            <v>0.51385000000000003</v>
          </cell>
          <cell r="O203">
            <v>0.51385000000000003</v>
          </cell>
          <cell r="P203">
            <v>0.51385000000000003</v>
          </cell>
          <cell r="Q203">
            <v>0.51385000000000003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0.235515</v>
          </cell>
        </row>
        <row r="204">
          <cell r="B204">
            <v>174175</v>
          </cell>
          <cell r="C204" t="str">
            <v>RTBS</v>
          </cell>
          <cell r="D204" t="str">
            <v>MISC CUR &amp; ACCRD ASSETS - UBS / ABN AMRO</v>
          </cell>
          <cell r="E204" t="str">
            <v/>
          </cell>
          <cell r="F204" t="str">
            <v/>
          </cell>
          <cell r="G204">
            <v>174175</v>
          </cell>
          <cell r="H204" t="str">
            <v/>
          </cell>
          <cell r="I204">
            <v>174175</v>
          </cell>
          <cell r="J204" t="str">
            <v/>
          </cell>
          <cell r="K204" t="str">
            <v/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</row>
        <row r="205">
          <cell r="B205">
            <v>174176</v>
          </cell>
          <cell r="C205" t="str">
            <v>RTBS</v>
          </cell>
          <cell r="D205" t="str">
            <v>MISC CUR &amp; ACCRD ASSETS-ROSENTHAL COLLINS</v>
          </cell>
          <cell r="E205" t="str">
            <v/>
          </cell>
          <cell r="F205" t="str">
            <v/>
          </cell>
          <cell r="G205">
            <v>174176</v>
          </cell>
          <cell r="H205" t="str">
            <v/>
          </cell>
          <cell r="I205">
            <v>174176</v>
          </cell>
          <cell r="J205" t="str">
            <v/>
          </cell>
          <cell r="K205" t="str">
            <v/>
          </cell>
          <cell r="L205">
            <v>8727.8250599999992</v>
          </cell>
          <cell r="M205">
            <v>6619.1405100000002</v>
          </cell>
          <cell r="N205">
            <v>7396.9453000000003</v>
          </cell>
          <cell r="O205">
            <v>3617.4125100000001</v>
          </cell>
          <cell r="P205">
            <v>3182.4145100000001</v>
          </cell>
          <cell r="Q205">
            <v>3163.8345100000001</v>
          </cell>
          <cell r="R205">
            <v>3880.5437700000002</v>
          </cell>
          <cell r="S205">
            <v>3613.99377</v>
          </cell>
          <cell r="T205">
            <v>5428.6507700000002</v>
          </cell>
          <cell r="U205">
            <v>5901.5301099999997</v>
          </cell>
          <cell r="V205">
            <v>6256.6415100000004</v>
          </cell>
          <cell r="W205">
            <v>7319.0435100000004</v>
          </cell>
          <cell r="X205">
            <v>8541.8400199999996</v>
          </cell>
          <cell r="Y205">
            <v>5417.9152770000001</v>
          </cell>
        </row>
        <row r="206">
          <cell r="B206">
            <v>176100</v>
          </cell>
          <cell r="C206" t="str">
            <v>Not in RTBS</v>
          </cell>
          <cell r="D206" t="str">
            <v>HEDGED ASSETS-ELECTRIC-SHORT TERM</v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>
            <v>176100</v>
          </cell>
          <cell r="K206" t="str">
            <v/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</row>
        <row r="207">
          <cell r="B207">
            <v>176200</v>
          </cell>
          <cell r="C207" t="str">
            <v>Not in RTBS</v>
          </cell>
          <cell r="D207" t="str">
            <v>HEDGED ASSETS-ELECTRIC-ENRON</v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>
            <v>176200</v>
          </cell>
          <cell r="K207" t="str">
            <v/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</row>
        <row r="208">
          <cell r="B208">
            <v>176300</v>
          </cell>
          <cell r="C208" t="str">
            <v>Not in RTBS</v>
          </cell>
          <cell r="D208" t="str">
            <v>HEDGED ASSETS-GAS-SHORT TERM</v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>
            <v>176300</v>
          </cell>
          <cell r="K208" t="str">
            <v/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</row>
        <row r="209">
          <cell r="B209">
            <v>176301</v>
          </cell>
          <cell r="C209" t="str">
            <v>Not in RTBS</v>
          </cell>
          <cell r="D209" t="str">
            <v>HEDGED ASSETS-GAS-SHORT TERM</v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>
            <v>176301</v>
          </cell>
          <cell r="K209" t="str">
            <v/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</row>
        <row r="210">
          <cell r="B210">
            <v>176350</v>
          </cell>
          <cell r="C210" t="str">
            <v>Not in RTBS</v>
          </cell>
          <cell r="D210" t="str">
            <v>HEDGED ASSETS - GAS - LONG TERM</v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>
            <v>176350</v>
          </cell>
          <cell r="K210" t="str">
            <v/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</row>
        <row r="211">
          <cell r="B211">
            <v>176351</v>
          </cell>
          <cell r="C211" t="str">
            <v>Not in RTBS</v>
          </cell>
          <cell r="D211" t="str">
            <v>HEDGED ASSETS - GAS - LONG TERM</v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>
            <v>176351</v>
          </cell>
          <cell r="K211" t="str">
            <v/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</row>
        <row r="212">
          <cell r="B212">
            <v>176401</v>
          </cell>
          <cell r="C212" t="str">
            <v>Not in RTBS</v>
          </cell>
          <cell r="D212" t="str">
            <v>HEDGED ASSET-COMMON</v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>
            <v>176401</v>
          </cell>
          <cell r="K212" t="str">
            <v/>
          </cell>
          <cell r="L212">
            <v>20.231069999999999</v>
          </cell>
          <cell r="M212">
            <v>46.857190000000003</v>
          </cell>
          <cell r="N212">
            <v>101.95626</v>
          </cell>
          <cell r="O212">
            <v>140.05004</v>
          </cell>
          <cell r="P212">
            <v>199.27549999999999</v>
          </cell>
          <cell r="Q212">
            <v>78.173029999999997</v>
          </cell>
          <cell r="R212">
            <v>39.710439999999998</v>
          </cell>
          <cell r="S212">
            <v>101.4509</v>
          </cell>
          <cell r="T212">
            <v>121.39398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69.915239999999997</v>
          </cell>
        </row>
        <row r="213">
          <cell r="B213">
            <v>176500</v>
          </cell>
          <cell r="C213" t="str">
            <v>Not in RTBS</v>
          </cell>
          <cell r="D213" t="str">
            <v>HEDGED ASSET - COMMON - SWAP</v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>
            <v>176500</v>
          </cell>
          <cell r="K213" t="str">
            <v/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</row>
        <row r="214">
          <cell r="B214">
            <v>176990</v>
          </cell>
          <cell r="C214" t="str">
            <v>Not in RTBS</v>
          </cell>
          <cell r="D214" t="str">
            <v>RECLASS -DERIVATIVE ASSET-SHORT TERM</v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>
            <v>176990</v>
          </cell>
          <cell r="K214" t="str">
            <v/>
          </cell>
          <cell r="L214">
            <v>0</v>
          </cell>
          <cell r="M214">
            <v>0</v>
          </cell>
          <cell r="N214">
            <v>0</v>
          </cell>
          <cell r="O214">
            <v>-68.680000000000007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-5.7233330000000002</v>
          </cell>
        </row>
        <row r="215">
          <cell r="B215">
            <v>176991</v>
          </cell>
          <cell r="C215" t="str">
            <v>Not in RTBS</v>
          </cell>
          <cell r="D215" t="str">
            <v>RECLASS -DERIVATIVE ASSET-LONG TERM</v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>
            <v>176991</v>
          </cell>
          <cell r="K215" t="str">
            <v/>
          </cell>
          <cell r="L215">
            <v>0</v>
          </cell>
          <cell r="M215">
            <v>0</v>
          </cell>
          <cell r="N215">
            <v>0</v>
          </cell>
          <cell r="O215">
            <v>68.680000000000007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5.7233330000000002</v>
          </cell>
        </row>
        <row r="216">
          <cell r="B216">
            <v>176992</v>
          </cell>
          <cell r="C216" t="str">
            <v>Not in RTBS</v>
          </cell>
          <cell r="D216" t="str">
            <v>0000176992 DERIVATIVE ASSET-LONG TERM</v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>
            <v>176992</v>
          </cell>
          <cell r="K216" t="str">
            <v/>
          </cell>
          <cell r="P216">
            <v>102.34</v>
          </cell>
          <cell r="Q216">
            <v>63.77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13.842499999999999</v>
          </cell>
        </row>
        <row r="217">
          <cell r="B217">
            <v>181000</v>
          </cell>
          <cell r="C217" t="str">
            <v>CAP</v>
          </cell>
          <cell r="D217" t="str">
            <v>UNAMORTIZED DEBT EXPENSE</v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>
            <v>181000</v>
          </cell>
          <cell r="L217">
            <v>12322.775250000001</v>
          </cell>
          <cell r="M217">
            <v>12261.67685</v>
          </cell>
          <cell r="N217">
            <v>12200.578450000001</v>
          </cell>
          <cell r="O217">
            <v>12139.48005</v>
          </cell>
          <cell r="P217">
            <v>12078.381649999999</v>
          </cell>
          <cell r="Q217">
            <v>12017.28325</v>
          </cell>
          <cell r="R217">
            <v>11956.18485</v>
          </cell>
          <cell r="S217">
            <v>13170.7544</v>
          </cell>
          <cell r="T217">
            <v>13979.51007</v>
          </cell>
          <cell r="U217">
            <v>13929.04594</v>
          </cell>
          <cell r="V217">
            <v>13853.642320000001</v>
          </cell>
          <cell r="W217">
            <v>13774.75138</v>
          </cell>
          <cell r="X217">
            <v>13021.09519</v>
          </cell>
          <cell r="Y217">
            <v>12836.102036</v>
          </cell>
        </row>
        <row r="218">
          <cell r="B218">
            <v>181001</v>
          </cell>
          <cell r="C218" t="str">
            <v>CAP</v>
          </cell>
          <cell r="D218" t="str">
            <v>UNAMORT DEBT EXP - POLLUTION CONTROL SECURITIES</v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>
            <v>181001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B219">
            <v>181010</v>
          </cell>
          <cell r="C219" t="str">
            <v>CAP</v>
          </cell>
          <cell r="D219" t="str">
            <v>UNAMORT DEBT EXP - SHELF REGISTN OMNIBUS FIN</v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>
            <v>181010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B220">
            <v>181020</v>
          </cell>
          <cell r="C220" t="str">
            <v>CAP</v>
          </cell>
          <cell r="D220" t="str">
            <v>UNAMORT DEBT EXP - $195M M/T NOTES SERIES B</v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>
            <v>181020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</row>
        <row r="221">
          <cell r="B221">
            <v>181100</v>
          </cell>
          <cell r="C221" t="str">
            <v>CAP</v>
          </cell>
          <cell r="D221" t="str">
            <v>UNAMORTIZED DEBT EXPENSE-LONG TERM DEBT</v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>
            <v>181100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</row>
        <row r="222">
          <cell r="B222">
            <v>181200</v>
          </cell>
          <cell r="C222" t="str">
            <v>CAP</v>
          </cell>
          <cell r="D222" t="str">
            <v>UNAMORTIZED DEBT EXPENSE-MEDIUM TERM BONDS</v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>
            <v>181200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</row>
        <row r="223">
          <cell r="B223">
            <v>181300</v>
          </cell>
          <cell r="C223" t="str">
            <v>CAP</v>
          </cell>
          <cell r="D223" t="str">
            <v>UNAMORTIZED DEBT EXPENSE-OMNIBUS</v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>
            <v>181300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</row>
        <row r="224">
          <cell r="B224">
            <v>181400</v>
          </cell>
          <cell r="C224" t="str">
            <v>CAP</v>
          </cell>
          <cell r="D224" t="str">
            <v>UNAMORTIZED DEBT EXPENSE-POLLUTION CONTROL BONDS</v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>
            <v>181400</v>
          </cell>
          <cell r="L224">
            <v>1760.04233</v>
          </cell>
          <cell r="M224">
            <v>1753.21369</v>
          </cell>
          <cell r="N224">
            <v>1746.3850500000001</v>
          </cell>
          <cell r="O224">
            <v>1739.5564099999999</v>
          </cell>
          <cell r="P224">
            <v>1732.72777</v>
          </cell>
          <cell r="Q224">
            <v>1725.89913</v>
          </cell>
          <cell r="R224">
            <v>1719.0704900000001</v>
          </cell>
          <cell r="S224">
            <v>1712.2418500000001</v>
          </cell>
          <cell r="T224">
            <v>1705.4132099999999</v>
          </cell>
          <cell r="U224">
            <v>1698.58457</v>
          </cell>
          <cell r="V224">
            <v>1691.75593</v>
          </cell>
          <cell r="W224">
            <v>1684.9272900000001</v>
          </cell>
          <cell r="X224">
            <v>1678.0986499999999</v>
          </cell>
          <cell r="Y224">
            <v>1719.0704900000001</v>
          </cell>
        </row>
        <row r="225">
          <cell r="B225">
            <v>181530</v>
          </cell>
          <cell r="C225" t="str">
            <v>CAP</v>
          </cell>
          <cell r="D225" t="str">
            <v>UNAMORT DEBT EXP - MDT - 7.64% - SERIES D</v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>
            <v>181530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</row>
        <row r="226">
          <cell r="B226">
            <v>181540</v>
          </cell>
          <cell r="C226" t="str">
            <v>CAP</v>
          </cell>
          <cell r="D226" t="str">
            <v>UNAMORT DEBT EXP - MDT - 7.66% - SERIES E</v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>
            <v>181540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</row>
        <row r="227">
          <cell r="B227">
            <v>181550</v>
          </cell>
          <cell r="C227" t="str">
            <v>CAP</v>
          </cell>
          <cell r="D227" t="str">
            <v>UNAMORT DEBT EXP - MDT - 7.67% - SERIES F</v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>
            <v>181550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</row>
        <row r="228">
          <cell r="B228">
            <v>181570</v>
          </cell>
          <cell r="C228" t="str">
            <v>CAP</v>
          </cell>
          <cell r="D228" t="str">
            <v>UNAMORT DEBT EXP - MDT - 7.45% - SERIES H</v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>
            <v>181570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B229">
            <v>181580</v>
          </cell>
          <cell r="C229" t="str">
            <v>CAP</v>
          </cell>
          <cell r="D229" t="str">
            <v>UNAMORT DEBT EXP - MDT - 5.84 % - SERIES I</v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>
            <v>181580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B230">
            <v>181590</v>
          </cell>
          <cell r="C230" t="str">
            <v>CAP</v>
          </cell>
          <cell r="D230" t="str">
            <v>UNAMORT DEBT EXP - MDT - 7.60% - SERIES J</v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>
            <v>181590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B231">
            <v>182000</v>
          </cell>
          <cell r="C231" t="str">
            <v>Roll Fwd Sched</v>
          </cell>
          <cell r="D231" t="str">
            <v>OTH REGULATORY ASSETS-ENVIRONMENTAL</v>
          </cell>
          <cell r="E231">
            <v>6</v>
          </cell>
          <cell r="F231">
            <v>182000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B232">
            <v>182030</v>
          </cell>
          <cell r="C232" t="str">
            <v>Roll Fwd Sched</v>
          </cell>
          <cell r="D232" t="str">
            <v>OTH REGULATORY ASSETS-DEF GAS COSTS</v>
          </cell>
          <cell r="E232">
            <v>6</v>
          </cell>
          <cell r="F232">
            <v>182030</v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B233">
            <v>182031</v>
          </cell>
          <cell r="C233" t="str">
            <v>Roll Fwd Sched</v>
          </cell>
          <cell r="D233" t="str">
            <v>OTH REGULATORY ASSETS-DEF GAS COSTS-PRIOR YEAR</v>
          </cell>
          <cell r="E233">
            <v>3</v>
          </cell>
          <cell r="F233">
            <v>182031</v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B234">
            <v>182035</v>
          </cell>
          <cell r="C234" t="str">
            <v>Roll Fwd Sched</v>
          </cell>
          <cell r="D234" t="str">
            <v>OTH REGULATORY ASSETS-ELEC. SUPPLY RECONCILIATION</v>
          </cell>
          <cell r="E234">
            <v>10</v>
          </cell>
          <cell r="F234">
            <v>182035</v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B235">
            <v>182040</v>
          </cell>
          <cell r="C235" t="str">
            <v>Roll Fwd Sched</v>
          </cell>
          <cell r="D235" t="str">
            <v>OTH REGULATORY ASSETS-REGULATORY TAX ASSET</v>
          </cell>
          <cell r="E235" t="str">
            <v/>
          </cell>
          <cell r="F235">
            <v>182040</v>
          </cell>
          <cell r="G235" t="str">
            <v/>
          </cell>
          <cell r="H235">
            <v>182040</v>
          </cell>
          <cell r="I235" t="str">
            <v/>
          </cell>
          <cell r="J235" t="str">
            <v/>
          </cell>
          <cell r="K235" t="str">
            <v/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B236">
            <v>182050</v>
          </cell>
          <cell r="C236" t="str">
            <v>Roll Fwd Sched</v>
          </cell>
          <cell r="D236" t="str">
            <v>OTH REGULATORY ASSETS-STATE FAS 109 5.5%</v>
          </cell>
          <cell r="E236" t="str">
            <v/>
          </cell>
          <cell r="F236">
            <v>182050</v>
          </cell>
          <cell r="G236" t="str">
            <v/>
          </cell>
          <cell r="H236">
            <v>182050</v>
          </cell>
          <cell r="I236" t="str">
            <v/>
          </cell>
          <cell r="J236" t="str">
            <v/>
          </cell>
          <cell r="K236" t="str">
            <v/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7">
          <cell r="B237">
            <v>182060</v>
          </cell>
          <cell r="C237" t="str">
            <v>Roll Fwd Sched</v>
          </cell>
          <cell r="D237" t="str">
            <v>OTH REGULATORY ASSETS-CONTRACT TERMINATIONS</v>
          </cell>
          <cell r="E237">
            <v>2</v>
          </cell>
          <cell r="F237">
            <v>182060</v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</row>
        <row r="238">
          <cell r="B238">
            <v>182085</v>
          </cell>
          <cell r="C238" t="str">
            <v>Roll Fwd Sched</v>
          </cell>
          <cell r="D238" t="str">
            <v>OTH REGULATORY ASSETS-GAS HEDGES (LOSSES)</v>
          </cell>
          <cell r="E238">
            <v>2</v>
          </cell>
          <cell r="F238">
            <v>182085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</row>
        <row r="239">
          <cell r="B239">
            <v>182090</v>
          </cell>
          <cell r="C239" t="str">
            <v>Roll Fwd Sched</v>
          </cell>
          <cell r="D239" t="str">
            <v>OTH REGULATORY ASSETS-OTH</v>
          </cell>
          <cell r="E239">
            <v>42</v>
          </cell>
          <cell r="F239">
            <v>182090</v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</row>
        <row r="240">
          <cell r="B240">
            <v>182095</v>
          </cell>
          <cell r="C240" t="str">
            <v>Roll Fwd Sched</v>
          </cell>
          <cell r="D240" t="str">
            <v>OTHER REGULATORY ASSETS - 2004 JOINT PROPOSAL</v>
          </cell>
          <cell r="E240">
            <v>90</v>
          </cell>
          <cell r="F240">
            <v>182095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</row>
        <row r="241">
          <cell r="B241">
            <v>182300</v>
          </cell>
          <cell r="C241" t="str">
            <v>Roll Fwd Sched</v>
          </cell>
          <cell r="D241" t="str">
            <v>OTH REG ASSETS</v>
          </cell>
          <cell r="E241">
            <v>13</v>
          </cell>
          <cell r="F241">
            <v>182300</v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>
            <v>53.558779999999999</v>
          </cell>
          <cell r="M241">
            <v>53.558779999999999</v>
          </cell>
          <cell r="N241">
            <v>53.558779999999999</v>
          </cell>
          <cell r="O241">
            <v>53.558779999999999</v>
          </cell>
          <cell r="P241">
            <v>53.558779999999999</v>
          </cell>
          <cell r="Q241">
            <v>53.558779999999999</v>
          </cell>
          <cell r="R241">
            <v>53.558779999999999</v>
          </cell>
          <cell r="S241">
            <v>53.558779999999999</v>
          </cell>
          <cell r="T241">
            <v>53.558779999999999</v>
          </cell>
          <cell r="U241">
            <v>53.558779999999999</v>
          </cell>
          <cell r="V241">
            <v>53.558779999999999</v>
          </cell>
          <cell r="W241">
            <v>53.558779999999999</v>
          </cell>
          <cell r="X241">
            <v>53.558779999999999</v>
          </cell>
          <cell r="Y241">
            <v>53.558779999999999</v>
          </cell>
        </row>
        <row r="242">
          <cell r="B242">
            <v>182301</v>
          </cell>
          <cell r="C242" t="str">
            <v>Roll Fwd Sched</v>
          </cell>
          <cell r="D242" t="str">
            <v>OTHER REGULATORY ASSETS - ELECTRIC</v>
          </cell>
          <cell r="E242">
            <v>40</v>
          </cell>
          <cell r="F242">
            <v>182301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>
            <v>18529.256379999999</v>
          </cell>
          <cell r="M242">
            <v>17584.812300000001</v>
          </cell>
          <cell r="N242">
            <v>16612.357400000001</v>
          </cell>
          <cell r="O242">
            <v>15550.89473</v>
          </cell>
          <cell r="P242">
            <v>14778.3609</v>
          </cell>
          <cell r="Q242">
            <v>13772.232540000001</v>
          </cell>
          <cell r="R242">
            <v>11158.807210000001</v>
          </cell>
          <cell r="S242">
            <v>10201.587149999999</v>
          </cell>
          <cell r="T242">
            <v>7228.2807899999998</v>
          </cell>
          <cell r="U242">
            <v>6355.8404</v>
          </cell>
          <cell r="V242">
            <v>6905.0383199999997</v>
          </cell>
          <cell r="W242">
            <v>7789.34076</v>
          </cell>
          <cell r="X242">
            <v>8647.0701100000006</v>
          </cell>
          <cell r="Y242">
            <v>11793.809644999999</v>
          </cell>
        </row>
        <row r="243">
          <cell r="B243">
            <v>182303</v>
          </cell>
          <cell r="C243" t="str">
            <v>Roll Fwd Sched</v>
          </cell>
          <cell r="D243" t="str">
            <v>OTHER REGULATORY ASSETS - GAS</v>
          </cell>
          <cell r="E243">
            <v>25</v>
          </cell>
          <cell r="F243">
            <v>182303</v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>
            <v>7807.7360200000003</v>
          </cell>
          <cell r="M243">
            <v>6772.2900900000004</v>
          </cell>
          <cell r="N243">
            <v>5864.4151300000003</v>
          </cell>
          <cell r="O243">
            <v>5267.0815899999998</v>
          </cell>
          <cell r="P243">
            <v>5437.5747700000002</v>
          </cell>
          <cell r="Q243">
            <v>5796.2766300000003</v>
          </cell>
          <cell r="R243">
            <v>5275.8303599999999</v>
          </cell>
          <cell r="S243">
            <v>4904.7116100000003</v>
          </cell>
          <cell r="T243">
            <v>4049.7533199999998</v>
          </cell>
          <cell r="U243">
            <v>3790.4851899999999</v>
          </cell>
          <cell r="V243">
            <v>3226.7165199999999</v>
          </cell>
          <cell r="W243">
            <v>2756.6495199999999</v>
          </cell>
          <cell r="X243">
            <v>1981.41661</v>
          </cell>
          <cell r="Y243">
            <v>4836.3634199999997</v>
          </cell>
        </row>
        <row r="244">
          <cell r="B244">
            <v>182305</v>
          </cell>
          <cell r="C244" t="str">
            <v>Roll Fwd Sched</v>
          </cell>
          <cell r="D244" t="str">
            <v>OTH REG ASSETS-UNCONTROLLABLE/EXONGENOUS COSTS-EL</v>
          </cell>
          <cell r="E244">
            <v>65</v>
          </cell>
          <cell r="F244">
            <v>182305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>
            <v>22898.92886</v>
          </cell>
          <cell r="M244">
            <v>22647.816699999999</v>
          </cell>
          <cell r="N244">
            <v>22397.180530000001</v>
          </cell>
          <cell r="O244">
            <v>22147.02303</v>
          </cell>
          <cell r="P244">
            <v>21889.118429999999</v>
          </cell>
          <cell r="Q244">
            <v>20649.490280000002</v>
          </cell>
          <cell r="R244">
            <v>20392.556659999998</v>
          </cell>
          <cell r="S244">
            <v>20128.283060000002</v>
          </cell>
          <cell r="T244">
            <v>19864.50187</v>
          </cell>
          <cell r="U244">
            <v>19568.577280000001</v>
          </cell>
          <cell r="V244">
            <v>19312.901310000001</v>
          </cell>
          <cell r="W244">
            <v>19042.483370000002</v>
          </cell>
          <cell r="X244">
            <v>18837.16202</v>
          </cell>
          <cell r="Y244">
            <v>20742.331496999999</v>
          </cell>
        </row>
        <row r="245">
          <cell r="B245">
            <v>182306</v>
          </cell>
          <cell r="C245" t="str">
            <v>Roll Fwd Sched</v>
          </cell>
          <cell r="D245" t="str">
            <v>OTH REG ASSETS-UNCONTROLLABLE/EXONGENOUS COSTS-GA</v>
          </cell>
          <cell r="E245">
            <v>55</v>
          </cell>
          <cell r="F245">
            <v>182306</v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>
            <v>27982.22394</v>
          </cell>
          <cell r="M245">
            <v>27619.20363</v>
          </cell>
          <cell r="N245">
            <v>27256.577990000002</v>
          </cell>
          <cell r="O245">
            <v>26894.34924</v>
          </cell>
          <cell r="P245">
            <v>26532.519629999999</v>
          </cell>
          <cell r="Q245">
            <v>26171.091420000001</v>
          </cell>
          <cell r="R245">
            <v>25810.066889999998</v>
          </cell>
          <cell r="S245">
            <v>25449.44832</v>
          </cell>
          <cell r="T245">
            <v>25089.238020000001</v>
          </cell>
          <cell r="U245">
            <v>24679.061369999999</v>
          </cell>
          <cell r="V245">
            <v>24370.051510000001</v>
          </cell>
          <cell r="W245">
            <v>24011.079949999999</v>
          </cell>
          <cell r="X245">
            <v>23681.354790000001</v>
          </cell>
          <cell r="Y245">
            <v>25809.539777999998</v>
          </cell>
        </row>
        <row r="246">
          <cell r="B246">
            <v>182311</v>
          </cell>
          <cell r="C246" t="str">
            <v>Roll Fwd Sched</v>
          </cell>
          <cell r="D246" t="str">
            <v>OTHER ASSETS - BEGINNING BALANCE</v>
          </cell>
          <cell r="E246">
            <v>1</v>
          </cell>
          <cell r="F246">
            <v>182311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</row>
        <row r="247">
          <cell r="B247">
            <v>182320</v>
          </cell>
          <cell r="C247" t="str">
            <v>Roll Fwd Sched</v>
          </cell>
          <cell r="D247" t="str">
            <v>OTH REG ASSETS - SITE REMEDIATION</v>
          </cell>
          <cell r="E247">
            <v>10</v>
          </cell>
          <cell r="F247">
            <v>182320</v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>
            <v>78836.106390000001</v>
          </cell>
          <cell r="M247">
            <v>77704.082550000006</v>
          </cell>
          <cell r="N247">
            <v>77843.461590000006</v>
          </cell>
          <cell r="O247">
            <v>77929.557069999995</v>
          </cell>
          <cell r="P247">
            <v>78509.771309999996</v>
          </cell>
          <cell r="Q247">
            <v>78223.062539999999</v>
          </cell>
          <cell r="R247">
            <v>77796.944879999995</v>
          </cell>
          <cell r="S247">
            <v>76274.850059999997</v>
          </cell>
          <cell r="T247">
            <v>76061.120550000007</v>
          </cell>
          <cell r="U247">
            <v>75521.862330000004</v>
          </cell>
          <cell r="V247">
            <v>75444.455870000005</v>
          </cell>
          <cell r="W247">
            <v>72311.600789999997</v>
          </cell>
          <cell r="X247">
            <v>71323.995930000005</v>
          </cell>
          <cell r="Y247">
            <v>76558.401725000003</v>
          </cell>
        </row>
        <row r="248">
          <cell r="B248">
            <v>182326</v>
          </cell>
          <cell r="C248" t="str">
            <v>Roll Fwd Sched</v>
          </cell>
          <cell r="D248" t="str">
            <v>OTH REGULATORY ASSETS-OPEB SFAS 158</v>
          </cell>
          <cell r="E248">
            <v>3</v>
          </cell>
          <cell r="F248">
            <v>182326</v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</row>
        <row r="249">
          <cell r="B249">
            <v>182336</v>
          </cell>
          <cell r="C249" t="str">
            <v>Roll Fwd Sched</v>
          </cell>
          <cell r="D249" t="str">
            <v>OTH REGULATORY ASSETS-PENSION</v>
          </cell>
          <cell r="E249">
            <v>1</v>
          </cell>
          <cell r="F249">
            <v>182336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>
            <v>114616.48467000001</v>
          </cell>
          <cell r="M249">
            <v>113658.15134</v>
          </cell>
          <cell r="N249">
            <v>112699.81801</v>
          </cell>
          <cell r="O249">
            <v>111741.48467999999</v>
          </cell>
          <cell r="P249">
            <v>110783.15135</v>
          </cell>
          <cell r="Q249">
            <v>110158.11259</v>
          </cell>
          <cell r="R249">
            <v>109266.43815</v>
          </cell>
          <cell r="S249">
            <v>108374.76373000001</v>
          </cell>
          <cell r="T249">
            <v>107483.08931</v>
          </cell>
          <cell r="U249">
            <v>106591.41489</v>
          </cell>
          <cell r="V249">
            <v>105699.74047</v>
          </cell>
          <cell r="W249">
            <v>104808.06604999999</v>
          </cell>
          <cell r="X249">
            <v>129991.86063</v>
          </cell>
          <cell r="Y249">
            <v>110297.366935</v>
          </cell>
        </row>
        <row r="250">
          <cell r="B250">
            <v>182344</v>
          </cell>
          <cell r="C250" t="str">
            <v>Roll Fwd Sched</v>
          </cell>
          <cell r="D250" t="str">
            <v>OTH REG ASSET-UNFUNDED FEDERAL INCOME TAX</v>
          </cell>
          <cell r="E250">
            <v>1</v>
          </cell>
          <cell r="F250">
            <v>182344</v>
          </cell>
          <cell r="G250" t="str">
            <v/>
          </cell>
          <cell r="H250">
            <v>182344</v>
          </cell>
          <cell r="I250" t="str">
            <v/>
          </cell>
          <cell r="J250" t="str">
            <v/>
          </cell>
          <cell r="K250" t="str">
            <v/>
          </cell>
          <cell r="L250">
            <v>133443.87821</v>
          </cell>
          <cell r="M250">
            <v>132499.35136</v>
          </cell>
          <cell r="N250">
            <v>133404.91490999999</v>
          </cell>
          <cell r="O250">
            <v>133844.87517000001</v>
          </cell>
          <cell r="P250">
            <v>133173.82574</v>
          </cell>
          <cell r="Q250">
            <v>133549.12898000001</v>
          </cell>
          <cell r="R250">
            <v>133518.79083000001</v>
          </cell>
          <cell r="S250">
            <v>133491.99423000001</v>
          </cell>
          <cell r="T250">
            <v>133470.26391000001</v>
          </cell>
          <cell r="U250">
            <v>135517.22904000001</v>
          </cell>
          <cell r="V250">
            <v>135558.99677</v>
          </cell>
          <cell r="W250">
            <v>102874.25197</v>
          </cell>
          <cell r="X250">
            <v>117205.20464</v>
          </cell>
          <cell r="Y250">
            <v>130519.013695</v>
          </cell>
        </row>
        <row r="251">
          <cell r="B251">
            <v>182350</v>
          </cell>
          <cell r="C251" t="str">
            <v>Roll Fwd Sched</v>
          </cell>
          <cell r="D251" t="str">
            <v>OTH REG ASSETS - FERC 636 TRANSITION COSTS</v>
          </cell>
          <cell r="E251">
            <v>2</v>
          </cell>
          <cell r="F251">
            <v>182350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</row>
        <row r="252">
          <cell r="B252">
            <v>182355</v>
          </cell>
          <cell r="C252" t="str">
            <v>Roll Fwd Sched</v>
          </cell>
          <cell r="D252" t="str">
            <v>OTH REGULATORY ASSETS-ASSET RETIREMENT-ELEC</v>
          </cell>
          <cell r="E252">
            <v>5</v>
          </cell>
          <cell r="F252">
            <v>182355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>
            <v>12783.265520000001</v>
          </cell>
          <cell r="M252">
            <v>12891.696529999999</v>
          </cell>
          <cell r="N252">
            <v>13000.55539</v>
          </cell>
          <cell r="O252">
            <v>13109.844139999999</v>
          </cell>
          <cell r="P252">
            <v>13219.564770000001</v>
          </cell>
          <cell r="Q252">
            <v>13329.71931</v>
          </cell>
          <cell r="R252">
            <v>13440.30975</v>
          </cell>
          <cell r="S252">
            <v>13551.33813</v>
          </cell>
          <cell r="T252">
            <v>13662.80646</v>
          </cell>
          <cell r="U252">
            <v>13774.71687</v>
          </cell>
          <cell r="V252">
            <v>13887.071309999999</v>
          </cell>
          <cell r="W252">
            <v>13999.8719</v>
          </cell>
          <cell r="X252">
            <v>14058.194750000001</v>
          </cell>
          <cell r="Y252">
            <v>13440.685391000001</v>
          </cell>
        </row>
        <row r="253">
          <cell r="B253">
            <v>182356</v>
          </cell>
          <cell r="C253" t="str">
            <v>Roll Fwd Sched</v>
          </cell>
          <cell r="D253" t="str">
            <v>OTH REG ASSET-ASSET RETIREMENT OBLIG (ARO)-GAS</v>
          </cell>
          <cell r="E253">
            <v>1</v>
          </cell>
          <cell r="F253">
            <v>182356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>
            <v>179.95689999999999</v>
          </cell>
          <cell r="M253">
            <v>186.84084999999999</v>
          </cell>
          <cell r="N253">
            <v>193.75451000000001</v>
          </cell>
          <cell r="O253">
            <v>200.69801000000001</v>
          </cell>
          <cell r="P253">
            <v>207.67143999999999</v>
          </cell>
          <cell r="Q253">
            <v>214.67499000000001</v>
          </cell>
          <cell r="R253">
            <v>221.70884000000001</v>
          </cell>
          <cell r="S253">
            <v>228.77307999999999</v>
          </cell>
          <cell r="T253">
            <v>235.86779000000001</v>
          </cell>
          <cell r="U253">
            <v>242.99311</v>
          </cell>
          <cell r="V253">
            <v>250.14920000000001</v>
          </cell>
          <cell r="W253">
            <v>257.33625000000001</v>
          </cell>
          <cell r="X253">
            <v>-13.556760000000001</v>
          </cell>
          <cell r="Y253">
            <v>210.305678</v>
          </cell>
        </row>
        <row r="254">
          <cell r="B254">
            <v>182360</v>
          </cell>
          <cell r="C254" t="str">
            <v>Roll Fwd Sched</v>
          </cell>
          <cell r="D254" t="str">
            <v>OTH REG ASSETS - OSWEGO PLANT SALE</v>
          </cell>
          <cell r="E254">
            <v>2</v>
          </cell>
          <cell r="F254">
            <v>182360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>
            <v>16334.69231</v>
          </cell>
          <cell r="M254">
            <v>15880.950860000001</v>
          </cell>
          <cell r="N254">
            <v>15427.209409999999</v>
          </cell>
          <cell r="O254">
            <v>14973.46796</v>
          </cell>
          <cell r="P254">
            <v>14519.72651</v>
          </cell>
          <cell r="Q254">
            <v>14065.985060000001</v>
          </cell>
          <cell r="R254">
            <v>13612.24361</v>
          </cell>
          <cell r="S254">
            <v>13158.50216</v>
          </cell>
          <cell r="T254">
            <v>12704.76071</v>
          </cell>
          <cell r="U254">
            <v>12251.019259999999</v>
          </cell>
          <cell r="V254">
            <v>11797.27781</v>
          </cell>
          <cell r="W254">
            <v>11343.53636</v>
          </cell>
          <cell r="X254">
            <v>10889.794910000001</v>
          </cell>
          <cell r="Y254">
            <v>13612.24361</v>
          </cell>
        </row>
        <row r="255">
          <cell r="B255">
            <v>182361</v>
          </cell>
          <cell r="C255" t="str">
            <v>Roll Fwd Sched</v>
          </cell>
          <cell r="D255" t="str">
            <v>OTH REGULATORY ASSETS-CONTRACT TERMINATIONS-ELEC</v>
          </cell>
          <cell r="E255">
            <v>1</v>
          </cell>
          <cell r="F255">
            <v>182361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>
            <v>35286.639660000001</v>
          </cell>
          <cell r="M255">
            <v>34306.45523</v>
          </cell>
          <cell r="N255">
            <v>33326.270799999998</v>
          </cell>
          <cell r="O255">
            <v>32346.086370000001</v>
          </cell>
          <cell r="P255">
            <v>31365.90194</v>
          </cell>
          <cell r="Q255">
            <v>30385.717509999999</v>
          </cell>
          <cell r="R255">
            <v>29405.533080000001</v>
          </cell>
          <cell r="S255">
            <v>28425.34865</v>
          </cell>
          <cell r="T255">
            <v>27445.164219999999</v>
          </cell>
          <cell r="U255">
            <v>26464.979790000001</v>
          </cell>
          <cell r="V255">
            <v>25484.79536</v>
          </cell>
          <cell r="W255">
            <v>24504.610929999999</v>
          </cell>
          <cell r="X255">
            <v>23524.426500000001</v>
          </cell>
          <cell r="Y255">
            <v>29405.533080000001</v>
          </cell>
        </row>
        <row r="256">
          <cell r="B256">
            <v>182366</v>
          </cell>
          <cell r="C256" t="str">
            <v>Roll Fwd Sched</v>
          </cell>
          <cell r="D256" t="str">
            <v>OTH REGULATORY ASSETS-DSO ELEC HEDGES (LOSSES)</v>
          </cell>
          <cell r="E256">
            <v>1</v>
          </cell>
          <cell r="F256">
            <v>182366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19.152000000000001</v>
          </cell>
          <cell r="S256">
            <v>0</v>
          </cell>
          <cell r="T256">
            <v>0</v>
          </cell>
          <cell r="U256">
            <v>207.22399999999999</v>
          </cell>
          <cell r="V256">
            <v>156.24799999999999</v>
          </cell>
          <cell r="W256">
            <v>859.048</v>
          </cell>
          <cell r="X256">
            <v>1519.3019999999999</v>
          </cell>
          <cell r="Y256">
            <v>166.776917</v>
          </cell>
        </row>
        <row r="257">
          <cell r="B257">
            <v>182367</v>
          </cell>
          <cell r="C257" t="str">
            <v>Roll Fwd Sched</v>
          </cell>
          <cell r="D257" t="str">
            <v>OTH REG ASSETS - NON-BYPASSABLE CHARGE-NBC</v>
          </cell>
          <cell r="E257">
            <v>1</v>
          </cell>
          <cell r="F257">
            <v>182367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>
            <v>1474.65858</v>
          </cell>
          <cell r="M257">
            <v>503.44734999999997</v>
          </cell>
          <cell r="N257">
            <v>3447.3250600000001</v>
          </cell>
          <cell r="O257">
            <v>1397.4764600000001</v>
          </cell>
          <cell r="P257">
            <v>1888.4977899999999</v>
          </cell>
          <cell r="Q257">
            <v>-52.537109999999998</v>
          </cell>
          <cell r="R257">
            <v>-330.70517999999998</v>
          </cell>
          <cell r="S257">
            <v>-1135.7597900000001</v>
          </cell>
          <cell r="T257">
            <v>2376.1975299999999</v>
          </cell>
          <cell r="U257">
            <v>3339.2964900000002</v>
          </cell>
          <cell r="V257">
            <v>4580.5265399999998</v>
          </cell>
          <cell r="W257">
            <v>1833.55764</v>
          </cell>
          <cell r="X257">
            <v>2153.2554700000001</v>
          </cell>
          <cell r="Y257">
            <v>1638.4399840000001</v>
          </cell>
        </row>
        <row r="258">
          <cell r="B258">
            <v>182370</v>
          </cell>
          <cell r="C258" t="str">
            <v>Roll Fwd Sched</v>
          </cell>
          <cell r="D258" t="str">
            <v>OTH REG ASSETS - GCA - CURRENT PERIOD</v>
          </cell>
          <cell r="E258">
            <v>4</v>
          </cell>
          <cell r="F258">
            <v>182370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492.82368000000002</v>
          </cell>
          <cell r="V258">
            <v>1393.61501</v>
          </cell>
          <cell r="W258">
            <v>1515.0818899999999</v>
          </cell>
          <cell r="X258">
            <v>909.10167999999999</v>
          </cell>
          <cell r="Y258">
            <v>321.33928500000002</v>
          </cell>
        </row>
        <row r="259">
          <cell r="B259">
            <v>182371</v>
          </cell>
          <cell r="C259" t="str">
            <v>Roll Fwd Sched</v>
          </cell>
          <cell r="D259" t="str">
            <v>OTH REG ASSETS - GCA - PRIOR PERIOD</v>
          </cell>
          <cell r="E259">
            <v>3</v>
          </cell>
          <cell r="F259">
            <v>182371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>
            <v>1076.5831499999999</v>
          </cell>
          <cell r="M259">
            <v>936.94159000000002</v>
          </cell>
          <cell r="N259">
            <v>817.12194999999997</v>
          </cell>
          <cell r="O259">
            <v>716.53354999999999</v>
          </cell>
          <cell r="P259">
            <v>658.26125000000002</v>
          </cell>
          <cell r="Q259">
            <v>626.48152000000005</v>
          </cell>
          <cell r="R259">
            <v>613.69781999999998</v>
          </cell>
          <cell r="S259">
            <v>600.66571999999996</v>
          </cell>
          <cell r="T259">
            <v>582.08412999999996</v>
          </cell>
          <cell r="U259">
            <v>567.20465000000002</v>
          </cell>
          <cell r="V259">
            <v>528.28313000000003</v>
          </cell>
          <cell r="W259">
            <v>471.02253000000002</v>
          </cell>
          <cell r="X259">
            <v>3425.01244</v>
          </cell>
          <cell r="Y259">
            <v>780.75797</v>
          </cell>
        </row>
        <row r="260">
          <cell r="B260">
            <v>182372</v>
          </cell>
          <cell r="C260" t="str">
            <v>Roll Fwd Sched</v>
          </cell>
          <cell r="D260" t="str">
            <v>OTH REG ASSETS - GAS CAPACITY RELEASE S/HOLDER</v>
          </cell>
          <cell r="E260">
            <v>3</v>
          </cell>
          <cell r="F260">
            <v>182372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>
            <v>24.896999999999998</v>
          </cell>
          <cell r="M260">
            <v>43.481000000000002</v>
          </cell>
          <cell r="N260">
            <v>51.192999999999998</v>
          </cell>
          <cell r="O260">
            <v>55.695999999999998</v>
          </cell>
          <cell r="P260">
            <v>58.23639</v>
          </cell>
          <cell r="Q260">
            <v>58.739780000000003</v>
          </cell>
          <cell r="R260">
            <v>63.397919999999999</v>
          </cell>
          <cell r="S260">
            <v>69.906090000000006</v>
          </cell>
          <cell r="T260">
            <v>70.922089999999997</v>
          </cell>
          <cell r="U260">
            <v>71.50609</v>
          </cell>
          <cell r="V260">
            <v>76.829089999999994</v>
          </cell>
          <cell r="W260">
            <v>78.171090000000007</v>
          </cell>
          <cell r="X260">
            <v>11.526999999999999</v>
          </cell>
          <cell r="Y260">
            <v>59.690877999999998</v>
          </cell>
        </row>
        <row r="261">
          <cell r="B261">
            <v>182375</v>
          </cell>
          <cell r="C261" t="str">
            <v>Roll Fwd Sched</v>
          </cell>
          <cell r="D261" t="str">
            <v>OTH REGULATORY ASSETS-GAS HEDGES (LOSSES)</v>
          </cell>
          <cell r="E261">
            <v>1</v>
          </cell>
          <cell r="F261">
            <v>182375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>
            <v>7444.98</v>
          </cell>
          <cell r="M261">
            <v>5533.42</v>
          </cell>
          <cell r="N261">
            <v>6094.9</v>
          </cell>
          <cell r="O261">
            <v>2521.85</v>
          </cell>
          <cell r="P261">
            <v>553.09</v>
          </cell>
          <cell r="Q261">
            <v>631.82000000000005</v>
          </cell>
          <cell r="R261">
            <v>2008.3</v>
          </cell>
          <cell r="S261">
            <v>3004.37</v>
          </cell>
          <cell r="T261">
            <v>3333.52</v>
          </cell>
          <cell r="U261">
            <v>4670.12</v>
          </cell>
          <cell r="V261">
            <v>4544.3900000000003</v>
          </cell>
          <cell r="W261">
            <v>5699.98</v>
          </cell>
          <cell r="X261">
            <v>7008.54</v>
          </cell>
          <cell r="Y261">
            <v>3818.5433330000001</v>
          </cell>
        </row>
        <row r="262">
          <cell r="B262">
            <v>182380</v>
          </cell>
          <cell r="C262" t="str">
            <v>Roll Fwd Sched</v>
          </cell>
          <cell r="D262" t="str">
            <v>OTH REG ASSETS - NM2 DEFERRED PLANT</v>
          </cell>
          <cell r="E262">
            <v>2</v>
          </cell>
          <cell r="F262">
            <v>182380</v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>
            <v>15295.809300000001</v>
          </cell>
          <cell r="M262">
            <v>14870.92571</v>
          </cell>
          <cell r="N262">
            <v>14446.04212</v>
          </cell>
          <cell r="O262">
            <v>14021.158530000001</v>
          </cell>
          <cell r="P262">
            <v>13596.274939999999</v>
          </cell>
          <cell r="Q262">
            <v>13171.39135</v>
          </cell>
          <cell r="R262">
            <v>12746.50776</v>
          </cell>
          <cell r="S262">
            <v>12321.624169999999</v>
          </cell>
          <cell r="T262">
            <v>11896.74058</v>
          </cell>
          <cell r="U262">
            <v>11471.85699</v>
          </cell>
          <cell r="V262">
            <v>11046.973400000001</v>
          </cell>
          <cell r="W262">
            <v>10622.089809999999</v>
          </cell>
          <cell r="X262">
            <v>10197.20622</v>
          </cell>
          <cell r="Y262">
            <v>12746.50776</v>
          </cell>
        </row>
        <row r="263">
          <cell r="B263">
            <v>182381</v>
          </cell>
          <cell r="C263" t="str">
            <v>Roll Fwd Sched</v>
          </cell>
          <cell r="D263" t="str">
            <v>OTH REG ASSETS - NM2 SALE OF PLANT ASSETS</v>
          </cell>
          <cell r="E263">
            <v>1</v>
          </cell>
          <cell r="F263">
            <v>182381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>
            <v>32713.79307</v>
          </cell>
          <cell r="M263">
            <v>31314.354770000002</v>
          </cell>
          <cell r="N263">
            <v>30033.31567</v>
          </cell>
          <cell r="O263">
            <v>28879.72537</v>
          </cell>
          <cell r="P263">
            <v>27846.812669999999</v>
          </cell>
          <cell r="Q263">
            <v>26851.18477</v>
          </cell>
          <cell r="R263">
            <v>25867.522069999999</v>
          </cell>
          <cell r="S263">
            <v>24845.011770000001</v>
          </cell>
          <cell r="T263">
            <v>23870.537469999999</v>
          </cell>
          <cell r="U263">
            <v>22892.197970000001</v>
          </cell>
          <cell r="V263">
            <v>21914.906869999999</v>
          </cell>
          <cell r="W263">
            <v>20940.361369999999</v>
          </cell>
          <cell r="X263">
            <v>19957.407469999998</v>
          </cell>
          <cell r="Y263">
            <v>25965.960920000001</v>
          </cell>
        </row>
        <row r="264">
          <cell r="B264">
            <v>182382</v>
          </cell>
          <cell r="C264" t="str">
            <v>Roll Fwd Sched</v>
          </cell>
          <cell r="D264" t="str">
            <v>OTH REG ASSETS - NM2 NYS INCOME TAX</v>
          </cell>
          <cell r="E264">
            <v>1</v>
          </cell>
          <cell r="F264">
            <v>182382</v>
          </cell>
          <cell r="G264" t="str">
            <v/>
          </cell>
          <cell r="H264">
            <v>182382</v>
          </cell>
          <cell r="I264" t="str">
            <v/>
          </cell>
          <cell r="J264" t="str">
            <v/>
          </cell>
          <cell r="K264" t="str">
            <v/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B265">
            <v>182390</v>
          </cell>
          <cell r="C265" t="str">
            <v>Roll Fwd Sched</v>
          </cell>
          <cell r="D265" t="str">
            <v>OTH REG ASSETS - ICE STORM</v>
          </cell>
          <cell r="E265">
            <v>1</v>
          </cell>
          <cell r="F265">
            <v>182390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</row>
        <row r="266">
          <cell r="B266">
            <v>182392</v>
          </cell>
          <cell r="C266" t="str">
            <v>Roll Fwd Sched</v>
          </cell>
          <cell r="D266" t="str">
            <v>OTH REG ASSETS-DEFERRED INCOME TAXES-FEDERAL</v>
          </cell>
          <cell r="E266">
            <v>1</v>
          </cell>
          <cell r="F266">
            <v>182392</v>
          </cell>
          <cell r="G266" t="str">
            <v/>
          </cell>
          <cell r="H266">
            <v>182392</v>
          </cell>
          <cell r="I266" t="str">
            <v/>
          </cell>
          <cell r="J266" t="str">
            <v/>
          </cell>
          <cell r="K266" t="str">
            <v/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B267">
            <v>182393</v>
          </cell>
          <cell r="C267" t="str">
            <v>Roll Fwd Sched</v>
          </cell>
          <cell r="D267" t="str">
            <v>OTH REG ASSETS-DEFERRED INCOME TAXES-STATE</v>
          </cell>
          <cell r="E267">
            <v>1</v>
          </cell>
          <cell r="F267">
            <v>182393</v>
          </cell>
          <cell r="G267" t="str">
            <v/>
          </cell>
          <cell r="H267">
            <v>182393</v>
          </cell>
          <cell r="I267" t="str">
            <v/>
          </cell>
          <cell r="J267" t="str">
            <v/>
          </cell>
          <cell r="K267" t="str">
            <v/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</row>
        <row r="268">
          <cell r="B268">
            <v>182400</v>
          </cell>
          <cell r="C268" t="str">
            <v>Roll Fwd Sched</v>
          </cell>
          <cell r="D268" t="str">
            <v>OTH REG ASSETS - URANIUM ENRICHMENT FUND-DOE</v>
          </cell>
          <cell r="E268">
            <v>1</v>
          </cell>
          <cell r="F268">
            <v>182400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</row>
        <row r="269">
          <cell r="B269">
            <v>182430</v>
          </cell>
          <cell r="C269" t="str">
            <v>Roll Fwd Sched</v>
          </cell>
          <cell r="D269" t="str">
            <v>OTH REG ASSETS - KAMINE - FACILITY</v>
          </cell>
          <cell r="E269" t="str">
            <v/>
          </cell>
          <cell r="F269">
            <v>182430</v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B270">
            <v>182440</v>
          </cell>
          <cell r="C270" t="str">
            <v>Roll Fwd Sched</v>
          </cell>
          <cell r="D270" t="str">
            <v>OTH REG ASSETS - KAMINE - DEPRECIATION RESERVE</v>
          </cell>
          <cell r="E270" t="str">
            <v/>
          </cell>
          <cell r="F270">
            <v>182440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B271">
            <v>182460</v>
          </cell>
          <cell r="C271" t="str">
            <v>Roll Fwd Sched</v>
          </cell>
          <cell r="D271" t="str">
            <v>OTH REG ASSETS - REGULATORY TAX ASSET</v>
          </cell>
          <cell r="E271">
            <v>2</v>
          </cell>
          <cell r="F271">
            <v>182460</v>
          </cell>
          <cell r="G271" t="str">
            <v/>
          </cell>
          <cell r="H271">
            <v>182460</v>
          </cell>
          <cell r="I271" t="str">
            <v/>
          </cell>
          <cell r="J271" t="str">
            <v/>
          </cell>
          <cell r="K271" t="str">
            <v/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B272">
            <v>182470</v>
          </cell>
          <cell r="C272" t="str">
            <v>Roll Fwd Sched</v>
          </cell>
          <cell r="D272" t="str">
            <v>OTH REG ASSETS - ACCUMULATED DEFERRED INCOME TAXE</v>
          </cell>
          <cell r="E272">
            <v>2</v>
          </cell>
          <cell r="F272">
            <v>182470</v>
          </cell>
          <cell r="G272" t="str">
            <v/>
          </cell>
          <cell r="H272">
            <v>182470</v>
          </cell>
          <cell r="I272" t="str">
            <v/>
          </cell>
          <cell r="J272" t="str">
            <v/>
          </cell>
          <cell r="K272" t="str">
            <v/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</row>
        <row r="273">
          <cell r="B273">
            <v>182500</v>
          </cell>
          <cell r="C273" t="str">
            <v>Roll Fwd Sched</v>
          </cell>
          <cell r="D273" t="str">
            <v>OTH REG ASSETS - NYS FAS 109 5.5%</v>
          </cell>
          <cell r="E273">
            <v>2</v>
          </cell>
          <cell r="F273">
            <v>182500</v>
          </cell>
          <cell r="G273" t="str">
            <v/>
          </cell>
          <cell r="H273">
            <v>182500</v>
          </cell>
          <cell r="I273" t="str">
            <v/>
          </cell>
          <cell r="J273" t="str">
            <v/>
          </cell>
          <cell r="K273" t="str">
            <v/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>
            <v>182510</v>
          </cell>
          <cell r="C274" t="str">
            <v>Roll Fwd Sched</v>
          </cell>
          <cell r="D274" t="str">
            <v>OTH REG ASSETS - LOW INC ARREARS FORGIVENESS-ELE</v>
          </cell>
          <cell r="E274">
            <v>1</v>
          </cell>
          <cell r="F274">
            <v>182510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</row>
        <row r="275">
          <cell r="B275">
            <v>182511</v>
          </cell>
          <cell r="C275" t="str">
            <v>Roll Fwd Sched</v>
          </cell>
          <cell r="D275" t="str">
            <v>OTH REG ASSETS - LOW INC ARREARS FORGIVENESS-GAS</v>
          </cell>
          <cell r="E275">
            <v>1</v>
          </cell>
          <cell r="F275">
            <v>182511</v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B276">
            <v>182520</v>
          </cell>
          <cell r="C276" t="str">
            <v>Roll Fwd Sched</v>
          </cell>
          <cell r="D276" t="str">
            <v>OTH REG ASSETS - LOW INCOME BUDGET REDUCTIONS-ELE</v>
          </cell>
          <cell r="E276">
            <v>1</v>
          </cell>
          <cell r="F276">
            <v>182520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B277">
            <v>182521</v>
          </cell>
          <cell r="C277" t="str">
            <v>Roll Fwd Sched</v>
          </cell>
          <cell r="D277" t="str">
            <v>OTH REG ASSETS - LOW INCOME BUDGET REDUCTIONS-GAS</v>
          </cell>
          <cell r="E277">
            <v>1</v>
          </cell>
          <cell r="F277">
            <v>182521</v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>
            <v>182522</v>
          </cell>
          <cell r="C278" t="str">
            <v>Roll Fwd Sched</v>
          </cell>
          <cell r="D278" t="str">
            <v>OTH REG ASSETS - LOW INCOME ADMINISTRATION COSTS</v>
          </cell>
          <cell r="E278">
            <v>1</v>
          </cell>
          <cell r="F278">
            <v>182522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B279">
            <v>182523</v>
          </cell>
          <cell r="C279" t="str">
            <v>Roll Fwd Sched</v>
          </cell>
          <cell r="D279" t="str">
            <v>OTH REG ASSETS - LOW INCOME BUDGET COUNSELING</v>
          </cell>
          <cell r="E279">
            <v>1</v>
          </cell>
          <cell r="F279">
            <v>182523</v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B280">
            <v>182530</v>
          </cell>
          <cell r="C280" t="str">
            <v>Roll Fwd Sched</v>
          </cell>
          <cell r="D280" t="str">
            <v>OTH REG ASSETS - NM2 SALE OF PLANT ASSETS</v>
          </cell>
          <cell r="E280">
            <v>3</v>
          </cell>
          <cell r="F280">
            <v>182530</v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B281">
            <v>182531</v>
          </cell>
          <cell r="C281" t="str">
            <v>Roll Fwd Sched</v>
          </cell>
          <cell r="D281" t="str">
            <v>OTH REG ASSETS - NM2 NYS INCOME TAX</v>
          </cell>
          <cell r="E281">
            <v>3</v>
          </cell>
          <cell r="F281">
            <v>182531</v>
          </cell>
          <cell r="G281" t="str">
            <v/>
          </cell>
          <cell r="H281">
            <v>182531</v>
          </cell>
          <cell r="I281" t="str">
            <v/>
          </cell>
          <cell r="J281" t="str">
            <v/>
          </cell>
          <cell r="K281" t="str">
            <v/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B282">
            <v>182550</v>
          </cell>
          <cell r="C282" t="str">
            <v>Roll Fwd Sched</v>
          </cell>
          <cell r="D282" t="str">
            <v>OTH REG ASSETS - CHANGE IN CONTROL</v>
          </cell>
          <cell r="E282">
            <v>1</v>
          </cell>
          <cell r="F282">
            <v>182550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B283">
            <v>182560</v>
          </cell>
          <cell r="C283" t="str">
            <v>Roll Fwd Sched</v>
          </cell>
          <cell r="D283" t="str">
            <v>OTH REG ASSETS - CHG IN CONTROL ENHANCE RABBI TRU</v>
          </cell>
          <cell r="E283">
            <v>1</v>
          </cell>
          <cell r="F283">
            <v>182560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B284">
            <v>182570</v>
          </cell>
          <cell r="C284" t="str">
            <v>Roll Fwd Sched</v>
          </cell>
          <cell r="D284" t="str">
            <v>OTH REG ASSETS - CTA/INCREMENTAL INTEGRATION PROJ</v>
          </cell>
          <cell r="E284">
            <v>1</v>
          </cell>
          <cell r="F284">
            <v>182570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B285">
            <v>182590</v>
          </cell>
          <cell r="C285" t="str">
            <v>Roll Fwd Sched</v>
          </cell>
          <cell r="D285" t="str">
            <v>OTH REG ASSETS - ALLEGANY BUYOUT</v>
          </cell>
          <cell r="E285">
            <v>1</v>
          </cell>
          <cell r="F285">
            <v>182590</v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</row>
        <row r="286">
          <cell r="B286">
            <v>182595</v>
          </cell>
          <cell r="C286" t="str">
            <v>Roll Fwd Sched</v>
          </cell>
          <cell r="D286" t="str">
            <v>OTH REG ASSETS-ASSET RETIREMENT OBLIGATION-ELEC</v>
          </cell>
          <cell r="E286" t="str">
            <v/>
          </cell>
          <cell r="F286">
            <v>182595</v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>
            <v>182700</v>
          </cell>
          <cell r="C287" t="str">
            <v>Roll Fwd Sched</v>
          </cell>
          <cell r="D287" t="str">
            <v>OTH REG ASSETS - CTA - VERP</v>
          </cell>
          <cell r="E287">
            <v>1</v>
          </cell>
          <cell r="F287">
            <v>182700</v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</row>
        <row r="288">
          <cell r="B288">
            <v>182710</v>
          </cell>
          <cell r="C288" t="str">
            <v>Roll Fwd Sched</v>
          </cell>
          <cell r="D288" t="str">
            <v>OTH REG ASSETS - CTA-EMPL SEVERANCE PROGRAM</v>
          </cell>
          <cell r="E288">
            <v>1</v>
          </cell>
          <cell r="F288">
            <v>182710</v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B289">
            <v>182720</v>
          </cell>
          <cell r="C289" t="str">
            <v>Roll Fwd Sched</v>
          </cell>
          <cell r="D289" t="str">
            <v>OTH REG ASSETS - CTA-FAS112-COBRA</v>
          </cell>
          <cell r="E289">
            <v>1</v>
          </cell>
          <cell r="F289">
            <v>182720</v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B290">
            <v>182730</v>
          </cell>
          <cell r="C290" t="str">
            <v>Roll Fwd Sched</v>
          </cell>
          <cell r="D290" t="str">
            <v>OTH REG ASSETS - CTA - OUTPLACEMENT</v>
          </cell>
          <cell r="E290">
            <v>1</v>
          </cell>
          <cell r="F290">
            <v>182730</v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B291">
            <v>182990</v>
          </cell>
          <cell r="C291" t="str">
            <v>Roll Fwd Sched</v>
          </cell>
          <cell r="D291" t="str">
            <v>RECLASS OTH REG ASSET-UNFUND FUT FIT-EL(W/ 182991</v>
          </cell>
          <cell r="E291">
            <v>2</v>
          </cell>
          <cell r="F291">
            <v>182990</v>
          </cell>
          <cell r="G291" t="str">
            <v/>
          </cell>
          <cell r="H291">
            <v>182990</v>
          </cell>
          <cell r="I291" t="str">
            <v/>
          </cell>
          <cell r="J291" t="str">
            <v/>
          </cell>
          <cell r="K291" t="str">
            <v/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B292">
            <v>182991</v>
          </cell>
          <cell r="C292" t="str">
            <v>Roll Fwd Sched</v>
          </cell>
          <cell r="D292" t="str">
            <v>RECLASS OTH REG ASSET-UNFUND FUT FIT-EL(W/ 182990</v>
          </cell>
          <cell r="E292">
            <v>2</v>
          </cell>
          <cell r="F292">
            <v>182991</v>
          </cell>
          <cell r="G292" t="str">
            <v/>
          </cell>
          <cell r="H292">
            <v>182991</v>
          </cell>
          <cell r="I292" t="str">
            <v/>
          </cell>
          <cell r="J292" t="str">
            <v/>
          </cell>
          <cell r="K292" t="str">
            <v/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</row>
        <row r="293">
          <cell r="B293">
            <v>183010</v>
          </cell>
          <cell r="C293" t="str">
            <v>RTBS</v>
          </cell>
          <cell r="D293" t="str">
            <v>PRELIMINARY ENGINEERING - ELECTRIC</v>
          </cell>
          <cell r="E293" t="str">
            <v/>
          </cell>
          <cell r="F293" t="str">
            <v/>
          </cell>
          <cell r="G293">
            <v>183010</v>
          </cell>
          <cell r="H293" t="str">
            <v/>
          </cell>
          <cell r="I293" t="str">
            <v/>
          </cell>
          <cell r="J293" t="str">
            <v/>
          </cell>
          <cell r="K293" t="str">
            <v/>
          </cell>
          <cell r="L293">
            <v>551.84631000000002</v>
          </cell>
          <cell r="M293">
            <v>747.45793000000003</v>
          </cell>
          <cell r="N293">
            <v>939.49012000000005</v>
          </cell>
          <cell r="O293">
            <v>1088.02973</v>
          </cell>
          <cell r="P293">
            <v>1189.19642</v>
          </cell>
          <cell r="Q293">
            <v>1411.7617700000001</v>
          </cell>
          <cell r="R293">
            <v>1620.0690300000001</v>
          </cell>
          <cell r="S293">
            <v>1893.45786</v>
          </cell>
          <cell r="T293">
            <v>2171.1878000000002</v>
          </cell>
          <cell r="U293">
            <v>2450.3940699999998</v>
          </cell>
          <cell r="V293">
            <v>2969.3474299999998</v>
          </cell>
          <cell r="W293">
            <v>3225.9301300000002</v>
          </cell>
          <cell r="X293">
            <v>2638.5305499999999</v>
          </cell>
          <cell r="Y293">
            <v>1775.1258929999999</v>
          </cell>
        </row>
        <row r="294">
          <cell r="B294">
            <v>183030</v>
          </cell>
          <cell r="C294" t="str">
            <v>RTBS</v>
          </cell>
          <cell r="D294" t="str">
            <v>PRELIMINARY ENGINEERING - GAS</v>
          </cell>
          <cell r="E294" t="str">
            <v/>
          </cell>
          <cell r="F294" t="str">
            <v/>
          </cell>
          <cell r="G294">
            <v>183030</v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B295">
            <v>184000</v>
          </cell>
          <cell r="C295" t="str">
            <v>Working Capital</v>
          </cell>
          <cell r="D295" t="str">
            <v>MISCELLANEOUS CLEARING</v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>
            <v>184000</v>
          </cell>
          <cell r="J295" t="str">
            <v/>
          </cell>
          <cell r="K295" t="str">
            <v/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B296">
            <v>184002</v>
          </cell>
          <cell r="C296" t="str">
            <v>Working Capital</v>
          </cell>
          <cell r="D296" t="str">
            <v>INVOICE CLEARING</v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>
            <v>184002</v>
          </cell>
          <cell r="J296" t="str">
            <v/>
          </cell>
          <cell r="K296" t="str">
            <v/>
          </cell>
          <cell r="L296">
            <v>0</v>
          </cell>
          <cell r="M296">
            <v>-6.0183499999999999</v>
          </cell>
          <cell r="N296">
            <v>-6.0183499999999999</v>
          </cell>
          <cell r="O296">
            <v>0.15159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-0.99042600000000003</v>
          </cell>
        </row>
        <row r="297">
          <cell r="B297">
            <v>184003</v>
          </cell>
          <cell r="C297" t="str">
            <v>Working Capital</v>
          </cell>
          <cell r="D297" t="str">
            <v>PURCHASED POWER CLEARING</v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>
            <v>184003</v>
          </cell>
          <cell r="J297" t="str">
            <v/>
          </cell>
          <cell r="K297" t="str">
            <v/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B298">
            <v>184004</v>
          </cell>
          <cell r="C298" t="str">
            <v>Working Capital</v>
          </cell>
          <cell r="D298" t="str">
            <v>PURCHASED GAS CLEARING</v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>
            <v>184004</v>
          </cell>
          <cell r="J298" t="str">
            <v/>
          </cell>
          <cell r="K298" t="str">
            <v/>
          </cell>
          <cell r="L298">
            <v>0</v>
          </cell>
          <cell r="M298">
            <v>0</v>
          </cell>
          <cell r="N298">
            <v>0</v>
          </cell>
          <cell r="O298">
            <v>-0.2</v>
          </cell>
          <cell r="P298">
            <v>-0.2</v>
          </cell>
          <cell r="Q298">
            <v>-0.2</v>
          </cell>
          <cell r="R298">
            <v>0</v>
          </cell>
          <cell r="S298">
            <v>-16.874189999999999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-1.456183</v>
          </cell>
        </row>
        <row r="299">
          <cell r="B299">
            <v>184005</v>
          </cell>
          <cell r="C299" t="str">
            <v>Working Capital</v>
          </cell>
          <cell r="D299" t="str">
            <v>PAYROLL OVERHEAD</v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>
            <v>184005</v>
          </cell>
          <cell r="J299" t="str">
            <v/>
          </cell>
          <cell r="K299" t="str">
            <v/>
          </cell>
          <cell r="L299">
            <v>0</v>
          </cell>
          <cell r="M299">
            <v>-356.26553999999999</v>
          </cell>
          <cell r="N299">
            <v>-366.85048999999998</v>
          </cell>
          <cell r="O299">
            <v>575.72100999999998</v>
          </cell>
          <cell r="P299">
            <v>830.27963</v>
          </cell>
          <cell r="Q299">
            <v>-896.80754999999999</v>
          </cell>
          <cell r="R299">
            <v>-890.80699000000004</v>
          </cell>
          <cell r="S299">
            <v>-644.46843000000001</v>
          </cell>
          <cell r="T299">
            <v>-501.97098999999997</v>
          </cell>
          <cell r="U299">
            <v>985.40099999999995</v>
          </cell>
          <cell r="V299">
            <v>77.350899999999996</v>
          </cell>
          <cell r="W299">
            <v>-170.19431</v>
          </cell>
          <cell r="X299">
            <v>0</v>
          </cell>
          <cell r="Y299">
            <v>-113.217647</v>
          </cell>
        </row>
        <row r="300">
          <cell r="B300">
            <v>184006</v>
          </cell>
          <cell r="C300" t="str">
            <v>Working Capital</v>
          </cell>
          <cell r="D300" t="str">
            <v>FLEET / VEHICLE CLEARING</v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>
            <v>184006</v>
          </cell>
          <cell r="J300" t="str">
            <v/>
          </cell>
          <cell r="K300" t="str">
            <v/>
          </cell>
          <cell r="L300">
            <v>0</v>
          </cell>
          <cell r="M300">
            <v>2.6293099999999998</v>
          </cell>
          <cell r="N300">
            <v>-2.46821</v>
          </cell>
          <cell r="O300">
            <v>48.88579</v>
          </cell>
          <cell r="P300">
            <v>104.31068999999999</v>
          </cell>
          <cell r="Q300">
            <v>82.068889999999996</v>
          </cell>
          <cell r="R300">
            <v>169.29738</v>
          </cell>
          <cell r="S300">
            <v>164.69466</v>
          </cell>
          <cell r="T300">
            <v>73.840419999999995</v>
          </cell>
          <cell r="U300">
            <v>139.18154000000001</v>
          </cell>
          <cell r="V300">
            <v>240.25013000000001</v>
          </cell>
          <cell r="W300">
            <v>228.04919000000001</v>
          </cell>
          <cell r="X300">
            <v>0</v>
          </cell>
          <cell r="Y300">
            <v>104.22831600000001</v>
          </cell>
        </row>
        <row r="301">
          <cell r="B301">
            <v>184007</v>
          </cell>
          <cell r="C301" t="str">
            <v>Working Capital</v>
          </cell>
          <cell r="D301" t="str">
            <v>STORES LOADER CLEARING</v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>
            <v>184007</v>
          </cell>
          <cell r="J301" t="str">
            <v/>
          </cell>
          <cell r="K301" t="str">
            <v/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B302">
            <v>184008</v>
          </cell>
          <cell r="C302" t="str">
            <v>Working Capital</v>
          </cell>
          <cell r="D302" t="str">
            <v>UNDISTRIBUTED BILLING</v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>
            <v>184008</v>
          </cell>
          <cell r="J302" t="str">
            <v/>
          </cell>
          <cell r="K302" t="str">
            <v/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-3.2010000000000001</v>
          </cell>
          <cell r="V302">
            <v>-3.2010000000000001</v>
          </cell>
          <cell r="W302">
            <v>-0.06</v>
          </cell>
          <cell r="X302">
            <v>0</v>
          </cell>
          <cell r="Y302">
            <v>-0.53849999999999998</v>
          </cell>
        </row>
        <row r="303">
          <cell r="B303">
            <v>184013</v>
          </cell>
          <cell r="C303" t="str">
            <v>Working Capital</v>
          </cell>
          <cell r="D303" t="str">
            <v>PURCHASED POWER CLEARING-ALLEGRO A/R</v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>
            <v>184013</v>
          </cell>
          <cell r="J303" t="str">
            <v/>
          </cell>
          <cell r="K303" t="str">
            <v/>
          </cell>
          <cell r="L303">
            <v>0</v>
          </cell>
          <cell r="M303">
            <v>-0.12748999999999999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-1.0624E-2</v>
          </cell>
        </row>
        <row r="304">
          <cell r="B304">
            <v>184014</v>
          </cell>
          <cell r="C304" t="str">
            <v>Working Capital</v>
          </cell>
          <cell r="D304" t="str">
            <v>PURCHASED GAS CLEARING - ALLEGRO A/R</v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>
            <v>184014</v>
          </cell>
          <cell r="J304" t="str">
            <v/>
          </cell>
          <cell r="K304" t="str">
            <v/>
          </cell>
          <cell r="L304">
            <v>0</v>
          </cell>
          <cell r="M304">
            <v>-59.4</v>
          </cell>
          <cell r="N304">
            <v>-59.4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-9.9</v>
          </cell>
        </row>
        <row r="305">
          <cell r="B305">
            <v>184102</v>
          </cell>
          <cell r="C305" t="str">
            <v>Working Capital</v>
          </cell>
          <cell r="D305" t="str">
            <v>SAP CCS CONVERSION A/R OFFSET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184102</v>
          </cell>
          <cell r="J305" t="str">
            <v/>
          </cell>
          <cell r="K305" t="str">
            <v/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B306">
            <v>184110</v>
          </cell>
          <cell r="C306" t="str">
            <v>Working Capital</v>
          </cell>
          <cell r="D306" t="str">
            <v>PRE ENGINEERING ELECT OH</v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>
            <v>184110</v>
          </cell>
          <cell r="J306" t="str">
            <v/>
          </cell>
          <cell r="K306" t="str">
            <v/>
          </cell>
          <cell r="L306">
            <v>0</v>
          </cell>
          <cell r="M306">
            <v>241.77124000000001</v>
          </cell>
          <cell r="N306">
            <v>516.18917999999996</v>
          </cell>
          <cell r="O306">
            <v>90.370249999999999</v>
          </cell>
          <cell r="P306">
            <v>10.572649999999999</v>
          </cell>
          <cell r="Q306">
            <v>-45.520670000000003</v>
          </cell>
          <cell r="R306">
            <v>-35.5396</v>
          </cell>
          <cell r="S306">
            <v>-60.73489</v>
          </cell>
          <cell r="T306">
            <v>-48.002189999999999</v>
          </cell>
          <cell r="U306">
            <v>30.505210000000002</v>
          </cell>
          <cell r="V306">
            <v>-96.52937</v>
          </cell>
          <cell r="W306">
            <v>-89.943860000000001</v>
          </cell>
          <cell r="X306">
            <v>0</v>
          </cell>
          <cell r="Y306">
            <v>42.761496000000001</v>
          </cell>
        </row>
        <row r="307">
          <cell r="B307">
            <v>184111</v>
          </cell>
          <cell r="C307" t="str">
            <v>Working Capital</v>
          </cell>
          <cell r="D307" t="str">
            <v>PRE ENGINEERING GAS OH</v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>
            <v>184111</v>
          </cell>
          <cell r="J307" t="str">
            <v/>
          </cell>
          <cell r="K307" t="str">
            <v/>
          </cell>
          <cell r="L307">
            <v>0</v>
          </cell>
          <cell r="M307">
            <v>21.436620000000001</v>
          </cell>
          <cell r="N307">
            <v>107.83392000000001</v>
          </cell>
          <cell r="O307">
            <v>45.868810000000003</v>
          </cell>
          <cell r="P307">
            <v>-36.263280000000002</v>
          </cell>
          <cell r="Q307">
            <v>-73.945729999999998</v>
          </cell>
          <cell r="R307">
            <v>-65.138360000000006</v>
          </cell>
          <cell r="S307">
            <v>-106.19356999999999</v>
          </cell>
          <cell r="T307">
            <v>-163.04322999999999</v>
          </cell>
          <cell r="U307">
            <v>-62.847430000000003</v>
          </cell>
          <cell r="V307">
            <v>-104.73894</v>
          </cell>
          <cell r="W307">
            <v>58.852020000000003</v>
          </cell>
          <cell r="X307">
            <v>0</v>
          </cell>
          <cell r="Y307">
            <v>-31.514931000000001</v>
          </cell>
        </row>
        <row r="308">
          <cell r="B308">
            <v>184120</v>
          </cell>
          <cell r="C308" t="str">
            <v>Working Capital</v>
          </cell>
          <cell r="D308" t="str">
            <v>GEN CONSTRUCTION ELECT OH</v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>
            <v>184120</v>
          </cell>
          <cell r="J308" t="str">
            <v/>
          </cell>
          <cell r="K308" t="str">
            <v/>
          </cell>
          <cell r="L308">
            <v>0</v>
          </cell>
          <cell r="M308">
            <v>264.96305999999998</v>
          </cell>
          <cell r="N308">
            <v>190.54961</v>
          </cell>
          <cell r="O308">
            <v>156.71977999999999</v>
          </cell>
          <cell r="P308">
            <v>125.79608</v>
          </cell>
          <cell r="Q308">
            <v>483.95263</v>
          </cell>
          <cell r="R308">
            <v>291.88623999999999</v>
          </cell>
          <cell r="S308">
            <v>599.71943999999996</v>
          </cell>
          <cell r="T308">
            <v>235.18818999999999</v>
          </cell>
          <cell r="U308">
            <v>-26.06005</v>
          </cell>
          <cell r="V308">
            <v>-301.92522000000002</v>
          </cell>
          <cell r="W308">
            <v>-181.61893000000001</v>
          </cell>
          <cell r="X308">
            <v>0</v>
          </cell>
          <cell r="Y308">
            <v>153.26423600000001</v>
          </cell>
        </row>
        <row r="309">
          <cell r="B309">
            <v>184130</v>
          </cell>
          <cell r="C309" t="str">
            <v>Working Capital</v>
          </cell>
          <cell r="D309" t="str">
            <v>GEN CONSTRUCTION GAS OH</v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>
            <v>184130</v>
          </cell>
          <cell r="J309" t="str">
            <v/>
          </cell>
          <cell r="K309" t="str">
            <v/>
          </cell>
          <cell r="L309">
            <v>0</v>
          </cell>
          <cell r="M309">
            <v>108.59847000000001</v>
          </cell>
          <cell r="N309">
            <v>147.09026</v>
          </cell>
          <cell r="O309">
            <v>129.19472999999999</v>
          </cell>
          <cell r="P309">
            <v>112.3319</v>
          </cell>
          <cell r="Q309">
            <v>98.008309999999994</v>
          </cell>
          <cell r="R309">
            <v>31.297830000000001</v>
          </cell>
          <cell r="S309">
            <v>-37.457299999999996</v>
          </cell>
          <cell r="T309">
            <v>-59.897390000000001</v>
          </cell>
          <cell r="U309">
            <v>-66.374430000000004</v>
          </cell>
          <cell r="V309">
            <v>-85.169619999999995</v>
          </cell>
          <cell r="W309">
            <v>-28.816990000000001</v>
          </cell>
          <cell r="X309">
            <v>0</v>
          </cell>
          <cell r="Y309">
            <v>29.067148</v>
          </cell>
        </row>
        <row r="310">
          <cell r="B310">
            <v>186010</v>
          </cell>
          <cell r="C310" t="str">
            <v>Roll Fwd Sched</v>
          </cell>
          <cell r="D310" t="str">
            <v>OTH WIP - BILLING</v>
          </cell>
          <cell r="E310">
            <v>2</v>
          </cell>
          <cell r="F310">
            <v>186010</v>
          </cell>
          <cell r="G310" t="str">
            <v/>
          </cell>
          <cell r="H310" t="str">
            <v/>
          </cell>
          <cell r="I310" t="str">
            <v/>
          </cell>
          <cell r="J310">
            <v>186010</v>
          </cell>
          <cell r="K310" t="str">
            <v/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B311">
            <v>186013</v>
          </cell>
          <cell r="C311" t="str">
            <v>Roll Fwd Sched</v>
          </cell>
          <cell r="D311" t="str">
            <v>OTHER REGULATORY ASSETS - B.BAL - OTH CUR LIAB</v>
          </cell>
          <cell r="E311" t="str">
            <v/>
          </cell>
          <cell r="F311">
            <v>186013</v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</row>
        <row r="312">
          <cell r="B312">
            <v>186020</v>
          </cell>
          <cell r="C312" t="str">
            <v>Roll Fwd Sched</v>
          </cell>
          <cell r="D312" t="str">
            <v>OTH WIP - MANU MATL &amp; SUPP (NO STORES EXP)</v>
          </cell>
          <cell r="E312">
            <v>2</v>
          </cell>
          <cell r="F312">
            <v>186020</v>
          </cell>
          <cell r="G312" t="str">
            <v/>
          </cell>
          <cell r="H312" t="str">
            <v/>
          </cell>
          <cell r="I312" t="str">
            <v/>
          </cell>
          <cell r="J312">
            <v>186020</v>
          </cell>
          <cell r="K312" t="str">
            <v/>
          </cell>
          <cell r="L312">
            <v>116.43991</v>
          </cell>
          <cell r="M312">
            <v>139.32714000000001</v>
          </cell>
          <cell r="N312">
            <v>136.29369</v>
          </cell>
          <cell r="O312">
            <v>151.43253000000001</v>
          </cell>
          <cell r="P312">
            <v>160.52413999999999</v>
          </cell>
          <cell r="Q312">
            <v>173.15610000000001</v>
          </cell>
          <cell r="R312">
            <v>183.99485000000001</v>
          </cell>
          <cell r="S312">
            <v>113.15472</v>
          </cell>
          <cell r="T312">
            <v>132.48838000000001</v>
          </cell>
          <cell r="U312">
            <v>126.37026</v>
          </cell>
          <cell r="V312">
            <v>140.11131</v>
          </cell>
          <cell r="W312">
            <v>162.07763</v>
          </cell>
          <cell r="X312">
            <v>106.84703</v>
          </cell>
          <cell r="Y312">
            <v>144.214518</v>
          </cell>
        </row>
        <row r="313">
          <cell r="B313">
            <v>186030</v>
          </cell>
          <cell r="C313" t="str">
            <v>Roll Fwd Sched</v>
          </cell>
          <cell r="D313" t="str">
            <v>OTH WIP - NON-CAP EXP-METER INSTAL (STORES EXP)</v>
          </cell>
          <cell r="E313">
            <v>1</v>
          </cell>
          <cell r="F313">
            <v>186030</v>
          </cell>
          <cell r="G313" t="str">
            <v/>
          </cell>
          <cell r="H313" t="str">
            <v/>
          </cell>
          <cell r="I313" t="str">
            <v/>
          </cell>
          <cell r="J313">
            <v>186030</v>
          </cell>
          <cell r="K313" t="str">
            <v/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</row>
        <row r="314">
          <cell r="B314">
            <v>186110</v>
          </cell>
          <cell r="C314" t="str">
            <v>Roll Fwd Sched</v>
          </cell>
          <cell r="D314" t="str">
            <v>OTH DEFERRED DEBITS - MISCELLANEOUS</v>
          </cell>
          <cell r="E314">
            <v>2</v>
          </cell>
          <cell r="F314">
            <v>186110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>
            <v>262.59195</v>
          </cell>
          <cell r="M314">
            <v>81</v>
          </cell>
          <cell r="N314">
            <v>0</v>
          </cell>
          <cell r="O314">
            <v>0</v>
          </cell>
          <cell r="P314">
            <v>81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24.441331000000002</v>
          </cell>
        </row>
        <row r="315">
          <cell r="B315">
            <v>186215</v>
          </cell>
          <cell r="C315" t="str">
            <v>Roll Fwd Sched</v>
          </cell>
          <cell r="D315" t="str">
            <v>MISC DEF DEBITS-PREPAID PENSION PLANS</v>
          </cell>
          <cell r="E315">
            <v>1</v>
          </cell>
          <cell r="F315">
            <v>186215</v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/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>
            <v>186230</v>
          </cell>
          <cell r="C316" t="str">
            <v>Roll Fwd Sched</v>
          </cell>
          <cell r="D316" t="str">
            <v>MISC DEF DEBITS-PREPAID FAS 106</v>
          </cell>
          <cell r="E316">
            <v>1</v>
          </cell>
          <cell r="F316">
            <v>186230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</row>
        <row r="317">
          <cell r="B317">
            <v>186255</v>
          </cell>
          <cell r="C317" t="str">
            <v>Roll Fwd Sched</v>
          </cell>
          <cell r="D317" t="str">
            <v>MISC DEF DEBITS-OTHER</v>
          </cell>
          <cell r="E317">
            <v>19</v>
          </cell>
          <cell r="F317">
            <v>186255</v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>
            <v>2628.15789</v>
          </cell>
          <cell r="M317">
            <v>2633.6577400000001</v>
          </cell>
          <cell r="N317">
            <v>2681.3869599999998</v>
          </cell>
          <cell r="O317">
            <v>2442.9644899999998</v>
          </cell>
          <cell r="P317">
            <v>2385.6721299999999</v>
          </cell>
          <cell r="Q317">
            <v>2435.8114399999999</v>
          </cell>
          <cell r="R317">
            <v>2452.4640100000001</v>
          </cell>
          <cell r="S317">
            <v>2789.8067799999999</v>
          </cell>
          <cell r="T317">
            <v>2738.1417099999999</v>
          </cell>
          <cell r="U317">
            <v>2760.8600499999998</v>
          </cell>
          <cell r="V317">
            <v>2728.4716600000002</v>
          </cell>
          <cell r="W317">
            <v>2919.3146400000001</v>
          </cell>
          <cell r="X317">
            <v>7979.4265800000003</v>
          </cell>
          <cell r="Y317">
            <v>2856.0286540000002</v>
          </cell>
        </row>
        <row r="318">
          <cell r="B318">
            <v>186270</v>
          </cell>
          <cell r="C318" t="str">
            <v>Roll Fwd Sched</v>
          </cell>
          <cell r="D318" t="str">
            <v>OTH DEFERRED DEBITS - PROPERTY TAX</v>
          </cell>
          <cell r="E318">
            <v>1</v>
          </cell>
          <cell r="F318">
            <v>186270</v>
          </cell>
          <cell r="G318" t="str">
            <v/>
          </cell>
          <cell r="H318" t="str">
            <v/>
          </cell>
          <cell r="I318">
            <v>186270</v>
          </cell>
          <cell r="J318" t="str">
            <v/>
          </cell>
          <cell r="K318" t="str">
            <v/>
          </cell>
          <cell r="L318">
            <v>40.178240000000002</v>
          </cell>
          <cell r="M318">
            <v>267.60448000000002</v>
          </cell>
          <cell r="N318">
            <v>234.12261000000001</v>
          </cell>
          <cell r="O318">
            <v>234.12261000000001</v>
          </cell>
          <cell r="P318">
            <v>234.12261000000001</v>
          </cell>
          <cell r="Q318">
            <v>234.12261000000001</v>
          </cell>
          <cell r="R318">
            <v>0</v>
          </cell>
          <cell r="S318">
            <v>0</v>
          </cell>
          <cell r="T318">
            <v>22.252610000000001</v>
          </cell>
          <cell r="U318">
            <v>22.252610000000001</v>
          </cell>
          <cell r="V318">
            <v>22.252610000000001</v>
          </cell>
          <cell r="W318">
            <v>22.252610000000001</v>
          </cell>
          <cell r="X318">
            <v>22.252610000000001</v>
          </cell>
          <cell r="Y318">
            <v>110.36006500000001</v>
          </cell>
        </row>
        <row r="319">
          <cell r="B319">
            <v>186400</v>
          </cell>
          <cell r="C319" t="str">
            <v>Roll Fwd Sched</v>
          </cell>
          <cell r="D319" t="str">
            <v>OTH DEFERRED DEBITS - PENSION ASSET</v>
          </cell>
          <cell r="E319">
            <v>1</v>
          </cell>
          <cell r="F319">
            <v>186400</v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</row>
        <row r="320">
          <cell r="B320">
            <v>186410</v>
          </cell>
          <cell r="C320" t="str">
            <v>Roll Fwd Sched</v>
          </cell>
          <cell r="D320" t="str">
            <v>OTH DEFERRED DEBITS-IEE DATA CENTER BUILDOUT</v>
          </cell>
          <cell r="E320" t="str">
            <v/>
          </cell>
          <cell r="F320">
            <v>186410</v>
          </cell>
          <cell r="G320" t="str">
            <v/>
          </cell>
          <cell r="H320" t="str">
            <v/>
          </cell>
          <cell r="I320">
            <v>186410</v>
          </cell>
          <cell r="J320" t="str">
            <v/>
          </cell>
          <cell r="K320" t="str">
            <v/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</row>
        <row r="321">
          <cell r="B321">
            <v>186850</v>
          </cell>
          <cell r="C321" t="str">
            <v>Roll Fwd Sched</v>
          </cell>
          <cell r="D321" t="str">
            <v>INTANGIBLE ASSETS</v>
          </cell>
          <cell r="E321">
            <v>1</v>
          </cell>
          <cell r="F321">
            <v>186850</v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</row>
        <row r="322">
          <cell r="B322">
            <v>188000</v>
          </cell>
          <cell r="C322" t="str">
            <v>RTBS</v>
          </cell>
          <cell r="D322" t="str">
            <v>RESEARCH&amp;DEVELOPMENT EXPENDITURES</v>
          </cell>
          <cell r="E322" t="str">
            <v/>
          </cell>
          <cell r="F322" t="str">
            <v/>
          </cell>
          <cell r="G322">
            <v>188000</v>
          </cell>
          <cell r="H322" t="str">
            <v/>
          </cell>
          <cell r="I322" t="str">
            <v/>
          </cell>
          <cell r="J322" t="str">
            <v/>
          </cell>
          <cell r="K322" t="str">
            <v/>
          </cell>
          <cell r="L322">
            <v>0</v>
          </cell>
          <cell r="M322">
            <v>67.283730000000006</v>
          </cell>
          <cell r="N322">
            <v>134.56746000000001</v>
          </cell>
          <cell r="O322">
            <v>223.48560000000001</v>
          </cell>
          <cell r="P322">
            <v>76.558620000000005</v>
          </cell>
          <cell r="Q322">
            <v>152.96709000000001</v>
          </cell>
          <cell r="R322">
            <v>0</v>
          </cell>
          <cell r="S322">
            <v>111.94524</v>
          </cell>
          <cell r="T322">
            <v>0</v>
          </cell>
          <cell r="U322">
            <v>90.133880000000005</v>
          </cell>
          <cell r="V322">
            <v>182.05013</v>
          </cell>
          <cell r="W322">
            <v>408.83130999999997</v>
          </cell>
          <cell r="X322">
            <v>0</v>
          </cell>
          <cell r="Y322">
            <v>120.651922</v>
          </cell>
        </row>
        <row r="323">
          <cell r="B323">
            <v>189010</v>
          </cell>
          <cell r="C323" t="str">
            <v>RTBS</v>
          </cell>
          <cell r="D323" t="str">
            <v>UNAMORTIZED LOSS OF REACQ DEBT-MEDIUM TERM BONDS</v>
          </cell>
          <cell r="E323" t="str">
            <v/>
          </cell>
          <cell r="F323" t="str">
            <v/>
          </cell>
          <cell r="G323">
            <v>189010</v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>
            <v>10051.552030000001</v>
          </cell>
          <cell r="M323">
            <v>9355.7030099999993</v>
          </cell>
          <cell r="N323">
            <v>9021.7703799999999</v>
          </cell>
          <cell r="O323">
            <v>7964.0045700000001</v>
          </cell>
          <cell r="P323">
            <v>7884.3584499999997</v>
          </cell>
          <cell r="Q323">
            <v>7804.7123300000003</v>
          </cell>
          <cell r="R323">
            <v>7725.06621</v>
          </cell>
          <cell r="S323">
            <v>7650.4190900000003</v>
          </cell>
          <cell r="T323">
            <v>7573.2834700000003</v>
          </cell>
          <cell r="U323">
            <v>7496.1478500000003</v>
          </cell>
          <cell r="V323">
            <v>7419.0122300000003</v>
          </cell>
          <cell r="W323">
            <v>7341.8766100000003</v>
          </cell>
          <cell r="X323">
            <v>7950.6462600000004</v>
          </cell>
          <cell r="Y323">
            <v>8019.7877790000002</v>
          </cell>
        </row>
        <row r="324">
          <cell r="B324">
            <v>190000</v>
          </cell>
          <cell r="C324" t="str">
            <v>Roll Fwd Sched</v>
          </cell>
          <cell r="D324" t="str">
            <v>ACCUM DEFERRED INC TAXES - FEDERAL</v>
          </cell>
          <cell r="E324" t="str">
            <v/>
          </cell>
          <cell r="F324">
            <v>190000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/>
          </cell>
          <cell r="L324">
            <v>34580.654260000003</v>
          </cell>
          <cell r="M324">
            <v>34393.343659999999</v>
          </cell>
          <cell r="N324">
            <v>34197.20622</v>
          </cell>
          <cell r="O324">
            <v>34020.391649999998</v>
          </cell>
          <cell r="P324">
            <v>33829.075409999998</v>
          </cell>
          <cell r="Q324">
            <v>33656.392030000003</v>
          </cell>
          <cell r="R324">
            <v>33474.968710000001</v>
          </cell>
          <cell r="S324">
            <v>33292.292509999999</v>
          </cell>
          <cell r="T324">
            <v>33120.945010000003</v>
          </cell>
          <cell r="U324">
            <v>32920.567410000003</v>
          </cell>
          <cell r="V324">
            <v>32732.670610000001</v>
          </cell>
          <cell r="W324">
            <v>32554.685119999998</v>
          </cell>
          <cell r="X324">
            <v>32663.126749999999</v>
          </cell>
          <cell r="Y324">
            <v>33484.535736999998</v>
          </cell>
        </row>
        <row r="325">
          <cell r="B325">
            <v>190001</v>
          </cell>
          <cell r="C325" t="str">
            <v>Roll Fwd Sched</v>
          </cell>
          <cell r="D325" t="str">
            <v>ACCUM DEFERRED INC TAXES - FEDERAL - ELECTRIC</v>
          </cell>
          <cell r="E325" t="str">
            <v/>
          </cell>
          <cell r="F325">
            <v>190001</v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>
            <v>59357.501550000001</v>
          </cell>
          <cell r="M325">
            <v>59323.096160000001</v>
          </cell>
          <cell r="N325">
            <v>59293.584600000002</v>
          </cell>
          <cell r="O325">
            <v>59191.370540000004</v>
          </cell>
          <cell r="P325">
            <v>59049.855940000001</v>
          </cell>
          <cell r="Q325">
            <v>59068.247609999999</v>
          </cell>
          <cell r="R325">
            <v>58962.336109999997</v>
          </cell>
          <cell r="S325">
            <v>58803.492599999998</v>
          </cell>
          <cell r="T325">
            <v>58686.077940000003</v>
          </cell>
          <cell r="U325">
            <v>58415.276010000001</v>
          </cell>
          <cell r="V325">
            <v>58499.628040000003</v>
          </cell>
          <cell r="W325">
            <v>57846.79552</v>
          </cell>
          <cell r="X325">
            <v>63242.788079999998</v>
          </cell>
          <cell r="Y325">
            <v>59036.658823999998</v>
          </cell>
        </row>
        <row r="326">
          <cell r="B326">
            <v>190002</v>
          </cell>
          <cell r="C326" t="str">
            <v>Roll Fwd Sched</v>
          </cell>
          <cell r="D326" t="str">
            <v>ACCUM DEFERRED INC TAXES - FEDERAL - GAS</v>
          </cell>
          <cell r="E326" t="str">
            <v/>
          </cell>
          <cell r="F326">
            <v>190002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>
            <v>25178.472119999999</v>
          </cell>
          <cell r="M326">
            <v>24521.811020000001</v>
          </cell>
          <cell r="N326">
            <v>24669.67398</v>
          </cell>
          <cell r="O326">
            <v>23489.228999999999</v>
          </cell>
          <cell r="P326">
            <v>22512.748800000001</v>
          </cell>
          <cell r="Q326">
            <v>22500.926080000001</v>
          </cell>
          <cell r="R326">
            <v>22409.01946</v>
          </cell>
          <cell r="S326">
            <v>22272.435509999999</v>
          </cell>
          <cell r="T326">
            <v>22185.496739999999</v>
          </cell>
          <cell r="U326">
            <v>22504.089039999999</v>
          </cell>
          <cell r="V326">
            <v>22512.827249999998</v>
          </cell>
          <cell r="W326">
            <v>22159.601640000001</v>
          </cell>
          <cell r="X326">
            <v>24742.738170000001</v>
          </cell>
          <cell r="Y326">
            <v>23058.205304999999</v>
          </cell>
        </row>
        <row r="327">
          <cell r="B327">
            <v>190003</v>
          </cell>
          <cell r="C327" t="str">
            <v>Roll Fwd Sched</v>
          </cell>
          <cell r="D327" t="str">
            <v>ACCUM DEFERRED INC TAXES-FEDERAL-ELECTRIC-NONOP</v>
          </cell>
          <cell r="E327" t="str">
            <v/>
          </cell>
          <cell r="F327">
            <v>190003</v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>
            <v>3065.4677099999999</v>
          </cell>
          <cell r="M327">
            <v>3065.4677099999999</v>
          </cell>
          <cell r="N327">
            <v>3065.4677099999999</v>
          </cell>
          <cell r="O327">
            <v>3065.4677099999999</v>
          </cell>
          <cell r="P327">
            <v>3065.4677099999999</v>
          </cell>
          <cell r="Q327">
            <v>3065.4677099999999</v>
          </cell>
          <cell r="R327">
            <v>3065.4677099999999</v>
          </cell>
          <cell r="S327">
            <v>3065.4677099999999</v>
          </cell>
          <cell r="T327">
            <v>3065.4677099999999</v>
          </cell>
          <cell r="U327">
            <v>3057.7941700000001</v>
          </cell>
          <cell r="V327">
            <v>3057.7941700000001</v>
          </cell>
          <cell r="W327">
            <v>3057.7941700000001</v>
          </cell>
          <cell r="X327">
            <v>3057.7941700000001</v>
          </cell>
          <cell r="Y327">
            <v>3063.2295939999999</v>
          </cell>
        </row>
        <row r="328">
          <cell r="B328">
            <v>190004</v>
          </cell>
          <cell r="C328" t="str">
            <v>Roll Fwd Sched</v>
          </cell>
          <cell r="D328" t="str">
            <v>ACCUM DEFERRED INC TAXES-FEDERAL-GAS-NONOP</v>
          </cell>
          <cell r="E328" t="str">
            <v/>
          </cell>
          <cell r="F328">
            <v>190004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>
            <v>2058.6046999999999</v>
          </cell>
          <cell r="M328">
            <v>2058.6046999999999</v>
          </cell>
          <cell r="N328">
            <v>2058.6046999999999</v>
          </cell>
          <cell r="O328">
            <v>2058.6046999999999</v>
          </cell>
          <cell r="P328">
            <v>2058.6046999999999</v>
          </cell>
          <cell r="Q328">
            <v>2058.6046999999999</v>
          </cell>
          <cell r="R328">
            <v>2058.6046999999999</v>
          </cell>
          <cell r="S328">
            <v>2058.6046999999999</v>
          </cell>
          <cell r="T328">
            <v>2058.6046999999999</v>
          </cell>
          <cell r="U328">
            <v>2054.4726900000001</v>
          </cell>
          <cell r="V328">
            <v>2054.4726900000001</v>
          </cell>
          <cell r="W328">
            <v>2054.4726900000001</v>
          </cell>
          <cell r="X328">
            <v>2054.4726900000001</v>
          </cell>
          <cell r="Y328">
            <v>2057.3995300000001</v>
          </cell>
        </row>
        <row r="329">
          <cell r="B329">
            <v>190006</v>
          </cell>
          <cell r="C329" t="str">
            <v>Roll Fwd Sched</v>
          </cell>
          <cell r="D329" t="str">
            <v>ACCUM DEFERRED INC TAXES-FEDERAL-CURRENT-ELECTRIC</v>
          </cell>
          <cell r="E329" t="str">
            <v/>
          </cell>
          <cell r="F329">
            <v>190006</v>
          </cell>
          <cell r="G329" t="str">
            <v/>
          </cell>
          <cell r="H329">
            <v>190006</v>
          </cell>
          <cell r="I329" t="str">
            <v/>
          </cell>
          <cell r="J329" t="str">
            <v/>
          </cell>
          <cell r="K329" t="str">
            <v/>
          </cell>
          <cell r="L329">
            <v>6832.7084699999996</v>
          </cell>
          <cell r="M329">
            <v>6948.7672000000002</v>
          </cell>
          <cell r="N329">
            <v>7165.62986</v>
          </cell>
          <cell r="O329">
            <v>7362.9388600000002</v>
          </cell>
          <cell r="P329">
            <v>7498.2399800000003</v>
          </cell>
          <cell r="Q329">
            <v>7311.91975</v>
          </cell>
          <cell r="R329">
            <v>7410.1574499999997</v>
          </cell>
          <cell r="S329">
            <v>7454.0291100000004</v>
          </cell>
          <cell r="T329">
            <v>7158.9681799999998</v>
          </cell>
          <cell r="U329">
            <v>7948.8929200000002</v>
          </cell>
          <cell r="V329">
            <v>7855.8204100000003</v>
          </cell>
          <cell r="W329">
            <v>7897.4396200000001</v>
          </cell>
          <cell r="X329">
            <v>7850.2483499999998</v>
          </cell>
          <cell r="Y329">
            <v>7446.1901459999999</v>
          </cell>
        </row>
        <row r="330">
          <cell r="B330">
            <v>190007</v>
          </cell>
          <cell r="C330" t="str">
            <v>Roll Fwd Sched</v>
          </cell>
          <cell r="D330" t="str">
            <v>ACCUM DEFERRED INC TAXES-FEDERAL-CURRENT-GAS</v>
          </cell>
          <cell r="E330" t="str">
            <v/>
          </cell>
          <cell r="F330">
            <v>190007</v>
          </cell>
          <cell r="G330" t="str">
            <v/>
          </cell>
          <cell r="H330">
            <v>190007</v>
          </cell>
          <cell r="I330" t="str">
            <v/>
          </cell>
          <cell r="J330" t="str">
            <v/>
          </cell>
          <cell r="K330" t="str">
            <v/>
          </cell>
          <cell r="L330">
            <v>8824.8216400000001</v>
          </cell>
          <cell r="M330">
            <v>8262.4735600000004</v>
          </cell>
          <cell r="N330">
            <v>8558.9745500000008</v>
          </cell>
          <cell r="O330">
            <v>7557.6665499999999</v>
          </cell>
          <cell r="P330">
            <v>7008.0184300000001</v>
          </cell>
          <cell r="Q330">
            <v>6925.6870399999998</v>
          </cell>
          <cell r="R330">
            <v>7401.12194</v>
          </cell>
          <cell r="S330">
            <v>7744.3044799999998</v>
          </cell>
          <cell r="T330">
            <v>7749.8164100000004</v>
          </cell>
          <cell r="U330">
            <v>8708.8460400000004</v>
          </cell>
          <cell r="V330">
            <v>8557.8266999999996</v>
          </cell>
          <cell r="W330">
            <v>9136.2154900000005</v>
          </cell>
          <cell r="X330">
            <v>9661.4790200000007</v>
          </cell>
          <cell r="Y330">
            <v>8071.1751270000004</v>
          </cell>
        </row>
        <row r="331">
          <cell r="B331">
            <v>190008</v>
          </cell>
          <cell r="C331" t="str">
            <v>Roll Fwd Sched</v>
          </cell>
          <cell r="D331" t="str">
            <v>RECLASS-INCOME TAXES-FEDERAL-CURRENT-ELECTRIC</v>
          </cell>
          <cell r="E331" t="str">
            <v/>
          </cell>
          <cell r="F331">
            <v>190008</v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>
            <v>190010</v>
          </cell>
          <cell r="C332" t="str">
            <v>Roll Fwd Sched</v>
          </cell>
          <cell r="D332" t="str">
            <v>ACCUM DEFERRED INC TAXES - STATE</v>
          </cell>
          <cell r="E332" t="str">
            <v/>
          </cell>
          <cell r="F332">
            <v>190010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>
            <v>7551.0564999999997</v>
          </cell>
          <cell r="M332">
            <v>7510.1552199999996</v>
          </cell>
          <cell r="N332">
            <v>7467.3264900000004</v>
          </cell>
          <cell r="O332">
            <v>7428.7171200000003</v>
          </cell>
          <cell r="P332">
            <v>7386.9411700000001</v>
          </cell>
          <cell r="Q332">
            <v>7349.2339000000002</v>
          </cell>
          <cell r="R332">
            <v>7309.61816</v>
          </cell>
          <cell r="S332">
            <v>7269.7288600000002</v>
          </cell>
          <cell r="T332">
            <v>7232.3132800000003</v>
          </cell>
          <cell r="U332">
            <v>7188.5586599999997</v>
          </cell>
          <cell r="V332">
            <v>7147.5293899999997</v>
          </cell>
          <cell r="W332">
            <v>7108.6643400000003</v>
          </cell>
          <cell r="X332">
            <v>7132.34375</v>
          </cell>
          <cell r="Y332">
            <v>7311.7072260000004</v>
          </cell>
        </row>
        <row r="333">
          <cell r="B333">
            <v>190011</v>
          </cell>
          <cell r="C333" t="str">
            <v>Roll Fwd Sched</v>
          </cell>
          <cell r="D333" t="str">
            <v>ACCUM DEFERRED INC TAXES - STATE - ELECTRIC</v>
          </cell>
          <cell r="E333" t="str">
            <v/>
          </cell>
          <cell r="F333">
            <v>190011</v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>
            <v>8082.8572899999999</v>
          </cell>
          <cell r="M333">
            <v>8075.3445000000002</v>
          </cell>
          <cell r="N333">
            <v>8068.9003199999997</v>
          </cell>
          <cell r="O333">
            <v>8069.8748800000003</v>
          </cell>
          <cell r="P333">
            <v>8015.6795700000002</v>
          </cell>
          <cell r="Q333">
            <v>8019.6956</v>
          </cell>
          <cell r="R333">
            <v>7996.5686699999997</v>
          </cell>
          <cell r="S333">
            <v>7961.8834800000004</v>
          </cell>
          <cell r="T333">
            <v>7936.2447199999997</v>
          </cell>
          <cell r="U333">
            <v>7799.1680399999996</v>
          </cell>
          <cell r="V333">
            <v>7817.5872200000003</v>
          </cell>
          <cell r="W333">
            <v>7675.0342199999996</v>
          </cell>
          <cell r="X333">
            <v>8853.3072200000006</v>
          </cell>
          <cell r="Y333">
            <v>7992.0052900000001</v>
          </cell>
        </row>
        <row r="334">
          <cell r="B334">
            <v>190012</v>
          </cell>
          <cell r="C334" t="str">
            <v>Roll Fwd Sched</v>
          </cell>
          <cell r="D334" t="str">
            <v>ACCUM DEFERRED INC TAXES - STATE - GAS</v>
          </cell>
          <cell r="E334" t="str">
            <v/>
          </cell>
          <cell r="F334">
            <v>190012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>
            <v>3951.6025800000002</v>
          </cell>
          <cell r="M334">
            <v>3808.2135699999999</v>
          </cell>
          <cell r="N334">
            <v>3840.5010200000002</v>
          </cell>
          <cell r="O334">
            <v>3582.7381700000001</v>
          </cell>
          <cell r="P334">
            <v>3369.51323</v>
          </cell>
          <cell r="Q334">
            <v>3366.9315999999999</v>
          </cell>
          <cell r="R334">
            <v>3346.8627999999999</v>
          </cell>
          <cell r="S334">
            <v>3317.0382199999999</v>
          </cell>
          <cell r="T334">
            <v>3298.0542099999998</v>
          </cell>
          <cell r="U334">
            <v>3293.6694699999998</v>
          </cell>
          <cell r="V334">
            <v>3295.5775600000002</v>
          </cell>
          <cell r="W334">
            <v>3218.4469300000001</v>
          </cell>
          <cell r="X334">
            <v>3782.5025799999999</v>
          </cell>
          <cell r="Y334">
            <v>3467.049947</v>
          </cell>
        </row>
        <row r="335">
          <cell r="B335">
            <v>190013</v>
          </cell>
          <cell r="C335" t="str">
            <v>Roll Fwd Sched</v>
          </cell>
          <cell r="D335" t="str">
            <v>ACCUM DEFERRED INC TAXES-STATE-ELECTRIC-NONOP</v>
          </cell>
          <cell r="E335" t="str">
            <v/>
          </cell>
          <cell r="F335">
            <v>190013</v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>
            <v>307.16451000000001</v>
          </cell>
          <cell r="M335">
            <v>307.16451000000001</v>
          </cell>
          <cell r="N335">
            <v>307.16451000000001</v>
          </cell>
          <cell r="O335">
            <v>307.16451000000001</v>
          </cell>
          <cell r="P335">
            <v>307.16451000000001</v>
          </cell>
          <cell r="Q335">
            <v>307.16451000000001</v>
          </cell>
          <cell r="R335">
            <v>307.16451000000001</v>
          </cell>
          <cell r="S335">
            <v>307.16451000000001</v>
          </cell>
          <cell r="T335">
            <v>307.16451000000001</v>
          </cell>
          <cell r="U335">
            <v>305.48890999999998</v>
          </cell>
          <cell r="V335">
            <v>305.48890999999998</v>
          </cell>
          <cell r="W335">
            <v>305.48890999999998</v>
          </cell>
          <cell r="X335">
            <v>305.48890999999998</v>
          </cell>
          <cell r="Y335">
            <v>306.675793</v>
          </cell>
        </row>
        <row r="336">
          <cell r="B336">
            <v>190014</v>
          </cell>
          <cell r="C336" t="str">
            <v>Roll Fwd Sched</v>
          </cell>
          <cell r="D336" t="str">
            <v>ACCUM DEFERRED INC TAXES-STATE-GAS-NONOP</v>
          </cell>
          <cell r="E336" t="str">
            <v/>
          </cell>
          <cell r="F336">
            <v>190014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>
            <v>338.80831000000001</v>
          </cell>
          <cell r="M336">
            <v>338.80831000000001</v>
          </cell>
          <cell r="N336">
            <v>338.80831000000001</v>
          </cell>
          <cell r="O336">
            <v>338.80831000000001</v>
          </cell>
          <cell r="P336">
            <v>338.80831000000001</v>
          </cell>
          <cell r="Q336">
            <v>338.80831000000001</v>
          </cell>
          <cell r="R336">
            <v>338.80831000000001</v>
          </cell>
          <cell r="S336">
            <v>338.80831000000001</v>
          </cell>
          <cell r="T336">
            <v>338.80831000000001</v>
          </cell>
          <cell r="U336">
            <v>337.90604000000002</v>
          </cell>
          <cell r="V336">
            <v>337.90604000000002</v>
          </cell>
          <cell r="W336">
            <v>337.90604000000002</v>
          </cell>
          <cell r="X336">
            <v>337.90604000000002</v>
          </cell>
          <cell r="Y336">
            <v>338.54514799999998</v>
          </cell>
        </row>
        <row r="337">
          <cell r="B337">
            <v>190015</v>
          </cell>
          <cell r="C337" t="str">
            <v>Roll Fwd Sched</v>
          </cell>
          <cell r="D337" t="str">
            <v>RECLASS-INCOME TAXES-FEDERAL-CURRENT-GAS</v>
          </cell>
          <cell r="E337" t="str">
            <v/>
          </cell>
          <cell r="F337">
            <v>190015</v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</row>
        <row r="338">
          <cell r="B338">
            <v>190016</v>
          </cell>
          <cell r="C338" t="str">
            <v>Roll Fwd Sched</v>
          </cell>
          <cell r="D338" t="str">
            <v>ACCUM DEFERRED INC TAXES-STATE-CURRENT-ELECTRIC</v>
          </cell>
          <cell r="E338" t="str">
            <v/>
          </cell>
          <cell r="F338">
            <v>190016</v>
          </cell>
          <cell r="G338" t="str">
            <v/>
          </cell>
          <cell r="H338">
            <v>190016</v>
          </cell>
          <cell r="I338" t="str">
            <v/>
          </cell>
          <cell r="J338" t="str">
            <v/>
          </cell>
          <cell r="K338" t="str">
            <v/>
          </cell>
          <cell r="L338">
            <v>-1033.13563</v>
          </cell>
          <cell r="M338">
            <v>-1007.79259</v>
          </cell>
          <cell r="N338">
            <v>-960.43875000000003</v>
          </cell>
          <cell r="O338">
            <v>-917.35374999999999</v>
          </cell>
          <cell r="P338">
            <v>-887.80894999999998</v>
          </cell>
          <cell r="Q338">
            <v>-928.49356</v>
          </cell>
          <cell r="R338">
            <v>-907.04200000000003</v>
          </cell>
          <cell r="S338">
            <v>-897.46227999999996</v>
          </cell>
          <cell r="T338">
            <v>-961.89247999999998</v>
          </cell>
          <cell r="U338">
            <v>-789.40381000000002</v>
          </cell>
          <cell r="V338">
            <v>-809.72736999999995</v>
          </cell>
          <cell r="W338">
            <v>-800.63936999999999</v>
          </cell>
          <cell r="X338">
            <v>-810.94408999999996</v>
          </cell>
          <cell r="Y338">
            <v>-899.17456400000003</v>
          </cell>
        </row>
        <row r="339">
          <cell r="B339">
            <v>190017</v>
          </cell>
          <cell r="C339" t="str">
            <v>Roll Fwd Sched</v>
          </cell>
          <cell r="D339" t="str">
            <v>ACCUM DEFERRED INC TAXES-STATE-CURRENT-GAS</v>
          </cell>
          <cell r="E339" t="str">
            <v/>
          </cell>
          <cell r="F339">
            <v>190017</v>
          </cell>
          <cell r="G339" t="str">
            <v/>
          </cell>
          <cell r="H339">
            <v>190017</v>
          </cell>
          <cell r="I339" t="str">
            <v/>
          </cell>
          <cell r="J339" t="str">
            <v/>
          </cell>
          <cell r="K339" t="str">
            <v/>
          </cell>
          <cell r="L339">
            <v>209.12976</v>
          </cell>
          <cell r="M339">
            <v>86.334720000000004</v>
          </cell>
          <cell r="N339">
            <v>151.07888</v>
          </cell>
          <cell r="O339">
            <v>-67.568119999999993</v>
          </cell>
          <cell r="P339">
            <v>-187.58992000000001</v>
          </cell>
          <cell r="Q339">
            <v>-205.56781000000001</v>
          </cell>
          <cell r="R339">
            <v>-101.75136999999999</v>
          </cell>
          <cell r="S339">
            <v>-26.813089999999999</v>
          </cell>
          <cell r="T339">
            <v>-25.608889999999999</v>
          </cell>
          <cell r="U339">
            <v>183.80522999999999</v>
          </cell>
          <cell r="V339">
            <v>150.82879</v>
          </cell>
          <cell r="W339">
            <v>277.12578999999999</v>
          </cell>
          <cell r="X339">
            <v>391.82247999999998</v>
          </cell>
          <cell r="Y339">
            <v>44.562528</v>
          </cell>
        </row>
        <row r="340">
          <cell r="B340">
            <v>190018</v>
          </cell>
          <cell r="C340" t="str">
            <v>Roll Fwd Sched</v>
          </cell>
          <cell r="D340" t="str">
            <v>RECLASS-INCOME TAXES-STATE-CURRENT-ELECTRIC</v>
          </cell>
          <cell r="E340" t="str">
            <v/>
          </cell>
          <cell r="F340">
            <v>190018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</row>
        <row r="341">
          <cell r="B341">
            <v>190019</v>
          </cell>
          <cell r="C341" t="str">
            <v>Roll Fwd Sched</v>
          </cell>
          <cell r="D341" t="str">
            <v>RECLASS-INCOME TAXES-STATE-CURRENT-GAS</v>
          </cell>
          <cell r="E341" t="str">
            <v/>
          </cell>
          <cell r="F341">
            <v>190019</v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</row>
        <row r="342">
          <cell r="B342">
            <v>190030</v>
          </cell>
          <cell r="C342" t="str">
            <v>Roll Fwd Sched</v>
          </cell>
          <cell r="D342" t="str">
            <v>ADIT - EEBEN - FEDERAL - OCI</v>
          </cell>
          <cell r="E342">
            <v>0</v>
          </cell>
        </row>
        <row r="343">
          <cell r="B343">
            <v>190031</v>
          </cell>
          <cell r="C343" t="str">
            <v>Roll Fwd Sched</v>
          </cell>
          <cell r="D343" t="str">
            <v>ADIT - EEBEN - FEDERAL - ELECTRIC</v>
          </cell>
          <cell r="E343">
            <v>0</v>
          </cell>
        </row>
        <row r="344">
          <cell r="B344">
            <v>190032</v>
          </cell>
          <cell r="C344" t="str">
            <v>Roll Fwd Sched</v>
          </cell>
          <cell r="D344" t="str">
            <v>ADIT - EEBEN - FEDERAL - GAS</v>
          </cell>
          <cell r="E344">
            <v>0</v>
          </cell>
        </row>
        <row r="345">
          <cell r="B345">
            <v>190036</v>
          </cell>
          <cell r="C345" t="str">
            <v>Roll Fwd Sched</v>
          </cell>
          <cell r="D345" t="str">
            <v>ADIT - EEBEN - FEDERAL - CURRENT - ELECTRIC</v>
          </cell>
          <cell r="E345">
            <v>0</v>
          </cell>
        </row>
        <row r="346">
          <cell r="B346">
            <v>190037</v>
          </cell>
          <cell r="C346" t="str">
            <v>Roll Fwd Sched</v>
          </cell>
          <cell r="D346" t="str">
            <v>ADIT - EEBEN - FEDERAL - CURRENT - GAS</v>
          </cell>
          <cell r="E346">
            <v>0</v>
          </cell>
        </row>
        <row r="347">
          <cell r="B347">
            <v>190040</v>
          </cell>
          <cell r="C347" t="str">
            <v>Roll Fwd Sched</v>
          </cell>
          <cell r="D347" t="str">
            <v>ADIT - EEBEN - STATE - OCI</v>
          </cell>
          <cell r="E347">
            <v>0</v>
          </cell>
        </row>
        <row r="348">
          <cell r="B348">
            <v>190041</v>
          </cell>
          <cell r="C348" t="str">
            <v>Roll Fwd Sched</v>
          </cell>
          <cell r="D348" t="str">
            <v>ADIT - EEBEN - STATE - ELECTRIC</v>
          </cell>
          <cell r="E348">
            <v>0</v>
          </cell>
        </row>
        <row r="349">
          <cell r="B349">
            <v>190042</v>
          </cell>
          <cell r="C349" t="str">
            <v>Roll Fwd Sched</v>
          </cell>
          <cell r="D349" t="str">
            <v>ADIT - EEBEN - STATE - GAS</v>
          </cell>
          <cell r="E349">
            <v>0</v>
          </cell>
        </row>
        <row r="350">
          <cell r="B350">
            <v>190046</v>
          </cell>
          <cell r="C350" t="str">
            <v>Roll Fwd Sched</v>
          </cell>
          <cell r="D350" t="str">
            <v>ADIT - EEBEN - STATE - CURRENT - ELECTRIC</v>
          </cell>
          <cell r="E350">
            <v>0</v>
          </cell>
        </row>
        <row r="351">
          <cell r="B351">
            <v>190047</v>
          </cell>
          <cell r="C351" t="str">
            <v>Roll Fwd Sched</v>
          </cell>
          <cell r="D351" t="str">
            <v>ADIT - EEBEN - STATE - CURRENT - GAS</v>
          </cell>
          <cell r="E351">
            <v>0</v>
          </cell>
        </row>
        <row r="352">
          <cell r="B352">
            <v>190110</v>
          </cell>
          <cell r="C352" t="str">
            <v>Roll Fwd Sched</v>
          </cell>
          <cell r="D352" t="str">
            <v>ACCUM DEFERRED INC TAXES - NUCL DECOMM</v>
          </cell>
          <cell r="E352" t="str">
            <v/>
          </cell>
          <cell r="F352">
            <v>190110</v>
          </cell>
          <cell r="G352" t="str">
            <v/>
          </cell>
          <cell r="H352">
            <v>190110</v>
          </cell>
          <cell r="I352" t="str">
            <v/>
          </cell>
          <cell r="J352" t="str">
            <v/>
          </cell>
          <cell r="K352" t="str">
            <v/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B353">
            <v>190120</v>
          </cell>
          <cell r="C353" t="str">
            <v>SFAS-109</v>
          </cell>
          <cell r="D353" t="str">
            <v>ACCUM DEFERRED INC TAXES - PAID VS ACCRUED</v>
          </cell>
          <cell r="E353" t="str">
            <v/>
          </cell>
          <cell r="F353" t="str">
            <v/>
          </cell>
          <cell r="G353" t="str">
            <v/>
          </cell>
          <cell r="H353">
            <v>190120</v>
          </cell>
          <cell r="I353" t="str">
            <v/>
          </cell>
          <cell r="J353" t="str">
            <v/>
          </cell>
          <cell r="K353" t="str">
            <v/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B354">
            <v>190161</v>
          </cell>
          <cell r="C354" t="str">
            <v>SFAS-109</v>
          </cell>
          <cell r="D354" t="str">
            <v>0000190161 ACCUM DEFERRED INC TAXES-FAS 109-FEDERAL-ELECTRIC</v>
          </cell>
          <cell r="E354" t="str">
            <v/>
          </cell>
          <cell r="F354" t="str">
            <v/>
          </cell>
          <cell r="G354" t="str">
            <v/>
          </cell>
          <cell r="H354">
            <v>190161</v>
          </cell>
          <cell r="I354" t="str">
            <v/>
          </cell>
          <cell r="J354" t="str">
            <v/>
          </cell>
          <cell r="K354" t="str">
            <v/>
          </cell>
          <cell r="L354">
            <v>1042.0913800000001</v>
          </cell>
          <cell r="M354">
            <v>1042.0913800000001</v>
          </cell>
          <cell r="N354">
            <v>1042.0913800000001</v>
          </cell>
          <cell r="O354">
            <v>1042.0913800000001</v>
          </cell>
          <cell r="P354">
            <v>1042.0913800000001</v>
          </cell>
          <cell r="Q354">
            <v>1042.0913800000001</v>
          </cell>
          <cell r="R354">
            <v>1042.0913800000001</v>
          </cell>
          <cell r="S354">
            <v>1042.0913800000001</v>
          </cell>
          <cell r="T354">
            <v>1042.0913800000001</v>
          </cell>
          <cell r="U354">
            <v>1042.0913800000001</v>
          </cell>
          <cell r="V354">
            <v>1042.0913800000001</v>
          </cell>
          <cell r="W354">
            <v>1042.0913800000001</v>
          </cell>
          <cell r="X354">
            <v>1042.0913800000001</v>
          </cell>
          <cell r="Y354">
            <v>1042.0913800000001</v>
          </cell>
        </row>
        <row r="355">
          <cell r="B355">
            <v>190162</v>
          </cell>
          <cell r="C355" t="str">
            <v>SFAS-109</v>
          </cell>
          <cell r="D355" t="str">
            <v>0000190162 ACCUM DEFERRED INC TAXES-FAS 109-FEDERAL-GAS</v>
          </cell>
          <cell r="E355" t="str">
            <v/>
          </cell>
          <cell r="F355" t="str">
            <v/>
          </cell>
          <cell r="G355" t="str">
            <v/>
          </cell>
          <cell r="H355">
            <v>190162</v>
          </cell>
          <cell r="I355" t="str">
            <v/>
          </cell>
          <cell r="J355" t="str">
            <v/>
          </cell>
          <cell r="K355" t="str">
            <v/>
          </cell>
          <cell r="L355">
            <v>506.089</v>
          </cell>
          <cell r="M355">
            <v>506.089</v>
          </cell>
          <cell r="N355">
            <v>506.089</v>
          </cell>
          <cell r="O355">
            <v>506.089</v>
          </cell>
          <cell r="P355">
            <v>506.089</v>
          </cell>
          <cell r="Q355">
            <v>506.089</v>
          </cell>
          <cell r="R355">
            <v>506.089</v>
          </cell>
          <cell r="S355">
            <v>506.089</v>
          </cell>
          <cell r="T355">
            <v>506.089</v>
          </cell>
          <cell r="U355">
            <v>506.089</v>
          </cell>
          <cell r="V355">
            <v>506.089</v>
          </cell>
          <cell r="W355">
            <v>506.089</v>
          </cell>
          <cell r="X355">
            <v>506.089</v>
          </cell>
          <cell r="Y355">
            <v>506.089</v>
          </cell>
        </row>
        <row r="356">
          <cell r="B356">
            <v>190170</v>
          </cell>
          <cell r="C356" t="str">
            <v>SFAS-109</v>
          </cell>
          <cell r="D356" t="str">
            <v>ACCUM DEFERRED INC TAXES - FAS 109-STATE</v>
          </cell>
          <cell r="E356" t="str">
            <v/>
          </cell>
          <cell r="F356" t="str">
            <v/>
          </cell>
          <cell r="G356" t="str">
            <v/>
          </cell>
          <cell r="H356">
            <v>190170</v>
          </cell>
          <cell r="I356" t="str">
            <v/>
          </cell>
          <cell r="J356" t="str">
            <v/>
          </cell>
          <cell r="K356" t="str">
            <v/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B357">
            <v>190501</v>
          </cell>
          <cell r="C357" t="str">
            <v>Roll Fwd Sched</v>
          </cell>
          <cell r="D357" t="str">
            <v>ADIT-REG-FEDERAL-ELECTRIC</v>
          </cell>
          <cell r="E357" t="str">
            <v/>
          </cell>
          <cell r="F357">
            <v>190501</v>
          </cell>
          <cell r="G357" t="str">
            <v/>
          </cell>
          <cell r="H357">
            <v>190501</v>
          </cell>
          <cell r="I357" t="str">
            <v/>
          </cell>
          <cell r="J357" t="str">
            <v/>
          </cell>
          <cell r="K357" t="str">
            <v/>
          </cell>
          <cell r="L357">
            <v>43418.763800000001</v>
          </cell>
          <cell r="M357">
            <v>43583.334110000003</v>
          </cell>
          <cell r="N357">
            <v>44003.557249999998</v>
          </cell>
          <cell r="O357">
            <v>44366.291219999999</v>
          </cell>
          <cell r="P357">
            <v>45015.009460000001</v>
          </cell>
          <cell r="Q357">
            <v>45641.225599999998</v>
          </cell>
          <cell r="R357">
            <v>45982.483379999998</v>
          </cell>
          <cell r="S357">
            <v>45992.35613</v>
          </cell>
          <cell r="T357">
            <v>45664.827539999998</v>
          </cell>
          <cell r="U357">
            <v>45679.08236</v>
          </cell>
          <cell r="V357">
            <v>45616.698170000003</v>
          </cell>
          <cell r="W357">
            <v>50362.849240000003</v>
          </cell>
          <cell r="X357">
            <v>48333.204819999999</v>
          </cell>
          <cell r="Y357">
            <v>45648.641563999998</v>
          </cell>
        </row>
        <row r="358">
          <cell r="B358">
            <v>190502</v>
          </cell>
          <cell r="C358" t="str">
            <v>Roll Fwd Sched</v>
          </cell>
          <cell r="D358" t="str">
            <v>ADIT-REG-FEDERAL-GAS</v>
          </cell>
          <cell r="E358" t="str">
            <v/>
          </cell>
          <cell r="F358">
            <v>190502</v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>
            <v>12062.650600000001</v>
          </cell>
          <cell r="M358">
            <v>11751.68469</v>
          </cell>
          <cell r="N358">
            <v>11770.38258</v>
          </cell>
          <cell r="O358">
            <v>11454.434999999999</v>
          </cell>
          <cell r="P358">
            <v>11044.93578</v>
          </cell>
          <cell r="Q358">
            <v>10691.06186</v>
          </cell>
          <cell r="R358">
            <v>10100.21127</v>
          </cell>
          <cell r="S358">
            <v>9483.5462000000007</v>
          </cell>
          <cell r="T358">
            <v>8435.5399300000008</v>
          </cell>
          <cell r="U358">
            <v>8585.0709700000007</v>
          </cell>
          <cell r="V358">
            <v>8232.9479200000005</v>
          </cell>
          <cell r="W358">
            <v>7799.4411600000003</v>
          </cell>
          <cell r="X358">
            <v>7605.1464800000003</v>
          </cell>
          <cell r="Y358">
            <v>9931.9296579999991</v>
          </cell>
        </row>
        <row r="359">
          <cell r="B359">
            <v>190511</v>
          </cell>
          <cell r="C359" t="str">
            <v>Roll Fwd Sched</v>
          </cell>
          <cell r="D359" t="str">
            <v>ADIT-REG-STATE-ELECTRIC</v>
          </cell>
          <cell r="E359" t="str">
            <v/>
          </cell>
          <cell r="F359">
            <v>190511</v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>
            <v>11167.064189999999</v>
          </cell>
          <cell r="M359">
            <v>11202.999879999999</v>
          </cell>
          <cell r="N359">
            <v>11294.76014</v>
          </cell>
          <cell r="O359">
            <v>11373.967000000001</v>
          </cell>
          <cell r="P359">
            <v>11515.621569999999</v>
          </cell>
          <cell r="Q359">
            <v>11652.362639999999</v>
          </cell>
          <cell r="R359">
            <v>11726.87995</v>
          </cell>
          <cell r="S359">
            <v>11729.03577</v>
          </cell>
          <cell r="T359">
            <v>11657.516379999999</v>
          </cell>
          <cell r="U359">
            <v>11660.629059999999</v>
          </cell>
          <cell r="V359">
            <v>11647.006799999999</v>
          </cell>
          <cell r="W359">
            <v>12683.379929999999</v>
          </cell>
          <cell r="X359">
            <v>12240.185219999999</v>
          </cell>
          <cell r="Y359">
            <v>11653.981985</v>
          </cell>
        </row>
        <row r="360">
          <cell r="B360">
            <v>190512</v>
          </cell>
          <cell r="C360" t="str">
            <v>Roll Fwd Sched</v>
          </cell>
          <cell r="D360" t="str">
            <v>ADIT-REG-STATE-GAS</v>
          </cell>
          <cell r="E360" t="str">
            <v/>
          </cell>
          <cell r="F360">
            <v>190512</v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>
            <v>2689.8673399999998</v>
          </cell>
          <cell r="M360">
            <v>2621.96459</v>
          </cell>
          <cell r="N360">
            <v>2626.0474800000002</v>
          </cell>
          <cell r="O360">
            <v>2557.0569</v>
          </cell>
          <cell r="P360">
            <v>2467.6383799999999</v>
          </cell>
          <cell r="Q360">
            <v>2390.3661699999998</v>
          </cell>
          <cell r="R360">
            <v>2261.34762</v>
          </cell>
          <cell r="S360">
            <v>2126.69211</v>
          </cell>
          <cell r="T360">
            <v>1897.84871</v>
          </cell>
          <cell r="U360">
            <v>1930.50044</v>
          </cell>
          <cell r="V360">
            <v>1853.6106</v>
          </cell>
          <cell r="W360">
            <v>1758.9497200000001</v>
          </cell>
          <cell r="X360">
            <v>1716.5233700000001</v>
          </cell>
          <cell r="Y360">
            <v>2224.601506</v>
          </cell>
        </row>
        <row r="361">
          <cell r="B361">
            <v>190531</v>
          </cell>
          <cell r="C361" t="str">
            <v>Roll Fwd Sched</v>
          </cell>
          <cell r="D361" t="str">
            <v>ADIT - EEBEN - REG - FEDERAL - ELECTRIC</v>
          </cell>
          <cell r="E361">
            <v>0</v>
          </cell>
        </row>
        <row r="362">
          <cell r="B362">
            <v>190532</v>
          </cell>
          <cell r="C362" t="str">
            <v>Roll Fwd Sched</v>
          </cell>
          <cell r="D362" t="str">
            <v>ADIT - EEBEN - REG - FEDERAL - GAS</v>
          </cell>
          <cell r="E362">
            <v>0</v>
          </cell>
        </row>
        <row r="363">
          <cell r="B363">
            <v>190541</v>
          </cell>
          <cell r="C363" t="str">
            <v>Roll Fwd Sched</v>
          </cell>
          <cell r="D363" t="str">
            <v>ADIT - EEBEN - REG - STATE - ELECTRIC</v>
          </cell>
          <cell r="E363">
            <v>0</v>
          </cell>
        </row>
        <row r="364">
          <cell r="B364">
            <v>190542</v>
          </cell>
          <cell r="C364" t="str">
            <v>Roll Fwd Sched</v>
          </cell>
          <cell r="D364" t="str">
            <v>ADIT - EEBEN - REG - STATE - GAS</v>
          </cell>
          <cell r="E364">
            <v>0</v>
          </cell>
        </row>
        <row r="365">
          <cell r="B365">
            <v>190990</v>
          </cell>
          <cell r="C365" t="str">
            <v>Roll Fwd Sched</v>
          </cell>
          <cell r="D365" t="str">
            <v>RECLASS-ACCUM DEFER INC TX-FED-CURRENT-ELECTRIC</v>
          </cell>
          <cell r="E365" t="str">
            <v/>
          </cell>
          <cell r="F365">
            <v>190990</v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>
            <v>5.26478</v>
          </cell>
          <cell r="M365">
            <v>12.19078</v>
          </cell>
          <cell r="N365">
            <v>26.522780000000001</v>
          </cell>
          <cell r="O365">
            <v>37.309780000000003</v>
          </cell>
          <cell r="P365">
            <v>51.837780000000002</v>
          </cell>
          <cell r="Q365">
            <v>20.336780000000001</v>
          </cell>
          <cell r="R365">
            <v>10.33178</v>
          </cell>
          <cell r="S365">
            <v>26.391780000000001</v>
          </cell>
          <cell r="T365">
            <v>20.298780000000001</v>
          </cell>
          <cell r="U365">
            <v>31.578779999999998</v>
          </cell>
          <cell r="V365">
            <v>1.7799999999999999E-3</v>
          </cell>
          <cell r="W365">
            <v>1.7799999999999999E-3</v>
          </cell>
          <cell r="X365">
            <v>1.7799999999999999E-3</v>
          </cell>
          <cell r="Y365">
            <v>19.952988000000001</v>
          </cell>
        </row>
        <row r="366">
          <cell r="B366">
            <v>190991</v>
          </cell>
          <cell r="C366" t="str">
            <v>Roll Fwd Sched</v>
          </cell>
          <cell r="D366" t="str">
            <v>RECLASS-ACCUM DEFER INC TX-STATE-CURRENT-ELECTRIC</v>
          </cell>
          <cell r="E366" t="str">
            <v/>
          </cell>
          <cell r="F366">
            <v>190991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>
            <v>1.1460600000000001</v>
          </cell>
          <cell r="M366">
            <v>2.6580599999999999</v>
          </cell>
          <cell r="N366">
            <v>5.7880599999999998</v>
          </cell>
          <cell r="O366">
            <v>8.1430600000000002</v>
          </cell>
          <cell r="P366">
            <v>11.315060000000001</v>
          </cell>
          <cell r="Q366">
            <v>4.4360600000000003</v>
          </cell>
          <cell r="R366">
            <v>2.2510599999999998</v>
          </cell>
          <cell r="S366">
            <v>5.7580600000000004</v>
          </cell>
          <cell r="T366">
            <v>4.4280600000000003</v>
          </cell>
          <cell r="U366">
            <v>6.8910600000000004</v>
          </cell>
          <cell r="V366">
            <v>-3.9399999999999999E-3</v>
          </cell>
          <cell r="W366">
            <v>-3.9399999999999999E-3</v>
          </cell>
          <cell r="X366">
            <v>-3.9399999999999999E-3</v>
          </cell>
          <cell r="Y366">
            <v>4.3526429999999996</v>
          </cell>
        </row>
        <row r="367">
          <cell r="B367">
            <v>190992</v>
          </cell>
          <cell r="C367" t="str">
            <v>Roll Fwd Sched</v>
          </cell>
          <cell r="D367" t="str">
            <v>RECLASS-ACCUM DEFER INC TX-FED-CURRENT-GAS</v>
          </cell>
          <cell r="E367" t="str">
            <v/>
          </cell>
          <cell r="F367">
            <v>190992</v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>
            <v>-2417.5188499999999</v>
          </cell>
          <cell r="M367">
            <v>-1785.9918500000001</v>
          </cell>
          <cell r="N367">
            <v>-1952.4458500000001</v>
          </cell>
          <cell r="O367">
            <v>-834.08384999999998</v>
          </cell>
          <cell r="P367">
            <v>-200.15684999999999</v>
          </cell>
          <cell r="Q367">
            <v>-221.08985000000001</v>
          </cell>
          <cell r="R367">
            <v>-646.89385000000004</v>
          </cell>
          <cell r="S367">
            <v>-956.36485000000005</v>
          </cell>
          <cell r="T367">
            <v>-979.36985000000004</v>
          </cell>
          <cell r="U367">
            <v>-1543.8088499999999</v>
          </cell>
          <cell r="V367">
            <v>-1462.9048499999999</v>
          </cell>
          <cell r="W367">
            <v>-2017.88285</v>
          </cell>
          <cell r="X367">
            <v>-2575.3788500000001</v>
          </cell>
          <cell r="Y367">
            <v>-1258.120183</v>
          </cell>
        </row>
        <row r="368">
          <cell r="B368">
            <v>190993</v>
          </cell>
          <cell r="C368" t="str">
            <v>Roll Fwd Sched</v>
          </cell>
          <cell r="D368" t="str">
            <v>RECLASS-ACCUM DEFER INC TX-STATE-CURRENT-GAS</v>
          </cell>
          <cell r="E368" t="str">
            <v/>
          </cell>
          <cell r="F368">
            <v>190993</v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>
            <v>-527.89029000000005</v>
          </cell>
          <cell r="M368">
            <v>-389.98928999999998</v>
          </cell>
          <cell r="N368">
            <v>-426.33629000000002</v>
          </cell>
          <cell r="O368">
            <v>-182.12929</v>
          </cell>
          <cell r="P368">
            <v>-43.70429</v>
          </cell>
          <cell r="Q368">
            <v>-48.275289999999998</v>
          </cell>
          <cell r="R368">
            <v>-141.25429</v>
          </cell>
          <cell r="S368">
            <v>-208.83129</v>
          </cell>
          <cell r="T368">
            <v>-213.85529</v>
          </cell>
          <cell r="U368">
            <v>-337.10629</v>
          </cell>
          <cell r="V368">
            <v>-319.44029</v>
          </cell>
          <cell r="W368">
            <v>-440.62529000000001</v>
          </cell>
          <cell r="X368">
            <v>-562.36028999999996</v>
          </cell>
          <cell r="Y368">
            <v>-274.72270700000001</v>
          </cell>
        </row>
        <row r="369">
          <cell r="B369">
            <v>201000</v>
          </cell>
          <cell r="C369" t="str">
            <v>CAP</v>
          </cell>
          <cell r="D369" t="str">
            <v>COMMON STOCK ISSUED - $5 PAR RGE &amp; $0.01 RGS</v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>
            <v>201000</v>
          </cell>
          <cell r="L369">
            <v>-194429.065</v>
          </cell>
          <cell r="M369">
            <v>-194429.065</v>
          </cell>
          <cell r="N369">
            <v>-194429.065</v>
          </cell>
          <cell r="O369">
            <v>-194429.065</v>
          </cell>
          <cell r="P369">
            <v>-194429.065</v>
          </cell>
          <cell r="Q369">
            <v>-194429.065</v>
          </cell>
          <cell r="R369">
            <v>-194429.065</v>
          </cell>
          <cell r="S369">
            <v>-194429.065</v>
          </cell>
          <cell r="T369">
            <v>-194429.065</v>
          </cell>
          <cell r="U369">
            <v>-194429.065</v>
          </cell>
          <cell r="V369">
            <v>-194429.065</v>
          </cell>
          <cell r="W369">
            <v>-194429.065</v>
          </cell>
          <cell r="X369">
            <v>-194429.065</v>
          </cell>
          <cell r="Y369">
            <v>-194429.065</v>
          </cell>
        </row>
        <row r="370">
          <cell r="B370">
            <v>204010</v>
          </cell>
          <cell r="C370" t="str">
            <v>CAP</v>
          </cell>
          <cell r="D370" t="str">
            <v>PREFERRED STOCK ISSUED</v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>
            <v>204010</v>
          </cell>
          <cell r="L370">
            <v>-1E-3</v>
          </cell>
          <cell r="M370">
            <v>-1E-3</v>
          </cell>
          <cell r="N370">
            <v>-1E-3</v>
          </cell>
          <cell r="O370">
            <v>-1E-3</v>
          </cell>
          <cell r="P370">
            <v>-1E-3</v>
          </cell>
          <cell r="Q370">
            <v>-1E-3</v>
          </cell>
          <cell r="R370">
            <v>-1E-3</v>
          </cell>
          <cell r="S370">
            <v>-1E-3</v>
          </cell>
          <cell r="T370">
            <v>-1E-3</v>
          </cell>
          <cell r="U370">
            <v>-1E-3</v>
          </cell>
          <cell r="V370">
            <v>-1E-3</v>
          </cell>
          <cell r="W370">
            <v>-1E-3</v>
          </cell>
          <cell r="X370">
            <v>-1E-3</v>
          </cell>
          <cell r="Y370">
            <v>-1E-3</v>
          </cell>
        </row>
        <row r="371">
          <cell r="B371">
            <v>204020</v>
          </cell>
          <cell r="C371" t="str">
            <v>CAP</v>
          </cell>
          <cell r="D371" t="str">
            <v>PREF STOCK ISSUED - 4.1%  - SERIES H (PAR $100)</v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>
            <v>204020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B372">
            <v>204030</v>
          </cell>
          <cell r="C372" t="str">
            <v>CAP</v>
          </cell>
          <cell r="D372" t="str">
            <v>PREF STOCK ISSUED - 4 3/4% - SERIES I (PAR $100)</v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>
            <v>204030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B373">
            <v>204040</v>
          </cell>
          <cell r="C373" t="str">
            <v>CAP</v>
          </cell>
          <cell r="D373" t="str">
            <v>PREF STOCK ISSUED - 4.1%  - SERIES J (PAR $100)</v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>
            <v>204040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B374">
            <v>204050</v>
          </cell>
          <cell r="C374" t="str">
            <v>CAP</v>
          </cell>
          <cell r="D374" t="str">
            <v>PREF STOCK ISSUED - 4.95% - SERIES K ( PAR $100)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>
            <v>204050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</row>
        <row r="375">
          <cell r="B375">
            <v>204070</v>
          </cell>
          <cell r="C375" t="str">
            <v>CAP</v>
          </cell>
          <cell r="D375" t="str">
            <v>PREF STOCK ISSUED - 4.55% - SERIES M (PAR $100)</v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>
            <v>204070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</row>
        <row r="376">
          <cell r="B376">
            <v>204160</v>
          </cell>
          <cell r="C376" t="str">
            <v>CAP</v>
          </cell>
          <cell r="D376" t="str">
            <v>PREF STOCK ISSUED - 6.60% - SERIES V (PAR $100)</v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>
            <v>204160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</row>
        <row r="377">
          <cell r="B377">
            <v>204990</v>
          </cell>
          <cell r="C377" t="str">
            <v>CAP</v>
          </cell>
          <cell r="D377" t="str">
            <v>PREF STOCK CURRENT PORTION RECLASS - SERIES V</v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>
            <v>204990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B378">
            <v>204991</v>
          </cell>
          <cell r="C378" t="str">
            <v>CAP</v>
          </cell>
          <cell r="D378" t="str">
            <v>PREF STOCK CURRENT PORTION RECLASS - SERIES V</v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>
            <v>204991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B379">
            <v>207100</v>
          </cell>
          <cell r="C379" t="str">
            <v>CAP</v>
          </cell>
          <cell r="D379" t="str">
            <v>PREMIUM ON PREFERRED STOCK</v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>
            <v>207100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</row>
        <row r="380">
          <cell r="B380">
            <v>207200</v>
          </cell>
          <cell r="C380" t="str">
            <v>CAP</v>
          </cell>
          <cell r="D380" t="str">
            <v>PREMIUM ON COMMON STOCK</v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>
            <v>207200</v>
          </cell>
          <cell r="L380">
            <v>-519192.26312000002</v>
          </cell>
          <cell r="M380">
            <v>-519192.26312000002</v>
          </cell>
          <cell r="N380">
            <v>-519192.26312000002</v>
          </cell>
          <cell r="O380">
            <v>-519192.26312000002</v>
          </cell>
          <cell r="P380">
            <v>-519192.26312000002</v>
          </cell>
          <cell r="Q380">
            <v>-519192.26312000002</v>
          </cell>
          <cell r="R380">
            <v>-519192.26312000002</v>
          </cell>
          <cell r="S380">
            <v>-519192.26312000002</v>
          </cell>
          <cell r="T380">
            <v>-519192.26312000002</v>
          </cell>
          <cell r="U380">
            <v>-519192.26312000002</v>
          </cell>
          <cell r="V380">
            <v>-519192.26312000002</v>
          </cell>
          <cell r="W380">
            <v>-519192.26312000002</v>
          </cell>
          <cell r="X380">
            <v>-519192.26312000002</v>
          </cell>
          <cell r="Y380">
            <v>-519192.26312000002</v>
          </cell>
        </row>
        <row r="381">
          <cell r="B381">
            <v>210010</v>
          </cell>
          <cell r="C381" t="str">
            <v>CAP</v>
          </cell>
          <cell r="D381" t="str">
            <v>GAIN-RESALE OF REACQ CAP STK-PREF</v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>
            <v>210010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B382">
            <v>210020</v>
          </cell>
          <cell r="C382" t="str">
            <v>CAP</v>
          </cell>
          <cell r="D382" t="str">
            <v>GAIN ON REACQUIRED PREFERRED STOCK - SERIES Q</v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>
            <v>210020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</row>
        <row r="383">
          <cell r="B383">
            <v>211000</v>
          </cell>
          <cell r="C383" t="str">
            <v>CAP</v>
          </cell>
          <cell r="D383" t="str">
            <v>MISCELLANEOUS PAID IN CAPITAL</v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>
            <v>211000</v>
          </cell>
          <cell r="L383">
            <v>-97983.184410000002</v>
          </cell>
          <cell r="M383">
            <v>-97983.184410000002</v>
          </cell>
          <cell r="N383">
            <v>-97983.184410000002</v>
          </cell>
          <cell r="O383">
            <v>-97983.184410000002</v>
          </cell>
          <cell r="P383">
            <v>-97983.184410000002</v>
          </cell>
          <cell r="Q383">
            <v>-97983.184410000002</v>
          </cell>
          <cell r="R383">
            <v>-97983.184410000002</v>
          </cell>
          <cell r="S383">
            <v>-97983.184410000002</v>
          </cell>
          <cell r="T383">
            <v>-97983.184410000002</v>
          </cell>
          <cell r="U383">
            <v>-97983.184410000002</v>
          </cell>
          <cell r="V383">
            <v>-97983.184410000002</v>
          </cell>
          <cell r="W383">
            <v>-97983.184410000002</v>
          </cell>
          <cell r="X383">
            <v>-97983.184410000002</v>
          </cell>
          <cell r="Y383">
            <v>-97983.184410000002</v>
          </cell>
        </row>
        <row r="384">
          <cell r="B384">
            <v>211300</v>
          </cell>
          <cell r="C384" t="str">
            <v>CAP</v>
          </cell>
          <cell r="D384" t="str">
            <v>MISC PAID IN CAP-LIQUIDATED DIV</v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>
            <v>211300</v>
          </cell>
          <cell r="L384">
            <v>75000</v>
          </cell>
          <cell r="M384">
            <v>75000</v>
          </cell>
          <cell r="N384">
            <v>75000</v>
          </cell>
          <cell r="O384">
            <v>75000</v>
          </cell>
          <cell r="P384">
            <v>75000</v>
          </cell>
          <cell r="Q384">
            <v>75000</v>
          </cell>
          <cell r="R384">
            <v>75000</v>
          </cell>
          <cell r="S384">
            <v>75000</v>
          </cell>
          <cell r="T384">
            <v>75000</v>
          </cell>
          <cell r="U384">
            <v>75000</v>
          </cell>
          <cell r="V384">
            <v>75000</v>
          </cell>
          <cell r="W384">
            <v>75000</v>
          </cell>
          <cell r="X384">
            <v>75000</v>
          </cell>
          <cell r="Y384">
            <v>75000</v>
          </cell>
        </row>
        <row r="385">
          <cell r="B385">
            <v>211320</v>
          </cell>
          <cell r="C385" t="str">
            <v>CAP</v>
          </cell>
          <cell r="D385" t="str">
            <v>MISC PAID IN CAP-RESTRICTED STOCK</v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>
            <v>211320</v>
          </cell>
          <cell r="L385">
            <v>-2886.17362</v>
          </cell>
          <cell r="M385">
            <v>-2886.17362</v>
          </cell>
          <cell r="N385">
            <v>-2886.17362</v>
          </cell>
          <cell r="O385">
            <v>-2886.17362</v>
          </cell>
          <cell r="P385">
            <v>-2886.17362</v>
          </cell>
          <cell r="Q385">
            <v>-2886.17362</v>
          </cell>
          <cell r="R385">
            <v>-2886.17362</v>
          </cell>
          <cell r="S385">
            <v>-2886.17362</v>
          </cell>
          <cell r="T385">
            <v>-2886.17362</v>
          </cell>
          <cell r="U385">
            <v>-2886.17362</v>
          </cell>
          <cell r="V385">
            <v>-2886.17362</v>
          </cell>
          <cell r="W385">
            <v>-2886.17362</v>
          </cell>
          <cell r="X385">
            <v>-2886.17362</v>
          </cell>
          <cell r="Y385">
            <v>-2886.17362</v>
          </cell>
        </row>
        <row r="386">
          <cell r="B386">
            <v>214000</v>
          </cell>
          <cell r="C386" t="str">
            <v>CAP</v>
          </cell>
          <cell r="D386" t="str">
            <v>CAPITAL STOCK EXPENSE</v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>
            <v>214000</v>
          </cell>
          <cell r="L386">
            <v>15118.363939999999</v>
          </cell>
          <cell r="M386">
            <v>15118.363939999999</v>
          </cell>
          <cell r="N386">
            <v>15118.363939999999</v>
          </cell>
          <cell r="O386">
            <v>15118.363939999999</v>
          </cell>
          <cell r="P386">
            <v>15118.363939999999</v>
          </cell>
          <cell r="Q386">
            <v>15118.363939999999</v>
          </cell>
          <cell r="R386">
            <v>15118.363939999999</v>
          </cell>
          <cell r="S386">
            <v>15118.363939999999</v>
          </cell>
          <cell r="T386">
            <v>15118.363939999999</v>
          </cell>
          <cell r="U386">
            <v>15118.363939999999</v>
          </cell>
          <cell r="V386">
            <v>15118.363939999999</v>
          </cell>
          <cell r="W386">
            <v>15118.363939999999</v>
          </cell>
          <cell r="X386">
            <v>15118.363939999999</v>
          </cell>
          <cell r="Y386">
            <v>15118.363939999999</v>
          </cell>
        </row>
        <row r="387">
          <cell r="B387">
            <v>215100</v>
          </cell>
          <cell r="C387" t="str">
            <v>CAP</v>
          </cell>
          <cell r="D387" t="str">
            <v>APPROPRIATED RETAINED EARNINGS - AMORT RESERVE-FE</v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>
            <v>215100</v>
          </cell>
          <cell r="L387">
            <v>-235.98699999999999</v>
          </cell>
          <cell r="M387">
            <v>-235.98699999999999</v>
          </cell>
          <cell r="N387">
            <v>-235.98699999999999</v>
          </cell>
          <cell r="O387">
            <v>-235.98699999999999</v>
          </cell>
          <cell r="P387">
            <v>-235.98699999999999</v>
          </cell>
          <cell r="Q387">
            <v>-235.98699999999999</v>
          </cell>
          <cell r="R387">
            <v>-235.98699999999999</v>
          </cell>
          <cell r="S387">
            <v>-235.98699999999999</v>
          </cell>
          <cell r="T387">
            <v>-235.98699999999999</v>
          </cell>
          <cell r="U387">
            <v>-235.98699999999999</v>
          </cell>
          <cell r="V387">
            <v>-235.98699999999999</v>
          </cell>
          <cell r="W387">
            <v>-235.98699999999999</v>
          </cell>
          <cell r="X387">
            <v>-235.98699999999999</v>
          </cell>
          <cell r="Y387">
            <v>-235.98699999999999</v>
          </cell>
        </row>
        <row r="388">
          <cell r="B388">
            <v>216000</v>
          </cell>
          <cell r="C388" t="str">
            <v>CAP</v>
          </cell>
          <cell r="D388" t="str">
            <v>UNAPPROPRIATED RETAINED EARNINGS</v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>
            <v>216000</v>
          </cell>
          <cell r="L388">
            <v>-83502.95577</v>
          </cell>
          <cell r="M388">
            <v>-137839.49984999999</v>
          </cell>
          <cell r="N388">
            <v>-137839.49984999999</v>
          </cell>
          <cell r="O388">
            <v>-137839.49947000001</v>
          </cell>
          <cell r="P388">
            <v>-137839.49947000001</v>
          </cell>
          <cell r="Q388">
            <v>-137839.49947000001</v>
          </cell>
          <cell r="R388">
            <v>-137839.49947000001</v>
          </cell>
          <cell r="S388">
            <v>-137839.49947000001</v>
          </cell>
          <cell r="T388">
            <v>-137839.49947000001</v>
          </cell>
          <cell r="U388">
            <v>-137839.49947000001</v>
          </cell>
          <cell r="V388">
            <v>-137839.49947000001</v>
          </cell>
          <cell r="W388">
            <v>-137839.49947000001</v>
          </cell>
          <cell r="X388">
            <v>-137839.49947000001</v>
          </cell>
          <cell r="Y388">
            <v>-135575.47687899999</v>
          </cell>
        </row>
        <row r="389">
          <cell r="B389">
            <v>216050</v>
          </cell>
          <cell r="C389" t="str">
            <v>CAP</v>
          </cell>
          <cell r="D389" t="str">
            <v>UNAPPR RETAINED EARNINGS-EQUITY EARNINGS</v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>
            <v>216050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60000</v>
          </cell>
          <cell r="Q389">
            <v>60000</v>
          </cell>
          <cell r="R389">
            <v>60000</v>
          </cell>
          <cell r="S389">
            <v>100000</v>
          </cell>
          <cell r="T389">
            <v>100000</v>
          </cell>
          <cell r="U389">
            <v>100000</v>
          </cell>
          <cell r="V389">
            <v>100000</v>
          </cell>
          <cell r="W389">
            <v>100000</v>
          </cell>
          <cell r="X389">
            <v>100000</v>
          </cell>
          <cell r="Y389">
            <v>60833.333333000002</v>
          </cell>
        </row>
        <row r="390">
          <cell r="B390">
            <v>217000</v>
          </cell>
          <cell r="C390" t="str">
            <v>CAP</v>
          </cell>
          <cell r="D390" t="str">
            <v>REACQUIRED CAPITAL STOCK</v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>
            <v>217000</v>
          </cell>
          <cell r="L390">
            <v>117238.17053</v>
          </cell>
          <cell r="M390">
            <v>117238.17053</v>
          </cell>
          <cell r="N390">
            <v>117238.17053</v>
          </cell>
          <cell r="O390">
            <v>117238.17053</v>
          </cell>
          <cell r="P390">
            <v>117238.17053</v>
          </cell>
          <cell r="Q390">
            <v>117238.17053</v>
          </cell>
          <cell r="R390">
            <v>117238.17053</v>
          </cell>
          <cell r="S390">
            <v>117238.17053</v>
          </cell>
          <cell r="T390">
            <v>117238.17053</v>
          </cell>
          <cell r="U390">
            <v>117238.17053</v>
          </cell>
          <cell r="V390">
            <v>117238.17053</v>
          </cell>
          <cell r="W390">
            <v>117238.17053</v>
          </cell>
          <cell r="X390">
            <v>117238.17053</v>
          </cell>
          <cell r="Y390">
            <v>117238.17053</v>
          </cell>
        </row>
        <row r="391">
          <cell r="B391">
            <v>219500</v>
          </cell>
          <cell r="C391" t="str">
            <v>Not in RTBS</v>
          </cell>
          <cell r="D391" t="str">
            <v>OTH COMPRE INC-FAS 87 NON QUAL PENSION</v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>
            <v>219500</v>
          </cell>
          <cell r="K391" t="str">
            <v/>
          </cell>
          <cell r="L391">
            <v>3712.0014900000001</v>
          </cell>
          <cell r="M391">
            <v>3643.1898200000001</v>
          </cell>
          <cell r="N391">
            <v>3574.37815</v>
          </cell>
          <cell r="O391">
            <v>3505.56648</v>
          </cell>
          <cell r="P391">
            <v>3436.7548099999999</v>
          </cell>
          <cell r="Q391">
            <v>3298.98065</v>
          </cell>
          <cell r="R391">
            <v>3216.3764900000001</v>
          </cell>
          <cell r="S391">
            <v>3133.7723299999998</v>
          </cell>
          <cell r="T391">
            <v>3051.1681699999999</v>
          </cell>
          <cell r="U391">
            <v>2968.5640100000001</v>
          </cell>
          <cell r="V391">
            <v>2885.9598500000002</v>
          </cell>
          <cell r="W391">
            <v>2803.3556899999999</v>
          </cell>
          <cell r="X391">
            <v>3543.6915300000001</v>
          </cell>
          <cell r="Y391">
            <v>3262.1594129999999</v>
          </cell>
        </row>
        <row r="392">
          <cell r="B392">
            <v>219510</v>
          </cell>
          <cell r="C392" t="str">
            <v>Not in RTBS</v>
          </cell>
          <cell r="D392" t="str">
            <v>OTH COMPRE INC-FAS 87 NON QUAL PENSION-FIT</v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>
            <v>219510</v>
          </cell>
          <cell r="K392" t="str">
            <v/>
          </cell>
          <cell r="L392">
            <v>-1206.95741</v>
          </cell>
          <cell r="M392">
            <v>-1184.5833</v>
          </cell>
          <cell r="N392">
            <v>-1162.20919</v>
          </cell>
          <cell r="O392">
            <v>-1139.8350700000001</v>
          </cell>
          <cell r="P392">
            <v>-1117.4609599999999</v>
          </cell>
          <cell r="Q392">
            <v>-1072.6636900000001</v>
          </cell>
          <cell r="R392">
            <v>-1045.80495</v>
          </cell>
          <cell r="S392">
            <v>-1018.9462</v>
          </cell>
          <cell r="T392">
            <v>-992.08745999999996</v>
          </cell>
          <cell r="U392">
            <v>-965.22871999999995</v>
          </cell>
          <cell r="V392">
            <v>-938.36998000000006</v>
          </cell>
          <cell r="W392">
            <v>-911.51122999999995</v>
          </cell>
          <cell r="X392">
            <v>-1152.23143</v>
          </cell>
          <cell r="Y392">
            <v>-1060.691264</v>
          </cell>
        </row>
        <row r="393">
          <cell r="B393">
            <v>219530</v>
          </cell>
          <cell r="C393" t="str">
            <v>Not in RTBS</v>
          </cell>
          <cell r="D393" t="str">
            <v>OTH COMPRE INC-FAS 133 MARK TO MARKET</v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>
            <v>219530</v>
          </cell>
          <cell r="K393" t="str">
            <v/>
          </cell>
          <cell r="L393">
            <v>-28.408270000000002</v>
          </cell>
          <cell r="M393">
            <v>-51.054369999999999</v>
          </cell>
          <cell r="N393">
            <v>-109.21311</v>
          </cell>
          <cell r="O393">
            <v>-144.36403999999999</v>
          </cell>
          <cell r="P393">
            <v>-192.9649</v>
          </cell>
          <cell r="Q393">
            <v>-122.96198</v>
          </cell>
          <cell r="R393">
            <v>-101.37521</v>
          </cell>
          <cell r="S393">
            <v>-113.97696999999999</v>
          </cell>
          <cell r="T393">
            <v>-91.870769999999993</v>
          </cell>
          <cell r="U393">
            <v>-24.758289999999999</v>
          </cell>
          <cell r="V393">
            <v>-50.073169999999998</v>
          </cell>
          <cell r="W393">
            <v>-43.326680000000003</v>
          </cell>
          <cell r="X393">
            <v>-37.576839999999997</v>
          </cell>
          <cell r="Y393">
            <v>-89.911004000000005</v>
          </cell>
        </row>
        <row r="394">
          <cell r="B394">
            <v>219532</v>
          </cell>
          <cell r="C394" t="str">
            <v>Not in RTBS</v>
          </cell>
          <cell r="D394" t="str">
            <v>OTH COMPRE INC-FAS 133 TREASURY MARK TO MARKET</v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>
            <v>219532</v>
          </cell>
          <cell r="K394" t="str">
            <v/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>
            <v>219533</v>
          </cell>
          <cell r="C395" t="str">
            <v>RTBS</v>
          </cell>
          <cell r="D395" t="str">
            <v>OCI-FAS 133 TREASURY CF SETT</v>
          </cell>
          <cell r="E395" t="str">
            <v/>
          </cell>
          <cell r="F395" t="str">
            <v/>
          </cell>
          <cell r="G395">
            <v>219533</v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>
            <v>108604.00367000001</v>
          </cell>
          <cell r="M395">
            <v>102836.36375</v>
          </cell>
          <cell r="N395">
            <v>102836.36375</v>
          </cell>
          <cell r="O395">
            <v>102836.36375</v>
          </cell>
          <cell r="P395">
            <v>102836.36375</v>
          </cell>
          <cell r="Q395">
            <v>102836.36375</v>
          </cell>
          <cell r="R395">
            <v>102836.36375</v>
          </cell>
          <cell r="S395">
            <v>102836.36375</v>
          </cell>
          <cell r="T395">
            <v>102836.36375</v>
          </cell>
          <cell r="U395">
            <v>102836.36375</v>
          </cell>
          <cell r="V395">
            <v>102836.36375</v>
          </cell>
          <cell r="W395">
            <v>102836.36375</v>
          </cell>
          <cell r="X395">
            <v>102836.36375</v>
          </cell>
          <cell r="Y395">
            <v>103076.68208</v>
          </cell>
        </row>
        <row r="396">
          <cell r="B396">
            <v>219535</v>
          </cell>
          <cell r="C396" t="str">
            <v>Not in RTBS</v>
          </cell>
          <cell r="D396" t="str">
            <v>OTH COMPRE INC-FAS 133 RECLASSIFICATIONS</v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>
            <v>219535</v>
          </cell>
          <cell r="K396" t="str">
            <v/>
          </cell>
          <cell r="L396">
            <v>8.1771999999999991</v>
          </cell>
          <cell r="M396">
            <v>4.1971800000000004</v>
          </cell>
          <cell r="N396">
            <v>8.5828500000000005</v>
          </cell>
          <cell r="O396">
            <v>17.814</v>
          </cell>
          <cell r="P396">
            <v>27.4694</v>
          </cell>
          <cell r="Q396">
            <v>44.78895</v>
          </cell>
          <cell r="R396">
            <v>61.664769999999997</v>
          </cell>
          <cell r="S396">
            <v>75.686070000000001</v>
          </cell>
          <cell r="T396">
            <v>89.840789999999998</v>
          </cell>
          <cell r="U396">
            <v>105.19567000000001</v>
          </cell>
          <cell r="V396">
            <v>115.87409</v>
          </cell>
          <cell r="W396">
            <v>124.97341</v>
          </cell>
          <cell r="X396">
            <v>128.72054</v>
          </cell>
          <cell r="Y396">
            <v>62.044671000000001</v>
          </cell>
        </row>
        <row r="397">
          <cell r="B397">
            <v>219537</v>
          </cell>
          <cell r="C397" t="str">
            <v>RTBS</v>
          </cell>
          <cell r="D397" t="str">
            <v>OTH COMPRE INC-FAS 133 TREASURY RECLASSIFICATIONS</v>
          </cell>
          <cell r="E397" t="str">
            <v/>
          </cell>
          <cell r="F397" t="str">
            <v/>
          </cell>
          <cell r="G397">
            <v>219537</v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>
            <v>-5767.6399199999996</v>
          </cell>
          <cell r="M397">
            <v>-480.63666000000001</v>
          </cell>
          <cell r="N397">
            <v>-961.27332000000001</v>
          </cell>
          <cell r="O397">
            <v>-1441.9099799999999</v>
          </cell>
          <cell r="P397">
            <v>-1922.54664</v>
          </cell>
          <cell r="Q397">
            <v>-2403.1833000000001</v>
          </cell>
          <cell r="R397">
            <v>-2883.8199599999998</v>
          </cell>
          <cell r="S397">
            <v>-3364.4566199999999</v>
          </cell>
          <cell r="T397">
            <v>-3845.09328</v>
          </cell>
          <cell r="U397">
            <v>-4325.7299400000002</v>
          </cell>
          <cell r="V397">
            <v>-4806.3666000000003</v>
          </cell>
          <cell r="W397">
            <v>-5287.0032600000004</v>
          </cell>
          <cell r="X397">
            <v>-5767.6399199999996</v>
          </cell>
          <cell r="Y397">
            <v>-3124.1382899999999</v>
          </cell>
        </row>
        <row r="398">
          <cell r="B398">
            <v>219540</v>
          </cell>
          <cell r="C398" t="str">
            <v>Not in RTBS</v>
          </cell>
          <cell r="D398" t="str">
            <v>OTH COMPRE INC-FAS 133 MARK TO MARKET-FIT</v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>
            <v>219540</v>
          </cell>
          <cell r="K398" t="str">
            <v/>
          </cell>
          <cell r="L398">
            <v>9.2369400000000006</v>
          </cell>
          <cell r="M398">
            <v>16.60032</v>
          </cell>
          <cell r="N398">
            <v>35.510640000000002</v>
          </cell>
          <cell r="O398">
            <v>46.939959999999999</v>
          </cell>
          <cell r="P398">
            <v>62.742530000000002</v>
          </cell>
          <cell r="Q398">
            <v>39.981079999999999</v>
          </cell>
          <cell r="R398">
            <v>32.962139999999998</v>
          </cell>
          <cell r="S398">
            <v>37.059609999999999</v>
          </cell>
          <cell r="T398">
            <v>29.871770000000001</v>
          </cell>
          <cell r="U398">
            <v>8.0501500000000004</v>
          </cell>
          <cell r="V398">
            <v>16.281279999999999</v>
          </cell>
          <cell r="W398">
            <v>14.08766</v>
          </cell>
          <cell r="X398">
            <v>12.2181</v>
          </cell>
          <cell r="Y398">
            <v>29.234555</v>
          </cell>
        </row>
        <row r="399">
          <cell r="B399">
            <v>219542</v>
          </cell>
          <cell r="C399" t="str">
            <v>Not in RTBS</v>
          </cell>
          <cell r="D399" t="str">
            <v>OTH COMPRE INC-FAS 133 TREASURY MARK TO MARKET-FI</v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>
            <v>219542</v>
          </cell>
          <cell r="K399" t="str">
            <v/>
          </cell>
          <cell r="L399">
            <v>1.3999999999999999E-4</v>
          </cell>
          <cell r="M399">
            <v>1.3999999999999999E-4</v>
          </cell>
          <cell r="N399">
            <v>1.3999999999999999E-4</v>
          </cell>
          <cell r="O399">
            <v>1.3999999999999999E-4</v>
          </cell>
          <cell r="P399">
            <v>1.3999999999999999E-4</v>
          </cell>
          <cell r="Q399">
            <v>1.3999999999999999E-4</v>
          </cell>
          <cell r="R399">
            <v>1.3999999999999999E-4</v>
          </cell>
          <cell r="S399">
            <v>1.3999999999999999E-4</v>
          </cell>
          <cell r="T399">
            <v>1.3999999999999999E-4</v>
          </cell>
          <cell r="U399">
            <v>1.3999999999999999E-4</v>
          </cell>
          <cell r="V399">
            <v>1.3999999999999999E-4</v>
          </cell>
          <cell r="W399">
            <v>1.3999999999999999E-4</v>
          </cell>
          <cell r="X399">
            <v>1.3999999999999999E-4</v>
          </cell>
          <cell r="Y399">
            <v>1.3999999999999999E-4</v>
          </cell>
        </row>
        <row r="400">
          <cell r="B400">
            <v>219543</v>
          </cell>
          <cell r="C400" t="str">
            <v>Not in RTBS</v>
          </cell>
          <cell r="D400" t="str">
            <v>OCI-FAS 133 TREASURY CF SETT - FIT</v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>
            <v>219543</v>
          </cell>
          <cell r="K400" t="str">
            <v/>
          </cell>
          <cell r="L400">
            <v>-35312.591789999999</v>
          </cell>
          <cell r="M400">
            <v>-33437.243670000003</v>
          </cell>
          <cell r="N400">
            <v>-33437.243670000003</v>
          </cell>
          <cell r="O400">
            <v>-33437.243670000003</v>
          </cell>
          <cell r="P400">
            <v>-33437.243670000003</v>
          </cell>
          <cell r="Q400">
            <v>-33437.243670000003</v>
          </cell>
          <cell r="R400">
            <v>-33437.243670000003</v>
          </cell>
          <cell r="S400">
            <v>-33437.243670000003</v>
          </cell>
          <cell r="T400">
            <v>-33437.243670000003</v>
          </cell>
          <cell r="U400">
            <v>-33437.243670000003</v>
          </cell>
          <cell r="V400">
            <v>-33437.243670000003</v>
          </cell>
          <cell r="W400">
            <v>-33437.243670000003</v>
          </cell>
          <cell r="X400">
            <v>-33437.243670000003</v>
          </cell>
          <cell r="Y400">
            <v>-33515.383175000003</v>
          </cell>
        </row>
        <row r="401">
          <cell r="B401">
            <v>219545</v>
          </cell>
          <cell r="C401" t="str">
            <v>Not in RTBS</v>
          </cell>
          <cell r="D401" t="str">
            <v>OTH COMPRE INC-FAS 133 RECLASSIFICATIONS-FIT</v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>
            <v>219545</v>
          </cell>
          <cell r="K401" t="str">
            <v/>
          </cell>
          <cell r="L401">
            <v>-2.6586699999999999</v>
          </cell>
          <cell r="M401">
            <v>-1.3645700000000001</v>
          </cell>
          <cell r="N401">
            <v>-2.7905700000000002</v>
          </cell>
          <cell r="O401">
            <v>-5.7920800000000003</v>
          </cell>
          <cell r="P401">
            <v>-8.9315300000000004</v>
          </cell>
          <cell r="Q401">
            <v>-14.56298</v>
          </cell>
          <cell r="R401">
            <v>-20.050149999999999</v>
          </cell>
          <cell r="S401">
            <v>-24.609179999999999</v>
          </cell>
          <cell r="T401">
            <v>-29.211590000000001</v>
          </cell>
          <cell r="U401">
            <v>-34.204230000000003</v>
          </cell>
          <cell r="V401">
            <v>-37.676310000000001</v>
          </cell>
          <cell r="W401">
            <v>-40.63496</v>
          </cell>
          <cell r="X401">
            <v>-41.853340000000003</v>
          </cell>
          <cell r="Y401">
            <v>-20.173680000000001</v>
          </cell>
        </row>
        <row r="402">
          <cell r="B402">
            <v>219547</v>
          </cell>
          <cell r="C402" t="str">
            <v>Not in RTBS</v>
          </cell>
          <cell r="D402" t="str">
            <v>OTH COMPRE INC-FAS 133 TREASURY RECLASSIFICATN-FI</v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>
            <v>219547</v>
          </cell>
          <cell r="K402" t="str">
            <v/>
          </cell>
          <cell r="L402">
            <v>1875.3481200000001</v>
          </cell>
          <cell r="M402">
            <v>156.27901</v>
          </cell>
          <cell r="N402">
            <v>312.55802</v>
          </cell>
          <cell r="O402">
            <v>468.83703000000003</v>
          </cell>
          <cell r="P402">
            <v>625.11604</v>
          </cell>
          <cell r="Q402">
            <v>781.39504999999997</v>
          </cell>
          <cell r="R402">
            <v>937.67406000000005</v>
          </cell>
          <cell r="S402">
            <v>1093.95307</v>
          </cell>
          <cell r="T402">
            <v>1250.23208</v>
          </cell>
          <cell r="U402">
            <v>1406.51109</v>
          </cell>
          <cell r="V402">
            <v>1562.7900999999999</v>
          </cell>
          <cell r="W402">
            <v>1719.0691099999999</v>
          </cell>
          <cell r="X402">
            <v>1875.3481200000001</v>
          </cell>
          <cell r="Y402">
            <v>1015.813565</v>
          </cell>
        </row>
        <row r="403">
          <cell r="B403">
            <v>219550</v>
          </cell>
          <cell r="C403" t="str">
            <v>Not in RTBS</v>
          </cell>
          <cell r="D403" t="str">
            <v>OCI-FAS 87 NON QUAL PENSION-SIT</v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>
            <v>219550</v>
          </cell>
          <cell r="K403" t="str">
            <v/>
          </cell>
          <cell r="L403">
            <v>-263.55202000000003</v>
          </cell>
          <cell r="M403">
            <v>-258.66638999999998</v>
          </cell>
          <cell r="N403">
            <v>-253.78075999999999</v>
          </cell>
          <cell r="O403">
            <v>-248.89512999999999</v>
          </cell>
          <cell r="P403">
            <v>-244.0095</v>
          </cell>
          <cell r="Q403">
            <v>-234.22754</v>
          </cell>
          <cell r="R403">
            <v>-228.36264</v>
          </cell>
          <cell r="S403">
            <v>-222.49775</v>
          </cell>
          <cell r="T403">
            <v>-216.63284999999999</v>
          </cell>
          <cell r="U403">
            <v>-210.76795000000001</v>
          </cell>
          <cell r="V403">
            <v>-204.90306000000001</v>
          </cell>
          <cell r="W403">
            <v>-199.03816</v>
          </cell>
          <cell r="X403">
            <v>-251.60201000000001</v>
          </cell>
          <cell r="Y403">
            <v>-231.61322899999999</v>
          </cell>
        </row>
        <row r="404">
          <cell r="B404">
            <v>219553</v>
          </cell>
          <cell r="C404" t="str">
            <v>Not in RTBS</v>
          </cell>
          <cell r="D404" t="str">
            <v>OCI-FAS 133 TREASURY CF SETT - SIT</v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>
            <v>219553</v>
          </cell>
          <cell r="K404" t="str">
            <v/>
          </cell>
          <cell r="L404">
            <v>-7710.8842599999998</v>
          </cell>
          <cell r="M404">
            <v>-7301.3818300000003</v>
          </cell>
          <cell r="N404">
            <v>-7301.3818300000003</v>
          </cell>
          <cell r="O404">
            <v>-7301.3818300000003</v>
          </cell>
          <cell r="P404">
            <v>-7301.3818300000003</v>
          </cell>
          <cell r="Q404">
            <v>-7301.3818300000003</v>
          </cell>
          <cell r="R404">
            <v>-7301.3818300000003</v>
          </cell>
          <cell r="S404">
            <v>-7301.3818300000003</v>
          </cell>
          <cell r="T404">
            <v>-7301.3818300000003</v>
          </cell>
          <cell r="U404">
            <v>-7301.3818300000003</v>
          </cell>
          <cell r="V404">
            <v>-7301.3818300000003</v>
          </cell>
          <cell r="W404">
            <v>-7301.3818300000003</v>
          </cell>
          <cell r="X404">
            <v>-7301.3818300000003</v>
          </cell>
          <cell r="Y404">
            <v>-7318.4444309999999</v>
          </cell>
        </row>
        <row r="405">
          <cell r="B405">
            <v>219565</v>
          </cell>
          <cell r="C405" t="str">
            <v>Not in RTBS</v>
          </cell>
          <cell r="D405" t="str">
            <v>OTHER COMPREHENSIVE INC-FAS 133 MARK TO MARKET-SI</v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>
            <v>219565</v>
          </cell>
          <cell r="K405" t="str">
            <v/>
          </cell>
          <cell r="L405">
            <v>2.0169899999999998</v>
          </cell>
          <cell r="M405">
            <v>3.62486</v>
          </cell>
          <cell r="N405">
            <v>7.75413</v>
          </cell>
          <cell r="O405">
            <v>10.24985</v>
          </cell>
          <cell r="P405">
            <v>13.70051</v>
          </cell>
          <cell r="Q405">
            <v>8.7302999999999997</v>
          </cell>
          <cell r="R405">
            <v>7.1976399999999998</v>
          </cell>
          <cell r="S405">
            <v>8.0923599999999993</v>
          </cell>
          <cell r="T405">
            <v>6.5228200000000003</v>
          </cell>
          <cell r="U405">
            <v>1.7578400000000001</v>
          </cell>
          <cell r="V405">
            <v>3.5551900000000001</v>
          </cell>
          <cell r="W405">
            <v>3.07619</v>
          </cell>
          <cell r="X405">
            <v>2.6679499999999998</v>
          </cell>
          <cell r="Y405">
            <v>6.38368</v>
          </cell>
        </row>
        <row r="406">
          <cell r="B406">
            <v>219567</v>
          </cell>
          <cell r="C406" t="str">
            <v>Not in RTBS</v>
          </cell>
          <cell r="D406" t="str">
            <v>OTH COMPRE INC-FAS 133 TREASURY MARK TO MARKET-SI</v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>
            <v>219567</v>
          </cell>
          <cell r="K406" t="str">
            <v/>
          </cell>
          <cell r="L406">
            <v>3.0000000000000001E-5</v>
          </cell>
          <cell r="M406">
            <v>3.0000000000000001E-5</v>
          </cell>
          <cell r="N406">
            <v>3.0000000000000001E-5</v>
          </cell>
          <cell r="O406">
            <v>3.0000000000000001E-5</v>
          </cell>
          <cell r="P406">
            <v>3.0000000000000001E-5</v>
          </cell>
          <cell r="Q406">
            <v>3.0000000000000001E-5</v>
          </cell>
          <cell r="R406">
            <v>3.0000000000000001E-5</v>
          </cell>
          <cell r="S406">
            <v>3.0000000000000001E-5</v>
          </cell>
          <cell r="T406">
            <v>3.0000000000000001E-5</v>
          </cell>
          <cell r="U406">
            <v>3.0000000000000001E-5</v>
          </cell>
          <cell r="V406">
            <v>3.0000000000000001E-5</v>
          </cell>
          <cell r="W406">
            <v>3.0000000000000001E-5</v>
          </cell>
          <cell r="X406">
            <v>3.0000000000000001E-5</v>
          </cell>
          <cell r="Y406">
            <v>3.0000000000000001E-5</v>
          </cell>
        </row>
        <row r="407">
          <cell r="B407">
            <v>219570</v>
          </cell>
          <cell r="C407" t="str">
            <v>Not in RTBS</v>
          </cell>
          <cell r="D407" t="str">
            <v>OTHER COMPREHENSIVE INC-FAS 133 RECLASS-SIT</v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>
            <v>219570</v>
          </cell>
          <cell r="K407" t="str">
            <v/>
          </cell>
          <cell r="L407">
            <v>-0.58055000000000001</v>
          </cell>
          <cell r="M407">
            <v>-0.29797000000000001</v>
          </cell>
          <cell r="N407">
            <v>-0.60934999999999995</v>
          </cell>
          <cell r="O407">
            <v>-1.2647600000000001</v>
          </cell>
          <cell r="P407">
            <v>-1.9502999999999999</v>
          </cell>
          <cell r="Q407">
            <v>-3.17998</v>
          </cell>
          <cell r="R407">
            <v>-4.3781699999999999</v>
          </cell>
          <cell r="S407">
            <v>-5.3736800000000002</v>
          </cell>
          <cell r="T407">
            <v>-6.37866</v>
          </cell>
          <cell r="U407">
            <v>-7.4688600000000003</v>
          </cell>
          <cell r="V407">
            <v>-8.2270299999999992</v>
          </cell>
          <cell r="W407">
            <v>-8.8730799999999999</v>
          </cell>
          <cell r="X407">
            <v>-9.1391299999999998</v>
          </cell>
          <cell r="Y407">
            <v>-4.4051400000000003</v>
          </cell>
        </row>
        <row r="408">
          <cell r="B408">
            <v>219572</v>
          </cell>
          <cell r="C408" t="str">
            <v>Not in RTBS</v>
          </cell>
          <cell r="D408" t="str">
            <v>OTHER COMPRE INC-FAS 133 TREASURY RECLASS-SIT</v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>
            <v>219572</v>
          </cell>
          <cell r="K408" t="str">
            <v/>
          </cell>
          <cell r="L408">
            <v>409.50243</v>
          </cell>
          <cell r="M408">
            <v>34.1252</v>
          </cell>
          <cell r="N408">
            <v>68.250410000000002</v>
          </cell>
          <cell r="O408">
            <v>102.37560999999999</v>
          </cell>
          <cell r="P408">
            <v>136.50081</v>
          </cell>
          <cell r="Q408">
            <v>170.62601000000001</v>
          </cell>
          <cell r="R408">
            <v>204.75121999999999</v>
          </cell>
          <cell r="S408">
            <v>238.87642</v>
          </cell>
          <cell r="T408">
            <v>273.00162</v>
          </cell>
          <cell r="U408">
            <v>307.12682999999998</v>
          </cell>
          <cell r="V408">
            <v>341.25202999999999</v>
          </cell>
          <cell r="W408">
            <v>375.37723</v>
          </cell>
          <cell r="X408">
            <v>409.50243</v>
          </cell>
          <cell r="Y408">
            <v>221.813818</v>
          </cell>
        </row>
        <row r="409">
          <cell r="B409">
            <v>219575</v>
          </cell>
          <cell r="C409" t="str">
            <v>Not in RTBS</v>
          </cell>
          <cell r="D409" t="str">
            <v>OTHER COMPREHENSIVE INC-MISCELLANEOUS-COMMON</v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>
            <v>219575</v>
          </cell>
          <cell r="K409" t="str">
            <v/>
          </cell>
          <cell r="L409">
            <v>-175.20920000000001</v>
          </cell>
          <cell r="M409">
            <v>-175.20920000000001</v>
          </cell>
          <cell r="N409">
            <v>-175.20920000000001</v>
          </cell>
          <cell r="O409">
            <v>-143.63493</v>
          </cell>
          <cell r="P409">
            <v>-143.63493</v>
          </cell>
          <cell r="Q409">
            <v>-143.63493</v>
          </cell>
          <cell r="R409">
            <v>-176.82478</v>
          </cell>
          <cell r="S409">
            <v>-176.82478</v>
          </cell>
          <cell r="T409">
            <v>-176.82478</v>
          </cell>
          <cell r="U409">
            <v>-312.31335999999999</v>
          </cell>
          <cell r="V409">
            <v>-312.31335999999999</v>
          </cell>
          <cell r="W409">
            <v>-312.31335999999999</v>
          </cell>
          <cell r="X409">
            <v>-247.99689000000001</v>
          </cell>
          <cell r="Y409">
            <v>-205.02838800000001</v>
          </cell>
        </row>
        <row r="410">
          <cell r="B410">
            <v>219580</v>
          </cell>
          <cell r="C410" t="str">
            <v>Not in RTBS</v>
          </cell>
          <cell r="D410" t="str">
            <v>OTHER COMPRE INC-FIT-MISCELLANEOUS-COMMON</v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>
            <v>219580</v>
          </cell>
          <cell r="K410" t="str">
            <v/>
          </cell>
          <cell r="L410">
            <v>56.969410000000003</v>
          </cell>
          <cell r="M410">
            <v>56.969410000000003</v>
          </cell>
          <cell r="N410">
            <v>56.969410000000003</v>
          </cell>
          <cell r="O410">
            <v>46.703040000000001</v>
          </cell>
          <cell r="P410">
            <v>46.703040000000001</v>
          </cell>
          <cell r="Q410">
            <v>46.703040000000001</v>
          </cell>
          <cell r="R410">
            <v>57.494720000000001</v>
          </cell>
          <cell r="S410">
            <v>57.494720000000001</v>
          </cell>
          <cell r="T410">
            <v>57.494720000000001</v>
          </cell>
          <cell r="U410">
            <v>101.54883</v>
          </cell>
          <cell r="V410">
            <v>101.54883</v>
          </cell>
          <cell r="W410">
            <v>101.54883</v>
          </cell>
          <cell r="X410">
            <v>80.636330000000001</v>
          </cell>
          <cell r="Y410">
            <v>66.665121999999997</v>
          </cell>
        </row>
        <row r="411">
          <cell r="B411">
            <v>219582</v>
          </cell>
          <cell r="C411" t="str">
            <v>Not in RTBS</v>
          </cell>
          <cell r="D411" t="str">
            <v>OTHER COMPRE INC-SIT-MISCELLANEOUS-COMMON</v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>
            <v>219582</v>
          </cell>
          <cell r="K411" t="str">
            <v/>
          </cell>
          <cell r="L411">
            <v>12.43988</v>
          </cell>
          <cell r="M411">
            <v>12.43988</v>
          </cell>
          <cell r="N411">
            <v>12.43988</v>
          </cell>
          <cell r="O411">
            <v>10.19811</v>
          </cell>
          <cell r="P411">
            <v>10.19811</v>
          </cell>
          <cell r="Q411">
            <v>10.19811</v>
          </cell>
          <cell r="R411">
            <v>12.554589999999999</v>
          </cell>
          <cell r="S411">
            <v>12.554589999999999</v>
          </cell>
          <cell r="T411">
            <v>12.554589999999999</v>
          </cell>
          <cell r="U411">
            <v>22.17428</v>
          </cell>
          <cell r="V411">
            <v>22.17428</v>
          </cell>
          <cell r="W411">
            <v>22.17428</v>
          </cell>
          <cell r="X411">
            <v>17.607810000000001</v>
          </cell>
          <cell r="Y411">
            <v>14.557045</v>
          </cell>
        </row>
        <row r="412">
          <cell r="B412">
            <v>221340</v>
          </cell>
          <cell r="C412" t="str">
            <v>CAP</v>
          </cell>
          <cell r="D412" t="str">
            <v>FIRST MORTG BONDS - 6.35%-SERIES RR (DUE 5/2032)</v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>
            <v>221340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</row>
        <row r="413">
          <cell r="B413">
            <v>221350</v>
          </cell>
          <cell r="C413" t="str">
            <v>CAP</v>
          </cell>
          <cell r="D413" t="str">
            <v>FIRST MORTG BONDS - 6.50%-SERIES SS (DUE 5//2032)</v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>
            <v>221350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</row>
        <row r="414">
          <cell r="B414">
            <v>221360</v>
          </cell>
          <cell r="C414" t="str">
            <v>CAP</v>
          </cell>
          <cell r="D414" t="str">
            <v>FIRST MORTG BONDS - 6.95%-SERIES TT (DUE 4/2011)</v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>
            <v>221360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</row>
        <row r="415">
          <cell r="B415">
            <v>221370</v>
          </cell>
          <cell r="C415" t="str">
            <v>CAP</v>
          </cell>
          <cell r="D415" t="str">
            <v>FIRST MORTG BONDS - 6.95%-SERIES TT (DUE 5/2012)</v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>
            <v>221370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>
            <v>221990</v>
          </cell>
          <cell r="C416" t="str">
            <v>CAP</v>
          </cell>
          <cell r="D416" t="str">
            <v>RECLASS-BONDS-OTHER (WITH ACCT 221991)</v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>
            <v>221990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</row>
        <row r="417">
          <cell r="B417">
            <v>221991</v>
          </cell>
          <cell r="C417" t="str">
            <v>CAP</v>
          </cell>
          <cell r="D417" t="str">
            <v>RECLASS-BONDS-OTHER (WITH ACCT 221990)</v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>
            <v>221991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</row>
        <row r="418">
          <cell r="B418">
            <v>224000</v>
          </cell>
          <cell r="C418" t="str">
            <v>CAP</v>
          </cell>
          <cell r="D418" t="str">
            <v>LONG TERM DEBT</v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>
            <v>224000</v>
          </cell>
          <cell r="L418">
            <v>-719350</v>
          </cell>
          <cell r="M418">
            <v>-719350</v>
          </cell>
          <cell r="N418">
            <v>-658350</v>
          </cell>
          <cell r="O418">
            <v>-658350</v>
          </cell>
          <cell r="P418">
            <v>-658350</v>
          </cell>
          <cell r="Q418">
            <v>-658350</v>
          </cell>
          <cell r="R418">
            <v>-658350</v>
          </cell>
          <cell r="S418">
            <v>-783350</v>
          </cell>
          <cell r="T418">
            <v>-783350</v>
          </cell>
          <cell r="U418">
            <v>-783350</v>
          </cell>
          <cell r="V418">
            <v>-783350</v>
          </cell>
          <cell r="W418">
            <v>-783350</v>
          </cell>
          <cell r="X418">
            <v>-757850</v>
          </cell>
          <cell r="Y418">
            <v>-722204.16666700004</v>
          </cell>
        </row>
        <row r="419">
          <cell r="B419">
            <v>224530</v>
          </cell>
          <cell r="C419" t="str">
            <v>CAP</v>
          </cell>
          <cell r="D419" t="str">
            <v>MEDIUM TERM DEBT - 7.64% - SERIES D</v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>
            <v>224530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</row>
        <row r="420">
          <cell r="B420">
            <v>224540</v>
          </cell>
          <cell r="C420" t="str">
            <v>CAP</v>
          </cell>
          <cell r="D420" t="str">
            <v>MEDIUM TERM DEBT - 7.66% - SERIES E</v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>
            <v>224540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</row>
        <row r="421">
          <cell r="B421">
            <v>224550</v>
          </cell>
          <cell r="C421" t="str">
            <v>CAP</v>
          </cell>
          <cell r="D421" t="str">
            <v>MEDIUM TERM DEBT - 7.67% - SERIES F</v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>
            <v>224550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</row>
        <row r="422">
          <cell r="B422">
            <v>224570</v>
          </cell>
          <cell r="C422" t="str">
            <v>CAP</v>
          </cell>
          <cell r="D422" t="str">
            <v>MEDIUM TERM DEBT - 7.45% - SERIES H</v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>
            <v>224570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</row>
        <row r="423">
          <cell r="B423">
            <v>224580</v>
          </cell>
          <cell r="C423" t="str">
            <v>CAP</v>
          </cell>
          <cell r="D423" t="str">
            <v>MEDIUM TERM DEBT - 5.84 % - SERIES I</v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>
            <v>224580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</row>
        <row r="424">
          <cell r="B424">
            <v>224590</v>
          </cell>
          <cell r="C424" t="str">
            <v>CAP</v>
          </cell>
          <cell r="D424" t="str">
            <v>MEDIUM TERM DEBT - 7.60% - SERIES J</v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>
            <v>224590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</row>
        <row r="425">
          <cell r="B425">
            <v>224990</v>
          </cell>
          <cell r="C425" t="str">
            <v>Not in RTBS</v>
          </cell>
          <cell r="D425" t="str">
            <v>RECLASS-PROM NOTE  DUE IN 1 YR (LTD) (WITH 224991</v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>
            <v>224990</v>
          </cell>
          <cell r="K425" t="str">
            <v/>
          </cell>
          <cell r="L425">
            <v>61000</v>
          </cell>
          <cell r="M425">
            <v>61000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7625</v>
          </cell>
        </row>
        <row r="426">
          <cell r="B426">
            <v>224991</v>
          </cell>
          <cell r="C426" t="str">
            <v>Not in RTBS</v>
          </cell>
          <cell r="D426" t="str">
            <v>RECLASS-PROM NOTE  DUE IN 1 YR (LTD) (WITH 224990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>
            <v>224991</v>
          </cell>
          <cell r="K426" t="str">
            <v/>
          </cell>
          <cell r="L426">
            <v>-61000</v>
          </cell>
          <cell r="M426">
            <v>-61000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-7625</v>
          </cell>
        </row>
        <row r="427">
          <cell r="B427">
            <v>224992</v>
          </cell>
          <cell r="C427" t="str">
            <v>CAP</v>
          </cell>
          <cell r="D427" t="str">
            <v>RECL-FROM LTD TO MARKETABLE SECURITIES (W/136992)</v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>
            <v>224992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</row>
        <row r="428">
          <cell r="B428">
            <v>225000</v>
          </cell>
          <cell r="C428" t="str">
            <v>CAP</v>
          </cell>
          <cell r="D428" t="str">
            <v>UNAMORTIZED PREMIUM ON DEBT</v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>
            <v>225000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</row>
        <row r="429">
          <cell r="B429">
            <v>226000</v>
          </cell>
          <cell r="C429" t="str">
            <v>CAP</v>
          </cell>
          <cell r="D429" t="str">
            <v>UNAMORTIZED DISCOUNT ON DEBT</v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>
            <v>226000</v>
          </cell>
          <cell r="L429">
            <v>898.43619999999999</v>
          </cell>
          <cell r="M429">
            <v>894.04805999999996</v>
          </cell>
          <cell r="N429">
            <v>889.65992000000006</v>
          </cell>
          <cell r="O429">
            <v>885.27178000000004</v>
          </cell>
          <cell r="P429">
            <v>880.88364000000001</v>
          </cell>
          <cell r="Q429">
            <v>876.49549999999999</v>
          </cell>
          <cell r="R429">
            <v>872.10735999999997</v>
          </cell>
          <cell r="S429">
            <v>867.71921999999995</v>
          </cell>
          <cell r="T429">
            <v>863.33108000000004</v>
          </cell>
          <cell r="U429">
            <v>858.94294000000002</v>
          </cell>
          <cell r="V429">
            <v>854.5548</v>
          </cell>
          <cell r="W429">
            <v>850.16665999999998</v>
          </cell>
          <cell r="X429">
            <v>845.77851999999996</v>
          </cell>
          <cell r="Y429">
            <v>872.10735999999997</v>
          </cell>
        </row>
        <row r="430">
          <cell r="B430">
            <v>228200</v>
          </cell>
          <cell r="C430" t="str">
            <v>RTBS</v>
          </cell>
          <cell r="D430" t="str">
            <v>OTH NON-CUR LIAB - ACCUM PROV FOR INJUR &amp; DAM</v>
          </cell>
          <cell r="E430" t="str">
            <v/>
          </cell>
          <cell r="F430" t="str">
            <v/>
          </cell>
          <cell r="G430">
            <v>228200</v>
          </cell>
          <cell r="H430" t="str">
            <v/>
          </cell>
          <cell r="I430" t="str">
            <v/>
          </cell>
          <cell r="J430" t="str">
            <v/>
          </cell>
          <cell r="K430" t="str">
            <v/>
          </cell>
          <cell r="L430">
            <v>-1900</v>
          </cell>
          <cell r="M430">
            <v>-1900</v>
          </cell>
          <cell r="N430">
            <v>-1900</v>
          </cell>
          <cell r="O430">
            <v>-1900</v>
          </cell>
          <cell r="P430">
            <v>-1250</v>
          </cell>
          <cell r="Q430">
            <v>-1250</v>
          </cell>
          <cell r="R430">
            <v>-1250</v>
          </cell>
          <cell r="S430">
            <v>-1450</v>
          </cell>
          <cell r="T430">
            <v>-1300</v>
          </cell>
          <cell r="U430">
            <v>-1300</v>
          </cell>
          <cell r="V430">
            <v>-1300</v>
          </cell>
          <cell r="W430">
            <v>-1300</v>
          </cell>
          <cell r="X430">
            <v>-1100</v>
          </cell>
          <cell r="Y430">
            <v>-1466.666667</v>
          </cell>
        </row>
        <row r="431">
          <cell r="B431">
            <v>228300</v>
          </cell>
          <cell r="C431" t="str">
            <v>RTBS</v>
          </cell>
          <cell r="D431" t="str">
            <v>OTH NON-CUR LIAB - WORKERS COMP RESERVE</v>
          </cell>
          <cell r="E431" t="str">
            <v/>
          </cell>
          <cell r="F431" t="str">
            <v/>
          </cell>
          <cell r="G431">
            <v>228300</v>
          </cell>
          <cell r="H431" t="str">
            <v/>
          </cell>
          <cell r="I431" t="str">
            <v/>
          </cell>
          <cell r="J431" t="str">
            <v/>
          </cell>
          <cell r="K431" t="str">
            <v/>
          </cell>
          <cell r="L431">
            <v>-2299.009</v>
          </cell>
          <cell r="M431">
            <v>-2299.009</v>
          </cell>
          <cell r="N431">
            <v>-2299.009</v>
          </cell>
          <cell r="O431">
            <v>-2299.009</v>
          </cell>
          <cell r="P431">
            <v>-2299.009</v>
          </cell>
          <cell r="Q431">
            <v>-2299.009</v>
          </cell>
          <cell r="R431">
            <v>-2299.009</v>
          </cell>
          <cell r="S431">
            <v>-2299.009</v>
          </cell>
          <cell r="T431">
            <v>-2299.009</v>
          </cell>
          <cell r="U431">
            <v>-3374</v>
          </cell>
          <cell r="V431">
            <v>-3374</v>
          </cell>
          <cell r="W431">
            <v>-3374</v>
          </cell>
          <cell r="X431">
            <v>-3527</v>
          </cell>
          <cell r="Y431">
            <v>-2618.9230419999999</v>
          </cell>
        </row>
        <row r="432">
          <cell r="B432">
            <v>228305</v>
          </cell>
          <cell r="C432" t="str">
            <v>RTBS</v>
          </cell>
          <cell r="D432" t="str">
            <v>0000228305 OTH NONCUR LIAB-ACCUM PROV-LT PENSION OBLIG-FAS15</v>
          </cell>
          <cell r="E432" t="str">
            <v/>
          </cell>
          <cell r="F432" t="str">
            <v/>
          </cell>
          <cell r="G432">
            <v>228305</v>
          </cell>
          <cell r="H432" t="str">
            <v/>
          </cell>
          <cell r="I432" t="str">
            <v/>
          </cell>
          <cell r="J432" t="str">
            <v/>
          </cell>
          <cell r="K432" t="str">
            <v/>
          </cell>
          <cell r="L432">
            <v>-21825.375929999998</v>
          </cell>
          <cell r="M432">
            <v>-21367.042600000001</v>
          </cell>
          <cell r="N432">
            <v>-20908.709269999999</v>
          </cell>
          <cell r="O432">
            <v>-20450.375940000002</v>
          </cell>
          <cell r="P432">
            <v>-19992.04261</v>
          </cell>
          <cell r="Q432">
            <v>-17835.21343</v>
          </cell>
          <cell r="R432">
            <v>-17037.180929999999</v>
          </cell>
          <cell r="S432">
            <v>-16239.148429999999</v>
          </cell>
          <cell r="T432">
            <v>-15441.11593</v>
          </cell>
          <cell r="U432">
            <v>-14643.083430000001</v>
          </cell>
          <cell r="V432">
            <v>-15045.050929999999</v>
          </cell>
          <cell r="W432">
            <v>-14247.01843</v>
          </cell>
          <cell r="X432">
            <v>-39759.627930000002</v>
          </cell>
          <cell r="Y432">
            <v>-18666.540322000001</v>
          </cell>
        </row>
        <row r="433">
          <cell r="B433">
            <v>228310</v>
          </cell>
          <cell r="C433" t="str">
            <v>RTBS</v>
          </cell>
          <cell r="D433" t="str">
            <v>OTH NON-CUR LIAB - OPEB RESERVE</v>
          </cell>
          <cell r="E433" t="str">
            <v/>
          </cell>
          <cell r="F433" t="str">
            <v/>
          </cell>
          <cell r="G433">
            <v>228310</v>
          </cell>
          <cell r="H433" t="str">
            <v/>
          </cell>
          <cell r="I433" t="str">
            <v/>
          </cell>
          <cell r="J433" t="str">
            <v/>
          </cell>
          <cell r="K433" t="str">
            <v/>
          </cell>
          <cell r="L433">
            <v>-80701.236019999997</v>
          </cell>
          <cell r="M433">
            <v>-80725.346780000007</v>
          </cell>
          <cell r="N433">
            <v>-80739.030880000006</v>
          </cell>
          <cell r="O433">
            <v>-80733.083029999994</v>
          </cell>
          <cell r="P433">
            <v>-80719.115839999999</v>
          </cell>
          <cell r="Q433">
            <v>-80705.792289999998</v>
          </cell>
          <cell r="R433">
            <v>-80726.236810000002</v>
          </cell>
          <cell r="S433">
            <v>-80760.194600000003</v>
          </cell>
          <cell r="T433">
            <v>-80752.858059999999</v>
          </cell>
          <cell r="U433">
            <v>-80672.404909999997</v>
          </cell>
          <cell r="V433">
            <v>-80624.269350000002</v>
          </cell>
          <cell r="W433">
            <v>-80624.069879999995</v>
          </cell>
          <cell r="X433">
            <v>-80486.176949999994</v>
          </cell>
          <cell r="Y433">
            <v>-80698.009076000002</v>
          </cell>
        </row>
        <row r="434">
          <cell r="B434">
            <v>228400</v>
          </cell>
          <cell r="C434" t="str">
            <v>RTBS</v>
          </cell>
          <cell r="D434" t="str">
            <v>OTH NON-CUR LIAB - URANIUM ENRICHMENT RESERVE</v>
          </cell>
          <cell r="E434" t="str">
            <v/>
          </cell>
          <cell r="F434" t="str">
            <v/>
          </cell>
          <cell r="G434">
            <v>228400</v>
          </cell>
          <cell r="H434" t="str">
            <v/>
          </cell>
          <cell r="I434" t="str">
            <v/>
          </cell>
          <cell r="J434" t="str">
            <v/>
          </cell>
          <cell r="K434" t="str">
            <v/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</row>
        <row r="435">
          <cell r="B435">
            <v>228420</v>
          </cell>
          <cell r="C435" t="str">
            <v>RTBS</v>
          </cell>
          <cell r="D435" t="str">
            <v>OTH NON-CUR LIAB - ENVIRONMENTAL RESERVES</v>
          </cell>
          <cell r="E435" t="str">
            <v/>
          </cell>
          <cell r="F435" t="str">
            <v/>
          </cell>
          <cell r="G435">
            <v>228420</v>
          </cell>
          <cell r="H435" t="str">
            <v/>
          </cell>
          <cell r="I435" t="str">
            <v/>
          </cell>
          <cell r="J435" t="str">
            <v/>
          </cell>
          <cell r="K435" t="str">
            <v/>
          </cell>
          <cell r="L435">
            <v>-77008</v>
          </cell>
          <cell r="M435">
            <v>-77008</v>
          </cell>
          <cell r="N435">
            <v>-77008</v>
          </cell>
          <cell r="O435">
            <v>-77008</v>
          </cell>
          <cell r="P435">
            <v>-77008</v>
          </cell>
          <cell r="Q435">
            <v>-77008</v>
          </cell>
          <cell r="R435">
            <v>-77008</v>
          </cell>
          <cell r="S435">
            <v>-75960</v>
          </cell>
          <cell r="T435">
            <v>-75960</v>
          </cell>
          <cell r="U435">
            <v>-75960</v>
          </cell>
          <cell r="V435">
            <v>-75960</v>
          </cell>
          <cell r="W435">
            <v>-73312</v>
          </cell>
          <cell r="X435">
            <v>-73312</v>
          </cell>
          <cell r="Y435">
            <v>-76196.666666999998</v>
          </cell>
        </row>
        <row r="436">
          <cell r="B436">
            <v>228430</v>
          </cell>
          <cell r="C436" t="str">
            <v>RTBS</v>
          </cell>
          <cell r="D436" t="str">
            <v>OTH NON-CUR LIAB - SPEND NUCLEAR-DOE</v>
          </cell>
          <cell r="E436" t="str">
            <v/>
          </cell>
          <cell r="F436" t="str">
            <v/>
          </cell>
          <cell r="G436">
            <v>228430</v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>
            <v>-121973.94518</v>
          </cell>
          <cell r="M436">
            <v>-121992.54621</v>
          </cell>
          <cell r="N436">
            <v>-122011.14724000001</v>
          </cell>
          <cell r="O436">
            <v>-122029.74827</v>
          </cell>
          <cell r="P436">
            <v>-122040.1208</v>
          </cell>
          <cell r="Q436">
            <v>-122050.49333</v>
          </cell>
          <cell r="R436">
            <v>-122060.86586000001</v>
          </cell>
          <cell r="S436">
            <v>-122063.40879</v>
          </cell>
          <cell r="T436">
            <v>-122065.95172</v>
          </cell>
          <cell r="U436">
            <v>-122035.85606999999</v>
          </cell>
          <cell r="V436">
            <v>-122037.88932</v>
          </cell>
          <cell r="W436">
            <v>-122039.92325000001</v>
          </cell>
          <cell r="X436">
            <v>-122041.95718</v>
          </cell>
          <cell r="Y436">
            <v>-122036.32517</v>
          </cell>
        </row>
        <row r="437">
          <cell r="B437">
            <v>228440</v>
          </cell>
          <cell r="C437" t="str">
            <v>Not in RTBS</v>
          </cell>
          <cell r="D437" t="str">
            <v>OTH NON-CUR LIAB - NM2 D &amp; D</v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>
            <v>228440</v>
          </cell>
          <cell r="K437" t="str">
            <v/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</row>
        <row r="438">
          <cell r="B438">
            <v>228450</v>
          </cell>
          <cell r="C438" t="str">
            <v>Not in RTBS</v>
          </cell>
          <cell r="D438" t="str">
            <v>OTH NONCURENT LIAB-ARO - ELEC</v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>
            <v>228450</v>
          </cell>
          <cell r="K438" t="str">
            <v/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</row>
        <row r="439">
          <cell r="B439">
            <v>228460</v>
          </cell>
          <cell r="C439" t="str">
            <v>Not in RTBS</v>
          </cell>
          <cell r="D439" t="str">
            <v>OTH NONCURENT LIAB-ARO - GAS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>
            <v>228460</v>
          </cell>
          <cell r="K439" t="str">
            <v/>
          </cell>
          <cell r="L439">
            <v>3308.0933</v>
          </cell>
          <cell r="M439">
            <v>3308.0933</v>
          </cell>
          <cell r="N439">
            <v>3308.0933</v>
          </cell>
          <cell r="O439">
            <v>3308.0933</v>
          </cell>
          <cell r="P439">
            <v>3308.0933</v>
          </cell>
          <cell r="Q439">
            <v>3308.0933</v>
          </cell>
          <cell r="R439">
            <v>3308.0933</v>
          </cell>
          <cell r="S439">
            <v>3308.0933</v>
          </cell>
          <cell r="T439">
            <v>3308.0933</v>
          </cell>
          <cell r="U439">
            <v>3308.0933</v>
          </cell>
          <cell r="V439">
            <v>3308.0933</v>
          </cell>
          <cell r="W439">
            <v>3308.0933</v>
          </cell>
          <cell r="X439">
            <v>3444.8203199999998</v>
          </cell>
          <cell r="Y439">
            <v>3313.7902589999999</v>
          </cell>
        </row>
        <row r="440">
          <cell r="B440">
            <v>228480</v>
          </cell>
          <cell r="C440" t="str">
            <v>Not in RTBS</v>
          </cell>
          <cell r="D440" t="str">
            <v>OTH NONCUR LIAB-ACC MISC OPER PROV-OTH</v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>
            <v>228480</v>
          </cell>
          <cell r="K440" t="str">
            <v/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</row>
        <row r="441">
          <cell r="B441">
            <v>228490</v>
          </cell>
          <cell r="C441" t="str">
            <v>RTBS</v>
          </cell>
          <cell r="D441" t="str">
            <v>OTH NONCUR LIAB-MAJOR STORM RESERVE</v>
          </cell>
          <cell r="E441" t="str">
            <v/>
          </cell>
          <cell r="F441" t="str">
            <v/>
          </cell>
          <cell r="G441">
            <v>228490</v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</row>
        <row r="442">
          <cell r="B442">
            <v>228550</v>
          </cell>
          <cell r="C442" t="str">
            <v>Not in RTBS</v>
          </cell>
          <cell r="D442" t="str">
            <v>OTH NON-CUR LIAB - HEDGE-GAS</v>
          </cell>
          <cell r="E442">
            <v>1</v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>
            <v>228550</v>
          </cell>
          <cell r="K442" t="str">
            <v/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3">
          <cell r="B443">
            <v>228600</v>
          </cell>
          <cell r="C443" t="str">
            <v>Not in RTBS</v>
          </cell>
          <cell r="D443" t="str">
            <v>OTH NONCURENT LIAB-OTHER SPECIAL FUNDS</v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>
            <v>228600</v>
          </cell>
          <cell r="K443" t="str">
            <v/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</row>
        <row r="444">
          <cell r="B444">
            <v>228610</v>
          </cell>
          <cell r="C444" t="str">
            <v>Not in RTBS</v>
          </cell>
          <cell r="D444" t="str">
            <v>OTH NONCURENT LIAB-ACCUM MISC OPER PROV-OTHER</v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>
            <v>228610</v>
          </cell>
          <cell r="K444" t="str">
            <v/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</row>
        <row r="445">
          <cell r="B445">
            <v>228700</v>
          </cell>
          <cell r="C445" t="str">
            <v>NOT USED</v>
          </cell>
          <cell r="D445" t="str">
            <v>OTH NONCURENT LIAB NUCLEAR PLANT OBLIGATION COSTS</v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</row>
        <row r="446">
          <cell r="B446">
            <v>228992</v>
          </cell>
          <cell r="C446" t="str">
            <v>Not in RTBS</v>
          </cell>
          <cell r="D446" t="str">
            <v>ENVIRONMENTAL RESERVE RECLASS CURRENT</v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>
            <v>228992</v>
          </cell>
          <cell r="K446" t="str">
            <v/>
          </cell>
          <cell r="L446">
            <v>-14649</v>
          </cell>
          <cell r="M446">
            <v>-14649</v>
          </cell>
          <cell r="N446">
            <v>-14649</v>
          </cell>
          <cell r="O446">
            <v>-14649</v>
          </cell>
          <cell r="P446">
            <v>-14649</v>
          </cell>
          <cell r="Q446">
            <v>-12753.5</v>
          </cell>
          <cell r="R446">
            <v>-12753.5</v>
          </cell>
          <cell r="S446">
            <v>-12753.5</v>
          </cell>
          <cell r="T446">
            <v>-12753.5</v>
          </cell>
          <cell r="U446">
            <v>-16981.738000000001</v>
          </cell>
          <cell r="V446">
            <v>-16981.738000000001</v>
          </cell>
          <cell r="W446">
            <v>-16981.738000000001</v>
          </cell>
          <cell r="X446">
            <v>-17541.47</v>
          </cell>
          <cell r="Y446">
            <v>-14720.87075</v>
          </cell>
        </row>
        <row r="447">
          <cell r="B447">
            <v>228993</v>
          </cell>
          <cell r="C447" t="str">
            <v>Not in RTBS</v>
          </cell>
          <cell r="D447" t="str">
            <v>ENVIRONMENTAL RESERVE RECLASS TO OFFSET 228992</v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>
            <v>228993</v>
          </cell>
          <cell r="K447" t="str">
            <v/>
          </cell>
          <cell r="L447">
            <v>14649</v>
          </cell>
          <cell r="M447">
            <v>14649</v>
          </cell>
          <cell r="N447">
            <v>14649</v>
          </cell>
          <cell r="O447">
            <v>14649</v>
          </cell>
          <cell r="P447">
            <v>14649</v>
          </cell>
          <cell r="Q447">
            <v>12753.5</v>
          </cell>
          <cell r="R447">
            <v>12753.5</v>
          </cell>
          <cell r="S447">
            <v>12753.5</v>
          </cell>
          <cell r="T447">
            <v>12753.5</v>
          </cell>
          <cell r="U447">
            <v>16981.738000000001</v>
          </cell>
          <cell r="V447">
            <v>16981.738000000001</v>
          </cell>
          <cell r="W447">
            <v>16981.738000000001</v>
          </cell>
          <cell r="X447">
            <v>17541.47</v>
          </cell>
          <cell r="Y447">
            <v>14720.87075</v>
          </cell>
        </row>
        <row r="448">
          <cell r="B448">
            <v>229010</v>
          </cell>
          <cell r="C448" t="str">
            <v>NOT USED</v>
          </cell>
          <cell r="D448" t="str">
            <v>OTH NON-CUR LIAB-ACCUM PROV FOR RATE REFUND-ELEC</v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</row>
        <row r="449">
          <cell r="B449">
            <v>230010</v>
          </cell>
          <cell r="C449" t="str">
            <v>Not in RTBS</v>
          </cell>
          <cell r="D449" t="str">
            <v>OTH NONCURENT LIAB-ARO - ELEC</v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>
            <v>230010</v>
          </cell>
          <cell r="K449" t="str">
            <v/>
          </cell>
          <cell r="L449">
            <v>-14315.361639999999</v>
          </cell>
          <cell r="M449">
            <v>-14407.342500000001</v>
          </cell>
          <cell r="N449">
            <v>-14499.75121</v>
          </cell>
          <cell r="O449">
            <v>-14592.589830000001</v>
          </cell>
          <cell r="P449">
            <v>-14685.86031</v>
          </cell>
          <cell r="Q449">
            <v>-14779.564700000001</v>
          </cell>
          <cell r="R449">
            <v>-14873.70499</v>
          </cell>
          <cell r="S449">
            <v>-14968.28321</v>
          </cell>
          <cell r="T449">
            <v>-15063.301390000001</v>
          </cell>
          <cell r="U449">
            <v>-15158.761640000001</v>
          </cell>
          <cell r="V449">
            <v>-15254.665950000001</v>
          </cell>
          <cell r="W449">
            <v>-15351.01641</v>
          </cell>
          <cell r="X449">
            <v>-15392.88912</v>
          </cell>
          <cell r="Y449">
            <v>-14874.080626999999</v>
          </cell>
        </row>
        <row r="450">
          <cell r="B450">
            <v>230030</v>
          </cell>
          <cell r="C450" t="str">
            <v>Not in RTBS</v>
          </cell>
          <cell r="D450" t="str">
            <v>OTH NONCURENT LIAB-ARO - GAS</v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>
            <v>230030</v>
          </cell>
          <cell r="K450" t="str">
            <v/>
          </cell>
          <cell r="L450">
            <v>-2150.3862300000001</v>
          </cell>
          <cell r="M450">
            <v>-2159.6877599999998</v>
          </cell>
          <cell r="N450">
            <v>-2169.0295299999998</v>
          </cell>
          <cell r="O450">
            <v>-2178.4116800000002</v>
          </cell>
          <cell r="P450">
            <v>-2187.8343799999998</v>
          </cell>
          <cell r="Q450">
            <v>-2197.2978499999999</v>
          </cell>
          <cell r="R450">
            <v>-2206.8022999999998</v>
          </cell>
          <cell r="S450">
            <v>-2216.3479000000002</v>
          </cell>
          <cell r="T450">
            <v>-2225.9347400000001</v>
          </cell>
          <cell r="U450">
            <v>-2235.56304</v>
          </cell>
          <cell r="V450">
            <v>-2245.23299</v>
          </cell>
          <cell r="W450">
            <v>-2254.9448400000001</v>
          </cell>
          <cell r="X450">
            <v>-2092.2696099999998</v>
          </cell>
          <cell r="Y450">
            <v>-2199.8679109999998</v>
          </cell>
        </row>
        <row r="451">
          <cell r="B451">
            <v>231010</v>
          </cell>
          <cell r="C451" t="str">
            <v>CAP</v>
          </cell>
          <cell r="D451" t="str">
            <v>NOTES PAYABLE</v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>
            <v>231010</v>
          </cell>
          <cell r="L451">
            <v>0</v>
          </cell>
          <cell r="M451">
            <v>0</v>
          </cell>
          <cell r="N451">
            <v>-19900</v>
          </cell>
          <cell r="O451">
            <v>-4900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-2066.666667</v>
          </cell>
        </row>
        <row r="452">
          <cell r="B452">
            <v>231150</v>
          </cell>
          <cell r="C452" t="str">
            <v>CAP</v>
          </cell>
          <cell r="D452" t="str">
            <v>NOTES PAYABLE-INTERCOMPANY (W/TRADING PARTNER)</v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>
            <v>231150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-48100</v>
          </cell>
          <cell r="Q452">
            <v>-21300</v>
          </cell>
          <cell r="R452">
            <v>-5100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-6208.3333329999996</v>
          </cell>
        </row>
        <row r="453">
          <cell r="B453">
            <v>232010</v>
          </cell>
          <cell r="C453" t="str">
            <v>Working Capital</v>
          </cell>
          <cell r="D453" t="str">
            <v>ACCOUNTS PAYABLE - REGULAR</v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>
            <v>232010</v>
          </cell>
          <cell r="J453" t="str">
            <v/>
          </cell>
          <cell r="K453" t="str">
            <v/>
          </cell>
          <cell r="L453">
            <v>-14718.34287</v>
          </cell>
          <cell r="M453">
            <v>-10671.21034</v>
          </cell>
          <cell r="N453">
            <v>-10793.69209</v>
          </cell>
          <cell r="O453">
            <v>-10416.703079999999</v>
          </cell>
          <cell r="P453">
            <v>-11908.79549</v>
          </cell>
          <cell r="Q453">
            <v>-9571.6810299999997</v>
          </cell>
          <cell r="R453">
            <v>-9339.1497999999992</v>
          </cell>
          <cell r="S453">
            <v>-9462.7087200000005</v>
          </cell>
          <cell r="T453">
            <v>-9717.5009399999999</v>
          </cell>
          <cell r="U453">
            <v>-9657.7368399999996</v>
          </cell>
          <cell r="V453">
            <v>-8935.5490800000007</v>
          </cell>
          <cell r="W453">
            <v>-18745.252130000001</v>
          </cell>
          <cell r="X453">
            <v>-16526.925080000001</v>
          </cell>
          <cell r="Y453">
            <v>-11236.884459999999</v>
          </cell>
        </row>
        <row r="454">
          <cell r="B454">
            <v>232011</v>
          </cell>
          <cell r="C454" t="str">
            <v>Working Capital</v>
          </cell>
          <cell r="D454" t="str">
            <v>ACCOUNT PAYABLE - MISCELLANEOUS</v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>
            <v>232011</v>
          </cell>
          <cell r="J454" t="str">
            <v/>
          </cell>
          <cell r="K454" t="str">
            <v/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-6.2489999999999997E-2</v>
          </cell>
          <cell r="T454">
            <v>-6.2489999999999997E-2</v>
          </cell>
          <cell r="U454">
            <v>-6.2489999999999997E-2</v>
          </cell>
          <cell r="V454">
            <v>-6.2489999999999997E-2</v>
          </cell>
          <cell r="W454">
            <v>-6.2489999999999997E-2</v>
          </cell>
          <cell r="X454">
            <v>-6.2489999999999997E-2</v>
          </cell>
          <cell r="Y454">
            <v>-2.8641E-2</v>
          </cell>
        </row>
        <row r="455">
          <cell r="B455">
            <v>232012</v>
          </cell>
          <cell r="C455" t="str">
            <v>Working Capital</v>
          </cell>
          <cell r="D455" t="str">
            <v>A/P CONSIGNMENT PAYABLES</v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>
            <v>232012</v>
          </cell>
          <cell r="J455" t="str">
            <v/>
          </cell>
          <cell r="K455" t="str">
            <v/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</row>
        <row r="456">
          <cell r="B456">
            <v>232014</v>
          </cell>
          <cell r="C456" t="str">
            <v>Working Capital</v>
          </cell>
          <cell r="D456" t="str">
            <v>ACCOUNT PAYABLE - BEGINNING BALANCE</v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>
            <v>232014</v>
          </cell>
          <cell r="J456" t="str">
            <v/>
          </cell>
          <cell r="K456" t="str">
            <v/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</row>
        <row r="457">
          <cell r="B457">
            <v>232015</v>
          </cell>
          <cell r="C457" t="str">
            <v>Working Capital</v>
          </cell>
          <cell r="D457" t="str">
            <v>ACCOUNTS PAYABLE - ELECTRONIC ACCOUNTING RECLASS</v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>
            <v>232015</v>
          </cell>
          <cell r="J457" t="str">
            <v/>
          </cell>
          <cell r="K457" t="str">
            <v/>
          </cell>
          <cell r="L457">
            <v>673.06895999999995</v>
          </cell>
          <cell r="M457">
            <v>86.955690000000004</v>
          </cell>
          <cell r="N457">
            <v>86.955690000000004</v>
          </cell>
          <cell r="O457">
            <v>86.955690000000004</v>
          </cell>
          <cell r="P457">
            <v>125.87709</v>
          </cell>
          <cell r="Q457">
            <v>136.81872999999999</v>
          </cell>
          <cell r="R457">
            <v>36.218809999999998</v>
          </cell>
          <cell r="S457">
            <v>0</v>
          </cell>
          <cell r="T457">
            <v>30.408750000000001</v>
          </cell>
          <cell r="U457">
            <v>67.804130000000001</v>
          </cell>
          <cell r="V457">
            <v>72.552779999999998</v>
          </cell>
          <cell r="W457">
            <v>59.274560000000001</v>
          </cell>
          <cell r="X457">
            <v>0</v>
          </cell>
          <cell r="Y457">
            <v>93.863033000000001</v>
          </cell>
        </row>
        <row r="458">
          <cell r="B458">
            <v>232020</v>
          </cell>
          <cell r="C458" t="str">
            <v>Working Capital</v>
          </cell>
          <cell r="D458" t="str">
            <v>ACCOUNTS PAYABLE - SUNDRIES</v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>
            <v>232020</v>
          </cell>
          <cell r="J458" t="str">
            <v/>
          </cell>
          <cell r="K458" t="str">
            <v/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</row>
        <row r="459">
          <cell r="B459">
            <v>232021</v>
          </cell>
          <cell r="C459" t="str">
            <v>Working Capital</v>
          </cell>
          <cell r="D459" t="str">
            <v>ACCOUNTS PAYABLE - SUNDRIES-PURCHASED POWER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>
            <v>232021</v>
          </cell>
          <cell r="J459" t="str">
            <v/>
          </cell>
          <cell r="K459" t="str">
            <v/>
          </cell>
          <cell r="L459">
            <v>-22163.15136</v>
          </cell>
          <cell r="M459">
            <v>-23015.070370000001</v>
          </cell>
          <cell r="N459">
            <v>-22433.464019999999</v>
          </cell>
          <cell r="O459">
            <v>-21433.882590000001</v>
          </cell>
          <cell r="P459">
            <v>-17340.146059999999</v>
          </cell>
          <cell r="Q459">
            <v>-9694.2525700000006</v>
          </cell>
          <cell r="R459">
            <v>-18170.744190000001</v>
          </cell>
          <cell r="S459">
            <v>-27045.66603</v>
          </cell>
          <cell r="T459">
            <v>-27065.697199999999</v>
          </cell>
          <cell r="U459">
            <v>-27154.975119999999</v>
          </cell>
          <cell r="V459">
            <v>-18641.146250000002</v>
          </cell>
          <cell r="W459">
            <v>-17350.866470000001</v>
          </cell>
          <cell r="X459">
            <v>-15059.557919999999</v>
          </cell>
          <cell r="Y459">
            <v>-20663.105458999999</v>
          </cell>
        </row>
        <row r="460">
          <cell r="B460">
            <v>232022</v>
          </cell>
          <cell r="C460" t="str">
            <v>Working Capital</v>
          </cell>
          <cell r="D460" t="str">
            <v>ACCOUNTS PAYABLE - SUNDRIES-PURCHASED GAS</v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>
            <v>232022</v>
          </cell>
          <cell r="J460" t="str">
            <v/>
          </cell>
          <cell r="K460" t="str">
            <v/>
          </cell>
          <cell r="L460">
            <v>-18271.234710000001</v>
          </cell>
          <cell r="M460">
            <v>-16489.092690000001</v>
          </cell>
          <cell r="N460">
            <v>-13989.483840000001</v>
          </cell>
          <cell r="O460">
            <v>-13345.67453</v>
          </cell>
          <cell r="P460">
            <v>-17094.75101</v>
          </cell>
          <cell r="Q460">
            <v>-14013.32149</v>
          </cell>
          <cell r="R460">
            <v>-12146.341759999999</v>
          </cell>
          <cell r="S460">
            <v>-12008.818359999999</v>
          </cell>
          <cell r="T460">
            <v>-11378.00207</v>
          </cell>
          <cell r="U460">
            <v>-10015.739939999899</v>
          </cell>
          <cell r="V460">
            <v>-10201.340969999999</v>
          </cell>
          <cell r="W460">
            <v>-8554.7374299999992</v>
          </cell>
          <cell r="X460">
            <v>-9147.1817100000007</v>
          </cell>
          <cell r="Y460">
            <v>-12745.542692000001</v>
          </cell>
        </row>
        <row r="461">
          <cell r="B461">
            <v>232023</v>
          </cell>
          <cell r="C461" t="str">
            <v>Working Capital</v>
          </cell>
          <cell r="D461" t="str">
            <v>ACCOUNTS PAYABLE - SUNDRIES-SEPARATION ACCRUALS</v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>
            <v>232023</v>
          </cell>
          <cell r="J461" t="str">
            <v/>
          </cell>
          <cell r="K461" t="str">
            <v/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-9.8369700000000009</v>
          </cell>
          <cell r="W461">
            <v>0</v>
          </cell>
          <cell r="X461">
            <v>0</v>
          </cell>
          <cell r="Y461">
            <v>-0.81974800000000003</v>
          </cell>
        </row>
        <row r="462">
          <cell r="B462">
            <v>232024</v>
          </cell>
          <cell r="C462" t="str">
            <v>Working Capital</v>
          </cell>
          <cell r="D462" t="str">
            <v>ACCOUNTS PAYABLE - ACCRUALS</v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>
            <v>232024</v>
          </cell>
          <cell r="J462" t="str">
            <v/>
          </cell>
          <cell r="K462" t="str">
            <v/>
          </cell>
          <cell r="L462">
            <v>-15994.95542</v>
          </cell>
          <cell r="M462">
            <v>-1340.2412899999999</v>
          </cell>
          <cell r="N462">
            <v>-7297.1002799999997</v>
          </cell>
          <cell r="O462">
            <v>-4081.0250999999998</v>
          </cell>
          <cell r="P462">
            <v>-1346.8247100000001</v>
          </cell>
          <cell r="Q462">
            <v>-2279.3521700000001</v>
          </cell>
          <cell r="R462">
            <v>-2827.65717</v>
          </cell>
          <cell r="S462">
            <v>-4334.7436600000001</v>
          </cell>
          <cell r="T462">
            <v>-4893.9789199999996</v>
          </cell>
          <cell r="U462">
            <v>-5160.5930799999996</v>
          </cell>
          <cell r="V462">
            <v>-6037.8543399999999</v>
          </cell>
          <cell r="W462">
            <v>-9878.8169500000004</v>
          </cell>
          <cell r="X462">
            <v>-16357.49843</v>
          </cell>
          <cell r="Y462">
            <v>-5471.2012160000004</v>
          </cell>
        </row>
        <row r="463">
          <cell r="B463">
            <v>232025</v>
          </cell>
          <cell r="C463" t="str">
            <v>Working Capital</v>
          </cell>
          <cell r="D463" t="str">
            <v>ACCOUNTS PAYABLE - PAYROLL ACCRUALS</v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>
            <v>232025</v>
          </cell>
          <cell r="J463" t="str">
            <v/>
          </cell>
          <cell r="K463" t="str">
            <v/>
          </cell>
          <cell r="L463">
            <v>-1407.5847799999999</v>
          </cell>
          <cell r="M463">
            <v>-1860.50522</v>
          </cell>
          <cell r="N463">
            <v>-1851.26668</v>
          </cell>
          <cell r="O463">
            <v>-2387.4538899999998</v>
          </cell>
          <cell r="P463">
            <v>-1145.6303</v>
          </cell>
          <cell r="Q463">
            <v>-1647.71992</v>
          </cell>
          <cell r="R463">
            <v>-2042.89644</v>
          </cell>
          <cell r="S463">
            <v>-1676.1435300000001</v>
          </cell>
          <cell r="T463">
            <v>-2222.8127800000002</v>
          </cell>
          <cell r="U463">
            <v>-1062.4361899999999</v>
          </cell>
          <cell r="V463">
            <v>-1453.5682200000001</v>
          </cell>
          <cell r="W463">
            <v>-1761.3127199999999</v>
          </cell>
          <cell r="X463">
            <v>-1492.2147199999999</v>
          </cell>
          <cell r="Y463">
            <v>-1713.47047</v>
          </cell>
        </row>
        <row r="464">
          <cell r="B464">
            <v>232026</v>
          </cell>
          <cell r="C464" t="str">
            <v>Working Capital</v>
          </cell>
          <cell r="D464" t="str">
            <v>ACCOUNTS PAYABLE - EPAYABLES</v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>
            <v>232026</v>
          </cell>
          <cell r="J464" t="str">
            <v/>
          </cell>
          <cell r="K464" t="str">
            <v/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</row>
        <row r="465">
          <cell r="B465">
            <v>232029</v>
          </cell>
          <cell r="C465" t="str">
            <v>Not in RTBS</v>
          </cell>
          <cell r="D465" t="str">
            <v>TRANSFER GOODS RECEIPT CLEARING</v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>
            <v>232029</v>
          </cell>
          <cell r="K465" t="str">
            <v/>
          </cell>
          <cell r="L465">
            <v>0</v>
          </cell>
          <cell r="M465">
            <v>0</v>
          </cell>
          <cell r="N465">
            <v>0</v>
          </cell>
          <cell r="O465">
            <v>-16624.413530000002</v>
          </cell>
          <cell r="P465">
            <v>0</v>
          </cell>
          <cell r="Q465">
            <v>0</v>
          </cell>
          <cell r="R465">
            <v>-20304.748739999999</v>
          </cell>
          <cell r="S465">
            <v>0</v>
          </cell>
          <cell r="T465">
            <v>0</v>
          </cell>
          <cell r="U465">
            <v>-20304.748739999999</v>
          </cell>
          <cell r="V465">
            <v>0</v>
          </cell>
          <cell r="W465">
            <v>0</v>
          </cell>
          <cell r="X465">
            <v>-52386.402430000002</v>
          </cell>
          <cell r="Y465">
            <v>-6952.259352</v>
          </cell>
        </row>
        <row r="466">
          <cell r="B466">
            <v>232030</v>
          </cell>
          <cell r="C466" t="str">
            <v>Working Capital</v>
          </cell>
          <cell r="D466" t="str">
            <v>ACCOUNTS PAYABLE - PAYROLL</v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>
            <v>232030</v>
          </cell>
          <cell r="J466" t="str">
            <v/>
          </cell>
          <cell r="K466" t="str">
            <v/>
          </cell>
          <cell r="L466">
            <v>-1.0049999999999999</v>
          </cell>
          <cell r="M466">
            <v>0</v>
          </cell>
          <cell r="N466">
            <v>0</v>
          </cell>
          <cell r="O466">
            <v>-9.1127599999999997</v>
          </cell>
          <cell r="P466">
            <v>-9.1127599999999997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6.6430000000000003E-2</v>
          </cell>
          <cell r="Y466">
            <v>-1.5579000000000001</v>
          </cell>
        </row>
        <row r="467">
          <cell r="B467">
            <v>232040</v>
          </cell>
          <cell r="C467" t="str">
            <v>Working Capital</v>
          </cell>
          <cell r="D467" t="str">
            <v>ACCOUNTS PAYABLE- OUTSTANDING CHECKS</v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>
            <v>232040</v>
          </cell>
          <cell r="J467" t="str">
            <v/>
          </cell>
          <cell r="K467" t="str">
            <v/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B468">
            <v>232050</v>
          </cell>
          <cell r="C468" t="str">
            <v>Working Capital</v>
          </cell>
          <cell r="D468" t="str">
            <v>PAYROLL DEDUCTIONS - YMCA</v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>
            <v>232050</v>
          </cell>
          <cell r="J468" t="str">
            <v/>
          </cell>
          <cell r="K468" t="str">
            <v/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</row>
        <row r="469">
          <cell r="B469">
            <v>232060</v>
          </cell>
          <cell r="C469" t="str">
            <v>Working Capital</v>
          </cell>
          <cell r="D469" t="str">
            <v>PAYROLL DEDUCTIONS - UNITED WAY</v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>
            <v>232060</v>
          </cell>
          <cell r="J469" t="str">
            <v/>
          </cell>
          <cell r="K469" t="str">
            <v/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</row>
        <row r="470">
          <cell r="B470">
            <v>232069</v>
          </cell>
          <cell r="C470" t="str">
            <v>Working Capital</v>
          </cell>
          <cell r="D470" t="str">
            <v>PAYROLL ADJUSTMENTS</v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>
            <v>232069</v>
          </cell>
          <cell r="J470" t="str">
            <v/>
          </cell>
          <cell r="K470" t="str">
            <v/>
          </cell>
          <cell r="L470">
            <v>9.8206900000000008</v>
          </cell>
          <cell r="M470">
            <v>9.8206900000000008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-2.7303999999999999</v>
          </cell>
          <cell r="T470">
            <v>0</v>
          </cell>
          <cell r="U470">
            <v>0</v>
          </cell>
          <cell r="V470">
            <v>0</v>
          </cell>
          <cell r="W470">
            <v>0.38052000000000002</v>
          </cell>
          <cell r="X470">
            <v>7.4827899999999996</v>
          </cell>
          <cell r="Y470">
            <v>1.3435459999999999</v>
          </cell>
        </row>
        <row r="471">
          <cell r="B471">
            <v>232070</v>
          </cell>
          <cell r="C471" t="str">
            <v>Working Capital</v>
          </cell>
          <cell r="D471" t="str">
            <v>PAYROLL DEDUCTIONS - DEFAULT</v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>
            <v>232070</v>
          </cell>
          <cell r="J471" t="str">
            <v/>
          </cell>
          <cell r="K471" t="str">
            <v/>
          </cell>
          <cell r="L471">
            <v>-7.3749999999999996E-2</v>
          </cell>
          <cell r="M471">
            <v>-7.3749999999999996E-2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-9.2189999999999998E-3</v>
          </cell>
        </row>
        <row r="472">
          <cell r="B472">
            <v>232080</v>
          </cell>
          <cell r="C472" t="str">
            <v>Working Capital</v>
          </cell>
          <cell r="D472" t="str">
            <v>PAYROLL DEDUCTIONS - BANKRUPTCY</v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>
            <v>232080</v>
          </cell>
          <cell r="J472" t="str">
            <v/>
          </cell>
          <cell r="K472" t="str">
            <v/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</row>
        <row r="473">
          <cell r="B473">
            <v>232081</v>
          </cell>
          <cell r="C473" t="str">
            <v>Working Capital</v>
          </cell>
          <cell r="D473" t="str">
            <v>PAYROLL DEDUCTIONS - CREDITOR</v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>
            <v>232081</v>
          </cell>
          <cell r="J473" t="str">
            <v/>
          </cell>
          <cell r="K473" t="str">
            <v/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</row>
        <row r="474">
          <cell r="B474">
            <v>232082</v>
          </cell>
          <cell r="C474" t="str">
            <v>Working Capital</v>
          </cell>
          <cell r="D474" t="str">
            <v>PAYROLL DEDUCTIONS - GAS AND ELECTRIC</v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>
            <v>232082</v>
          </cell>
          <cell r="J474" t="str">
            <v/>
          </cell>
          <cell r="K474" t="str">
            <v/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>
            <v>232083</v>
          </cell>
          <cell r="C475" t="str">
            <v>Working Capital</v>
          </cell>
          <cell r="D475" t="str">
            <v>PAYROLL DEDUCTIONS - CHILD SUPPORT</v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>
            <v>232083</v>
          </cell>
          <cell r="J475" t="str">
            <v/>
          </cell>
          <cell r="K475" t="str">
            <v/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</row>
        <row r="476">
          <cell r="B476">
            <v>232085</v>
          </cell>
          <cell r="C476" t="str">
            <v>Working Capital</v>
          </cell>
          <cell r="D476" t="str">
            <v>PAYROLL DEDUCTIONS - STATE LEVY</v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>
            <v>232085</v>
          </cell>
          <cell r="J476" t="str">
            <v/>
          </cell>
          <cell r="K476" t="str">
            <v/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</row>
        <row r="477">
          <cell r="B477">
            <v>232087</v>
          </cell>
          <cell r="C477" t="str">
            <v>Working Capital</v>
          </cell>
          <cell r="D477" t="str">
            <v>PAYROLL DEDUCT-NON-UNION LONG TERM DISABILITY</v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>
            <v>232087</v>
          </cell>
          <cell r="J477" t="str">
            <v/>
          </cell>
          <cell r="K477" t="str">
            <v/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</row>
        <row r="478">
          <cell r="B478">
            <v>232088</v>
          </cell>
          <cell r="C478" t="str">
            <v>Working Capital</v>
          </cell>
          <cell r="D478" t="str">
            <v>PAYROLL DEDUCT-UNION DUES &amp; FEES</v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>
            <v>232088</v>
          </cell>
          <cell r="J478" t="str">
            <v/>
          </cell>
          <cell r="K478" t="str">
            <v/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</row>
        <row r="479">
          <cell r="B479">
            <v>232090</v>
          </cell>
          <cell r="C479" t="str">
            <v>Working Capital</v>
          </cell>
          <cell r="D479" t="str">
            <v>PAYROLL DEDUCTIONS - FINANCIAL PLANNING</v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>
            <v>232090</v>
          </cell>
          <cell r="J479" t="str">
            <v/>
          </cell>
          <cell r="K479" t="str">
            <v/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</row>
        <row r="480">
          <cell r="B480">
            <v>232100</v>
          </cell>
          <cell r="C480" t="str">
            <v>Working Capital</v>
          </cell>
          <cell r="D480" t="str">
            <v>PAYROLL DEDUCTIONS - PARKING</v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>
            <v>232100</v>
          </cell>
          <cell r="J480" t="str">
            <v/>
          </cell>
          <cell r="K480" t="str">
            <v/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B481">
            <v>232101</v>
          </cell>
          <cell r="C481" t="str">
            <v>Working Capital</v>
          </cell>
          <cell r="D481" t="str">
            <v>PAYROLL DEDUCTIONS - UNIFORM - GENERAL MAINTENANC</v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>
            <v>232101</v>
          </cell>
          <cell r="J481" t="str">
            <v/>
          </cell>
          <cell r="K481" t="str">
            <v/>
          </cell>
          <cell r="L481">
            <v>-0.40248</v>
          </cell>
          <cell r="M481">
            <v>-0.43343999999999999</v>
          </cell>
          <cell r="N481">
            <v>-6.1920000000000003E-2</v>
          </cell>
          <cell r="O481">
            <v>-9.2880000000000004E-2</v>
          </cell>
          <cell r="P481">
            <v>-0.13158</v>
          </cell>
          <cell r="Q481">
            <v>-0.16253999999999999</v>
          </cell>
          <cell r="R481">
            <v>-0.19350000000000001</v>
          </cell>
          <cell r="S481">
            <v>-0.23219999999999999</v>
          </cell>
          <cell r="T481">
            <v>-0.26316000000000001</v>
          </cell>
          <cell r="U481">
            <v>-0.30186000000000002</v>
          </cell>
          <cell r="V481">
            <v>-0.33282</v>
          </cell>
          <cell r="W481">
            <v>-0.36377999999999999</v>
          </cell>
          <cell r="X481">
            <v>-0.40248</v>
          </cell>
          <cell r="Y481">
            <v>-0.24768000000000001</v>
          </cell>
        </row>
        <row r="482">
          <cell r="B482">
            <v>232102</v>
          </cell>
          <cell r="C482" t="str">
            <v>Working Capital</v>
          </cell>
          <cell r="D482" t="str">
            <v>PAYROLL DEDUCTIONS - UNIFORM - TRANSPORTATION</v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>
            <v>232102</v>
          </cell>
          <cell r="J482" t="str">
            <v/>
          </cell>
          <cell r="K482" t="str">
            <v/>
          </cell>
          <cell r="L482">
            <v>-1.3036399999999999</v>
          </cell>
          <cell r="M482">
            <v>-1.4039200000000001</v>
          </cell>
          <cell r="N482">
            <v>-0.20055999999999999</v>
          </cell>
          <cell r="O482">
            <v>-0.30084</v>
          </cell>
          <cell r="P482">
            <v>-0.42619000000000001</v>
          </cell>
          <cell r="Q482">
            <v>-0.52646999999999999</v>
          </cell>
          <cell r="R482">
            <v>-0.62675000000000003</v>
          </cell>
          <cell r="S482">
            <v>-0.75209999999999999</v>
          </cell>
          <cell r="T482">
            <v>-0.85238000000000003</v>
          </cell>
          <cell r="U482">
            <v>-0.97772999999999999</v>
          </cell>
          <cell r="V482">
            <v>-0.85526000000000002</v>
          </cell>
          <cell r="W482">
            <v>-0.93574000000000002</v>
          </cell>
          <cell r="X482">
            <v>-1.03634</v>
          </cell>
          <cell r="Y482">
            <v>-0.752328</v>
          </cell>
        </row>
        <row r="483">
          <cell r="B483">
            <v>232104</v>
          </cell>
          <cell r="C483" t="str">
            <v>Working Capital</v>
          </cell>
          <cell r="D483" t="str">
            <v>PAYROLL DEDUCTIONS - TUITION PAYBACK</v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>
            <v>232104</v>
          </cell>
          <cell r="J483" t="str">
            <v/>
          </cell>
          <cell r="K483" t="str">
            <v/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B484">
            <v>232110</v>
          </cell>
          <cell r="C484" t="str">
            <v>Working Capital</v>
          </cell>
          <cell r="D484" t="str">
            <v>PAYROLL DEDUCTIONS - PENSION HEALTHCARE</v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>
            <v>232110</v>
          </cell>
          <cell r="J484" t="str">
            <v/>
          </cell>
          <cell r="K484" t="str">
            <v/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B485">
            <v>232115</v>
          </cell>
          <cell r="C485" t="str">
            <v>Working Capital</v>
          </cell>
          <cell r="D485" t="str">
            <v>PAYROLL DEDUCTIONS-401K/PSOP EMPLOYER CONTRIBUTIO</v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>
            <v>232115</v>
          </cell>
          <cell r="J485" t="str">
            <v/>
          </cell>
          <cell r="K485" t="str">
            <v/>
          </cell>
          <cell r="L485">
            <v>0.18364</v>
          </cell>
          <cell r="M485">
            <v>0.18364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2.2955E-2</v>
          </cell>
        </row>
        <row r="486">
          <cell r="B486">
            <v>232120</v>
          </cell>
          <cell r="C486" t="str">
            <v>Working Capital</v>
          </cell>
          <cell r="D486" t="str">
            <v>PAYROLL DEDUCTIONS - SAVINGS PLUS PLAN (401K)</v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>
            <v>232120</v>
          </cell>
          <cell r="J486" t="str">
            <v/>
          </cell>
          <cell r="K486" t="str">
            <v/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B487">
            <v>232130</v>
          </cell>
          <cell r="C487" t="str">
            <v>Working Capital</v>
          </cell>
          <cell r="D487" t="str">
            <v>PAYROLL DEDUCTIONS - FLEXCARE PLAN</v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>
            <v>232130</v>
          </cell>
          <cell r="J487" t="str">
            <v/>
          </cell>
          <cell r="K487" t="str">
            <v/>
          </cell>
          <cell r="L487">
            <v>-62.298160000000003</v>
          </cell>
          <cell r="M487">
            <v>-63.131250000000001</v>
          </cell>
          <cell r="N487">
            <v>-47.353909999999999</v>
          </cell>
          <cell r="O487">
            <v>-37.11889</v>
          </cell>
          <cell r="P487">
            <v>-30.760960000000001</v>
          </cell>
          <cell r="Q487">
            <v>-33.220939999999999</v>
          </cell>
          <cell r="R487">
            <v>-44.03519</v>
          </cell>
          <cell r="S487">
            <v>-42.825859999999999</v>
          </cell>
          <cell r="T487">
            <v>-31.567049999999998</v>
          </cell>
          <cell r="U487">
            <v>-59.711820000000003</v>
          </cell>
          <cell r="V487">
            <v>-65.480500000000006</v>
          </cell>
          <cell r="W487">
            <v>-73.630160000000004</v>
          </cell>
          <cell r="X487">
            <v>-78.388779999999997</v>
          </cell>
          <cell r="Y487">
            <v>-49.931666999999997</v>
          </cell>
        </row>
        <row r="488">
          <cell r="B488">
            <v>232140</v>
          </cell>
          <cell r="C488" t="str">
            <v>Working Capital</v>
          </cell>
          <cell r="D488" t="str">
            <v>PAYROLL DEDUCTIONS -SAVINGS PLUS PLAN LOANS (401K</v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>
            <v>232140</v>
          </cell>
          <cell r="J488" t="str">
            <v/>
          </cell>
          <cell r="K488" t="str">
            <v/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B489">
            <v>232160</v>
          </cell>
          <cell r="C489" t="str">
            <v>Working Capital</v>
          </cell>
          <cell r="D489" t="str">
            <v>PAYROLL DEDUCTIONS - FLEX DENTAL</v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>
            <v>232160</v>
          </cell>
          <cell r="J489" t="str">
            <v/>
          </cell>
          <cell r="K489" t="str">
            <v/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B490">
            <v>232170</v>
          </cell>
          <cell r="C490" t="str">
            <v>Working Capital</v>
          </cell>
          <cell r="D490" t="str">
            <v>PAYROLL DEDUCTIONS - FLEX VISION</v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>
            <v>232170</v>
          </cell>
          <cell r="J490" t="str">
            <v/>
          </cell>
          <cell r="K490" t="str">
            <v/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</row>
        <row r="491">
          <cell r="B491">
            <v>232180</v>
          </cell>
          <cell r="C491" t="str">
            <v>Working Capital</v>
          </cell>
          <cell r="D491" t="str">
            <v>PAYROLL DEDUCTIONS - FLEX HEALTH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232180</v>
          </cell>
          <cell r="J491" t="str">
            <v/>
          </cell>
          <cell r="K491" t="str">
            <v/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</row>
        <row r="492">
          <cell r="B492">
            <v>232190</v>
          </cell>
          <cell r="C492" t="str">
            <v>Working Capital</v>
          </cell>
          <cell r="D492" t="str">
            <v>PAYROLL DEDUCTIONS - ORDINARY LIFE INSURANCE</v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>
            <v>232190</v>
          </cell>
          <cell r="J492" t="str">
            <v/>
          </cell>
          <cell r="K492" t="str">
            <v/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B493">
            <v>232191</v>
          </cell>
          <cell r="C493" t="str">
            <v>Working Capital</v>
          </cell>
          <cell r="D493" t="str">
            <v>PAYROLL DEDUCTIONS - OPTIONAL  LIFE INSURANCE</v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>
            <v>232191</v>
          </cell>
          <cell r="J493" t="str">
            <v/>
          </cell>
          <cell r="K493" t="str">
            <v/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B494">
            <v>232192</v>
          </cell>
          <cell r="C494" t="str">
            <v>Working Capital</v>
          </cell>
          <cell r="D494" t="str">
            <v>PAYROLL DEDUCTIONS - DEPENDEND LIFE INS - SPOUSE</v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>
            <v>232192</v>
          </cell>
          <cell r="J494" t="str">
            <v/>
          </cell>
          <cell r="K494" t="str">
            <v/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B495">
            <v>232193</v>
          </cell>
          <cell r="C495" t="str">
            <v>Working Capital</v>
          </cell>
          <cell r="D495" t="str">
            <v>PAYROLL DEDUCTIONS - DEPENDEND LIFE INS - CHILD</v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>
            <v>232193</v>
          </cell>
          <cell r="J495" t="str">
            <v/>
          </cell>
          <cell r="K495" t="str">
            <v/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</row>
        <row r="496">
          <cell r="B496">
            <v>232197</v>
          </cell>
          <cell r="C496" t="str">
            <v>Working Capital</v>
          </cell>
          <cell r="D496" t="str">
            <v>PAYROLL DEDUCT-EMPLOYEE STK PURCHASE PLAN</v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>
            <v>232197</v>
          </cell>
          <cell r="J496" t="str">
            <v/>
          </cell>
          <cell r="K496" t="str">
            <v/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</row>
        <row r="497">
          <cell r="B497">
            <v>232199</v>
          </cell>
          <cell r="C497" t="str">
            <v>Working Capital</v>
          </cell>
          <cell r="D497" t="str">
            <v>PAYROLL DEDUCT-VACATION BUY</v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>
            <v>232199</v>
          </cell>
          <cell r="J497" t="str">
            <v/>
          </cell>
          <cell r="K497" t="str">
            <v/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</row>
        <row r="498">
          <cell r="B498">
            <v>232200</v>
          </cell>
          <cell r="C498" t="str">
            <v>Working Capital</v>
          </cell>
          <cell r="D498" t="str">
            <v>DIV  &amp; FRACT INT - TRUSTEE-NON NYS RESIDENTS</v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>
            <v>232200</v>
          </cell>
          <cell r="J498" t="str">
            <v/>
          </cell>
          <cell r="K498" t="str">
            <v/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</row>
        <row r="499">
          <cell r="B499">
            <v>232210</v>
          </cell>
          <cell r="C499" t="str">
            <v>Working Capital</v>
          </cell>
          <cell r="D499" t="str">
            <v>PAYROLL DEDUCTIONS - OTHER HEALTH (DP)</v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>
            <v>232210</v>
          </cell>
          <cell r="J499" t="str">
            <v/>
          </cell>
          <cell r="K499" t="str">
            <v/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B500">
            <v>232211</v>
          </cell>
          <cell r="C500" t="str">
            <v>Working Capital</v>
          </cell>
          <cell r="D500" t="str">
            <v>PAYROLL DEDUCTIONS - LONG TERM CARE</v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>
            <v>232211</v>
          </cell>
          <cell r="J500" t="str">
            <v/>
          </cell>
          <cell r="K500" t="str">
            <v/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</row>
        <row r="501">
          <cell r="B501">
            <v>232212</v>
          </cell>
          <cell r="C501" t="str">
            <v>Working Capital</v>
          </cell>
          <cell r="D501" t="str">
            <v>PAYROLL DEDUCTIONS-DEFERRED COMPENSATION-PUTNAM</v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>
            <v>232212</v>
          </cell>
          <cell r="J501" t="str">
            <v/>
          </cell>
          <cell r="K501" t="str">
            <v/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</row>
        <row r="502">
          <cell r="B502">
            <v>232220</v>
          </cell>
          <cell r="C502" t="str">
            <v>Working Capital</v>
          </cell>
          <cell r="D502" t="str">
            <v>RED CROSS/COMMUNITY HEATING FUND</v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>
            <v>232220</v>
          </cell>
          <cell r="J502" t="str">
            <v/>
          </cell>
          <cell r="K502" t="str">
            <v/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</row>
        <row r="503">
          <cell r="B503">
            <v>232240</v>
          </cell>
          <cell r="C503" t="str">
            <v>Not in RTBS</v>
          </cell>
          <cell r="D503" t="str">
            <v>SERP RESTORATION PLAN</v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>
            <v>232240</v>
          </cell>
          <cell r="K503" t="str">
            <v/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</row>
        <row r="504">
          <cell r="B504">
            <v>232260</v>
          </cell>
          <cell r="C504" t="str">
            <v>Working Capital</v>
          </cell>
          <cell r="D504" t="str">
            <v>ACCOUNTS PAYABLE - PAYROLL CLEARING</v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>
            <v>232260</v>
          </cell>
          <cell r="J504" t="str">
            <v/>
          </cell>
          <cell r="K504" t="str">
            <v/>
          </cell>
          <cell r="L504">
            <v>0</v>
          </cell>
          <cell r="M504">
            <v>0</v>
          </cell>
          <cell r="N504">
            <v>-1.2912300000000001</v>
          </cell>
          <cell r="O504">
            <v>-1.2912300000000001</v>
          </cell>
          <cell r="P504">
            <v>-1.2912300000000001</v>
          </cell>
          <cell r="Q504">
            <v>-0.45201000000000002</v>
          </cell>
          <cell r="R504">
            <v>9.9022500000000004</v>
          </cell>
          <cell r="S504">
            <v>11.21871</v>
          </cell>
          <cell r="T504">
            <v>10.90225</v>
          </cell>
          <cell r="U504">
            <v>17.52148</v>
          </cell>
          <cell r="V504">
            <v>45.839219999999997</v>
          </cell>
          <cell r="W504">
            <v>-3.2415600000000002</v>
          </cell>
          <cell r="X504">
            <v>-4.3303599999999998</v>
          </cell>
          <cell r="Y504">
            <v>7.1376229999999996</v>
          </cell>
        </row>
        <row r="505">
          <cell r="B505">
            <v>232270</v>
          </cell>
          <cell r="C505" t="str">
            <v>Working Capital</v>
          </cell>
          <cell r="D505" t="str">
            <v>A/P-PAYMENT REQUEST CLEARING</v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>
            <v>232270</v>
          </cell>
          <cell r="J505" t="str">
            <v/>
          </cell>
          <cell r="K505" t="str">
            <v/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-181.68404000000001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2009.74495</v>
          </cell>
          <cell r="X505">
            <v>-143.75</v>
          </cell>
          <cell r="Y505">
            <v>146.348826</v>
          </cell>
        </row>
        <row r="506">
          <cell r="B506">
            <v>232310</v>
          </cell>
          <cell r="C506" t="str">
            <v>Working Capital</v>
          </cell>
          <cell r="D506" t="str">
            <v>COAL/ FREIGHT/ DEMURRAGE</v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>
            <v>232310</v>
          </cell>
          <cell r="J506" t="str">
            <v/>
          </cell>
          <cell r="K506" t="str">
            <v/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</row>
        <row r="507">
          <cell r="B507">
            <v>232315</v>
          </cell>
          <cell r="C507" t="str">
            <v>Working Capital</v>
          </cell>
          <cell r="D507" t="str">
            <v>COAL IN TRANSIT</v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>
            <v>232315</v>
          </cell>
          <cell r="J507" t="str">
            <v/>
          </cell>
          <cell r="K507" t="str">
            <v/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B508">
            <v>232410</v>
          </cell>
          <cell r="C508" t="str">
            <v>Working Capital</v>
          </cell>
          <cell r="D508" t="str">
            <v>NUCLEAR WASTE DISPOSAL - DOE</v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>
            <v>232410</v>
          </cell>
          <cell r="J508" t="str">
            <v/>
          </cell>
          <cell r="K508" t="str">
            <v/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B509">
            <v>232500</v>
          </cell>
          <cell r="C509" t="str">
            <v>Working Capital</v>
          </cell>
          <cell r="D509" t="str">
            <v>A/P-PAC FEDERAL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232500</v>
          </cell>
          <cell r="J509" t="str">
            <v/>
          </cell>
          <cell r="K509" t="str">
            <v/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B510">
            <v>232507</v>
          </cell>
          <cell r="C510" t="str">
            <v>Working Capital</v>
          </cell>
          <cell r="D510" t="str">
            <v>A/P-SUPPLIER ISO REIMBURSEMENT LIABILITIES</v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>
            <v>232507</v>
          </cell>
          <cell r="J510" t="str">
            <v/>
          </cell>
          <cell r="K510" t="str">
            <v/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B511">
            <v>232509</v>
          </cell>
          <cell r="C511" t="str">
            <v>Working Capital</v>
          </cell>
          <cell r="D511" t="str">
            <v>A/P-RETENTIONS-CONTRACTS</v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>
            <v>232509</v>
          </cell>
          <cell r="J511" t="str">
            <v/>
          </cell>
          <cell r="K511" t="str">
            <v/>
          </cell>
          <cell r="L511">
            <v>-48.875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-2.0364580000000001</v>
          </cell>
        </row>
        <row r="512">
          <cell r="B512">
            <v>232515</v>
          </cell>
          <cell r="C512" t="str">
            <v>Working Capital</v>
          </cell>
          <cell r="D512" t="str">
            <v>A/P-WHOLESALE PURCHASED GAS</v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>
            <v>232515</v>
          </cell>
          <cell r="J512" t="str">
            <v/>
          </cell>
          <cell r="K512" t="str">
            <v/>
          </cell>
          <cell r="L512">
            <v>-1378.4434200000001</v>
          </cell>
          <cell r="M512">
            <v>-284.09003999999999</v>
          </cell>
          <cell r="N512">
            <v>-213.15505999999999</v>
          </cell>
          <cell r="O512">
            <v>-298.35225000000003</v>
          </cell>
          <cell r="P512">
            <v>0</v>
          </cell>
          <cell r="Q512">
            <v>-406.25554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-16.234909999999999</v>
          </cell>
          <cell r="X512">
            <v>0</v>
          </cell>
          <cell r="Y512">
            <v>-158.94245900000001</v>
          </cell>
        </row>
        <row r="513">
          <cell r="B513">
            <v>232970</v>
          </cell>
          <cell r="C513" t="str">
            <v>Working Capital</v>
          </cell>
          <cell r="D513" t="str">
            <v>A/P-GR/IR-GGOODS RECEIPTS / INVOICE RECEIPTS</v>
          </cell>
          <cell r="E513">
            <v>0</v>
          </cell>
          <cell r="I513">
            <v>232970</v>
          </cell>
        </row>
        <row r="514">
          <cell r="B514">
            <v>234030</v>
          </cell>
          <cell r="C514" t="str">
            <v>Not in RTBS</v>
          </cell>
          <cell r="D514" t="str">
            <v>I/C DUE TO NYSEG</v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>
            <v>234030</v>
          </cell>
          <cell r="K514" t="str">
            <v/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B515">
            <v>234050</v>
          </cell>
          <cell r="C515" t="str">
            <v>Not in RTBS</v>
          </cell>
          <cell r="D515" t="str">
            <v>A/P FR AFFILIATE-MANUAL PURCHASE GAS / POWER</v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>
            <v>234050</v>
          </cell>
          <cell r="K515" t="str">
            <v/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</row>
        <row r="516">
          <cell r="B516">
            <v>234060</v>
          </cell>
          <cell r="C516" t="str">
            <v>Not in RTBS</v>
          </cell>
          <cell r="D516" t="str">
            <v>A/P TO AFFILIATE-AUTOMATIC CLEARING</v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>
            <v>234060</v>
          </cell>
          <cell r="K516" t="str">
            <v/>
          </cell>
          <cell r="L516">
            <v>-5894.0375000000004</v>
          </cell>
          <cell r="M516">
            <v>-3817.3554800000002</v>
          </cell>
          <cell r="N516">
            <v>-6749.8365299999996</v>
          </cell>
          <cell r="O516">
            <v>-7091.9144299999998</v>
          </cell>
          <cell r="P516">
            <v>-5261.8116200000004</v>
          </cell>
          <cell r="Q516">
            <v>-7311.0082400000001</v>
          </cell>
          <cell r="R516">
            <v>-4132.8497900000002</v>
          </cell>
          <cell r="S516">
            <v>-5874.2622099999999</v>
          </cell>
          <cell r="T516">
            <v>-6419.8778400000001</v>
          </cell>
          <cell r="U516">
            <v>-9094.9529600000005</v>
          </cell>
          <cell r="V516">
            <v>-5973.4680500000004</v>
          </cell>
          <cell r="W516">
            <v>-5407.3197399999999</v>
          </cell>
          <cell r="X516">
            <v>-13372.7322</v>
          </cell>
          <cell r="Y516">
            <v>-6397.3368119999996</v>
          </cell>
        </row>
        <row r="517">
          <cell r="B517">
            <v>234070</v>
          </cell>
          <cell r="C517" t="str">
            <v>Not in RTBS</v>
          </cell>
          <cell r="D517" t="str">
            <v>A/P TO AFFILIATE-VENDOR RECONCILIATION</v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>
            <v>234070</v>
          </cell>
          <cell r="K517" t="str">
            <v/>
          </cell>
          <cell r="L517">
            <v>-3968.84024</v>
          </cell>
          <cell r="M517">
            <v>-5514.5922499999997</v>
          </cell>
          <cell r="N517">
            <v>-4522.0299299999997</v>
          </cell>
          <cell r="O517">
            <v>-3961.3572300000001</v>
          </cell>
          <cell r="P517">
            <v>-3386.6741699999998</v>
          </cell>
          <cell r="Q517">
            <v>-2692.5565799999999</v>
          </cell>
          <cell r="R517">
            <v>-2682.2521700000002</v>
          </cell>
          <cell r="S517">
            <v>-2892.6436800000001</v>
          </cell>
          <cell r="T517">
            <v>-2546.2816699999998</v>
          </cell>
          <cell r="U517">
            <v>-2517.56691</v>
          </cell>
          <cell r="V517">
            <v>-2366.4488000000001</v>
          </cell>
          <cell r="W517">
            <v>-2168.2094999999999</v>
          </cell>
          <cell r="X517">
            <v>-2730.7620999999999</v>
          </cell>
          <cell r="Y517">
            <v>-3216.701172</v>
          </cell>
        </row>
        <row r="518">
          <cell r="B518">
            <v>234440</v>
          </cell>
          <cell r="C518" t="str">
            <v>Not in RTBS</v>
          </cell>
          <cell r="D518" t="str">
            <v>I/C DUE TO ENERGETIX - FIT</v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>
            <v>234440</v>
          </cell>
          <cell r="K518" t="str">
            <v/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</row>
        <row r="519">
          <cell r="B519">
            <v>234441</v>
          </cell>
          <cell r="C519" t="str">
            <v>Not in RTBS</v>
          </cell>
          <cell r="D519" t="str">
            <v>I/C DUE TO ENERGETIX - SIT</v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>
            <v>234441</v>
          </cell>
          <cell r="K519" t="str">
            <v/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</row>
        <row r="520">
          <cell r="B520">
            <v>234460</v>
          </cell>
          <cell r="C520" t="str">
            <v>Not in RTBS</v>
          </cell>
          <cell r="D520" t="str">
            <v>I/C DUE TO GRIFFITH - FIT</v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>
            <v>234460</v>
          </cell>
          <cell r="K520" t="str">
            <v/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</row>
        <row r="521">
          <cell r="B521">
            <v>234465</v>
          </cell>
          <cell r="C521" t="str">
            <v>Not in RTBS</v>
          </cell>
          <cell r="D521" t="str">
            <v>I/C DUE TO GRIFFITH - MISCELLENEOUS</v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>
            <v>234465</v>
          </cell>
          <cell r="K521" t="str">
            <v/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</row>
        <row r="522">
          <cell r="B522">
            <v>234470</v>
          </cell>
          <cell r="C522" t="str">
            <v>Not in RTBS</v>
          </cell>
          <cell r="D522" t="str">
            <v>I/C DUE TO BURNWELL - FIT</v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>
            <v>234470</v>
          </cell>
          <cell r="K522" t="str">
            <v/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</row>
        <row r="523">
          <cell r="B523">
            <v>234471</v>
          </cell>
          <cell r="C523" t="str">
            <v>Not in RTBS</v>
          </cell>
          <cell r="D523" t="str">
            <v>I/C DUE TO BURNWELL - SIT</v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>
            <v>234471</v>
          </cell>
          <cell r="K523" t="str">
            <v/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</row>
        <row r="524">
          <cell r="B524">
            <v>234900</v>
          </cell>
          <cell r="C524" t="str">
            <v>Not in RTBS</v>
          </cell>
          <cell r="D524" t="str">
            <v>I/C DUE TO EEMC - SERVICES</v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>
            <v>234900</v>
          </cell>
          <cell r="K524" t="str">
            <v/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</row>
        <row r="525">
          <cell r="B525">
            <v>234910</v>
          </cell>
          <cell r="C525" t="str">
            <v>Not in RTBS</v>
          </cell>
          <cell r="D525" t="str">
            <v>I/C DUE TO NYSEG - SERVICES</v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>
            <v>234910</v>
          </cell>
          <cell r="K525" t="str">
            <v/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</row>
        <row r="526">
          <cell r="B526">
            <v>234920</v>
          </cell>
          <cell r="C526" t="str">
            <v>Not in RTBS</v>
          </cell>
          <cell r="D526" t="str">
            <v>I/C DUE TO ENERGETIX - SC5 IMBALANCE</v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>
            <v>234920</v>
          </cell>
          <cell r="K526" t="str">
            <v/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</row>
        <row r="527">
          <cell r="B527">
            <v>235000</v>
          </cell>
          <cell r="C527" t="str">
            <v>CAP</v>
          </cell>
          <cell r="D527" t="str">
            <v>CUSTOMER DEPOSITS</v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>
            <v>235000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</row>
        <row r="528">
          <cell r="B528">
            <v>235010</v>
          </cell>
          <cell r="C528" t="str">
            <v>CAP</v>
          </cell>
          <cell r="D528" t="str">
            <v>CUSTOMER DEPOSITS (CCS)</v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>
            <v>235010</v>
          </cell>
          <cell r="L528">
            <v>-5993.0249400000002</v>
          </cell>
          <cell r="M528">
            <v>-5946.7681000000002</v>
          </cell>
          <cell r="N528">
            <v>-5919.0601500000002</v>
          </cell>
          <cell r="O528">
            <v>-5885.7217300000002</v>
          </cell>
          <cell r="P528">
            <v>-5877.4566000000004</v>
          </cell>
          <cell r="Q528">
            <v>-5872.2983599999998</v>
          </cell>
          <cell r="R528">
            <v>-5850.4803899999997</v>
          </cell>
          <cell r="S528">
            <v>-5838.2252600000002</v>
          </cell>
          <cell r="T528">
            <v>-5813.9966299999996</v>
          </cell>
          <cell r="U528">
            <v>-5843.0646399999996</v>
          </cell>
          <cell r="V528">
            <v>-5791.6942499999996</v>
          </cell>
          <cell r="W528">
            <v>-5746.7587000000003</v>
          </cell>
          <cell r="X528">
            <v>-5726.2141700000002</v>
          </cell>
          <cell r="Y528">
            <v>-5853.7620299999999</v>
          </cell>
        </row>
        <row r="529">
          <cell r="B529">
            <v>236005</v>
          </cell>
          <cell r="C529" t="str">
            <v>Working Capital</v>
          </cell>
          <cell r="D529" t="str">
            <v>TAXES ACCRUED</v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>
            <v>236005</v>
          </cell>
          <cell r="J529" t="str">
            <v/>
          </cell>
          <cell r="K529" t="str">
            <v/>
          </cell>
          <cell r="L529">
            <v>4088</v>
          </cell>
          <cell r="M529">
            <v>4088</v>
          </cell>
          <cell r="N529">
            <v>4088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91</v>
          </cell>
          <cell r="V529">
            <v>91</v>
          </cell>
          <cell r="W529">
            <v>91</v>
          </cell>
          <cell r="X529">
            <v>92</v>
          </cell>
          <cell r="Y529">
            <v>878.25</v>
          </cell>
        </row>
        <row r="530">
          <cell r="B530">
            <v>236006</v>
          </cell>
          <cell r="C530" t="str">
            <v>Working Capital</v>
          </cell>
          <cell r="D530" t="str">
            <v>TAXES ACCRUED - RECLASS OLO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236006</v>
          </cell>
          <cell r="J530" t="str">
            <v/>
          </cell>
          <cell r="K530" t="str">
            <v/>
          </cell>
          <cell r="L530">
            <v>-4088</v>
          </cell>
          <cell r="M530">
            <v>-4088</v>
          </cell>
          <cell r="N530">
            <v>-4088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-91</v>
          </cell>
          <cell r="V530">
            <v>-91</v>
          </cell>
          <cell r="W530">
            <v>-91</v>
          </cell>
          <cell r="X530">
            <v>-92</v>
          </cell>
          <cell r="Y530">
            <v>-878.25</v>
          </cell>
        </row>
        <row r="531">
          <cell r="B531">
            <v>236007</v>
          </cell>
          <cell r="C531" t="str">
            <v>Working Capital</v>
          </cell>
          <cell r="D531" t="str">
            <v>TAXES ACCRUED-ELEC-FERC FIN 48 - INTEREST</v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>
            <v>236007</v>
          </cell>
          <cell r="J531" t="str">
            <v/>
          </cell>
          <cell r="K531" t="str">
            <v/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</row>
        <row r="532">
          <cell r="B532">
            <v>236008</v>
          </cell>
          <cell r="C532" t="str">
            <v>SFAS-109</v>
          </cell>
          <cell r="D532" t="str">
            <v>TAXES ACCRUED-GAS-FERC FIN 48 - INTEREST</v>
          </cell>
          <cell r="E532" t="str">
            <v/>
          </cell>
          <cell r="F532" t="str">
            <v/>
          </cell>
          <cell r="G532" t="str">
            <v/>
          </cell>
          <cell r="H532">
            <v>236008</v>
          </cell>
          <cell r="I532" t="str">
            <v/>
          </cell>
          <cell r="J532" t="str">
            <v/>
          </cell>
          <cell r="K532" t="str">
            <v/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</row>
        <row r="533">
          <cell r="B533">
            <v>236009</v>
          </cell>
          <cell r="C533" t="str">
            <v>SFAS-109</v>
          </cell>
          <cell r="D533" t="str">
            <v>TAXES ACCRUED-ELEC-FERC FIN 48 - DEFERRED</v>
          </cell>
          <cell r="E533" t="str">
            <v/>
          </cell>
          <cell r="F533" t="str">
            <v/>
          </cell>
          <cell r="G533" t="str">
            <v/>
          </cell>
          <cell r="H533">
            <v>236009</v>
          </cell>
          <cell r="I533" t="str">
            <v/>
          </cell>
          <cell r="J533" t="str">
            <v/>
          </cell>
          <cell r="K533" t="str">
            <v/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</row>
        <row r="534">
          <cell r="B534">
            <v>236010</v>
          </cell>
          <cell r="C534" t="str">
            <v>Working Capital</v>
          </cell>
          <cell r="D534" t="str">
            <v>TAXES ACCRUED - FEDERAL/NYS UNEMPLOYMENT INS</v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>
            <v>236010</v>
          </cell>
          <cell r="J534" t="str">
            <v/>
          </cell>
          <cell r="K534" t="str">
            <v/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B535">
            <v>236020</v>
          </cell>
          <cell r="C535" t="str">
            <v>Working Capital</v>
          </cell>
          <cell r="D535" t="str">
            <v>TAXES ACCRUED - EMPLOYER SOCIAL SECURITY</v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>
            <v>236020</v>
          </cell>
          <cell r="J535" t="str">
            <v/>
          </cell>
          <cell r="K535" t="str">
            <v/>
          </cell>
          <cell r="L535">
            <v>-111.83736</v>
          </cell>
          <cell r="M535">
            <v>-111.83736</v>
          </cell>
          <cell r="N535">
            <v>-111.83736</v>
          </cell>
          <cell r="O535">
            <v>-27.179490000000001</v>
          </cell>
          <cell r="P535">
            <v>-36.239319999999999</v>
          </cell>
          <cell r="Q535">
            <v>-45.299149999999997</v>
          </cell>
          <cell r="R535">
            <v>-54.358980000000003</v>
          </cell>
          <cell r="S535">
            <v>-63.418810000000001</v>
          </cell>
          <cell r="T535">
            <v>-72.478639999999999</v>
          </cell>
          <cell r="U535">
            <v>-81.538470000000004</v>
          </cell>
          <cell r="V535">
            <v>-90.598299999999995</v>
          </cell>
          <cell r="W535">
            <v>-99.65813</v>
          </cell>
          <cell r="X535">
            <v>-108.71796000000001</v>
          </cell>
          <cell r="Y535">
            <v>-75.393473</v>
          </cell>
        </row>
        <row r="536">
          <cell r="B536">
            <v>236030</v>
          </cell>
          <cell r="C536" t="str">
            <v>Working Capital</v>
          </cell>
          <cell r="D536" t="str">
            <v>TAXES ACCRUED - FEDERAL HIGHWAY USE</v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>
            <v>236030</v>
          </cell>
          <cell r="J536" t="str">
            <v/>
          </cell>
          <cell r="K536" t="str">
            <v/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16.431339999999999</v>
          </cell>
          <cell r="X536">
            <v>0</v>
          </cell>
          <cell r="Y536">
            <v>1.369278</v>
          </cell>
        </row>
        <row r="537">
          <cell r="B537">
            <v>236048</v>
          </cell>
          <cell r="C537" t="str">
            <v>Working Capital</v>
          </cell>
          <cell r="D537" t="str">
            <v>TAXES ACCRD-STATE UNEMPLOYMENT-ME</v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>
            <v>236048</v>
          </cell>
          <cell r="J537" t="str">
            <v/>
          </cell>
          <cell r="K537" t="str">
            <v/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</row>
        <row r="538">
          <cell r="B538">
            <v>236060</v>
          </cell>
          <cell r="C538" t="str">
            <v>Working Capital</v>
          </cell>
          <cell r="D538" t="str">
            <v>TAXES ACCRUED - STATE HIGHWAY USE</v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>
            <v>236060</v>
          </cell>
          <cell r="J538" t="str">
            <v/>
          </cell>
          <cell r="K538" t="str">
            <v/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</row>
        <row r="539">
          <cell r="B539">
            <v>236070</v>
          </cell>
          <cell r="C539" t="str">
            <v>Working Capital</v>
          </cell>
          <cell r="D539" t="str">
            <v>TAXES ACCRUED - EMPLOYER MEDICARE</v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>
            <v>236070</v>
          </cell>
          <cell r="J539" t="str">
            <v/>
          </cell>
          <cell r="K539" t="str">
            <v/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</row>
        <row r="540">
          <cell r="B540">
            <v>236110</v>
          </cell>
          <cell r="C540" t="str">
            <v>Working Capital</v>
          </cell>
          <cell r="D540" t="str">
            <v>TAXES ACCRUED - REAL PROPERTY</v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>
            <v>236110</v>
          </cell>
          <cell r="J540" t="str">
            <v/>
          </cell>
          <cell r="K540" t="str">
            <v/>
          </cell>
          <cell r="L540">
            <v>129.92124000000001</v>
          </cell>
          <cell r="M540">
            <v>141.16338999999999</v>
          </cell>
          <cell r="N540">
            <v>105.25444</v>
          </cell>
          <cell r="O540">
            <v>137.87567999999999</v>
          </cell>
          <cell r="P540">
            <v>153.83149</v>
          </cell>
          <cell r="Q540">
            <v>215.26141999999999</v>
          </cell>
          <cell r="R540">
            <v>240.31516999999999</v>
          </cell>
          <cell r="S540">
            <v>-2153.6561900000002</v>
          </cell>
          <cell r="T540">
            <v>-4723.3800199999996</v>
          </cell>
          <cell r="U540">
            <v>-474.75614999999999</v>
          </cell>
          <cell r="V540">
            <v>0</v>
          </cell>
          <cell r="W540">
            <v>0</v>
          </cell>
          <cell r="X540">
            <v>0</v>
          </cell>
          <cell r="Y540">
            <v>-524.42751299999998</v>
          </cell>
        </row>
        <row r="541">
          <cell r="B541">
            <v>236120</v>
          </cell>
          <cell r="C541" t="str">
            <v>Working Capital</v>
          </cell>
          <cell r="D541" t="str">
            <v>TAXES ACCRUED - SPECIAL FRANCHISE</v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>
            <v>236120</v>
          </cell>
          <cell r="J541" t="str">
            <v/>
          </cell>
          <cell r="K541" t="str">
            <v/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>
            <v>236130</v>
          </cell>
          <cell r="C542" t="str">
            <v>Working Capital</v>
          </cell>
          <cell r="D542" t="str">
            <v>TAXES ACCRUED - GROSS INCOME - CALEDONIA</v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>
            <v>236130</v>
          </cell>
          <cell r="J542" t="str">
            <v/>
          </cell>
          <cell r="K542" t="str">
            <v/>
          </cell>
          <cell r="L542">
            <v>-8.6273900000000001</v>
          </cell>
          <cell r="M542">
            <v>-9.0884900000000002</v>
          </cell>
          <cell r="N542">
            <v>-1.4002399999999999</v>
          </cell>
          <cell r="O542">
            <v>-2.9423599999999999</v>
          </cell>
          <cell r="P542">
            <v>-4.2691699999999999</v>
          </cell>
          <cell r="Q542">
            <v>-5.3089000000000004</v>
          </cell>
          <cell r="R542">
            <v>-6.05769</v>
          </cell>
          <cell r="S542">
            <v>-6.5201099999999999</v>
          </cell>
          <cell r="T542">
            <v>-6.7881200000000002</v>
          </cell>
          <cell r="U542">
            <v>-7.0175299999999998</v>
          </cell>
          <cell r="V542">
            <v>-7.2481600000000004</v>
          </cell>
          <cell r="W542">
            <v>-7.7426500000000003</v>
          </cell>
          <cell r="X542">
            <v>-7.9919099999999998</v>
          </cell>
          <cell r="Y542">
            <v>-6.0577560000000004</v>
          </cell>
        </row>
        <row r="543">
          <cell r="B543">
            <v>236140</v>
          </cell>
          <cell r="C543" t="str">
            <v>Working Capital</v>
          </cell>
          <cell r="D543" t="str">
            <v>TAXES ACCRUED - GROSS INCOME - PERRY</v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>
            <v>236140</v>
          </cell>
          <cell r="J543" t="str">
            <v/>
          </cell>
          <cell r="K543" t="str">
            <v/>
          </cell>
          <cell r="L543">
            <v>-4.3445400000000003</v>
          </cell>
          <cell r="M543">
            <v>-5.1089500000000001</v>
          </cell>
          <cell r="N543">
            <v>-7.7876300000000001</v>
          </cell>
          <cell r="O543">
            <v>0</v>
          </cell>
          <cell r="P543">
            <v>-2.02366</v>
          </cell>
          <cell r="Q543">
            <v>-3.8984899999999998</v>
          </cell>
          <cell r="R543">
            <v>-4.8387099999999998</v>
          </cell>
          <cell r="S543">
            <v>-5.5253199999999998</v>
          </cell>
          <cell r="T543">
            <v>-5.9445100000000002</v>
          </cell>
          <cell r="U543">
            <v>-6.3393499999999996</v>
          </cell>
          <cell r="V543">
            <v>-6.7717000000000001</v>
          </cell>
          <cell r="W543">
            <v>-7.3229600000000001</v>
          </cell>
          <cell r="X543">
            <v>-8.4508700000000001</v>
          </cell>
          <cell r="Y543">
            <v>-5.1632490000000004</v>
          </cell>
        </row>
        <row r="544">
          <cell r="B544">
            <v>236150</v>
          </cell>
          <cell r="C544" t="str">
            <v>Working Capital</v>
          </cell>
          <cell r="D544" t="str">
            <v>TAXES ACCRUED - GROSS INCOME - MERIDIAN</v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>
            <v>236150</v>
          </cell>
          <cell r="J544" t="str">
            <v/>
          </cell>
          <cell r="K544" t="str">
            <v/>
          </cell>
          <cell r="L544">
            <v>-0.13123000000000001</v>
          </cell>
          <cell r="M544">
            <v>-0.18826999999999999</v>
          </cell>
          <cell r="N544">
            <v>-0.37018000000000001</v>
          </cell>
          <cell r="O544">
            <v>13.570069999999999</v>
          </cell>
          <cell r="P544">
            <v>-0.13813</v>
          </cell>
          <cell r="Q544">
            <v>-0.25663000000000002</v>
          </cell>
          <cell r="R544">
            <v>0</v>
          </cell>
          <cell r="S544">
            <v>-0.1236</v>
          </cell>
          <cell r="T544">
            <v>-0.23977000000000001</v>
          </cell>
          <cell r="U544">
            <v>0</v>
          </cell>
          <cell r="V544">
            <v>-0.10730000000000001</v>
          </cell>
          <cell r="W544">
            <v>-0.20346</v>
          </cell>
          <cell r="X544">
            <v>0</v>
          </cell>
          <cell r="Y544">
            <v>0.98975999999999997</v>
          </cell>
        </row>
        <row r="545">
          <cell r="B545">
            <v>236160</v>
          </cell>
          <cell r="C545" t="str">
            <v>Working Capital</v>
          </cell>
          <cell r="D545" t="str">
            <v>TAXES ACCRUED - GROSS INCOME - LEROY</v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>
            <v>236160</v>
          </cell>
          <cell r="J545" t="str">
            <v/>
          </cell>
          <cell r="K545" t="str">
            <v/>
          </cell>
          <cell r="L545">
            <v>-7.1144600000000002</v>
          </cell>
          <cell r="M545">
            <v>-8.2904900000000001</v>
          </cell>
          <cell r="N545">
            <v>-11.358079999999999</v>
          </cell>
          <cell r="O545">
            <v>0</v>
          </cell>
          <cell r="P545">
            <v>-2.3732700000000002</v>
          </cell>
          <cell r="Q545">
            <v>-4.0309400000000002</v>
          </cell>
          <cell r="R545">
            <v>-5.4987599999999999</v>
          </cell>
          <cell r="S545">
            <v>-6.1739100000000002</v>
          </cell>
          <cell r="T545">
            <v>-6.68302</v>
          </cell>
          <cell r="U545">
            <v>-7.1279000000000003</v>
          </cell>
          <cell r="V545">
            <v>-7.6053699999999997</v>
          </cell>
          <cell r="W545">
            <v>-8.3165499999999994</v>
          </cell>
          <cell r="X545">
            <v>-9.2698599999999995</v>
          </cell>
          <cell r="Y545">
            <v>-6.3042040000000004</v>
          </cell>
        </row>
        <row r="546">
          <cell r="B546">
            <v>236180</v>
          </cell>
          <cell r="C546" t="str">
            <v>Working Capital</v>
          </cell>
          <cell r="D546" t="str">
            <v>TAXES ACCRUED - GROSS INCOME - WARSAW</v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>
            <v>236180</v>
          </cell>
          <cell r="J546" t="str">
            <v/>
          </cell>
          <cell r="K546" t="str">
            <v/>
          </cell>
          <cell r="L546">
            <v>-3.8913500000000001</v>
          </cell>
          <cell r="M546">
            <v>-4.6818400000000002</v>
          </cell>
          <cell r="N546">
            <v>-6.9584200000000003</v>
          </cell>
          <cell r="O546">
            <v>0</v>
          </cell>
          <cell r="P546">
            <v>-1.9134599999999999</v>
          </cell>
          <cell r="Q546">
            <v>-3.18424</v>
          </cell>
          <cell r="R546">
            <v>-4.2371499999999997</v>
          </cell>
          <cell r="S546">
            <v>-4.7920100000000003</v>
          </cell>
          <cell r="T546">
            <v>-5.1216799999999996</v>
          </cell>
          <cell r="U546">
            <v>-5.4706200000000003</v>
          </cell>
          <cell r="V546">
            <v>-5.8100500000000004</v>
          </cell>
          <cell r="W546">
            <v>-6.38931</v>
          </cell>
          <cell r="X546">
            <v>-7.03078</v>
          </cell>
          <cell r="Y546">
            <v>-4.5016540000000003</v>
          </cell>
        </row>
        <row r="547">
          <cell r="B547">
            <v>236190</v>
          </cell>
          <cell r="C547" t="str">
            <v>Working Capital</v>
          </cell>
          <cell r="D547" t="str">
            <v>TAXES ACCRUED - UNBILLED REVENUE TAX</v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>
            <v>236190</v>
          </cell>
          <cell r="J547" t="str">
            <v/>
          </cell>
          <cell r="K547" t="str">
            <v/>
          </cell>
          <cell r="L547">
            <v>-784.65601000000004</v>
          </cell>
          <cell r="M547">
            <v>-766.69737999999995</v>
          </cell>
          <cell r="N547">
            <v>-589.98964000000001</v>
          </cell>
          <cell r="O547">
            <v>-554.63963000000001</v>
          </cell>
          <cell r="P547">
            <v>-440.38353000000001</v>
          </cell>
          <cell r="Q547">
            <v>-442.11930999999998</v>
          </cell>
          <cell r="R547">
            <v>-1273.84833</v>
          </cell>
          <cell r="S547">
            <v>-486.21681999999998</v>
          </cell>
          <cell r="T547">
            <v>-653.22162000000003</v>
          </cell>
          <cell r="U547">
            <v>-536.02038000000005</v>
          </cell>
          <cell r="V547">
            <v>-582.36335999999994</v>
          </cell>
          <cell r="W547">
            <v>-669.09433999999999</v>
          </cell>
          <cell r="X547">
            <v>-492.79932000000002</v>
          </cell>
          <cell r="Y547">
            <v>-636.11016700000005</v>
          </cell>
        </row>
        <row r="548">
          <cell r="B548">
            <v>236200</v>
          </cell>
          <cell r="C548" t="str">
            <v>Working Capital</v>
          </cell>
          <cell r="D548" t="str">
            <v>TAXES ACCRUED - FEDERAL INCOME TAXES</v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>
            <v>236200</v>
          </cell>
          <cell r="J548" t="str">
            <v/>
          </cell>
          <cell r="K548" t="str">
            <v/>
          </cell>
          <cell r="L548">
            <v>-19623.477800000001</v>
          </cell>
          <cell r="M548">
            <v>-22861.792720000001</v>
          </cell>
          <cell r="N548">
            <v>-22748.597460000001</v>
          </cell>
          <cell r="O548">
            <v>-18389.854510000001</v>
          </cell>
          <cell r="P548">
            <v>-17483.281859999999</v>
          </cell>
          <cell r="Q548">
            <v>-18779.157360000001</v>
          </cell>
          <cell r="R548">
            <v>-17067.310990000002</v>
          </cell>
          <cell r="S548">
            <v>-16605.94269</v>
          </cell>
          <cell r="T548">
            <v>-15746.333280000001</v>
          </cell>
          <cell r="U548">
            <v>102.15231</v>
          </cell>
          <cell r="V548">
            <v>3075.5308399999999</v>
          </cell>
          <cell r="W548">
            <v>2908.5566699999999</v>
          </cell>
          <cell r="X548">
            <v>-13088.90576</v>
          </cell>
          <cell r="Y548">
            <v>-13329.351903000001</v>
          </cell>
        </row>
        <row r="549">
          <cell r="B549">
            <v>236210</v>
          </cell>
          <cell r="C549" t="str">
            <v>Working Capital</v>
          </cell>
          <cell r="D549" t="str">
            <v>TAXES ACCRUED - GROSS INCOME STATE - OPERATING</v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>
            <v>236210</v>
          </cell>
          <cell r="J549" t="str">
            <v/>
          </cell>
          <cell r="K549" t="str">
            <v/>
          </cell>
          <cell r="L549">
            <v>194.61098999999999</v>
          </cell>
          <cell r="M549">
            <v>-273.36680999999999</v>
          </cell>
          <cell r="N549">
            <v>-706.05813000000001</v>
          </cell>
          <cell r="O549">
            <v>411.15159</v>
          </cell>
          <cell r="P549">
            <v>57.83464</v>
          </cell>
          <cell r="Q549">
            <v>-258.47016000000002</v>
          </cell>
          <cell r="R549">
            <v>161.51275000000001</v>
          </cell>
          <cell r="S549">
            <v>-157.20323999999999</v>
          </cell>
          <cell r="T549">
            <v>-487.60327000000001</v>
          </cell>
          <cell r="U549">
            <v>168.07598999999999</v>
          </cell>
          <cell r="V549">
            <v>-116.36902000000001</v>
          </cell>
          <cell r="W549">
            <v>-3475.3153600000001</v>
          </cell>
          <cell r="X549">
            <v>-1766.53397</v>
          </cell>
          <cell r="Y549">
            <v>-455.14770900000002</v>
          </cell>
        </row>
        <row r="550">
          <cell r="B550">
            <v>236220</v>
          </cell>
          <cell r="C550" t="str">
            <v>Working Capital</v>
          </cell>
          <cell r="D550" t="str">
            <v>TAXES ACCRUED - GROSS INCOME STATE - OTHER</v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>
            <v>236220</v>
          </cell>
          <cell r="J550" t="str">
            <v/>
          </cell>
          <cell r="K550" t="str">
            <v/>
          </cell>
          <cell r="L550">
            <v>-6.7581699999999998</v>
          </cell>
          <cell r="M550">
            <v>-581.07000000000005</v>
          </cell>
          <cell r="N550">
            <v>-684.02494000000002</v>
          </cell>
          <cell r="O550">
            <v>-649.02216999999996</v>
          </cell>
          <cell r="P550">
            <v>-537.77080000000001</v>
          </cell>
          <cell r="Q550">
            <v>-475.82972999999998</v>
          </cell>
          <cell r="R550">
            <v>-372.52814999999998</v>
          </cell>
          <cell r="S550">
            <v>-321.80885000000001</v>
          </cell>
          <cell r="T550">
            <v>-311.05401999999998</v>
          </cell>
          <cell r="U550">
            <v>-306.74363</v>
          </cell>
          <cell r="V550">
            <v>-299.52872000000002</v>
          </cell>
          <cell r="W550">
            <v>-301.72250000000003</v>
          </cell>
          <cell r="X550">
            <v>-349.29207000000002</v>
          </cell>
          <cell r="Y550">
            <v>-418.26071899999999</v>
          </cell>
        </row>
        <row r="551">
          <cell r="B551">
            <v>236240</v>
          </cell>
          <cell r="C551" t="str">
            <v>Working Capital</v>
          </cell>
          <cell r="D551" t="str">
            <v>TAXES ACCRUED - PA CAPITAL STOCKS TAX</v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>
            <v>236240</v>
          </cell>
          <cell r="J551" t="str">
            <v/>
          </cell>
          <cell r="K551" t="str">
            <v/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</row>
        <row r="552">
          <cell r="B552">
            <v>236250</v>
          </cell>
          <cell r="C552" t="str">
            <v>Working Capital</v>
          </cell>
          <cell r="D552" t="str">
            <v>TAXES ACCRUED - PA NET INCOME TAX</v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>
            <v>236250</v>
          </cell>
          <cell r="J552" t="str">
            <v/>
          </cell>
          <cell r="K552" t="str">
            <v/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</row>
        <row r="553">
          <cell r="B553">
            <v>236260</v>
          </cell>
          <cell r="C553" t="str">
            <v>Working Capital</v>
          </cell>
          <cell r="D553" t="str">
            <v>TAXES ACCRUED - NYS INCOME TAXES</v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>
            <v>236260</v>
          </cell>
          <cell r="J553" t="str">
            <v/>
          </cell>
          <cell r="K553" t="str">
            <v/>
          </cell>
          <cell r="L553">
            <v>1457.8116399999999</v>
          </cell>
          <cell r="M553">
            <v>-50.507939999999998</v>
          </cell>
          <cell r="N553">
            <v>-492.54741999999999</v>
          </cell>
          <cell r="O553">
            <v>-4880.8882400000002</v>
          </cell>
          <cell r="P553">
            <v>-5317.8431700000001</v>
          </cell>
          <cell r="Q553">
            <v>-5720.1709000000001</v>
          </cell>
          <cell r="R553">
            <v>-5200.8691099999996</v>
          </cell>
          <cell r="S553">
            <v>-5641.3309600000002</v>
          </cell>
          <cell r="T553">
            <v>-5925.5706099999998</v>
          </cell>
          <cell r="U553">
            <v>-4673.3163699999996</v>
          </cell>
          <cell r="V553">
            <v>-4396.1985699999996</v>
          </cell>
          <cell r="W553">
            <v>-4698.1882400000004</v>
          </cell>
          <cell r="X553">
            <v>-1387.7092700000001</v>
          </cell>
          <cell r="Y553">
            <v>-3913.5316950000001</v>
          </cell>
        </row>
        <row r="554">
          <cell r="B554">
            <v>236310</v>
          </cell>
          <cell r="C554" t="str">
            <v>Working Capital</v>
          </cell>
          <cell r="D554" t="str">
            <v>TAXES ACCRUED - GROSS INCOME-ROCH OPERATING</v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>
            <v>236310</v>
          </cell>
          <cell r="J554" t="str">
            <v/>
          </cell>
          <cell r="K554" t="str">
            <v/>
          </cell>
          <cell r="L554">
            <v>-232.92338000000001</v>
          </cell>
          <cell r="M554">
            <v>-409.60500999999999</v>
          </cell>
          <cell r="N554">
            <v>-1030.7818500000001</v>
          </cell>
          <cell r="O554">
            <v>0</v>
          </cell>
          <cell r="P554">
            <v>-487.32929000000001</v>
          </cell>
          <cell r="Q554">
            <v>-919.34910000000002</v>
          </cell>
          <cell r="R554">
            <v>0</v>
          </cell>
          <cell r="S554">
            <v>-290.28913</v>
          </cell>
          <cell r="T554">
            <v>-570.83834000000002</v>
          </cell>
          <cell r="U554">
            <v>0</v>
          </cell>
          <cell r="V554">
            <v>-270.41750999999999</v>
          </cell>
          <cell r="W554">
            <v>-542.43922999999995</v>
          </cell>
          <cell r="X554">
            <v>0</v>
          </cell>
          <cell r="Y554">
            <v>-386.45926300000002</v>
          </cell>
        </row>
        <row r="555">
          <cell r="B555">
            <v>236330</v>
          </cell>
          <cell r="C555" t="str">
            <v>Working Capital</v>
          </cell>
          <cell r="D555" t="str">
            <v>TAXES ACCRUED - STATE INSURANCE TAX</v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>
            <v>236330</v>
          </cell>
          <cell r="J555" t="str">
            <v/>
          </cell>
          <cell r="K555" t="str">
            <v/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</row>
        <row r="556">
          <cell r="B556">
            <v>236340</v>
          </cell>
          <cell r="C556" t="str">
            <v>Working Capital</v>
          </cell>
          <cell r="D556" t="str">
            <v>TAXES ACCRUED - MICHIGAN SINGLE BUSINESS TAX</v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>
            <v>236340</v>
          </cell>
          <cell r="J556" t="str">
            <v/>
          </cell>
          <cell r="K556" t="str">
            <v/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</row>
        <row r="557">
          <cell r="B557">
            <v>236410</v>
          </cell>
          <cell r="C557" t="str">
            <v>Working Capital</v>
          </cell>
          <cell r="D557" t="str">
            <v>TAXES ACCRUED - GROSS INCOME-CANANDAIGUA</v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>
            <v>236410</v>
          </cell>
          <cell r="J557" t="str">
            <v/>
          </cell>
          <cell r="K557" t="str">
            <v/>
          </cell>
          <cell r="L557">
            <v>-4.8142500000000004</v>
          </cell>
          <cell r="M557">
            <v>-5.4544899999999998</v>
          </cell>
          <cell r="N557">
            <v>-11.218360000000001</v>
          </cell>
          <cell r="O557">
            <v>0</v>
          </cell>
          <cell r="P557">
            <v>-3.9296099999999998</v>
          </cell>
          <cell r="Q557">
            <v>-7.8636499999999998</v>
          </cell>
          <cell r="R557">
            <v>0</v>
          </cell>
          <cell r="S557">
            <v>-4.27182</v>
          </cell>
          <cell r="T557">
            <v>-8.8792500000000008</v>
          </cell>
          <cell r="U557">
            <v>0</v>
          </cell>
          <cell r="V557">
            <v>-4.3954599999999999</v>
          </cell>
          <cell r="W557">
            <v>-8.3714099999999991</v>
          </cell>
          <cell r="X557">
            <v>0</v>
          </cell>
          <cell r="Y557">
            <v>-4.7325980000000003</v>
          </cell>
        </row>
        <row r="558">
          <cell r="B558">
            <v>236420</v>
          </cell>
          <cell r="C558" t="str">
            <v>Working Capital</v>
          </cell>
          <cell r="D558" t="str">
            <v>TAXES ACCRUED - GROSS INCOME-EAST ROCHESTER</v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>
            <v>236420</v>
          </cell>
          <cell r="J558" t="str">
            <v/>
          </cell>
          <cell r="K558" t="str">
            <v/>
          </cell>
          <cell r="L558">
            <v>-0.95047999999999999</v>
          </cell>
          <cell r="M558">
            <v>-2.3504700000000001</v>
          </cell>
          <cell r="N558">
            <v>-8.6333000000000002</v>
          </cell>
          <cell r="O558">
            <v>0</v>
          </cell>
          <cell r="P558">
            <v>-4.7367800000000004</v>
          </cell>
          <cell r="Q558">
            <v>-8.6310599999999997</v>
          </cell>
          <cell r="R558">
            <v>0</v>
          </cell>
          <cell r="S558">
            <v>-2.85663</v>
          </cell>
          <cell r="T558">
            <v>-5.7680899999999999</v>
          </cell>
          <cell r="U558">
            <v>0</v>
          </cell>
          <cell r="V558">
            <v>-2.6275900000000001</v>
          </cell>
          <cell r="W558">
            <v>-5.2328000000000001</v>
          </cell>
          <cell r="X558">
            <v>0</v>
          </cell>
          <cell r="Y558">
            <v>-3.442663</v>
          </cell>
        </row>
        <row r="559">
          <cell r="B559">
            <v>236430</v>
          </cell>
          <cell r="C559" t="str">
            <v>Working Capital</v>
          </cell>
          <cell r="D559" t="str">
            <v>TAXES ACCRUED - GROSS INCOME-FAIRPORT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236430</v>
          </cell>
          <cell r="J559" t="str">
            <v/>
          </cell>
          <cell r="K559" t="str">
            <v/>
          </cell>
          <cell r="L559">
            <v>-0.42260999999999999</v>
          </cell>
          <cell r="M559">
            <v>-1.4026700000000001</v>
          </cell>
          <cell r="N559">
            <v>-3.9005299999999998</v>
          </cell>
          <cell r="O559">
            <v>-6.6830499999999997</v>
          </cell>
          <cell r="P559">
            <v>-2.08047</v>
          </cell>
          <cell r="Q559">
            <v>-3.6047500000000001</v>
          </cell>
          <cell r="R559">
            <v>0</v>
          </cell>
          <cell r="S559">
            <v>-0.61380999999999997</v>
          </cell>
          <cell r="T559">
            <v>-1.09677</v>
          </cell>
          <cell r="U559">
            <v>0</v>
          </cell>
          <cell r="V559">
            <v>-0.56233999999999995</v>
          </cell>
          <cell r="W559">
            <v>-1.2150099999999999</v>
          </cell>
          <cell r="X559">
            <v>0</v>
          </cell>
          <cell r="Y559">
            <v>-1.7808919999999999</v>
          </cell>
        </row>
        <row r="560">
          <cell r="B560">
            <v>236440</v>
          </cell>
          <cell r="C560" t="str">
            <v>Working Capital</v>
          </cell>
          <cell r="D560" t="str">
            <v>TAXES ACCRUED - GROSS INCOME-BROCKPORT</v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>
            <v>236440</v>
          </cell>
          <cell r="J560" t="str">
            <v/>
          </cell>
          <cell r="K560" t="str">
            <v/>
          </cell>
          <cell r="L560">
            <v>0.30823</v>
          </cell>
          <cell r="M560">
            <v>-0.6734</v>
          </cell>
          <cell r="N560">
            <v>-3.3195800000000002</v>
          </cell>
          <cell r="O560">
            <v>-6.8870199999999997</v>
          </cell>
          <cell r="P560">
            <v>-2.3649800000000001</v>
          </cell>
          <cell r="Q560">
            <v>-4.31515</v>
          </cell>
          <cell r="R560">
            <v>0</v>
          </cell>
          <cell r="S560">
            <v>-0.78580000000000005</v>
          </cell>
          <cell r="T560">
            <v>-1.30599</v>
          </cell>
          <cell r="U560">
            <v>0</v>
          </cell>
          <cell r="V560">
            <v>-0.48736000000000002</v>
          </cell>
          <cell r="W560">
            <v>-1.1154900000000001</v>
          </cell>
          <cell r="X560">
            <v>0</v>
          </cell>
          <cell r="Y560">
            <v>-1.7583880000000001</v>
          </cell>
        </row>
        <row r="561">
          <cell r="B561">
            <v>236450</v>
          </cell>
          <cell r="C561" t="str">
            <v>Working Capital</v>
          </cell>
          <cell r="D561" t="str">
            <v>TAXES ACCRUED - GROSS INCOME-PITTSFORD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236450</v>
          </cell>
          <cell r="J561" t="str">
            <v/>
          </cell>
          <cell r="K561" t="str">
            <v/>
          </cell>
          <cell r="L561">
            <v>-7.2263000000000002</v>
          </cell>
          <cell r="M561">
            <v>-7.7149599999999996</v>
          </cell>
          <cell r="N561">
            <v>-9.7981599999999993</v>
          </cell>
          <cell r="O561">
            <v>0</v>
          </cell>
          <cell r="P561">
            <v>-1.4482900000000001</v>
          </cell>
          <cell r="Q561">
            <v>-2.7533300000000001</v>
          </cell>
          <cell r="R561">
            <v>-3.6984499999999998</v>
          </cell>
          <cell r="S561">
            <v>-4.6500300000000001</v>
          </cell>
          <cell r="T561">
            <v>-5.6369999999999996</v>
          </cell>
          <cell r="U561">
            <v>-6.5853799999999998</v>
          </cell>
          <cell r="V561">
            <v>-7.47288</v>
          </cell>
          <cell r="W561">
            <v>-8.3904200000000007</v>
          </cell>
          <cell r="X561">
            <v>-9.5541</v>
          </cell>
          <cell r="Y561">
            <v>-5.5449250000000001</v>
          </cell>
        </row>
        <row r="562">
          <cell r="B562">
            <v>236460</v>
          </cell>
          <cell r="C562" t="str">
            <v>Working Capital</v>
          </cell>
          <cell r="D562" t="str">
            <v>TAXES ACCRUED - GROSS INCOME-HILTON</v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>
            <v>236460</v>
          </cell>
          <cell r="J562" t="str">
            <v/>
          </cell>
          <cell r="K562" t="str">
            <v/>
          </cell>
          <cell r="L562">
            <v>-19.117519999999999</v>
          </cell>
          <cell r="M562">
            <v>-20.224530000000001</v>
          </cell>
          <cell r="N562">
            <v>-24.038830000000001</v>
          </cell>
          <cell r="O562">
            <v>-1E-4</v>
          </cell>
          <cell r="P562">
            <v>-3.1376300000000001</v>
          </cell>
          <cell r="Q562">
            <v>-5.7394600000000002</v>
          </cell>
          <cell r="R562">
            <v>-7.8008499999999996</v>
          </cell>
          <cell r="S562">
            <v>-9.8008900000000008</v>
          </cell>
          <cell r="T562">
            <v>-11.73901</v>
          </cell>
          <cell r="U562">
            <v>-13.710089999999999</v>
          </cell>
          <cell r="V562">
            <v>-15.632289999999999</v>
          </cell>
          <cell r="W562">
            <v>-17.391919999999999</v>
          </cell>
          <cell r="X562">
            <v>-19.492699999999999</v>
          </cell>
          <cell r="Y562">
            <v>-12.376726</v>
          </cell>
        </row>
        <row r="563">
          <cell r="B563">
            <v>236470</v>
          </cell>
          <cell r="C563" t="str">
            <v>Working Capital</v>
          </cell>
          <cell r="D563" t="str">
            <v>TAXES ACCRUED - GROSS INCOME-MT. MORRIS</v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>
            <v>236470</v>
          </cell>
          <cell r="J563" t="str">
            <v/>
          </cell>
          <cell r="K563" t="str">
            <v/>
          </cell>
          <cell r="L563">
            <v>-27.175689999999999</v>
          </cell>
          <cell r="M563">
            <v>-28.068529999999999</v>
          </cell>
          <cell r="N563">
            <v>-3.4301499999999998</v>
          </cell>
          <cell r="O563">
            <v>-6.4494100000000003</v>
          </cell>
          <cell r="P563">
            <v>-8.9007000000000005</v>
          </cell>
          <cell r="Q563">
            <v>-10.987920000000001</v>
          </cell>
          <cell r="R563">
            <v>-12.63125</v>
          </cell>
          <cell r="S563">
            <v>-14.25399</v>
          </cell>
          <cell r="T563">
            <v>-15.884069999999999</v>
          </cell>
          <cell r="U563">
            <v>-17.42991</v>
          </cell>
          <cell r="V563">
            <v>-18.887350000000001</v>
          </cell>
          <cell r="W563">
            <v>-20.393730000000001</v>
          </cell>
          <cell r="X563">
            <v>-22.529019999999999</v>
          </cell>
          <cell r="Y563">
            <v>-15.18078</v>
          </cell>
        </row>
        <row r="564">
          <cell r="B564">
            <v>236490</v>
          </cell>
          <cell r="C564" t="str">
            <v>Working Capital</v>
          </cell>
          <cell r="D564" t="str">
            <v>TAXES ACCRUED - GROSS INCOME-NUNDA</v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>
            <v>236490</v>
          </cell>
          <cell r="J564" t="str">
            <v/>
          </cell>
          <cell r="K564" t="str">
            <v/>
          </cell>
          <cell r="L564">
            <v>-6.4398499999999999</v>
          </cell>
          <cell r="M564">
            <v>-6.5104100000000003</v>
          </cell>
          <cell r="N564">
            <v>-0.68354000000000004</v>
          </cell>
          <cell r="O564">
            <v>-1.3351</v>
          </cell>
          <cell r="P564">
            <v>-1.8209200000000001</v>
          </cell>
          <cell r="Q564">
            <v>-2.30925</v>
          </cell>
          <cell r="R564">
            <v>-2.7862900000000002</v>
          </cell>
          <cell r="S564">
            <v>-3.2376299999999998</v>
          </cell>
          <cell r="T564">
            <v>-3.7254999999999998</v>
          </cell>
          <cell r="U564">
            <v>-4.2738500000000004</v>
          </cell>
          <cell r="V564">
            <v>-4.8063700000000003</v>
          </cell>
          <cell r="W564">
            <v>-5.4914699999999996</v>
          </cell>
          <cell r="X564">
            <v>-5.69076</v>
          </cell>
          <cell r="Y564">
            <v>-3.5871360000000001</v>
          </cell>
        </row>
        <row r="565">
          <cell r="B565">
            <v>236510</v>
          </cell>
          <cell r="C565" t="str">
            <v>Working Capital</v>
          </cell>
          <cell r="D565" t="str">
            <v>TAXES ACCRUED - GROSS INCOME-SCOTTSVILLE</v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>
            <v>236510</v>
          </cell>
          <cell r="J565" t="str">
            <v/>
          </cell>
          <cell r="K565" t="str">
            <v/>
          </cell>
          <cell r="L565">
            <v>0.88351000000000002</v>
          </cell>
          <cell r="M565">
            <v>0.52098</v>
          </cell>
          <cell r="N565">
            <v>-0.61411000000000004</v>
          </cell>
          <cell r="O565">
            <v>0</v>
          </cell>
          <cell r="P565">
            <v>-1.06532</v>
          </cell>
          <cell r="Q565">
            <v>-1.92465</v>
          </cell>
          <cell r="R565">
            <v>0</v>
          </cell>
          <cell r="S565">
            <v>-0.38629000000000002</v>
          </cell>
          <cell r="T565">
            <v>-0.63517000000000001</v>
          </cell>
          <cell r="U565">
            <v>0</v>
          </cell>
          <cell r="V565">
            <v>-0.19949</v>
          </cell>
          <cell r="W565">
            <v>-0.50839000000000001</v>
          </cell>
          <cell r="X565">
            <v>0</v>
          </cell>
          <cell r="Y565">
            <v>-0.36422399999999999</v>
          </cell>
        </row>
        <row r="566">
          <cell r="B566">
            <v>236520</v>
          </cell>
          <cell r="C566" t="str">
            <v>Working Capital</v>
          </cell>
          <cell r="D566" t="str">
            <v>TAXES ACCRUED - GROSS INCOME-WOLCOTT</v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>
            <v>236520</v>
          </cell>
          <cell r="J566" t="str">
            <v/>
          </cell>
          <cell r="K566" t="str">
            <v/>
          </cell>
          <cell r="L566">
            <v>-14.36652</v>
          </cell>
          <cell r="M566">
            <v>-14.67052</v>
          </cell>
          <cell r="N566">
            <v>-1.72787</v>
          </cell>
          <cell r="O566">
            <v>-3.21767</v>
          </cell>
          <cell r="P566">
            <v>-4.5509500000000003</v>
          </cell>
          <cell r="Q566">
            <v>-5.6415300000000004</v>
          </cell>
          <cell r="R566">
            <v>-6.4917299999999996</v>
          </cell>
          <cell r="S566">
            <v>-7.2555100000000001</v>
          </cell>
          <cell r="T566">
            <v>-8.0563500000000001</v>
          </cell>
          <cell r="U566">
            <v>-8.7512500000000006</v>
          </cell>
          <cell r="V566">
            <v>-9.5075900000000004</v>
          </cell>
          <cell r="W566">
            <v>-10.19617</v>
          </cell>
          <cell r="X566">
            <v>-11.165509999999999</v>
          </cell>
          <cell r="Y566">
            <v>-7.7360959999999999</v>
          </cell>
        </row>
        <row r="567">
          <cell r="B567">
            <v>236530</v>
          </cell>
          <cell r="C567" t="str">
            <v>Working Capital</v>
          </cell>
          <cell r="D567" t="str">
            <v>TAXES ACCRUED - GROSS INCOME-SODUS POINT</v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>
            <v>236530</v>
          </cell>
          <cell r="J567" t="str">
            <v/>
          </cell>
          <cell r="K567" t="str">
            <v/>
          </cell>
          <cell r="L567">
            <v>-11.9786</v>
          </cell>
          <cell r="M567">
            <v>-12.21283</v>
          </cell>
          <cell r="N567">
            <v>-1.3749</v>
          </cell>
          <cell r="O567">
            <v>-2.6983000000000001</v>
          </cell>
          <cell r="P567">
            <v>-3.73367</v>
          </cell>
          <cell r="Q567">
            <v>-4.7438900000000004</v>
          </cell>
          <cell r="R567">
            <v>-5.5852599999999999</v>
          </cell>
          <cell r="S567">
            <v>-6.5181199999999997</v>
          </cell>
          <cell r="T567">
            <v>-7.4571399999999999</v>
          </cell>
          <cell r="U567">
            <v>-8.3850300000000004</v>
          </cell>
          <cell r="V567">
            <v>-9.2338500000000003</v>
          </cell>
          <cell r="W567">
            <v>-10.000159999999999</v>
          </cell>
          <cell r="X567">
            <v>-10.8772</v>
          </cell>
          <cell r="Y567">
            <v>-6.9475879999999997</v>
          </cell>
        </row>
        <row r="568">
          <cell r="B568">
            <v>236540</v>
          </cell>
          <cell r="C568" t="str">
            <v>Working Capital</v>
          </cell>
          <cell r="D568" t="str">
            <v>TAXES ACCRUED - GROSS INCOME-SHORTSVILLE</v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>
            <v>236540</v>
          </cell>
          <cell r="J568" t="str">
            <v/>
          </cell>
          <cell r="K568" t="str">
            <v/>
          </cell>
          <cell r="L568">
            <v>-2.9894400000000001</v>
          </cell>
          <cell r="M568">
            <v>-3.1265299999999998</v>
          </cell>
          <cell r="N568">
            <v>-3.8040799999999999</v>
          </cell>
          <cell r="O568">
            <v>0</v>
          </cell>
          <cell r="P568">
            <v>-0.48159999999999997</v>
          </cell>
          <cell r="Q568">
            <v>-0.95489999999999997</v>
          </cell>
          <cell r="R568">
            <v>-1.40296</v>
          </cell>
          <cell r="S568">
            <v>-1.9353</v>
          </cell>
          <cell r="T568">
            <v>-2.5542199999999999</v>
          </cell>
          <cell r="U568">
            <v>-3.1351200000000001</v>
          </cell>
          <cell r="V568">
            <v>-3.6133600000000001</v>
          </cell>
          <cell r="W568">
            <v>-4.0654599999999999</v>
          </cell>
          <cell r="X568">
            <v>-4.57531</v>
          </cell>
          <cell r="Y568">
            <v>-2.4046590000000001</v>
          </cell>
        </row>
        <row r="569">
          <cell r="B569">
            <v>236550</v>
          </cell>
          <cell r="C569" t="str">
            <v>Working Capital</v>
          </cell>
          <cell r="D569" t="str">
            <v>TAXES ACCRUED - GROSS INCOME-MANCHESTER</v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>
            <v>236550</v>
          </cell>
          <cell r="J569" t="str">
            <v/>
          </cell>
          <cell r="K569" t="str">
            <v/>
          </cell>
          <cell r="L569">
            <v>-8.7665400000000009</v>
          </cell>
          <cell r="M569">
            <v>-8.8758099999999995</v>
          </cell>
          <cell r="N569">
            <v>-9.6391200000000001</v>
          </cell>
          <cell r="O569">
            <v>0</v>
          </cell>
          <cell r="P569">
            <v>-0.54586999999999997</v>
          </cell>
          <cell r="Q569">
            <v>-1.14361</v>
          </cell>
          <cell r="R569">
            <v>-1.73333</v>
          </cell>
          <cell r="S569">
            <v>-2.2494499999999999</v>
          </cell>
          <cell r="T569">
            <v>-2.93343</v>
          </cell>
          <cell r="U569">
            <v>-3.60547</v>
          </cell>
          <cell r="V569">
            <v>-4.2194599999999998</v>
          </cell>
          <cell r="W569">
            <v>-4.7148399999999997</v>
          </cell>
          <cell r="X569">
            <v>-5.2304500000000003</v>
          </cell>
          <cell r="Y569">
            <v>-3.8882400000000001</v>
          </cell>
        </row>
        <row r="570">
          <cell r="B570">
            <v>236560</v>
          </cell>
          <cell r="C570" t="str">
            <v>Working Capital</v>
          </cell>
          <cell r="D570" t="str">
            <v>TAXES ACCRUED - GROSS INCOME-GENESEO</v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>
            <v>236560</v>
          </cell>
          <cell r="J570" t="str">
            <v/>
          </cell>
          <cell r="K570" t="str">
            <v/>
          </cell>
          <cell r="L570">
            <v>-35.995829999999998</v>
          </cell>
          <cell r="M570">
            <v>-37.105580000000003</v>
          </cell>
          <cell r="N570">
            <v>-4.7774999999999999</v>
          </cell>
          <cell r="O570">
            <v>-9.5150900000000007</v>
          </cell>
          <cell r="P570">
            <v>-13.400069999999999</v>
          </cell>
          <cell r="Q570">
            <v>-16.609529999999999</v>
          </cell>
          <cell r="R570">
            <v>-19.18337</v>
          </cell>
          <cell r="S570">
            <v>-21.048279999999998</v>
          </cell>
          <cell r="T570">
            <v>-22.888639999999999</v>
          </cell>
          <cell r="U570">
            <v>-24.66292</v>
          </cell>
          <cell r="V570">
            <v>-26.403880000000001</v>
          </cell>
          <cell r="W570">
            <v>-28.246839999999999</v>
          </cell>
          <cell r="X570">
            <v>-30.349989999999998</v>
          </cell>
          <cell r="Y570">
            <v>-21.417884000000001</v>
          </cell>
        </row>
        <row r="571">
          <cell r="B571">
            <v>236570</v>
          </cell>
          <cell r="C571" t="str">
            <v>Working Capital</v>
          </cell>
          <cell r="D571" t="str">
            <v>TAXES ACCRUED - GROSS INCOME-LIVONIA</v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>
            <v>236570</v>
          </cell>
          <cell r="J571" t="str">
            <v/>
          </cell>
          <cell r="K571" t="str">
            <v/>
          </cell>
          <cell r="L571">
            <v>1.197E-2</v>
          </cell>
          <cell r="M571">
            <v>-0.16553999999999999</v>
          </cell>
          <cell r="N571">
            <v>-0.97911000000000004</v>
          </cell>
          <cell r="O571">
            <v>-1.74532</v>
          </cell>
          <cell r="P571">
            <v>-2.3596400000000002</v>
          </cell>
          <cell r="Q571">
            <v>-2.9297200000000001</v>
          </cell>
          <cell r="R571">
            <v>0</v>
          </cell>
          <cell r="S571">
            <v>-0.23375000000000001</v>
          </cell>
          <cell r="T571">
            <v>-0.41517999999999999</v>
          </cell>
          <cell r="U571">
            <v>-0.56301000000000001</v>
          </cell>
          <cell r="V571">
            <v>-0.72701000000000005</v>
          </cell>
          <cell r="W571">
            <v>-0.92257</v>
          </cell>
          <cell r="X571">
            <v>0</v>
          </cell>
          <cell r="Y571">
            <v>-0.91957199999999994</v>
          </cell>
        </row>
        <row r="572">
          <cell r="B572">
            <v>236580</v>
          </cell>
          <cell r="C572" t="str">
            <v>Working Capital</v>
          </cell>
          <cell r="D572" t="str">
            <v>TAXES ACCRUED - GROSS INCOME-AVON</v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>
            <v>236580</v>
          </cell>
          <cell r="J572" t="str">
            <v/>
          </cell>
          <cell r="K572" t="str">
            <v/>
          </cell>
          <cell r="L572">
            <v>-13.35525</v>
          </cell>
          <cell r="M572">
            <v>-13.8813</v>
          </cell>
          <cell r="N572">
            <v>-2.0690200000000001</v>
          </cell>
          <cell r="O572">
            <v>-4.2208800000000002</v>
          </cell>
          <cell r="P572">
            <v>-5.9093200000000001</v>
          </cell>
          <cell r="Q572">
            <v>-7.5147500000000003</v>
          </cell>
          <cell r="R572">
            <v>-8.3262400000000003</v>
          </cell>
          <cell r="S572">
            <v>-8.9426299999999994</v>
          </cell>
          <cell r="T572">
            <v>-9.3381000000000007</v>
          </cell>
          <cell r="U572">
            <v>-9.7268799999999995</v>
          </cell>
          <cell r="V572">
            <v>-10.077909999999999</v>
          </cell>
          <cell r="W572">
            <v>-10.536390000000001</v>
          </cell>
          <cell r="X572">
            <v>-11.322649999999999</v>
          </cell>
          <cell r="Y572">
            <v>-8.5735309999999991</v>
          </cell>
        </row>
        <row r="573">
          <cell r="B573">
            <v>236590</v>
          </cell>
          <cell r="C573" t="str">
            <v>Working Capital</v>
          </cell>
          <cell r="D573" t="str">
            <v>TAXES ACCRUED - GROSS INCOME-SODUS VILLAGE</v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>
            <v>236590</v>
          </cell>
          <cell r="J573" t="str">
            <v/>
          </cell>
          <cell r="K573" t="str">
            <v/>
          </cell>
          <cell r="L573">
            <v>-0.24013999999999999</v>
          </cell>
          <cell r="M573">
            <v>-0.73294999999999999</v>
          </cell>
          <cell r="N573">
            <v>-2.3496899999999998</v>
          </cell>
          <cell r="O573">
            <v>-3.88042</v>
          </cell>
          <cell r="P573">
            <v>-5.2392799999999999</v>
          </cell>
          <cell r="Q573">
            <v>-6.2618</v>
          </cell>
          <cell r="R573">
            <v>0</v>
          </cell>
          <cell r="S573">
            <v>-0.70913000000000004</v>
          </cell>
          <cell r="T573">
            <v>-1.33043</v>
          </cell>
          <cell r="U573">
            <v>-1.92306</v>
          </cell>
          <cell r="V573">
            <v>-2.5439099999999999</v>
          </cell>
          <cell r="W573">
            <v>-3.1338200000000001</v>
          </cell>
          <cell r="X573">
            <v>0</v>
          </cell>
          <cell r="Y573">
            <v>-2.3520470000000002</v>
          </cell>
        </row>
        <row r="574">
          <cell r="B574">
            <v>236610</v>
          </cell>
          <cell r="C574" t="str">
            <v>Working Capital</v>
          </cell>
          <cell r="D574" t="str">
            <v>TAXES ACCRUED - GROSS INCOME-WEBSTER</v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>
            <v>236610</v>
          </cell>
          <cell r="J574" t="str">
            <v/>
          </cell>
          <cell r="K574" t="str">
            <v/>
          </cell>
          <cell r="L574">
            <v>-31.334980000000002</v>
          </cell>
          <cell r="M574">
            <v>-32.085799999999999</v>
          </cell>
          <cell r="N574">
            <v>-3.9383900000000001</v>
          </cell>
          <cell r="O574">
            <v>-7.5217499999999999</v>
          </cell>
          <cell r="P574">
            <v>-10.563599999999999</v>
          </cell>
          <cell r="Q574">
            <v>-13.213760000000001</v>
          </cell>
          <cell r="R574">
            <v>-15.33492</v>
          </cell>
          <cell r="S574">
            <v>-17.419789999999999</v>
          </cell>
          <cell r="T574">
            <v>-19.578220000000002</v>
          </cell>
          <cell r="U574">
            <v>-21.673089999999998</v>
          </cell>
          <cell r="V574">
            <v>-23.735220000000002</v>
          </cell>
          <cell r="W574">
            <v>-25.62782</v>
          </cell>
          <cell r="X574">
            <v>-27.815760000000001</v>
          </cell>
          <cell r="Y574">
            <v>-18.355644000000002</v>
          </cell>
        </row>
        <row r="575">
          <cell r="B575">
            <v>236650</v>
          </cell>
          <cell r="C575" t="str">
            <v>Working Capital</v>
          </cell>
          <cell r="D575" t="str">
            <v>TAXES ACCRUED - GROSS INCOME-LEICESTER</v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>
            <v>236650</v>
          </cell>
          <cell r="J575" t="str">
            <v/>
          </cell>
          <cell r="K575" t="str">
            <v/>
          </cell>
          <cell r="L575">
            <v>-2.10364</v>
          </cell>
          <cell r="M575">
            <v>-2.2338399999999998</v>
          </cell>
          <cell r="N575">
            <v>-0.38905000000000001</v>
          </cell>
          <cell r="O575">
            <v>-0.73538000000000003</v>
          </cell>
          <cell r="P575">
            <v>-0.95872999999999997</v>
          </cell>
          <cell r="Q575">
            <v>-1.17496</v>
          </cell>
          <cell r="R575">
            <v>-1.26675</v>
          </cell>
          <cell r="S575">
            <v>-1.3314600000000001</v>
          </cell>
          <cell r="T575">
            <v>-1.3822399999999999</v>
          </cell>
          <cell r="U575">
            <v>-1.43465</v>
          </cell>
          <cell r="V575">
            <v>-1.4922500000000001</v>
          </cell>
          <cell r="W575">
            <v>-1.5811200000000001</v>
          </cell>
          <cell r="X575">
            <v>-1.7574000000000001</v>
          </cell>
          <cell r="Y575">
            <v>-1.3259129999999999</v>
          </cell>
        </row>
        <row r="576">
          <cell r="B576">
            <v>236730</v>
          </cell>
          <cell r="C576" t="str">
            <v>Working Capital</v>
          </cell>
          <cell r="D576" t="str">
            <v>TAXES ACCRUED - STATE EXCISE</v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>
            <v>236730</v>
          </cell>
          <cell r="J576" t="str">
            <v/>
          </cell>
          <cell r="K576" t="str">
            <v/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</row>
        <row r="577">
          <cell r="B577">
            <v>236740</v>
          </cell>
          <cell r="C577" t="str">
            <v>Working Capital</v>
          </cell>
          <cell r="D577" t="str">
            <v>TAXES ACCRUED - STATE HAZARDOUS WASTE</v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>
            <v>236740</v>
          </cell>
          <cell r="J577" t="str">
            <v/>
          </cell>
          <cell r="K577" t="str">
            <v/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0.26579999999999998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2.215E-2</v>
          </cell>
        </row>
        <row r="578">
          <cell r="B578">
            <v>236810</v>
          </cell>
          <cell r="C578" t="str">
            <v>Working Capital</v>
          </cell>
          <cell r="D578" t="str">
            <v>TAXES ACCRUED - WATER POLLUTION</v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>
            <v>236810</v>
          </cell>
          <cell r="J578" t="str">
            <v/>
          </cell>
          <cell r="K578" t="str">
            <v/>
          </cell>
          <cell r="L578">
            <v>0</v>
          </cell>
          <cell r="M578">
            <v>-27.309619999999999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-2.2758020000000001</v>
          </cell>
        </row>
        <row r="579">
          <cell r="B579">
            <v>236905</v>
          </cell>
          <cell r="C579" t="str">
            <v>Working Capital</v>
          </cell>
          <cell r="D579" t="str">
            <v>ACCOUNTS PAYABLE - PROPERTY TAX - RECONCILIATION</v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>
            <v>236905</v>
          </cell>
          <cell r="J579" t="str">
            <v/>
          </cell>
          <cell r="K579" t="str">
            <v/>
          </cell>
          <cell r="L579">
            <v>-40.178240000000002</v>
          </cell>
          <cell r="M579">
            <v>-274.30085000000003</v>
          </cell>
          <cell r="N579">
            <v>-234.12261000000001</v>
          </cell>
          <cell r="O579">
            <v>-234.12261000000001</v>
          </cell>
          <cell r="P579">
            <v>-234.12261000000001</v>
          </cell>
          <cell r="Q579">
            <v>-234.12261000000001</v>
          </cell>
          <cell r="R579">
            <v>0</v>
          </cell>
          <cell r="S579">
            <v>0</v>
          </cell>
          <cell r="T579">
            <v>-22.252610000000001</v>
          </cell>
          <cell r="U579">
            <v>-22.252610000000001</v>
          </cell>
          <cell r="V579">
            <v>-22.252610000000001</v>
          </cell>
          <cell r="W579">
            <v>-22.252610000000001</v>
          </cell>
          <cell r="X579">
            <v>-22.252610000000001</v>
          </cell>
          <cell r="Y579">
            <v>-110.91809600000001</v>
          </cell>
        </row>
        <row r="580">
          <cell r="B580">
            <v>236910</v>
          </cell>
          <cell r="C580" t="str">
            <v>Working Capital</v>
          </cell>
          <cell r="D580" t="str">
            <v>TAXES ACCRUED - USE</v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>
            <v>236910</v>
          </cell>
          <cell r="J580" t="str">
            <v/>
          </cell>
          <cell r="K580" t="str">
            <v/>
          </cell>
          <cell r="L580">
            <v>-898.07659999999998</v>
          </cell>
          <cell r="M580">
            <v>-1339.29844</v>
          </cell>
          <cell r="N580">
            <v>-443.03291000000002</v>
          </cell>
          <cell r="O580">
            <v>-152.38337000000001</v>
          </cell>
          <cell r="P580">
            <v>-365.96375999999998</v>
          </cell>
          <cell r="Q580">
            <v>-474.88652999999999</v>
          </cell>
          <cell r="R580">
            <v>-398.49446999999998</v>
          </cell>
          <cell r="S580">
            <v>-233.00655</v>
          </cell>
          <cell r="T580">
            <v>-684.73803999999996</v>
          </cell>
          <cell r="U580">
            <v>-609.44856000000004</v>
          </cell>
          <cell r="V580">
            <v>-1180.43471</v>
          </cell>
          <cell r="W580">
            <v>-471.13279999999997</v>
          </cell>
          <cell r="X580">
            <v>-1055.37672</v>
          </cell>
          <cell r="Y580">
            <v>-610.79556700000001</v>
          </cell>
        </row>
        <row r="581">
          <cell r="B581">
            <v>236920</v>
          </cell>
          <cell r="C581" t="str">
            <v>Working Capital</v>
          </cell>
          <cell r="D581" t="str">
            <v>TAXES ACCRD-STATE CORPORATION TAX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>
            <v>236920</v>
          </cell>
          <cell r="J581" t="str">
            <v/>
          </cell>
          <cell r="K581" t="str">
            <v/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</row>
        <row r="582">
          <cell r="B582">
            <v>236951</v>
          </cell>
          <cell r="C582" t="str">
            <v>Working Capital</v>
          </cell>
          <cell r="D582" t="str">
            <v>RECLASS ACCRUED TAXES TO PREPAID (CURRENT LIAB)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>
            <v>236951</v>
          </cell>
          <cell r="J582" t="str">
            <v/>
          </cell>
          <cell r="K582" t="str">
            <v/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</row>
        <row r="583">
          <cell r="B583">
            <v>236954</v>
          </cell>
          <cell r="C583" t="str">
            <v>Working Capital</v>
          </cell>
          <cell r="D583" t="str">
            <v>ACCRUED TAXES BEGINNING BALANCE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>
            <v>236954</v>
          </cell>
          <cell r="J583" t="str">
            <v/>
          </cell>
          <cell r="K583" t="str">
            <v/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</row>
        <row r="584">
          <cell r="B584">
            <v>236960</v>
          </cell>
          <cell r="C584" t="str">
            <v>Working Capital</v>
          </cell>
          <cell r="D584" t="str">
            <v>TAXES ACCRD-HISTORY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>
            <v>236960</v>
          </cell>
          <cell r="J584" t="str">
            <v/>
          </cell>
          <cell r="K584" t="str">
            <v/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</row>
        <row r="585">
          <cell r="B585">
            <v>237007</v>
          </cell>
          <cell r="C585" t="str">
            <v>Working Capital</v>
          </cell>
          <cell r="D585" t="str">
            <v>TAXES ACCRUED-ELEC-FERC FIN 48 - INTEREST</v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>
            <v>237007</v>
          </cell>
          <cell r="J585" t="str">
            <v/>
          </cell>
          <cell r="K585" t="str">
            <v/>
          </cell>
          <cell r="L585">
            <v>-244</v>
          </cell>
          <cell r="M585">
            <v>-256</v>
          </cell>
          <cell r="N585">
            <v>-267</v>
          </cell>
          <cell r="O585">
            <v>-278</v>
          </cell>
          <cell r="P585">
            <v>-291</v>
          </cell>
          <cell r="Q585">
            <v>-303</v>
          </cell>
          <cell r="R585">
            <v>-323</v>
          </cell>
          <cell r="S585">
            <v>-337</v>
          </cell>
          <cell r="T585">
            <v>-353</v>
          </cell>
          <cell r="U585">
            <v>-368</v>
          </cell>
          <cell r="V585">
            <v>-382</v>
          </cell>
          <cell r="W585">
            <v>-393</v>
          </cell>
          <cell r="X585">
            <v>-340</v>
          </cell>
          <cell r="Y585">
            <v>-320.25</v>
          </cell>
        </row>
        <row r="586">
          <cell r="B586">
            <v>237008</v>
          </cell>
          <cell r="C586" t="str">
            <v>Working Capital</v>
          </cell>
          <cell r="D586" t="str">
            <v>TAXES ACCRUED-GAS-FERC FIN 48 - INTEREST</v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>
            <v>237008</v>
          </cell>
          <cell r="J586" t="str">
            <v/>
          </cell>
          <cell r="K586" t="str">
            <v/>
          </cell>
          <cell r="L586">
            <v>-54</v>
          </cell>
          <cell r="M586">
            <v>-56</v>
          </cell>
          <cell r="N586">
            <v>-59</v>
          </cell>
          <cell r="O586">
            <v>-62</v>
          </cell>
          <cell r="P586">
            <v>-63</v>
          </cell>
          <cell r="Q586">
            <v>-66</v>
          </cell>
          <cell r="R586">
            <v>-70</v>
          </cell>
          <cell r="S586">
            <v>-74</v>
          </cell>
          <cell r="T586">
            <v>-77</v>
          </cell>
          <cell r="U586">
            <v>-80</v>
          </cell>
          <cell r="V586">
            <v>-83</v>
          </cell>
          <cell r="W586">
            <v>-85</v>
          </cell>
          <cell r="X586">
            <v>-238</v>
          </cell>
          <cell r="Y586">
            <v>-76.75</v>
          </cell>
        </row>
        <row r="587">
          <cell r="B587">
            <v>237099</v>
          </cell>
          <cell r="C587" t="str">
            <v>Working Capital</v>
          </cell>
          <cell r="D587" t="str">
            <v>INTERCOMPANY - INTEREST ACCRUED</v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>
            <v>237099</v>
          </cell>
          <cell r="J587" t="str">
            <v/>
          </cell>
          <cell r="K587" t="str">
            <v/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-1.1857500000000001</v>
          </cell>
          <cell r="Q587">
            <v>-9.25488</v>
          </cell>
          <cell r="R587">
            <v>-1.1111500000000001</v>
          </cell>
          <cell r="S587">
            <v>-0.46272000000000002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-1.0012080000000001</v>
          </cell>
        </row>
        <row r="588">
          <cell r="B588">
            <v>237100</v>
          </cell>
          <cell r="C588" t="str">
            <v>Working Capital</v>
          </cell>
          <cell r="D588" t="str">
            <v>INTEREST ACCRUED - LONG TERM DEBT</v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>
            <v>237100</v>
          </cell>
          <cell r="J588" t="str">
            <v/>
          </cell>
          <cell r="K588" t="str">
            <v/>
          </cell>
          <cell r="L588">
            <v>-11929.9722</v>
          </cell>
          <cell r="M588">
            <v>-6270.4458299999997</v>
          </cell>
          <cell r="N588">
            <v>-8203.7291700000005</v>
          </cell>
          <cell r="O588">
            <v>-8344.9097199999997</v>
          </cell>
          <cell r="P588">
            <v>-11579.215270000001</v>
          </cell>
          <cell r="Q588">
            <v>-14852.743049999999</v>
          </cell>
          <cell r="R588">
            <v>-11930.916660000001</v>
          </cell>
          <cell r="S588">
            <v>-5939.6263799999997</v>
          </cell>
          <cell r="T588">
            <v>-8898.7013800000004</v>
          </cell>
          <cell r="U588">
            <v>-9233.2152700000006</v>
          </cell>
          <cell r="V588">
            <v>-12911.633330000001</v>
          </cell>
          <cell r="W588">
            <v>-16592.001380000002</v>
          </cell>
          <cell r="X588">
            <v>-13563.555539999999</v>
          </cell>
          <cell r="Y588">
            <v>-10625.325108999999</v>
          </cell>
        </row>
        <row r="589">
          <cell r="B589">
            <v>237210</v>
          </cell>
          <cell r="C589" t="str">
            <v>Working Capital</v>
          </cell>
          <cell r="D589" t="str">
            <v>INTEREST ACCRUED - NOTES PAYABLE</v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>
            <v>237210</v>
          </cell>
          <cell r="J589" t="str">
            <v/>
          </cell>
          <cell r="K589" t="str">
            <v/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B590">
            <v>237300</v>
          </cell>
          <cell r="C590" t="str">
            <v>Working Capital</v>
          </cell>
          <cell r="D590" t="str">
            <v>INTEREST ACCRUED - CUSTOMER DEPOSITS</v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>
            <v>237300</v>
          </cell>
          <cell r="J590" t="str">
            <v/>
          </cell>
          <cell r="K590" t="str">
            <v/>
          </cell>
          <cell r="L590">
            <v>-24.411770000000001</v>
          </cell>
          <cell r="M590">
            <v>-32.33784</v>
          </cell>
          <cell r="N590">
            <v>-40.131540000000001</v>
          </cell>
          <cell r="O590">
            <v>-48.060209999999998</v>
          </cell>
          <cell r="P590">
            <v>-55.912210000000002</v>
          </cell>
          <cell r="Q590">
            <v>-63.746839999999999</v>
          </cell>
          <cell r="R590">
            <v>-71.540790000000001</v>
          </cell>
          <cell r="S590">
            <v>-79.330780000000004</v>
          </cell>
          <cell r="T590">
            <v>-87.023880000000005</v>
          </cell>
          <cell r="U590">
            <v>-94.871679999999998</v>
          </cell>
          <cell r="V590">
            <v>4.0999999999999999E-4</v>
          </cell>
          <cell r="W590">
            <v>-7.6608000000000001</v>
          </cell>
          <cell r="X590">
            <v>-15.296849999999999</v>
          </cell>
          <cell r="Y590">
            <v>-50.039206</v>
          </cell>
        </row>
        <row r="591">
          <cell r="B591">
            <v>237400</v>
          </cell>
          <cell r="C591" t="str">
            <v>Working Capital</v>
          </cell>
          <cell r="D591" t="str">
            <v>INTEREST ACCRUED - MISCELLANEOUS</v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>
            <v>237400</v>
          </cell>
          <cell r="J591" t="str">
            <v/>
          </cell>
          <cell r="K591" t="str">
            <v/>
          </cell>
          <cell r="L591">
            <v>0</v>
          </cell>
          <cell r="M591">
            <v>0</v>
          </cell>
          <cell r="N591">
            <v>-1.4461200000000001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-0.12051000000000001</v>
          </cell>
        </row>
        <row r="592">
          <cell r="B592">
            <v>237401</v>
          </cell>
          <cell r="C592" t="str">
            <v>Working Capital</v>
          </cell>
          <cell r="D592" t="str">
            <v>INTEREST ACCRUED - HESS</v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>
            <v>237401</v>
          </cell>
          <cell r="J592" t="str">
            <v/>
          </cell>
          <cell r="K592" t="str">
            <v/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B593">
            <v>237430</v>
          </cell>
          <cell r="C593" t="str">
            <v>Working Capital</v>
          </cell>
          <cell r="D593" t="str">
            <v>INTEREST ACCRD-SUPPLIER DEPOSIT-GAS</v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>
            <v>237430</v>
          </cell>
          <cell r="J593" t="str">
            <v/>
          </cell>
          <cell r="K593" t="str">
            <v/>
          </cell>
          <cell r="L593">
            <v>-1.3734</v>
          </cell>
          <cell r="M593">
            <v>-1.46469</v>
          </cell>
          <cell r="N593">
            <v>-1.5559799999999999</v>
          </cell>
          <cell r="O593">
            <v>-0.90386999999999995</v>
          </cell>
          <cell r="P593">
            <v>-0.99516000000000004</v>
          </cell>
          <cell r="Q593">
            <v>-1.0864499999999999</v>
          </cell>
          <cell r="R593">
            <v>-1.17774</v>
          </cell>
          <cell r="S593">
            <v>-1.2690300000000001</v>
          </cell>
          <cell r="T593">
            <v>-0.73031999999999997</v>
          </cell>
          <cell r="U593">
            <v>-0.44468999999999997</v>
          </cell>
          <cell r="V593">
            <v>-0.49409999999999998</v>
          </cell>
          <cell r="W593">
            <v>-0.54351000000000005</v>
          </cell>
          <cell r="X593">
            <v>-0.59292</v>
          </cell>
          <cell r="Y593">
            <v>-0.97072499999999995</v>
          </cell>
        </row>
        <row r="594">
          <cell r="B594">
            <v>238199</v>
          </cell>
          <cell r="C594" t="str">
            <v>CAP</v>
          </cell>
          <cell r="D594" t="str">
            <v>INTERCOMPANY - DIVIDENDS PAYABLE</v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>
            <v>238199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B595">
            <v>238200</v>
          </cell>
          <cell r="C595" t="str">
            <v>CAP</v>
          </cell>
          <cell r="D595" t="str">
            <v>DIVIDENDS PAYABLE - PREFERRED STOCK</v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>
            <v>238200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B596">
            <v>241100</v>
          </cell>
          <cell r="C596" t="str">
            <v>Working Capital</v>
          </cell>
          <cell r="D596" t="str">
            <v>TAX COLLECTIONS PAYABLE - WITHHOLDING TAX</v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>
            <v>241100</v>
          </cell>
          <cell r="J596" t="str">
            <v/>
          </cell>
          <cell r="K596" t="str">
            <v/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B597">
            <v>241200</v>
          </cell>
          <cell r="C597" t="str">
            <v>Working Capital</v>
          </cell>
          <cell r="D597" t="str">
            <v>TAX COLLECTIONS PAYABLE - FICA</v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>
            <v>241200</v>
          </cell>
          <cell r="J597" t="str">
            <v/>
          </cell>
          <cell r="K597" t="str">
            <v/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B598">
            <v>241300</v>
          </cell>
          <cell r="C598" t="str">
            <v>Working Capital</v>
          </cell>
          <cell r="D598" t="str">
            <v>TAX COLLECTIONS PAYABLE - WITHHOLDING TAX-NYS</v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>
            <v>241300</v>
          </cell>
          <cell r="J598" t="str">
            <v/>
          </cell>
          <cell r="K598" t="str">
            <v/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B599">
            <v>241400</v>
          </cell>
          <cell r="C599" t="str">
            <v>Working Capital</v>
          </cell>
          <cell r="D599" t="str">
            <v>TAX COLLECTIONS PAYABLE - STATE LOCAL SALES TAX</v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>
            <v>241400</v>
          </cell>
          <cell r="J599" t="str">
            <v/>
          </cell>
          <cell r="K599" t="str">
            <v/>
          </cell>
          <cell r="L599">
            <v>41080.025979999999</v>
          </cell>
          <cell r="M599">
            <v>41825.61419</v>
          </cell>
          <cell r="N599">
            <v>42712.357550000001</v>
          </cell>
          <cell r="O599">
            <v>43544.277300000002</v>
          </cell>
          <cell r="P599">
            <v>44216.858829999997</v>
          </cell>
          <cell r="Q599">
            <v>44817.255539999998</v>
          </cell>
          <cell r="R599">
            <v>45334.597540000002</v>
          </cell>
          <cell r="S599">
            <v>45841.844369999999</v>
          </cell>
          <cell r="T599">
            <v>46416.097849999998</v>
          </cell>
          <cell r="U599">
            <v>46957.409240000001</v>
          </cell>
          <cell r="V599">
            <v>47450.367039999997</v>
          </cell>
          <cell r="W599">
            <v>47934.92987</v>
          </cell>
          <cell r="X599">
            <v>48469.904289999999</v>
          </cell>
          <cell r="Y599">
            <v>45152.214538</v>
          </cell>
        </row>
        <row r="600">
          <cell r="B600">
            <v>241401</v>
          </cell>
          <cell r="C600" t="str">
            <v>Working Capital</v>
          </cell>
          <cell r="D600" t="str">
            <v>TAX COLLECTIONS PAYABLE-BEGINNING BALANCE RECLASS</v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>
            <v>241401</v>
          </cell>
          <cell r="J600" t="str">
            <v/>
          </cell>
          <cell r="K600" t="str">
            <v/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B601">
            <v>241410</v>
          </cell>
          <cell r="C601" t="str">
            <v>Working Capital</v>
          </cell>
          <cell r="D601" t="str">
            <v>TAX COLLECTIONS PAYABLE-STATE LOCAL SALES TAX-CCS</v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>
            <v>241410</v>
          </cell>
          <cell r="J601" t="str">
            <v/>
          </cell>
          <cell r="K601" t="str">
            <v/>
          </cell>
          <cell r="L601">
            <v>-41155.132080000003</v>
          </cell>
          <cell r="M601">
            <v>-42048.204010000001</v>
          </cell>
          <cell r="N601">
            <v>-42879.75159</v>
          </cell>
          <cell r="O601">
            <v>-43553.159699999997</v>
          </cell>
          <cell r="P601">
            <v>-44154.69528</v>
          </cell>
          <cell r="Q601">
            <v>-44672.97219</v>
          </cell>
          <cell r="R601">
            <v>-45202.683669999999</v>
          </cell>
          <cell r="S601">
            <v>-45753.462160000003</v>
          </cell>
          <cell r="T601">
            <v>-46293.969640000003</v>
          </cell>
          <cell r="U601">
            <v>-46798.319770000002</v>
          </cell>
          <cell r="V601">
            <v>-47273.341800000002</v>
          </cell>
          <cell r="W601">
            <v>-47799.225740000002</v>
          </cell>
          <cell r="X601">
            <v>-48420.734689999997</v>
          </cell>
          <cell r="Y601">
            <v>-45101.476578000002</v>
          </cell>
        </row>
        <row r="602">
          <cell r="B602">
            <v>241500</v>
          </cell>
          <cell r="C602" t="str">
            <v>Working Capital</v>
          </cell>
          <cell r="D602" t="str">
            <v>TAX COLLECTIONS PAYABLE - STATE GAS IMPORT TAX</v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>
            <v>241500</v>
          </cell>
          <cell r="J602" t="str">
            <v/>
          </cell>
          <cell r="K602" t="str">
            <v/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</row>
        <row r="603">
          <cell r="B603">
            <v>241700</v>
          </cell>
          <cell r="C603" t="str">
            <v>Working Capital</v>
          </cell>
          <cell r="D603" t="str">
            <v>TAX COLLECT PAYABLE-STATE PETROLEUM BUSINESS TAX</v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>
            <v>241700</v>
          </cell>
          <cell r="J603" t="str">
            <v/>
          </cell>
          <cell r="K603" t="str">
            <v/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</row>
        <row r="604">
          <cell r="B604">
            <v>242010</v>
          </cell>
          <cell r="C604" t="str">
            <v>Working Capital</v>
          </cell>
          <cell r="D604" t="str">
            <v>MISC CUR &amp; ACCR LIAB - PAYROLL ACCRUED</v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>
            <v>242010</v>
          </cell>
          <cell r="J604" t="str">
            <v/>
          </cell>
          <cell r="K604" t="str">
            <v/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</row>
        <row r="605">
          <cell r="B605">
            <v>242011</v>
          </cell>
          <cell r="C605" t="str">
            <v>Working Capital</v>
          </cell>
          <cell r="D605" t="str">
            <v>WORKERS COMP BEGINNING BALANCE</v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>
            <v>242011</v>
          </cell>
          <cell r="J605" t="str">
            <v/>
          </cell>
          <cell r="K605" t="str">
            <v/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</row>
        <row r="606">
          <cell r="B606">
            <v>242020</v>
          </cell>
          <cell r="C606" t="str">
            <v>Working Capital</v>
          </cell>
          <cell r="D606" t="str">
            <v>MISC CUR &amp; ACCR LIAB - SYSTEMS BENEFIT CHARGE</v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>
            <v>242020</v>
          </cell>
          <cell r="J606" t="str">
            <v/>
          </cell>
          <cell r="K606" t="str">
            <v/>
          </cell>
          <cell r="L606">
            <v>-1197.2382399999999</v>
          </cell>
          <cell r="M606">
            <v>-2059.18217</v>
          </cell>
          <cell r="N606">
            <v>-2415.8186799999999</v>
          </cell>
          <cell r="O606">
            <v>-2411.7689399999999</v>
          </cell>
          <cell r="P606">
            <v>-2410.57206</v>
          </cell>
          <cell r="Q606">
            <v>-2440.3010199999999</v>
          </cell>
          <cell r="R606">
            <v>-2440.1539400000001</v>
          </cell>
          <cell r="S606">
            <v>-2439.9541199999999</v>
          </cell>
          <cell r="T606">
            <v>-2439.7777599999999</v>
          </cell>
          <cell r="U606">
            <v>-2439.7388000000001</v>
          </cell>
          <cell r="V606">
            <v>-2439.5126399999999</v>
          </cell>
          <cell r="W606">
            <v>-2439.3270600000001</v>
          </cell>
          <cell r="X606">
            <v>-2439.0258100000001</v>
          </cell>
          <cell r="Y606">
            <v>-2349.5199349999998</v>
          </cell>
        </row>
        <row r="607">
          <cell r="B607">
            <v>242021</v>
          </cell>
          <cell r="C607" t="str">
            <v>Working Capital</v>
          </cell>
          <cell r="D607" t="str">
            <v>MISC CUR &amp; ACCR LIAB-RENEWABLE PORTFOLIO STANDARD</v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>
            <v>242021</v>
          </cell>
          <cell r="J607" t="str">
            <v/>
          </cell>
          <cell r="K607" t="str">
            <v/>
          </cell>
          <cell r="L607">
            <v>-3143.3111600000002</v>
          </cell>
          <cell r="M607">
            <v>-4216.4474399999999</v>
          </cell>
          <cell r="N607">
            <v>-5176.3725599999998</v>
          </cell>
          <cell r="O607">
            <v>-3240.9340400000001</v>
          </cell>
          <cell r="P607">
            <v>-1213.3004699999999</v>
          </cell>
          <cell r="Q607">
            <v>-2231.0157599999998</v>
          </cell>
          <cell r="R607">
            <v>-3290.3935799999999</v>
          </cell>
          <cell r="S607">
            <v>-1595.86239</v>
          </cell>
          <cell r="T607">
            <v>-2746.9517300000002</v>
          </cell>
          <cell r="U607">
            <v>-3761.9775599999998</v>
          </cell>
          <cell r="V607">
            <v>-1718.6765399999999</v>
          </cell>
          <cell r="W607">
            <v>-2780.6881699999999</v>
          </cell>
          <cell r="X607">
            <v>-3944.52783</v>
          </cell>
          <cell r="Y607">
            <v>-2959.7116449999999</v>
          </cell>
        </row>
        <row r="608">
          <cell r="B608">
            <v>242022</v>
          </cell>
          <cell r="C608" t="str">
            <v>Working Capital</v>
          </cell>
          <cell r="D608" t="str">
            <v>CURRENT LIABILITY - EEPS</v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>
            <v>242022</v>
          </cell>
          <cell r="J608" t="str">
            <v/>
          </cell>
          <cell r="K608" t="str">
            <v/>
          </cell>
          <cell r="L608">
            <v>-7748.4725200000003</v>
          </cell>
          <cell r="M608">
            <v>-10069.761130000001</v>
          </cell>
          <cell r="N608">
            <v>-10207.285599999999</v>
          </cell>
          <cell r="O608">
            <v>-8191.2539900000002</v>
          </cell>
          <cell r="P608">
            <v>-6849.9308300000002</v>
          </cell>
          <cell r="Q608">
            <v>-7110.8151799999996</v>
          </cell>
          <cell r="R608">
            <v>-7693.1914399999996</v>
          </cell>
          <cell r="S608">
            <v>-7182.6622200000002</v>
          </cell>
          <cell r="T608">
            <v>-7374.6557599999996</v>
          </cell>
          <cell r="U608">
            <v>-7777.2620100000004</v>
          </cell>
          <cell r="V608">
            <v>-6263.4008700000004</v>
          </cell>
          <cell r="W608">
            <v>-6624.1674800000001</v>
          </cell>
          <cell r="X608">
            <v>-6639.6396000000004</v>
          </cell>
          <cell r="Y608">
            <v>-7711.536881</v>
          </cell>
        </row>
        <row r="609">
          <cell r="B609">
            <v>242024</v>
          </cell>
          <cell r="C609" t="str">
            <v>Working Capital</v>
          </cell>
          <cell r="D609" t="str">
            <v>CURR &amp; ACCR LIABILITY-EEPS GAS</v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>
            <v>242024</v>
          </cell>
          <cell r="J609" t="str">
            <v/>
          </cell>
          <cell r="K609" t="str">
            <v/>
          </cell>
          <cell r="L609">
            <v>0</v>
          </cell>
          <cell r="M609">
            <v>39.509140000000002</v>
          </cell>
          <cell r="N609">
            <v>-887.26142000000004</v>
          </cell>
          <cell r="O609">
            <v>-852.67192999999997</v>
          </cell>
          <cell r="P609">
            <v>-635.35961999999995</v>
          </cell>
          <cell r="Q609">
            <v>-893.73278000000005</v>
          </cell>
          <cell r="R609">
            <v>-1150.13087</v>
          </cell>
          <cell r="S609">
            <v>-807.34421999999995</v>
          </cell>
          <cell r="T609">
            <v>-643.82196999999996</v>
          </cell>
          <cell r="U609">
            <v>-723.57623000000001</v>
          </cell>
          <cell r="V609">
            <v>-220.57543999999999</v>
          </cell>
          <cell r="W609">
            <v>-570.86739999999998</v>
          </cell>
          <cell r="X609">
            <v>-1663.82584</v>
          </cell>
          <cell r="Y609">
            <v>-681.47880499999997</v>
          </cell>
        </row>
        <row r="610">
          <cell r="B610">
            <v>242030</v>
          </cell>
          <cell r="C610" t="str">
            <v>Working Capital</v>
          </cell>
          <cell r="D610" t="str">
            <v>MISC CUR &amp; ACCR LIAB - PERFORMANCE PLUS PLAN</v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>
            <v>242030</v>
          </cell>
          <cell r="J610" t="str">
            <v/>
          </cell>
          <cell r="K610" t="str">
            <v/>
          </cell>
          <cell r="L610">
            <v>-1851.8579999999999</v>
          </cell>
          <cell r="M610">
            <v>-1970.287</v>
          </cell>
          <cell r="N610">
            <v>-2088.7159999999999</v>
          </cell>
          <cell r="O610">
            <v>-355.28699999999998</v>
          </cell>
          <cell r="P610">
            <v>-473.71600000000001</v>
          </cell>
          <cell r="Q610">
            <v>-592.14499999999998</v>
          </cell>
          <cell r="R610">
            <v>-710.57399999999996</v>
          </cell>
          <cell r="S610">
            <v>-829.00300000000004</v>
          </cell>
          <cell r="T610">
            <v>-947.43200000000002</v>
          </cell>
          <cell r="U610">
            <v>-1065.8610000000001</v>
          </cell>
          <cell r="V610">
            <v>-1184.29</v>
          </cell>
          <cell r="W610">
            <v>-1302.7190000000001</v>
          </cell>
          <cell r="X610">
            <v>-1924.12211</v>
          </cell>
          <cell r="Y610">
            <v>-1117.3350049999999</v>
          </cell>
        </row>
        <row r="611">
          <cell r="B611">
            <v>242035</v>
          </cell>
          <cell r="C611" t="str">
            <v>Not in RTBS</v>
          </cell>
          <cell r="D611" t="str">
            <v>MISC CUR&amp;ACCRD LIAB-STK OPTION AWARD PLAN</v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>
            <v>242035</v>
          </cell>
          <cell r="K611" t="str">
            <v/>
          </cell>
          <cell r="L611">
            <v>-111.34871</v>
          </cell>
          <cell r="M611">
            <v>-128.59452999999999</v>
          </cell>
          <cell r="N611">
            <v>-136.04614000000001</v>
          </cell>
          <cell r="O611">
            <v>-140.74009000000001</v>
          </cell>
          <cell r="P611">
            <v>-155.62727000000001</v>
          </cell>
          <cell r="Q611">
            <v>-153.55355</v>
          </cell>
          <cell r="R611">
            <v>-159.59020000000001</v>
          </cell>
          <cell r="S611">
            <v>-151.14758</v>
          </cell>
          <cell r="T611">
            <v>-196.46176</v>
          </cell>
          <cell r="U611">
            <v>-321.73570000000001</v>
          </cell>
          <cell r="V611">
            <v>-355.21487000000002</v>
          </cell>
          <cell r="W611">
            <v>-413.90667999999999</v>
          </cell>
          <cell r="X611">
            <v>-424.92158999999998</v>
          </cell>
          <cell r="Y611">
            <v>-215.062793</v>
          </cell>
        </row>
        <row r="612">
          <cell r="B612">
            <v>242060</v>
          </cell>
          <cell r="C612" t="str">
            <v>Working Capital</v>
          </cell>
          <cell r="D612" t="str">
            <v>MISC CUR &amp; ACCR LIAB - EQUAL PAYMENT PLAN</v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>
            <v>242060</v>
          </cell>
          <cell r="J612" t="str">
            <v/>
          </cell>
          <cell r="K612" t="str">
            <v/>
          </cell>
          <cell r="L612">
            <v>-12534.398740000001</v>
          </cell>
          <cell r="M612">
            <v>-8700.9203899999993</v>
          </cell>
          <cell r="N612">
            <v>-6286.3776699999999</v>
          </cell>
          <cell r="O612">
            <v>-6019.6163500000002</v>
          </cell>
          <cell r="P612">
            <v>-5279.9856</v>
          </cell>
          <cell r="Q612">
            <v>-5380.8082400000003</v>
          </cell>
          <cell r="R612">
            <v>-5376.6967000000004</v>
          </cell>
          <cell r="S612">
            <v>-5428.81369</v>
          </cell>
          <cell r="T612">
            <v>-6296.7135099999996</v>
          </cell>
          <cell r="U612">
            <v>-6532.6362099999997</v>
          </cell>
          <cell r="V612">
            <v>-7728.0173699999996</v>
          </cell>
          <cell r="W612">
            <v>-8690.3101600000009</v>
          </cell>
          <cell r="X612">
            <v>-9575.3230100000001</v>
          </cell>
          <cell r="Y612">
            <v>-6897.97973</v>
          </cell>
        </row>
        <row r="613">
          <cell r="B613">
            <v>242070</v>
          </cell>
          <cell r="C613" t="str">
            <v>Not in RTBS</v>
          </cell>
          <cell r="D613" t="str">
            <v>MISC CUR &amp; ACCR LIAB - EXECUTIVE INCENTIVE PLAN</v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>
            <v>242070</v>
          </cell>
          <cell r="K613" t="str">
            <v/>
          </cell>
          <cell r="L613">
            <v>-708.99995999999999</v>
          </cell>
          <cell r="M613">
            <v>-735.89595999999995</v>
          </cell>
          <cell r="N613">
            <v>-762.79196000000002</v>
          </cell>
          <cell r="O613">
            <v>-80.688000000000002</v>
          </cell>
          <cell r="P613">
            <v>-107.584</v>
          </cell>
          <cell r="Q613">
            <v>-134.47999999999999</v>
          </cell>
          <cell r="R613">
            <v>-161.376</v>
          </cell>
          <cell r="S613">
            <v>-188.27199999999999</v>
          </cell>
          <cell r="T613">
            <v>-215.16800000000001</v>
          </cell>
          <cell r="U613">
            <v>-242.06399999999999</v>
          </cell>
          <cell r="V613">
            <v>-268.95999999999998</v>
          </cell>
          <cell r="W613">
            <v>-295.85599999999999</v>
          </cell>
          <cell r="X613">
            <v>-476.78287999999998</v>
          </cell>
          <cell r="Y613">
            <v>-315.50227799999999</v>
          </cell>
        </row>
        <row r="614">
          <cell r="B614">
            <v>242080</v>
          </cell>
          <cell r="C614" t="str">
            <v>Working Capital</v>
          </cell>
          <cell r="D614" t="str">
            <v>MISC CUR &amp; ACCR LIAB - GAS TRANSP CUSTOMERS</v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>
            <v>242080</v>
          </cell>
          <cell r="J614" t="str">
            <v/>
          </cell>
          <cell r="K614" t="str">
            <v/>
          </cell>
          <cell r="L614">
            <v>-229.86266000000001</v>
          </cell>
          <cell r="M614">
            <v>47.25506</v>
          </cell>
          <cell r="N614">
            <v>311.20137999999997</v>
          </cell>
          <cell r="O614">
            <v>215.24969999999999</v>
          </cell>
          <cell r="P614">
            <v>-446.52118000000002</v>
          </cell>
          <cell r="Q614">
            <v>438.60676999999998</v>
          </cell>
          <cell r="R614">
            <v>136.79447999999999</v>
          </cell>
          <cell r="S614">
            <v>8.9504599999999996</v>
          </cell>
          <cell r="T614">
            <v>-34.220930000000003</v>
          </cell>
          <cell r="U614">
            <v>-193.19468000000001</v>
          </cell>
          <cell r="V614">
            <v>-63.318170000000002</v>
          </cell>
          <cell r="W614">
            <v>-156.94832</v>
          </cell>
          <cell r="X614">
            <v>-230.68538000000001</v>
          </cell>
          <cell r="Y614">
            <v>2.7983790000000002</v>
          </cell>
        </row>
        <row r="615">
          <cell r="B615">
            <v>242090</v>
          </cell>
          <cell r="C615" t="str">
            <v>Working Capital</v>
          </cell>
          <cell r="D615" t="str">
            <v>MISC CUR &amp; ACCR LIAB - MISCELLANEOUS</v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>
            <v>242090</v>
          </cell>
          <cell r="J615" t="str">
            <v/>
          </cell>
          <cell r="K615" t="str">
            <v/>
          </cell>
          <cell r="L615">
            <v>-739.75879999999995</v>
          </cell>
          <cell r="M615">
            <v>-773.51526000000001</v>
          </cell>
          <cell r="N615">
            <v>-812.37171999999998</v>
          </cell>
          <cell r="O615">
            <v>-811.98122000000001</v>
          </cell>
          <cell r="P615">
            <v>-621.36371999999994</v>
          </cell>
          <cell r="Q615">
            <v>-581.34076000000005</v>
          </cell>
          <cell r="R615">
            <v>-652.09371999999996</v>
          </cell>
          <cell r="S615">
            <v>-652.47572000000002</v>
          </cell>
          <cell r="T615">
            <v>-720.20025999999996</v>
          </cell>
          <cell r="U615">
            <v>-730.12325999999996</v>
          </cell>
          <cell r="V615">
            <v>-729.44326000000001</v>
          </cell>
          <cell r="W615">
            <v>-1118.19001</v>
          </cell>
          <cell r="X615">
            <v>-2010.2352599999999</v>
          </cell>
          <cell r="Y615">
            <v>-798.17466200000001</v>
          </cell>
        </row>
        <row r="616">
          <cell r="B616">
            <v>242091</v>
          </cell>
          <cell r="C616" t="str">
            <v>Working Capital</v>
          </cell>
          <cell r="D616" t="str">
            <v>MISC CUR &amp; ACCR LIAB-EDRP CURTAILMENT PAYMENTS</v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>
            <v>242091</v>
          </cell>
          <cell r="J616" t="str">
            <v/>
          </cell>
          <cell r="K616" t="str">
            <v/>
          </cell>
          <cell r="L616">
            <v>4.6526500000000004</v>
          </cell>
          <cell r="M616">
            <v>4.6504000000000003</v>
          </cell>
          <cell r="N616">
            <v>4.6504000000000003</v>
          </cell>
          <cell r="O616">
            <v>4.6504000000000003</v>
          </cell>
          <cell r="P616">
            <v>4.6504000000000003</v>
          </cell>
          <cell r="Q616">
            <v>4.6504000000000003</v>
          </cell>
          <cell r="R616">
            <v>4.6237300000000001</v>
          </cell>
          <cell r="S616">
            <v>4.6237300000000001</v>
          </cell>
          <cell r="T616">
            <v>4.6237300000000001</v>
          </cell>
          <cell r="U616">
            <v>4.6237300000000001</v>
          </cell>
          <cell r="V616">
            <v>4.6237300000000001</v>
          </cell>
          <cell r="W616">
            <v>4.0399900000000004</v>
          </cell>
          <cell r="X616">
            <v>4.0399900000000004</v>
          </cell>
          <cell r="Y616">
            <v>4.5630800000000002</v>
          </cell>
        </row>
        <row r="617">
          <cell r="B617">
            <v>242100</v>
          </cell>
          <cell r="C617" t="str">
            <v>RTBS</v>
          </cell>
          <cell r="D617" t="str">
            <v>MISC CUR &amp; ACCR LIAB - URANIUM ENRICHMENT FUND</v>
          </cell>
          <cell r="E617" t="str">
            <v/>
          </cell>
          <cell r="F617" t="str">
            <v/>
          </cell>
          <cell r="G617">
            <v>242100</v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B618">
            <v>242165</v>
          </cell>
          <cell r="C618" t="str">
            <v>Not in RTBS</v>
          </cell>
          <cell r="D618" t="str">
            <v>MISC CUR&amp;ACCRD LIAB-COMPREHENSIVE INCENTIVES</v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>
            <v>242165</v>
          </cell>
          <cell r="K618" t="str">
            <v/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B619">
            <v>242170</v>
          </cell>
          <cell r="C619" t="str">
            <v>NOT USED</v>
          </cell>
          <cell r="D619" t="str">
            <v>MISC CUR &amp; ACCR LIAB - SEVERANCE-MERGER</v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/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B620">
            <v>242180</v>
          </cell>
          <cell r="C620" t="str">
            <v>Not in RTBS</v>
          </cell>
          <cell r="D620" t="str">
            <v>MISC CUR &amp; ACCR LIAB - NM2 D&amp;D</v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>
            <v>242180</v>
          </cell>
          <cell r="K620" t="str">
            <v/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B621">
            <v>242190</v>
          </cell>
          <cell r="C621" t="str">
            <v>Not in RTBS</v>
          </cell>
          <cell r="D621" t="str">
            <v>MISC CUR &amp; ACCR LIAB - DEMOBILIZATION</v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>
            <v>242190</v>
          </cell>
          <cell r="K621" t="str">
            <v/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</row>
        <row r="622">
          <cell r="B622">
            <v>242245</v>
          </cell>
          <cell r="C622" t="str">
            <v>RTBS</v>
          </cell>
          <cell r="D622" t="str">
            <v>0000242245 MISC CUR &amp; ACCRD LIAB-OPEB FAS 158 - CURRENT</v>
          </cell>
          <cell r="E622" t="str">
            <v/>
          </cell>
          <cell r="F622" t="str">
            <v/>
          </cell>
          <cell r="G622">
            <v>242245</v>
          </cell>
          <cell r="H622" t="str">
            <v/>
          </cell>
          <cell r="I622" t="str">
            <v/>
          </cell>
          <cell r="J622" t="str">
            <v/>
          </cell>
          <cell r="K622" t="str">
            <v/>
          </cell>
          <cell r="L622">
            <v>-6500.7820000000002</v>
          </cell>
          <cell r="M622">
            <v>-6500.7820000000002</v>
          </cell>
          <cell r="N622">
            <v>-6500.7820000000002</v>
          </cell>
          <cell r="O622">
            <v>-6500.7820000000002</v>
          </cell>
          <cell r="P622">
            <v>-6500.7820000000002</v>
          </cell>
          <cell r="Q622">
            <v>-6500.7820000000002</v>
          </cell>
          <cell r="R622">
            <v>-6500.7820000000002</v>
          </cell>
          <cell r="S622">
            <v>-6500.7820000000002</v>
          </cell>
          <cell r="T622">
            <v>-6500.7820000000002</v>
          </cell>
          <cell r="U622">
            <v>-6500.7820000000002</v>
          </cell>
          <cell r="V622">
            <v>-6500.7820000000002</v>
          </cell>
          <cell r="W622">
            <v>-6500.7820000000002</v>
          </cell>
          <cell r="X622">
            <v>-6500.7820000000002</v>
          </cell>
          <cell r="Y622">
            <v>-6500.7820000000002</v>
          </cell>
        </row>
        <row r="623">
          <cell r="B623">
            <v>242250</v>
          </cell>
          <cell r="C623" t="str">
            <v>Working Capital</v>
          </cell>
          <cell r="D623" t="str">
            <v>MISC CUR&amp;ACCRD LIAB-ESCHEATABLE PROP</v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>
            <v>242250</v>
          </cell>
          <cell r="J623" t="str">
            <v/>
          </cell>
          <cell r="K623" t="str">
            <v/>
          </cell>
          <cell r="L623">
            <v>10.77444</v>
          </cell>
          <cell r="M623">
            <v>10.77444</v>
          </cell>
          <cell r="N623">
            <v>10.77444</v>
          </cell>
          <cell r="O623">
            <v>10.77444</v>
          </cell>
          <cell r="P623">
            <v>10.77444</v>
          </cell>
          <cell r="Q623">
            <v>10.77444</v>
          </cell>
          <cell r="R623">
            <v>10.77444</v>
          </cell>
          <cell r="S623">
            <v>10.77444</v>
          </cell>
          <cell r="T623">
            <v>10.77444</v>
          </cell>
          <cell r="U623">
            <v>10.77444</v>
          </cell>
          <cell r="V623">
            <v>10.806990000000001</v>
          </cell>
          <cell r="W623">
            <v>10.806990000000001</v>
          </cell>
          <cell r="X623">
            <v>10.806990000000001</v>
          </cell>
          <cell r="Y623">
            <v>10.781221</v>
          </cell>
        </row>
        <row r="624">
          <cell r="B624">
            <v>242260</v>
          </cell>
          <cell r="C624" t="str">
            <v>Working Capital</v>
          </cell>
          <cell r="D624" t="str">
            <v>MISC CUR &amp; ACCRD LIAB-ENERGY PROVIDER</v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>
            <v>242260</v>
          </cell>
          <cell r="J624" t="str">
            <v/>
          </cell>
          <cell r="K624" t="str">
            <v/>
          </cell>
          <cell r="L624">
            <v>-1807.9956</v>
          </cell>
          <cell r="M624">
            <v>-1931.3128099999999</v>
          </cell>
          <cell r="N624">
            <v>-3434.8014699999999</v>
          </cell>
          <cell r="O624">
            <v>-1534.72622</v>
          </cell>
          <cell r="P624">
            <v>-1941.9569899999999</v>
          </cell>
          <cell r="Q624">
            <v>-1180.4674399999999</v>
          </cell>
          <cell r="R624">
            <v>-1251.6326200000001</v>
          </cell>
          <cell r="S624">
            <v>-1946.3897899999999</v>
          </cell>
          <cell r="T624">
            <v>-1237.51151</v>
          </cell>
          <cell r="U624">
            <v>-1148.95469</v>
          </cell>
          <cell r="V624">
            <v>-1334.8874900000001</v>
          </cell>
          <cell r="W624">
            <v>-1948.5289399999999</v>
          </cell>
          <cell r="X624">
            <v>-1526.23243</v>
          </cell>
          <cell r="Y624">
            <v>-1713.1903319999999</v>
          </cell>
        </row>
        <row r="625">
          <cell r="B625">
            <v>242355</v>
          </cell>
          <cell r="C625" t="str">
            <v>NOT USED</v>
          </cell>
          <cell r="D625" t="str">
            <v>MISC CUR&amp;ACCRD LIAB-GINNA SALE REFUNDS</v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/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3.9050000000000001E-2</v>
          </cell>
          <cell r="Y625">
            <v>1.627E-3</v>
          </cell>
        </row>
        <row r="626">
          <cell r="B626">
            <v>242356</v>
          </cell>
          <cell r="C626" t="str">
            <v>Working Capital</v>
          </cell>
          <cell r="D626" t="str">
            <v>MISC CUR&amp;ACCRD LIAB-REFUNDS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242356</v>
          </cell>
          <cell r="J626" t="str">
            <v/>
          </cell>
          <cell r="K626" t="str">
            <v/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</row>
        <row r="627">
          <cell r="B627">
            <v>242390</v>
          </cell>
          <cell r="C627" t="str">
            <v>Working Capital</v>
          </cell>
          <cell r="D627" t="str">
            <v>MISC CUR&amp;ACCRD LIAB-PAY IN LIEU OF VACATION</v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>
            <v>242390</v>
          </cell>
          <cell r="J627" t="str">
            <v/>
          </cell>
          <cell r="K627" t="str">
            <v/>
          </cell>
          <cell r="L627">
            <v>-2750</v>
          </cell>
          <cell r="M627">
            <v>-2750</v>
          </cell>
          <cell r="N627">
            <v>-2750</v>
          </cell>
          <cell r="O627">
            <v>-2750</v>
          </cell>
          <cell r="P627">
            <v>-2750</v>
          </cell>
          <cell r="Q627">
            <v>-2750</v>
          </cell>
          <cell r="R627">
            <v>-2750</v>
          </cell>
          <cell r="S627">
            <v>-2750</v>
          </cell>
          <cell r="T627">
            <v>-2750</v>
          </cell>
          <cell r="U627">
            <v>-2750</v>
          </cell>
          <cell r="V627">
            <v>-2750</v>
          </cell>
          <cell r="W627">
            <v>-2750</v>
          </cell>
          <cell r="X627">
            <v>-2750</v>
          </cell>
          <cell r="Y627">
            <v>-2750</v>
          </cell>
        </row>
        <row r="628">
          <cell r="B628">
            <v>242440</v>
          </cell>
          <cell r="C628" t="str">
            <v>Working Capital</v>
          </cell>
          <cell r="D628" t="str">
            <v>MISC CUR&amp;ACCRD LIAB-PROJECT SHARE</v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>
            <v>242440</v>
          </cell>
          <cell r="J628" t="str">
            <v/>
          </cell>
          <cell r="K628" t="str">
            <v/>
          </cell>
          <cell r="L628">
            <v>-8.4707100000000004</v>
          </cell>
          <cell r="M628">
            <v>-8.2413699999999999</v>
          </cell>
          <cell r="N628">
            <v>-8.3648699999999998</v>
          </cell>
          <cell r="O628">
            <v>-8.4005700000000001</v>
          </cell>
          <cell r="P628">
            <v>-10.99554</v>
          </cell>
          <cell r="Q628">
            <v>-8.3293999999999997</v>
          </cell>
          <cell r="R628">
            <v>-8.3177299999999992</v>
          </cell>
          <cell r="S628">
            <v>-8.0747199999999992</v>
          </cell>
          <cell r="T628">
            <v>-8.4093499999999999</v>
          </cell>
          <cell r="U628">
            <v>-8.2603399999999993</v>
          </cell>
          <cell r="V628">
            <v>-8.3942099999999993</v>
          </cell>
          <cell r="W628">
            <v>-8.4738900000000008</v>
          </cell>
          <cell r="X628">
            <v>-8.5184700000000007</v>
          </cell>
          <cell r="Y628">
            <v>-8.5630480000000002</v>
          </cell>
        </row>
        <row r="629">
          <cell r="B629">
            <v>242460</v>
          </cell>
          <cell r="C629" t="str">
            <v>Working Capital</v>
          </cell>
          <cell r="D629" t="str">
            <v>MISC CUR&amp;ACCRD LIAB-GIFT CERTIFICATE-UTIL SERVICE</v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>
            <v>242460</v>
          </cell>
          <cell r="J629" t="str">
            <v/>
          </cell>
          <cell r="K629" t="str">
            <v/>
          </cell>
          <cell r="L629">
            <v>-0.3306</v>
          </cell>
          <cell r="M629">
            <v>0.36075000000000002</v>
          </cell>
          <cell r="N629">
            <v>-0.58394999999999997</v>
          </cell>
          <cell r="O629">
            <v>-0.54400000000000004</v>
          </cell>
          <cell r="P629">
            <v>-0.40905000000000002</v>
          </cell>
          <cell r="Q629">
            <v>-0.39910000000000001</v>
          </cell>
          <cell r="R629">
            <v>8.9999999999999998E-4</v>
          </cell>
          <cell r="S629">
            <v>8.9999999999999998E-4</v>
          </cell>
          <cell r="T629">
            <v>5.0900000000000001E-2</v>
          </cell>
          <cell r="U629">
            <v>0.15090000000000001</v>
          </cell>
          <cell r="V629">
            <v>0.15090000000000001</v>
          </cell>
          <cell r="W629">
            <v>0.1759</v>
          </cell>
          <cell r="X629">
            <v>-0.39874999999999999</v>
          </cell>
          <cell r="Y629">
            <v>-0.117469</v>
          </cell>
        </row>
        <row r="630">
          <cell r="B630">
            <v>242500</v>
          </cell>
          <cell r="C630" t="str">
            <v>Working Capital</v>
          </cell>
          <cell r="D630" t="str">
            <v>MISC CUR &amp; ACCR LIAB - HEDGED ACTIVITY-ELECTRIC</v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>
            <v>242500</v>
          </cell>
          <cell r="J630" t="str">
            <v/>
          </cell>
          <cell r="K630" t="str">
            <v/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B631">
            <v>242520</v>
          </cell>
          <cell r="C631" t="str">
            <v>Working Capital</v>
          </cell>
          <cell r="D631" t="str">
            <v>MISC CUR &amp; ACCR LIAB - TCC AUCTION</v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>
            <v>242520</v>
          </cell>
          <cell r="J631" t="str">
            <v/>
          </cell>
          <cell r="K631" t="str">
            <v/>
          </cell>
          <cell r="L631">
            <v>-334.39663000000002</v>
          </cell>
          <cell r="M631">
            <v>-283.24554000000001</v>
          </cell>
          <cell r="N631">
            <v>-232.09444999999999</v>
          </cell>
          <cell r="O631">
            <v>-180.94336000000001</v>
          </cell>
          <cell r="P631">
            <v>-129.79227</v>
          </cell>
          <cell r="Q631">
            <v>-147.46878000000001</v>
          </cell>
          <cell r="R631">
            <v>-126.65555999999999</v>
          </cell>
          <cell r="S631">
            <v>-105.84233999999999</v>
          </cell>
          <cell r="T631">
            <v>-85.029120000000006</v>
          </cell>
          <cell r="U631">
            <v>-64.215900000000005</v>
          </cell>
          <cell r="V631">
            <v>-43.402679999999997</v>
          </cell>
          <cell r="W631">
            <v>-52.266539999999999</v>
          </cell>
          <cell r="X631">
            <v>-45.518470000000001</v>
          </cell>
          <cell r="Y631">
            <v>-136.742841</v>
          </cell>
        </row>
        <row r="632">
          <cell r="B632">
            <v>242550</v>
          </cell>
          <cell r="C632" t="str">
            <v>Working Capital</v>
          </cell>
          <cell r="D632" t="str">
            <v>MISC CUR &amp; ACCR LIAB - HEDGED ACTIVITY-GAS</v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>
            <v>242550</v>
          </cell>
          <cell r="J632" t="str">
            <v/>
          </cell>
          <cell r="K632" t="str">
            <v/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B633">
            <v>242710</v>
          </cell>
          <cell r="C633" t="str">
            <v>NOT USED</v>
          </cell>
          <cell r="D633" t="str">
            <v>MISC CUR &amp; ACCRD LIAB-CTA-EMPL SEVERANCE PROGRAM</v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/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B634">
            <v>245401</v>
          </cell>
          <cell r="C634" t="str">
            <v>Not in RTBS</v>
          </cell>
          <cell r="D634" t="str">
            <v>OTH NONCUR LIAB-OTHER DERIVATIVES</v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>
            <v>245401</v>
          </cell>
          <cell r="K634" t="str">
            <v/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-655.43</v>
          </cell>
          <cell r="Q634">
            <v>-695.59</v>
          </cell>
          <cell r="R634">
            <v>-1997.46</v>
          </cell>
          <cell r="S634">
            <v>-2961.59</v>
          </cell>
          <cell r="T634">
            <v>-3311.93</v>
          </cell>
          <cell r="U634">
            <v>-4772.2673800000002</v>
          </cell>
          <cell r="V634">
            <v>-4499.1689200000001</v>
          </cell>
          <cell r="W634">
            <v>-6206.0047299999997</v>
          </cell>
          <cell r="X634">
            <v>-7920.5856999999996</v>
          </cell>
          <cell r="Y634">
            <v>-2421.6444900000001</v>
          </cell>
        </row>
        <row r="635">
          <cell r="B635">
            <v>245410</v>
          </cell>
          <cell r="C635" t="str">
            <v>Not in RTBS</v>
          </cell>
          <cell r="D635" t="str">
            <v>OTH NONCUR LIAB-DERIVATIVE LIAB-ELECTRIC HEDGE</v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>
            <v>245410</v>
          </cell>
          <cell r="K635" t="str">
            <v/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>
            <v>245411</v>
          </cell>
          <cell r="C636" t="str">
            <v>Not in RTBS</v>
          </cell>
          <cell r="D636" t="str">
            <v>OTH NONCUR LIAB-DERIVATIVE LIAB-ELECTRIC HEDGE</v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>
            <v>245411</v>
          </cell>
          <cell r="K636" t="str">
            <v/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B637">
            <v>245420</v>
          </cell>
          <cell r="C637" t="str">
            <v>Not in RTBS</v>
          </cell>
          <cell r="D637" t="str">
            <v>OTH NONCUR LIAB-DERIVATIVE LIAB-GAS HEDGE</v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>
            <v>245420</v>
          </cell>
          <cell r="K637" t="str">
            <v/>
          </cell>
          <cell r="L637">
            <v>-7444.98</v>
          </cell>
          <cell r="M637">
            <v>-5533.42</v>
          </cell>
          <cell r="N637">
            <v>-6094.9</v>
          </cell>
          <cell r="O637">
            <v>-2521.85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-1489.3883330000001</v>
          </cell>
        </row>
        <row r="638">
          <cell r="B638">
            <v>245451</v>
          </cell>
          <cell r="C638" t="str">
            <v>Not in RTBS</v>
          </cell>
          <cell r="D638" t="str">
            <v>OTH NONCUR LIAB-HEDGE-SWAP</v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>
            <v>245451</v>
          </cell>
          <cell r="K638" t="str">
            <v/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B639">
            <v>245990</v>
          </cell>
          <cell r="C639" t="str">
            <v>Not in RTBS</v>
          </cell>
          <cell r="D639" t="str">
            <v>RECLASS - DERIVATIVE LIABILITY - SHORT TERM</v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>
            <v>245990</v>
          </cell>
          <cell r="K639" t="str">
            <v/>
          </cell>
          <cell r="L639">
            <v>5.85</v>
          </cell>
          <cell r="M639">
            <v>31.23</v>
          </cell>
          <cell r="N639">
            <v>69.760000000000005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8.6595829999999996</v>
          </cell>
        </row>
        <row r="640">
          <cell r="B640">
            <v>245991</v>
          </cell>
          <cell r="C640" t="str">
            <v>Not in RTBS</v>
          </cell>
          <cell r="D640" t="str">
            <v>RECLASS - DERIVATIVE LIABILITY - LONG TERM</v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>
            <v>245991</v>
          </cell>
          <cell r="K640" t="str">
            <v/>
          </cell>
          <cell r="L640">
            <v>-5.85</v>
          </cell>
          <cell r="M640">
            <v>-31.23</v>
          </cell>
          <cell r="N640">
            <v>-69.760000000000005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-8.6595829999999996</v>
          </cell>
        </row>
        <row r="641">
          <cell r="B641">
            <v>245992</v>
          </cell>
          <cell r="C641" t="str">
            <v>Not in RTBS</v>
          </cell>
          <cell r="D641" t="str">
            <v>DERIVATIVE LIABILITY - LONG TERM</v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>
            <v>245992</v>
          </cell>
          <cell r="K641" t="str">
            <v/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-29.992000000000001</v>
          </cell>
          <cell r="S641">
            <v>-62.387999999999998</v>
          </cell>
          <cell r="T641">
            <v>-34.606000000000002</v>
          </cell>
          <cell r="U641">
            <v>-185.51400000000001</v>
          </cell>
          <cell r="V641">
            <v>-267.27</v>
          </cell>
          <cell r="W641">
            <v>-434.67</v>
          </cell>
          <cell r="X641">
            <v>-698.4</v>
          </cell>
          <cell r="Y641">
            <v>-113.636667</v>
          </cell>
        </row>
        <row r="642">
          <cell r="B642">
            <v>253005</v>
          </cell>
          <cell r="C642" t="str">
            <v>Roll Fwd Sched</v>
          </cell>
          <cell r="D642" t="str">
            <v>OTHER LIABILITIES-CUSTOMERS DOWNPAYMENTS (WMS)</v>
          </cell>
          <cell r="E642">
            <v>1</v>
          </cell>
          <cell r="F642">
            <v>253005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/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</row>
        <row r="643">
          <cell r="B643">
            <v>253006</v>
          </cell>
          <cell r="C643" t="str">
            <v>Roll Fwd Sched</v>
          </cell>
          <cell r="D643" t="str">
            <v>ADVANCE PAYMENTS FROM SD</v>
          </cell>
          <cell r="E643">
            <v>1</v>
          </cell>
          <cell r="F643">
            <v>253006</v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/>
          </cell>
          <cell r="L643">
            <v>-372.55383</v>
          </cell>
          <cell r="M643">
            <v>-357.69610999999998</v>
          </cell>
          <cell r="N643">
            <v>-245.83963</v>
          </cell>
          <cell r="O643">
            <v>-75.341300000000004</v>
          </cell>
          <cell r="P643">
            <v>-126.18854</v>
          </cell>
          <cell r="Q643">
            <v>-139.27021999999999</v>
          </cell>
          <cell r="R643">
            <v>-64.922110000000004</v>
          </cell>
          <cell r="S643">
            <v>-78.188310000000001</v>
          </cell>
          <cell r="T643">
            <v>-82.380870000000002</v>
          </cell>
          <cell r="U643">
            <v>-160.46575000000001</v>
          </cell>
          <cell r="V643">
            <v>-124.13284</v>
          </cell>
          <cell r="W643">
            <v>-502.87347999999997</v>
          </cell>
          <cell r="X643">
            <v>-3993.7897200000002</v>
          </cell>
          <cell r="Y643">
            <v>-345.03924499999999</v>
          </cell>
        </row>
        <row r="644">
          <cell r="B644">
            <v>253010</v>
          </cell>
          <cell r="C644" t="str">
            <v>Roll Fwd Sched</v>
          </cell>
          <cell r="D644" t="str">
            <v>DEF CREDITS - OSWEGO CARRYING CHARGE</v>
          </cell>
          <cell r="E644">
            <v>1</v>
          </cell>
          <cell r="F644">
            <v>253010</v>
          </cell>
          <cell r="G644" t="str">
            <v/>
          </cell>
          <cell r="H644" t="str">
            <v/>
          </cell>
          <cell r="I644" t="str">
            <v/>
          </cell>
          <cell r="J644">
            <v>253010</v>
          </cell>
          <cell r="K644" t="str">
            <v/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</row>
        <row r="645">
          <cell r="B645">
            <v>253030</v>
          </cell>
          <cell r="C645" t="str">
            <v>Roll Fwd Sched</v>
          </cell>
          <cell r="D645" t="str">
            <v>DEF CREDITS - UNCLAIMED WAGES &amp; REFUNDS</v>
          </cell>
          <cell r="E645">
            <v>3</v>
          </cell>
          <cell r="F645">
            <v>253030</v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/>
          </cell>
          <cell r="L645">
            <v>107.49715999999999</v>
          </cell>
          <cell r="M645">
            <v>107.49715999999999</v>
          </cell>
          <cell r="N645">
            <v>107.49715999999999</v>
          </cell>
          <cell r="O645">
            <v>107.49715999999999</v>
          </cell>
          <cell r="P645">
            <v>107.49715999999999</v>
          </cell>
          <cell r="Q645">
            <v>107.49715999999999</v>
          </cell>
          <cell r="R645">
            <v>107.49715999999999</v>
          </cell>
          <cell r="S645">
            <v>107.49715999999999</v>
          </cell>
          <cell r="T645">
            <v>107.49715999999999</v>
          </cell>
          <cell r="U645">
            <v>107.49715999999999</v>
          </cell>
          <cell r="V645">
            <v>107.49715999999999</v>
          </cell>
          <cell r="W645">
            <v>107.49715999999999</v>
          </cell>
          <cell r="X645">
            <v>107.49715999999999</v>
          </cell>
          <cell r="Y645">
            <v>107.49715999999999</v>
          </cell>
        </row>
        <row r="646">
          <cell r="B646">
            <v>253040</v>
          </cell>
          <cell r="C646" t="str">
            <v>Roll Fwd Sched</v>
          </cell>
          <cell r="D646" t="str">
            <v>DEF CREDITS - MISCELLANEOUS - OTHER</v>
          </cell>
          <cell r="E646">
            <v>49</v>
          </cell>
          <cell r="F646">
            <v>253040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>
            <v>-193.98755</v>
          </cell>
          <cell r="M646">
            <v>-186.60135</v>
          </cell>
          <cell r="N646">
            <v>-485.86716000000001</v>
          </cell>
          <cell r="O646">
            <v>-529.46716000000004</v>
          </cell>
          <cell r="P646">
            <v>-507.66716000000002</v>
          </cell>
          <cell r="Q646">
            <v>-453.42734999999999</v>
          </cell>
          <cell r="R646">
            <v>-457.36484999999999</v>
          </cell>
          <cell r="S646">
            <v>-457.36484999999999</v>
          </cell>
          <cell r="T646">
            <v>-485.50585000000001</v>
          </cell>
          <cell r="U646">
            <v>-637.36365000000001</v>
          </cell>
          <cell r="V646">
            <v>-637.36365000000001</v>
          </cell>
          <cell r="W646">
            <v>-162.64365000000001</v>
          </cell>
          <cell r="X646">
            <v>-116.92314</v>
          </cell>
          <cell r="Y646">
            <v>-429.67433499999999</v>
          </cell>
        </row>
        <row r="647">
          <cell r="B647">
            <v>253042</v>
          </cell>
          <cell r="C647" t="str">
            <v>Roll Fwd Sched</v>
          </cell>
          <cell r="D647" t="str">
            <v>DEF CREDITS-DARS INSURANCE PREMIUMS &amp; WARRANTIES</v>
          </cell>
          <cell r="E647">
            <v>1</v>
          </cell>
          <cell r="F647">
            <v>253042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/>
          </cell>
          <cell r="L647">
            <v>-8.6303800000000006</v>
          </cell>
          <cell r="M647">
            <v>-8.6303800000000006</v>
          </cell>
          <cell r="N647">
            <v>-8.6303800000000006</v>
          </cell>
          <cell r="O647">
            <v>-9.2623700000000007</v>
          </cell>
          <cell r="P647">
            <v>-9.2623700000000007</v>
          </cell>
          <cell r="Q647">
            <v>-9.2623700000000007</v>
          </cell>
          <cell r="R647">
            <v>-8.6303800000000006</v>
          </cell>
          <cell r="S647">
            <v>-9.5245999999999995</v>
          </cell>
          <cell r="T647">
            <v>-9.6806099999999997</v>
          </cell>
          <cell r="U647">
            <v>-8.6303800000000006</v>
          </cell>
          <cell r="V647">
            <v>-9.0626800000000003</v>
          </cell>
          <cell r="W647">
            <v>-9.0626800000000003</v>
          </cell>
          <cell r="X647">
            <v>-8.6303800000000006</v>
          </cell>
          <cell r="Y647">
            <v>-9.0224650000000004</v>
          </cell>
        </row>
        <row r="648">
          <cell r="B648">
            <v>253043</v>
          </cell>
          <cell r="C648" t="str">
            <v>Roll Fwd Sched</v>
          </cell>
          <cell r="D648" t="str">
            <v>DEF CREDITS-LINE EXT REALLOCATION/DIP (WMS)</v>
          </cell>
          <cell r="E648">
            <v>1</v>
          </cell>
          <cell r="F648">
            <v>253043</v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/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</row>
        <row r="649">
          <cell r="B649">
            <v>253080</v>
          </cell>
          <cell r="C649" t="str">
            <v>Roll Fwd Sched</v>
          </cell>
          <cell r="D649" t="str">
            <v>DEF CREDITS - PURCH GAS ADJS-SUPP REFUND</v>
          </cell>
          <cell r="E649">
            <v>1</v>
          </cell>
          <cell r="F649">
            <v>253080</v>
          </cell>
          <cell r="G649" t="str">
            <v/>
          </cell>
          <cell r="H649" t="str">
            <v/>
          </cell>
          <cell r="I649" t="str">
            <v/>
          </cell>
          <cell r="J649">
            <v>253080</v>
          </cell>
          <cell r="K649" t="str">
            <v/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</row>
        <row r="650">
          <cell r="B650">
            <v>253091</v>
          </cell>
          <cell r="C650" t="str">
            <v>Roll Fwd Sched</v>
          </cell>
          <cell r="D650" t="str">
            <v>OTH DEF CREDITS-DERIVATIVE LIABILITES</v>
          </cell>
          <cell r="E650">
            <v>2</v>
          </cell>
          <cell r="F650">
            <v>253091</v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/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</row>
        <row r="651">
          <cell r="B651">
            <v>253140</v>
          </cell>
          <cell r="C651" t="str">
            <v>Roll Fwd Sched</v>
          </cell>
          <cell r="D651" t="str">
            <v>DEF CREDITS - UNIDENTIFIED CASH RECEIPTS</v>
          </cell>
          <cell r="E651">
            <v>1</v>
          </cell>
          <cell r="F651">
            <v>253140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/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</row>
        <row r="652">
          <cell r="B652">
            <v>253150</v>
          </cell>
          <cell r="C652" t="str">
            <v>Roll Fwd Sched</v>
          </cell>
          <cell r="D652" t="str">
            <v>DEF CREDITS - MISC CASHIERS REFUNDS</v>
          </cell>
          <cell r="E652">
            <v>1</v>
          </cell>
          <cell r="F652">
            <v>253150</v>
          </cell>
          <cell r="G652" t="str">
            <v/>
          </cell>
          <cell r="H652" t="str">
            <v/>
          </cell>
          <cell r="I652">
            <v>253150</v>
          </cell>
          <cell r="J652" t="str">
            <v/>
          </cell>
          <cell r="K652" t="str">
            <v/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</row>
        <row r="653">
          <cell r="B653">
            <v>253160</v>
          </cell>
          <cell r="C653" t="str">
            <v>Roll Fwd Sched</v>
          </cell>
          <cell r="D653" t="str">
            <v>DEF CREDITS-PROV-STEAM SERVICE TERMINATION</v>
          </cell>
          <cell r="E653">
            <v>1</v>
          </cell>
          <cell r="F653">
            <v>253160</v>
          </cell>
          <cell r="G653" t="str">
            <v/>
          </cell>
          <cell r="H653" t="str">
            <v/>
          </cell>
          <cell r="I653" t="str">
            <v/>
          </cell>
          <cell r="J653">
            <v>253160</v>
          </cell>
          <cell r="K653" t="str">
            <v/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</row>
        <row r="654">
          <cell r="B654">
            <v>253230</v>
          </cell>
          <cell r="C654" t="str">
            <v>Roll Fwd Sched</v>
          </cell>
          <cell r="D654" t="str">
            <v>OTHER DEFERRED CREDITS - PENSION LIABILITY</v>
          </cell>
          <cell r="E654">
            <v>2</v>
          </cell>
          <cell r="F654">
            <v>253230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/>
          </cell>
          <cell r="L654">
            <v>-81.826999999999998</v>
          </cell>
          <cell r="M654">
            <v>-81.826999999999998</v>
          </cell>
          <cell r="N654">
            <v>-81.826999999999998</v>
          </cell>
          <cell r="O654">
            <v>-81.826999999999998</v>
          </cell>
          <cell r="P654">
            <v>-81.826999999999998</v>
          </cell>
          <cell r="Q654">
            <v>-81.826999999999998</v>
          </cell>
          <cell r="R654">
            <v>-81.826999999999998</v>
          </cell>
          <cell r="S654">
            <v>-81.826999999999998</v>
          </cell>
          <cell r="T654">
            <v>-81.826999999999998</v>
          </cell>
          <cell r="U654">
            <v>-81.826999999999998</v>
          </cell>
          <cell r="V654">
            <v>-81.826999999999998</v>
          </cell>
          <cell r="W654">
            <v>-81.826999999999998</v>
          </cell>
          <cell r="X654">
            <v>0</v>
          </cell>
          <cell r="Y654">
            <v>-78.417541999999997</v>
          </cell>
        </row>
        <row r="655">
          <cell r="B655">
            <v>253290</v>
          </cell>
          <cell r="C655" t="str">
            <v>Roll Fwd Sched</v>
          </cell>
          <cell r="D655" t="str">
            <v>DEF CREDITS - GINNA OUTAGE ACCRUAL</v>
          </cell>
          <cell r="E655" t="str">
            <v/>
          </cell>
          <cell r="F655">
            <v>253290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/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</row>
        <row r="656">
          <cell r="B656">
            <v>253300</v>
          </cell>
          <cell r="C656" t="str">
            <v>Roll Fwd Sched</v>
          </cell>
          <cell r="D656" t="str">
            <v>DEF CREDITS - MONROE CTY CONDUIT OCCUPANCY LIC</v>
          </cell>
          <cell r="E656">
            <v>1</v>
          </cell>
          <cell r="F656">
            <v>253300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/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</row>
        <row r="657">
          <cell r="B657">
            <v>253340</v>
          </cell>
          <cell r="C657" t="str">
            <v>Roll Fwd Sched</v>
          </cell>
          <cell r="D657" t="str">
            <v>OTHER DEFERRED CREDITS - SERP/SRBP</v>
          </cell>
          <cell r="E657">
            <v>3</v>
          </cell>
          <cell r="F657">
            <v>253340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>
            <v>-14126.69796</v>
          </cell>
          <cell r="M657">
            <v>-14189.520619999999</v>
          </cell>
          <cell r="N657">
            <v>-14252.343279999999</v>
          </cell>
          <cell r="O657">
            <v>-13960.38557</v>
          </cell>
          <cell r="P657">
            <v>-14023.20823</v>
          </cell>
          <cell r="Q657">
            <v>-14052.034669999999</v>
          </cell>
          <cell r="R657">
            <v>-13752.738240000001</v>
          </cell>
          <cell r="S657">
            <v>-13808.76166</v>
          </cell>
          <cell r="T657">
            <v>-13864.78508</v>
          </cell>
          <cell r="U657">
            <v>-13576.47127</v>
          </cell>
          <cell r="V657">
            <v>-13632.49469</v>
          </cell>
          <cell r="W657">
            <v>-13688.518110000001</v>
          </cell>
          <cell r="X657">
            <v>-13939.14248</v>
          </cell>
          <cell r="Y657">
            <v>-13902.848470000001</v>
          </cell>
        </row>
        <row r="658">
          <cell r="B658">
            <v>253341</v>
          </cell>
          <cell r="C658" t="str">
            <v>Roll Fwd Sched</v>
          </cell>
          <cell r="D658" t="str">
            <v>OTH DEF CREDITS-DEFERRED COMPENSATION</v>
          </cell>
          <cell r="E658">
            <v>1</v>
          </cell>
          <cell r="F658">
            <v>253341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>
            <v>-654.57667000000004</v>
          </cell>
          <cell r="M658">
            <v>-655.73837000000003</v>
          </cell>
          <cell r="N658">
            <v>-593.64954999999998</v>
          </cell>
          <cell r="O658">
            <v>-669.54327999999998</v>
          </cell>
          <cell r="P658">
            <v>-671.29547000000002</v>
          </cell>
          <cell r="Q658">
            <v>-672.50851</v>
          </cell>
          <cell r="R658">
            <v>-678.71966999999995</v>
          </cell>
          <cell r="S658">
            <v>-679.93271000000004</v>
          </cell>
          <cell r="T658">
            <v>-680.53922999999998</v>
          </cell>
          <cell r="U658">
            <v>-612.93208000000004</v>
          </cell>
          <cell r="V658">
            <v>-612.93208000000004</v>
          </cell>
          <cell r="W658">
            <v>-612.93208000000004</v>
          </cell>
          <cell r="X658">
            <v>-652.3347</v>
          </cell>
          <cell r="Y658">
            <v>-649.51489300000003</v>
          </cell>
        </row>
        <row r="659">
          <cell r="B659">
            <v>253355</v>
          </cell>
          <cell r="C659" t="str">
            <v>Roll Fwd Sched</v>
          </cell>
          <cell r="D659" t="str">
            <v>OTH DEF CREDITS-RATE CASE ISSUES</v>
          </cell>
          <cell r="E659">
            <v>1</v>
          </cell>
          <cell r="F659">
            <v>253355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>
            <v>253520</v>
          </cell>
          <cell r="C660" t="str">
            <v>Roll Fwd Sched</v>
          </cell>
          <cell r="D660" t="str">
            <v>DEF CREDITS - FERC 636 TRANSITION COSTS</v>
          </cell>
          <cell r="E660">
            <v>2</v>
          </cell>
          <cell r="F660">
            <v>253520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</row>
        <row r="661">
          <cell r="B661">
            <v>253560</v>
          </cell>
          <cell r="C661" t="str">
            <v>Roll Fwd Sched</v>
          </cell>
          <cell r="D661" t="str">
            <v>DEF CREDITS - FAS 112 POSTEMPL BEN LIAB</v>
          </cell>
          <cell r="E661">
            <v>2</v>
          </cell>
          <cell r="F661">
            <v>253560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>
            <v>-3375.1013200000002</v>
          </cell>
          <cell r="M661">
            <v>-3375.1013200000002</v>
          </cell>
          <cell r="N661">
            <v>-3375.1013200000002</v>
          </cell>
          <cell r="O661">
            <v>-3375.1013200000002</v>
          </cell>
          <cell r="P661">
            <v>-3375.1013200000002</v>
          </cell>
          <cell r="Q661">
            <v>-3375.1013200000002</v>
          </cell>
          <cell r="R661">
            <v>-3375.1013200000002</v>
          </cell>
          <cell r="S661">
            <v>-3375.1013200000002</v>
          </cell>
          <cell r="T661">
            <v>-3625.74685</v>
          </cell>
          <cell r="U661">
            <v>-3687.24379</v>
          </cell>
          <cell r="V661">
            <v>-3706.9611300000001</v>
          </cell>
          <cell r="W661">
            <v>-3746.5672300000001</v>
          </cell>
          <cell r="X661">
            <v>-2915.7299499999999</v>
          </cell>
          <cell r="Y661">
            <v>-3461.470323</v>
          </cell>
        </row>
        <row r="662">
          <cell r="B662">
            <v>253561</v>
          </cell>
          <cell r="C662" t="str">
            <v>Roll Fwd Sched</v>
          </cell>
          <cell r="D662" t="str">
            <v>DEF CREDITS - FAS 112 POSTEMPL BEN LIAB</v>
          </cell>
          <cell r="E662">
            <v>0</v>
          </cell>
        </row>
        <row r="663">
          <cell r="B663">
            <v>253660</v>
          </cell>
          <cell r="C663" t="str">
            <v>Roll Fwd Sched</v>
          </cell>
          <cell r="D663" t="str">
            <v>DEF CREDITS - NM2 TRANSMISSION CONGESTION CONTRAC</v>
          </cell>
          <cell r="E663">
            <v>1</v>
          </cell>
          <cell r="F663">
            <v>253660</v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/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</row>
        <row r="664">
          <cell r="B664">
            <v>253720</v>
          </cell>
          <cell r="C664" t="str">
            <v>Roll Fwd Sched</v>
          </cell>
          <cell r="D664" t="str">
            <v>DEF CREDITS - SERP/SRBP - RABBI TRUST</v>
          </cell>
          <cell r="E664">
            <v>1</v>
          </cell>
          <cell r="F664">
            <v>253720</v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/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</row>
        <row r="665">
          <cell r="B665">
            <v>253800</v>
          </cell>
          <cell r="C665" t="str">
            <v>Roll Fwd Sched</v>
          </cell>
          <cell r="D665" t="str">
            <v>OTHER DEFERRED CREDITS - IEE STOCK OPTION</v>
          </cell>
          <cell r="E665">
            <v>3</v>
          </cell>
          <cell r="F665">
            <v>253800</v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</row>
        <row r="666">
          <cell r="B666">
            <v>253910</v>
          </cell>
          <cell r="C666" t="str">
            <v>Roll Fwd Sched</v>
          </cell>
          <cell r="D666" t="str">
            <v>OTHER DEF CREDITS-PRE CAP ASSET INSTALLATION-ELEC</v>
          </cell>
          <cell r="E666">
            <v>1</v>
          </cell>
          <cell r="F666">
            <v>253910</v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/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</row>
        <row r="667">
          <cell r="B667">
            <v>253930</v>
          </cell>
          <cell r="C667" t="str">
            <v>Roll Fwd Sched</v>
          </cell>
          <cell r="D667" t="str">
            <v>OTHER DEF CREDITS-PRE CAP ASSET INSTALLATION-GAS</v>
          </cell>
          <cell r="E667">
            <v>1</v>
          </cell>
          <cell r="F667">
            <v>253930</v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/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</row>
        <row r="668">
          <cell r="B668">
            <v>254010</v>
          </cell>
          <cell r="C668" t="str">
            <v>Roll Fwd Sched</v>
          </cell>
          <cell r="D668" t="str">
            <v>OTH REG LIAB - OTHER</v>
          </cell>
          <cell r="E668">
            <v>72</v>
          </cell>
          <cell r="F668">
            <v>254010</v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/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B669">
            <v>254012</v>
          </cell>
          <cell r="C669" t="str">
            <v>Roll Fwd Sched</v>
          </cell>
          <cell r="D669" t="str">
            <v>OTH REG LIAB - EXCESS EARNINGS (ESM)</v>
          </cell>
          <cell r="E669">
            <v>13</v>
          </cell>
          <cell r="F669">
            <v>254012</v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/>
          </cell>
          <cell r="L669">
            <v>0</v>
          </cell>
          <cell r="M669">
            <v>0</v>
          </cell>
          <cell r="N669">
            <v>0</v>
          </cell>
          <cell r="O669">
            <v>-2650</v>
          </cell>
          <cell r="P669">
            <v>-2650</v>
          </cell>
          <cell r="Q669">
            <v>-2650</v>
          </cell>
          <cell r="R669">
            <v>-2650</v>
          </cell>
          <cell r="S669">
            <v>-3620</v>
          </cell>
          <cell r="T669">
            <v>-3620</v>
          </cell>
          <cell r="U669">
            <v>-3620</v>
          </cell>
          <cell r="V669">
            <v>-7620</v>
          </cell>
          <cell r="W669">
            <v>-7620</v>
          </cell>
          <cell r="X669">
            <v>-8241</v>
          </cell>
          <cell r="Y669">
            <v>-3401.708333</v>
          </cell>
        </row>
        <row r="670">
          <cell r="B670">
            <v>254013</v>
          </cell>
          <cell r="C670" t="str">
            <v>Roll Fwd Sched</v>
          </cell>
          <cell r="D670" t="str">
            <v>OTH REG LIAB -OTHER POST EMPLOYMENT BENEFIT (OPEB</v>
          </cell>
          <cell r="E670">
            <v>1</v>
          </cell>
          <cell r="F670">
            <v>254013</v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/>
          </cell>
          <cell r="L670">
            <v>-634.11923999999999</v>
          </cell>
          <cell r="M670">
            <v>-738.86923999999999</v>
          </cell>
          <cell r="N670">
            <v>-843.61923999999999</v>
          </cell>
          <cell r="O670">
            <v>-948.36923999999999</v>
          </cell>
          <cell r="P670">
            <v>-1053.11924</v>
          </cell>
          <cell r="Q670">
            <v>-1057.91299</v>
          </cell>
          <cell r="R670">
            <v>-1142.67174</v>
          </cell>
          <cell r="S670">
            <v>-1227.43049</v>
          </cell>
          <cell r="T670">
            <v>-1312.1892399999999</v>
          </cell>
          <cell r="U670">
            <v>-1396.9479899999999</v>
          </cell>
          <cell r="V670">
            <v>-1481.7067400000001</v>
          </cell>
          <cell r="W670">
            <v>-1566.46549</v>
          </cell>
          <cell r="X670">
            <v>-1755.80224</v>
          </cell>
          <cell r="Y670">
            <v>-1163.6885319999999</v>
          </cell>
        </row>
        <row r="671">
          <cell r="B671">
            <v>254015</v>
          </cell>
          <cell r="C671" t="str">
            <v>Roll Fwd Sched</v>
          </cell>
          <cell r="D671" t="str">
            <v>OTH REG LIAB - PGA ITEMS - OTHER - GAS</v>
          </cell>
          <cell r="E671">
            <v>2</v>
          </cell>
          <cell r="F671">
            <v>254015</v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/>
          </cell>
          <cell r="L671">
            <v>-2788.5101500000001</v>
          </cell>
          <cell r="M671">
            <v>-5311.6076899999998</v>
          </cell>
          <cell r="N671">
            <v>-7882.7742399999997</v>
          </cell>
          <cell r="O671">
            <v>-8321.9299300000002</v>
          </cell>
          <cell r="P671">
            <v>-8143.4670400000005</v>
          </cell>
          <cell r="Q671">
            <v>-7755.7340100000001</v>
          </cell>
          <cell r="R671">
            <v>-5464.3128200000001</v>
          </cell>
          <cell r="S671">
            <v>-3193.87021</v>
          </cell>
          <cell r="T671">
            <v>-2230.7987800000001</v>
          </cell>
          <cell r="U671">
            <v>-923.80093999999997</v>
          </cell>
          <cell r="V671">
            <v>-849.73018000000002</v>
          </cell>
          <cell r="W671">
            <v>-729.26755000000003</v>
          </cell>
          <cell r="X671">
            <v>-660.83948999999996</v>
          </cell>
          <cell r="Y671">
            <v>-4377.6640180000004</v>
          </cell>
        </row>
        <row r="672">
          <cell r="B672">
            <v>254016</v>
          </cell>
          <cell r="C672" t="str">
            <v>Roll Fwd Sched</v>
          </cell>
          <cell r="D672" t="str">
            <v>OTH REG LIAB - MISC - ELECTRIC</v>
          </cell>
          <cell r="E672">
            <v>34</v>
          </cell>
          <cell r="F672">
            <v>254016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>
            <v>-33398.959450000002</v>
          </cell>
          <cell r="M672">
            <v>-39286.090210000002</v>
          </cell>
          <cell r="N672">
            <v>-33854.839200000002</v>
          </cell>
          <cell r="O672">
            <v>-28649.871050000002</v>
          </cell>
          <cell r="P672">
            <v>-29530.735680000002</v>
          </cell>
          <cell r="Q672">
            <v>-29491.973170000001</v>
          </cell>
          <cell r="R672">
            <v>-28732.31623</v>
          </cell>
          <cell r="S672">
            <v>-28973.635160000002</v>
          </cell>
          <cell r="T672">
            <v>-27793.94442</v>
          </cell>
          <cell r="U672">
            <v>-28986.964309999999</v>
          </cell>
          <cell r="V672">
            <v>-29340.41995</v>
          </cell>
          <cell r="W672">
            <v>-44911.653100000003</v>
          </cell>
          <cell r="X672">
            <v>-41290.009910000001</v>
          </cell>
          <cell r="Y672">
            <v>-32241.410596999998</v>
          </cell>
        </row>
        <row r="673">
          <cell r="B673">
            <v>254017</v>
          </cell>
          <cell r="C673" t="str">
            <v>Roll Fwd Sched</v>
          </cell>
          <cell r="D673" t="str">
            <v>OTH REG LIAB - MISC - GAS</v>
          </cell>
          <cell r="E673">
            <v>51</v>
          </cell>
          <cell r="F673">
            <v>254017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>
            <v>-11856.25952</v>
          </cell>
          <cell r="M673">
            <v>-12843.620699999999</v>
          </cell>
          <cell r="N673">
            <v>-13877.013849999999</v>
          </cell>
          <cell r="O673">
            <v>-14430.95212</v>
          </cell>
          <cell r="P673">
            <v>-14607.3842</v>
          </cell>
          <cell r="Q673">
            <v>-15068.340410000001</v>
          </cell>
          <cell r="R673">
            <v>-14724.910879999999</v>
          </cell>
          <cell r="S673">
            <v>-14360.18168</v>
          </cell>
          <cell r="T673">
            <v>-12725.798419999999</v>
          </cell>
          <cell r="U673">
            <v>-12380.042659999999</v>
          </cell>
          <cell r="V673">
            <v>-12475.543390000001</v>
          </cell>
          <cell r="W673">
            <v>-12045.426530000001</v>
          </cell>
          <cell r="X673">
            <v>-12524.91425</v>
          </cell>
          <cell r="Y673">
            <v>-13477.483477</v>
          </cell>
        </row>
        <row r="674">
          <cell r="B674">
            <v>254020</v>
          </cell>
          <cell r="C674" t="str">
            <v>Roll Fwd Sched</v>
          </cell>
          <cell r="D674" t="str">
            <v>OTH REG LIAB - REG TAX LIAB-OTHER</v>
          </cell>
          <cell r="E674">
            <v>2</v>
          </cell>
          <cell r="F674">
            <v>254020</v>
          </cell>
          <cell r="G674" t="str">
            <v/>
          </cell>
          <cell r="H674">
            <v>254020</v>
          </cell>
          <cell r="I674" t="str">
            <v/>
          </cell>
          <cell r="J674" t="str">
            <v/>
          </cell>
          <cell r="K674" t="str">
            <v/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</row>
        <row r="675">
          <cell r="B675">
            <v>254025</v>
          </cell>
          <cell r="C675" t="str">
            <v>Roll Fwd Sched</v>
          </cell>
          <cell r="D675" t="str">
            <v>OTH REG LIAB - ECONOMIC DEVELOPMENT - ELECTRIC</v>
          </cell>
          <cell r="E675">
            <v>5</v>
          </cell>
          <cell r="F675">
            <v>254025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>
            <v>-17718.06554</v>
          </cell>
          <cell r="M675">
            <v>-17645.499739999999</v>
          </cell>
          <cell r="N675">
            <v>-17622.017820000001</v>
          </cell>
          <cell r="O675">
            <v>-17576.341840000001</v>
          </cell>
          <cell r="P675">
            <v>-18368.44514</v>
          </cell>
          <cell r="Q675">
            <v>-18129.94283</v>
          </cell>
          <cell r="R675">
            <v>-18113.211869999999</v>
          </cell>
          <cell r="S675">
            <v>-18189.194920000002</v>
          </cell>
          <cell r="T675">
            <v>-17829.459169999998</v>
          </cell>
          <cell r="U675">
            <v>-17708.838070000002</v>
          </cell>
          <cell r="V675">
            <v>-17780.800190000002</v>
          </cell>
          <cell r="W675">
            <v>-17687.0713</v>
          </cell>
          <cell r="X675">
            <v>-16088.90713</v>
          </cell>
          <cell r="Y675">
            <v>-17796.192435000001</v>
          </cell>
        </row>
        <row r="676">
          <cell r="B676">
            <v>254026</v>
          </cell>
          <cell r="C676" t="str">
            <v>Roll Fwd Sched</v>
          </cell>
          <cell r="D676" t="str">
            <v>OTH REG LIAB - ECONOMIC DEVELOPMENT-GAS</v>
          </cell>
          <cell r="E676">
            <v>1</v>
          </cell>
          <cell r="F676">
            <v>254026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>
            <v>-28.860019999999999</v>
          </cell>
          <cell r="M676">
            <v>-18.109349999999999</v>
          </cell>
          <cell r="N676">
            <v>-16.221820000000001</v>
          </cell>
          <cell r="O676">
            <v>-22.208590000000001</v>
          </cell>
          <cell r="P676">
            <v>-110.01531</v>
          </cell>
          <cell r="Q676">
            <v>-127.16792</v>
          </cell>
          <cell r="R676">
            <v>-135.50291999999999</v>
          </cell>
          <cell r="S676">
            <v>-154.0067</v>
          </cell>
          <cell r="T676">
            <v>-171.87370000000001</v>
          </cell>
          <cell r="U676">
            <v>-190.55548999999999</v>
          </cell>
          <cell r="V676">
            <v>-208.99393000000001</v>
          </cell>
          <cell r="W676">
            <v>-226.90769</v>
          </cell>
          <cell r="X676">
            <v>-244.00540000000001</v>
          </cell>
          <cell r="Y676">
            <v>-126.499678</v>
          </cell>
        </row>
        <row r="677">
          <cell r="B677">
            <v>254030</v>
          </cell>
          <cell r="C677" t="str">
            <v>Roll Fwd Sched</v>
          </cell>
          <cell r="D677" t="str">
            <v>OTH REG LIAB - REG TAX LIABILITIES - DEPRECIATION</v>
          </cell>
          <cell r="E677">
            <v>2</v>
          </cell>
          <cell r="F677">
            <v>254030</v>
          </cell>
          <cell r="G677" t="str">
            <v/>
          </cell>
          <cell r="H677">
            <v>254030</v>
          </cell>
          <cell r="I677" t="str">
            <v/>
          </cell>
          <cell r="J677" t="str">
            <v/>
          </cell>
          <cell r="K677" t="str">
            <v/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</row>
        <row r="678">
          <cell r="B678">
            <v>254040</v>
          </cell>
          <cell r="C678" t="str">
            <v>Roll Fwd Sched</v>
          </cell>
          <cell r="D678" t="str">
            <v>OTH REG LIAB - ACCUM DEFERRED INC TAX - FIXED ASS</v>
          </cell>
          <cell r="E678">
            <v>2</v>
          </cell>
          <cell r="F678">
            <v>254040</v>
          </cell>
          <cell r="G678" t="str">
            <v/>
          </cell>
          <cell r="H678">
            <v>254040</v>
          </cell>
          <cell r="I678" t="str">
            <v/>
          </cell>
          <cell r="J678" t="str">
            <v/>
          </cell>
          <cell r="K678" t="str">
            <v/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B679">
            <v>254050</v>
          </cell>
          <cell r="C679" t="str">
            <v>Roll Fwd Sched</v>
          </cell>
          <cell r="D679" t="str">
            <v>OTH REG LIAB - ACCUM DEFERRED INC TAX-FEDERAL</v>
          </cell>
          <cell r="E679">
            <v>2</v>
          </cell>
          <cell r="F679">
            <v>254050</v>
          </cell>
          <cell r="G679" t="str">
            <v/>
          </cell>
          <cell r="H679">
            <v>254050</v>
          </cell>
          <cell r="I679" t="str">
            <v/>
          </cell>
          <cell r="J679" t="str">
            <v/>
          </cell>
          <cell r="K679" t="str">
            <v/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</row>
        <row r="680">
          <cell r="B680">
            <v>254070</v>
          </cell>
          <cell r="C680" t="str">
            <v>Roll Fwd Sched</v>
          </cell>
          <cell r="D680" t="str">
            <v>OTH REG LIAB- NYS INCOME TAX/GRT DIFFERENCES</v>
          </cell>
          <cell r="E680">
            <v>4</v>
          </cell>
          <cell r="F680">
            <v>254070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</row>
        <row r="681">
          <cell r="B681">
            <v>254080</v>
          </cell>
          <cell r="C681" t="str">
            <v>Roll Fwd Sched</v>
          </cell>
          <cell r="D681" t="str">
            <v>OTH REG LIAB - COB2 EARNINGS REQUIREMENT</v>
          </cell>
          <cell r="E681" t="str">
            <v/>
          </cell>
          <cell r="F681">
            <v>254080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</row>
        <row r="682">
          <cell r="B682">
            <v>254085</v>
          </cell>
          <cell r="C682" t="str">
            <v>Roll Fwd Sched</v>
          </cell>
          <cell r="D682" t="str">
            <v>OTH REG LIAB - GAS HEDGES (GAINS)</v>
          </cell>
          <cell r="E682">
            <v>1</v>
          </cell>
          <cell r="F682">
            <v>254085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</row>
        <row r="683">
          <cell r="B683">
            <v>254090</v>
          </cell>
          <cell r="C683" t="str">
            <v>Roll Fwd Sched</v>
          </cell>
          <cell r="D683" t="str">
            <v>OTH REG LIAB - FAS 109 NYS TRANS ADJUSTMENT</v>
          </cell>
          <cell r="E683">
            <v>2</v>
          </cell>
          <cell r="F683">
            <v>254090</v>
          </cell>
          <cell r="G683" t="str">
            <v/>
          </cell>
          <cell r="H683">
            <v>254090</v>
          </cell>
          <cell r="I683" t="str">
            <v/>
          </cell>
          <cell r="J683" t="str">
            <v/>
          </cell>
          <cell r="K683" t="str">
            <v/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</row>
        <row r="684">
          <cell r="B684">
            <v>254110</v>
          </cell>
          <cell r="C684" t="str">
            <v>Roll Fwd Sched</v>
          </cell>
          <cell r="D684" t="str">
            <v>OTH REG LIAB - SYSTEMS BENEFITS CHARGES</v>
          </cell>
          <cell r="E684" t="str">
            <v/>
          </cell>
          <cell r="F684">
            <v>254110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</row>
        <row r="685">
          <cell r="B685">
            <v>254115</v>
          </cell>
          <cell r="C685" t="str">
            <v>Roll Fwd Sched</v>
          </cell>
          <cell r="D685" t="str">
            <v>OTH REG LIAB - PURCHASE OF RECEIVABLES-ELECTRIC</v>
          </cell>
          <cell r="E685">
            <v>1</v>
          </cell>
          <cell r="F685">
            <v>254115</v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/>
          </cell>
          <cell r="L685">
            <v>-103.73799</v>
          </cell>
          <cell r="M685">
            <v>-120.96965</v>
          </cell>
          <cell r="N685">
            <v>-121.30112</v>
          </cell>
          <cell r="O685">
            <v>-2.7720699999999998</v>
          </cell>
          <cell r="P685">
            <v>13.166130000000001</v>
          </cell>
          <cell r="Q685">
            <v>23.4816</v>
          </cell>
          <cell r="R685">
            <v>85.964420000000004</v>
          </cell>
          <cell r="S685">
            <v>3.8681999999999999</v>
          </cell>
          <cell r="T685">
            <v>-22.723299999999998</v>
          </cell>
          <cell r="U685">
            <v>-58.550840000000001</v>
          </cell>
          <cell r="V685">
            <v>-40.368189999999998</v>
          </cell>
          <cell r="W685">
            <v>-13.75877</v>
          </cell>
          <cell r="X685">
            <v>0.30839</v>
          </cell>
          <cell r="Y685">
            <v>-25.473199000000001</v>
          </cell>
        </row>
        <row r="686">
          <cell r="B686">
            <v>254116</v>
          </cell>
          <cell r="C686" t="str">
            <v>Roll Fwd Sched</v>
          </cell>
          <cell r="D686" t="str">
            <v>OTH REG LIAB - PURCHASE OF RECEIVABLES-GAS</v>
          </cell>
          <cell r="E686">
            <v>3</v>
          </cell>
          <cell r="F686">
            <v>254116</v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/>
          </cell>
          <cell r="L686">
            <v>-1917.3010899999999</v>
          </cell>
          <cell r="M686">
            <v>-1914.0950399999999</v>
          </cell>
          <cell r="N686">
            <v>-1907.21424</v>
          </cell>
          <cell r="O686">
            <v>-1891.9540500000001</v>
          </cell>
          <cell r="P686">
            <v>-1831.8877</v>
          </cell>
          <cell r="Q686">
            <v>-1740.11382</v>
          </cell>
          <cell r="R686">
            <v>-1599.5200400000001</v>
          </cell>
          <cell r="S686">
            <v>-1486.4835700000001</v>
          </cell>
          <cell r="T686">
            <v>-1348.39021</v>
          </cell>
          <cell r="U686">
            <v>-1213.86913</v>
          </cell>
          <cell r="V686">
            <v>-1078.9318000000001</v>
          </cell>
          <cell r="W686">
            <v>-964.64648999999997</v>
          </cell>
          <cell r="X686">
            <v>-881.37855999999999</v>
          </cell>
          <cell r="Y686">
            <v>-1531.3704929999999</v>
          </cell>
        </row>
        <row r="687">
          <cell r="B687">
            <v>254150</v>
          </cell>
          <cell r="C687" t="str">
            <v>NOT USED</v>
          </cell>
          <cell r="D687" t="str">
            <v>OTH REG LIAB - COST TO ACHIEVE/COST SAVINGS</v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/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B688">
            <v>254171</v>
          </cell>
          <cell r="C688" t="str">
            <v>Roll Fwd Sched</v>
          </cell>
          <cell r="D688" t="str">
            <v>OTHER REGULATORY LIAB-STORM COSTS RESERVE</v>
          </cell>
          <cell r="E688">
            <v>1</v>
          </cell>
          <cell r="F688">
            <v>254171</v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/>
          </cell>
          <cell r="L688">
            <v>-2128.0041099999999</v>
          </cell>
          <cell r="M688">
            <v>-2320.7417099999998</v>
          </cell>
          <cell r="N688">
            <v>-2544.47363</v>
          </cell>
          <cell r="O688">
            <v>-2769.4888700000001</v>
          </cell>
          <cell r="P688">
            <v>-2958.7883499999998</v>
          </cell>
          <cell r="Q688">
            <v>-3186.1516099999999</v>
          </cell>
          <cell r="R688">
            <v>-3414.8033999999998</v>
          </cell>
          <cell r="S688">
            <v>-3644.7510200000002</v>
          </cell>
          <cell r="T688">
            <v>-3876.0018100000002</v>
          </cell>
          <cell r="U688">
            <v>-4108.5631599999997</v>
          </cell>
          <cell r="V688">
            <v>-4342.4424900000004</v>
          </cell>
          <cell r="W688">
            <v>-4577.6472700000004</v>
          </cell>
          <cell r="X688">
            <v>-4814.1850199999999</v>
          </cell>
          <cell r="Y688">
            <v>-3434.57899</v>
          </cell>
        </row>
        <row r="689">
          <cell r="B689">
            <v>254203</v>
          </cell>
          <cell r="C689" t="str">
            <v>Roll Fwd Sched</v>
          </cell>
          <cell r="D689" t="str">
            <v>OTH REG LIAB - PENSION - FAS158</v>
          </cell>
          <cell r="E689">
            <v>1</v>
          </cell>
          <cell r="F689">
            <v>254203</v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/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</row>
        <row r="690">
          <cell r="B690">
            <v>254210</v>
          </cell>
          <cell r="C690" t="str">
            <v>Roll Fwd Sched</v>
          </cell>
          <cell r="D690" t="str">
            <v>OTH REGULATORY LIAB-DEF UNBILLED REVENUE</v>
          </cell>
          <cell r="E690">
            <v>1</v>
          </cell>
          <cell r="F690">
            <v>254210</v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/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B691">
            <v>254220</v>
          </cell>
          <cell r="C691" t="str">
            <v>Roll Fwd Sched</v>
          </cell>
          <cell r="D691" t="str">
            <v>OTH REGULATORY LIAB-UNFUNDED FUTURE INC TAXES</v>
          </cell>
          <cell r="E691" t="str">
            <v/>
          </cell>
          <cell r="F691">
            <v>254220</v>
          </cell>
          <cell r="G691" t="str">
            <v/>
          </cell>
          <cell r="H691">
            <v>254220</v>
          </cell>
          <cell r="I691" t="str">
            <v/>
          </cell>
          <cell r="J691" t="str">
            <v/>
          </cell>
          <cell r="K691" t="str">
            <v/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B692">
            <v>254230</v>
          </cell>
          <cell r="C692" t="str">
            <v>Roll Fwd Sched</v>
          </cell>
          <cell r="D692" t="str">
            <v>OTH REGULATORY LIAB-EXCESS DEF INC TAXES</v>
          </cell>
          <cell r="E692" t="str">
            <v/>
          </cell>
          <cell r="F692">
            <v>254230</v>
          </cell>
          <cell r="G692" t="str">
            <v/>
          </cell>
          <cell r="H692">
            <v>254230</v>
          </cell>
          <cell r="I692" t="str">
            <v/>
          </cell>
          <cell r="J692" t="str">
            <v/>
          </cell>
          <cell r="K692" t="str">
            <v/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B693">
            <v>254266</v>
          </cell>
          <cell r="C693" t="str">
            <v>Roll Fwd Sched</v>
          </cell>
          <cell r="D693" t="str">
            <v>OTH REGULATORY LIAB-DSO ELECTRIC HEDGES (GAINS)</v>
          </cell>
          <cell r="E693">
            <v>2</v>
          </cell>
          <cell r="F693">
            <v>254266</v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/>
          </cell>
          <cell r="N693">
            <v>-1.3260000000000001</v>
          </cell>
          <cell r="O693">
            <v>-13.5</v>
          </cell>
          <cell r="P693">
            <v>-33.78</v>
          </cell>
          <cell r="Q693">
            <v>0</v>
          </cell>
          <cell r="R693">
            <v>0</v>
          </cell>
          <cell r="S693">
            <v>-43.552</v>
          </cell>
          <cell r="T693">
            <v>-106.348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-16.542166999999999</v>
          </cell>
        </row>
        <row r="694">
          <cell r="B694">
            <v>254270</v>
          </cell>
          <cell r="C694" t="str">
            <v>Roll Fwd Sched</v>
          </cell>
          <cell r="D694" t="str">
            <v>OTH REGULATORY LIAB-SALE OF GENERATION ASSETS GAI</v>
          </cell>
          <cell r="E694">
            <v>69</v>
          </cell>
          <cell r="F694">
            <v>254270</v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/>
          </cell>
          <cell r="L694">
            <v>-8202.8460599999999</v>
          </cell>
          <cell r="M694">
            <v>-8004.7526200000002</v>
          </cell>
          <cell r="N694">
            <v>-7807.3783899999999</v>
          </cell>
          <cell r="O694">
            <v>-7735.3380399999996</v>
          </cell>
          <cell r="P694">
            <v>-7946.4655199999997</v>
          </cell>
          <cell r="Q694">
            <v>-7755.7832600000002</v>
          </cell>
          <cell r="R694">
            <v>-8371.2173899999998</v>
          </cell>
          <cell r="S694">
            <v>-8188.47253</v>
          </cell>
          <cell r="T694">
            <v>-8013.1688199999999</v>
          </cell>
          <cell r="U694">
            <v>-7977.1492900000003</v>
          </cell>
          <cell r="V694">
            <v>-7795.3178799999996</v>
          </cell>
          <cell r="W694">
            <v>-7614.2978400000002</v>
          </cell>
          <cell r="X694">
            <v>-7424.0783499999998</v>
          </cell>
          <cell r="Y694">
            <v>-7918.5669820000003</v>
          </cell>
        </row>
        <row r="695">
          <cell r="B695">
            <v>254275</v>
          </cell>
          <cell r="C695" t="str">
            <v>Roll Fwd Sched</v>
          </cell>
          <cell r="D695" t="str">
            <v>PBA-IBERDROLA MERGER ELECTRIC</v>
          </cell>
          <cell r="E695">
            <v>1</v>
          </cell>
          <cell r="F695">
            <v>254275</v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/>
          </cell>
          <cell r="L695">
            <v>-62852.993569999999</v>
          </cell>
          <cell r="M695">
            <v>-62019.660239999997</v>
          </cell>
          <cell r="N695">
            <v>-61186.326910000003</v>
          </cell>
          <cell r="O695">
            <v>-60352.993580000002</v>
          </cell>
          <cell r="P695">
            <v>-59519.660250000001</v>
          </cell>
          <cell r="Q695">
            <v>-58686.32692</v>
          </cell>
          <cell r="R695">
            <v>-57852.993589999998</v>
          </cell>
          <cell r="S695">
            <v>-57019.660259999997</v>
          </cell>
          <cell r="T695">
            <v>-56186.326930000003</v>
          </cell>
          <cell r="U695">
            <v>-55769.660259999997</v>
          </cell>
          <cell r="V695">
            <v>-55352.993589999998</v>
          </cell>
          <cell r="W695">
            <v>-54936.32692</v>
          </cell>
          <cell r="X695">
            <v>-54519.660250000001</v>
          </cell>
          <cell r="Y695">
            <v>-58130.771363</v>
          </cell>
        </row>
        <row r="696">
          <cell r="B696">
            <v>254276</v>
          </cell>
          <cell r="C696" t="str">
            <v>Roll Fwd Sched</v>
          </cell>
          <cell r="D696" t="str">
            <v>PBA-IBERDROLA MERGER GAS</v>
          </cell>
          <cell r="E696">
            <v>1</v>
          </cell>
          <cell r="F696">
            <v>254276</v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/>
          </cell>
          <cell r="L696">
            <v>-26468.32</v>
          </cell>
          <cell r="M696">
            <v>-25051.653330000001</v>
          </cell>
          <cell r="N696">
            <v>-23634.986659999999</v>
          </cell>
          <cell r="O696">
            <v>-22218.31999</v>
          </cell>
          <cell r="P696">
            <v>-20801.653320000001</v>
          </cell>
          <cell r="Q696">
            <v>-19384.986649999999</v>
          </cell>
          <cell r="R696">
            <v>-17968.31998</v>
          </cell>
          <cell r="S696">
            <v>-16551.653310000002</v>
          </cell>
          <cell r="T696">
            <v>-15134.986639999999</v>
          </cell>
          <cell r="U696">
            <v>-14272.486639999999</v>
          </cell>
          <cell r="V696">
            <v>-13409.986639999999</v>
          </cell>
          <cell r="W696">
            <v>-12547.486639999999</v>
          </cell>
          <cell r="X696">
            <v>-11684.986639999999</v>
          </cell>
          <cell r="Y696">
            <v>-18337.764426999998</v>
          </cell>
        </row>
        <row r="697">
          <cell r="B697">
            <v>254640</v>
          </cell>
          <cell r="C697" t="str">
            <v>Roll Fwd Sched</v>
          </cell>
          <cell r="D697" t="str">
            <v>OTH REGULATORY LIAB-GAS CONTRACTOR LITIGATION</v>
          </cell>
          <cell r="E697" t="str">
            <v/>
          </cell>
          <cell r="F697">
            <v>254640</v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/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B698">
            <v>254660</v>
          </cell>
          <cell r="C698" t="str">
            <v>Roll Fwd Sched</v>
          </cell>
          <cell r="D698" t="str">
            <v>OTHER REGULATORY LIABILITIES - GINNA OUTAGE COSTS</v>
          </cell>
          <cell r="E698" t="str">
            <v/>
          </cell>
          <cell r="F698">
            <v>254660</v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/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B699">
            <v>254670</v>
          </cell>
          <cell r="C699" t="str">
            <v>Roll Fwd Sched</v>
          </cell>
          <cell r="D699" t="str">
            <v>OTHER REG LIAB-ASSET RETIREMENT OBLIGATION GAS</v>
          </cell>
          <cell r="E699">
            <v>2</v>
          </cell>
          <cell r="F699">
            <v>254670</v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/>
          </cell>
          <cell r="L699">
            <v>-1418.3524</v>
          </cell>
          <cell r="M699">
            <v>-1415.66804</v>
          </cell>
          <cell r="N699">
            <v>-1412.97315</v>
          </cell>
          <cell r="O699">
            <v>-1410.2677200000001</v>
          </cell>
          <cell r="P699">
            <v>-1407.5516700000001</v>
          </cell>
          <cell r="Q699">
            <v>-1404.8249699999999</v>
          </cell>
          <cell r="R699">
            <v>-1402.0875900000001</v>
          </cell>
          <cell r="S699">
            <v>-1399.3394499999999</v>
          </cell>
          <cell r="T699">
            <v>-1396.5805399999999</v>
          </cell>
          <cell r="U699">
            <v>-1393.81078</v>
          </cell>
          <cell r="V699">
            <v>-1391.0301400000001</v>
          </cell>
          <cell r="W699">
            <v>-1388.23856</v>
          </cell>
          <cell r="X699">
            <v>-1416.4810199999999</v>
          </cell>
          <cell r="Y699">
            <v>-1403.315777</v>
          </cell>
        </row>
        <row r="700">
          <cell r="B700">
            <v>254680</v>
          </cell>
          <cell r="C700" t="str">
            <v>Roll Fwd Sched</v>
          </cell>
          <cell r="D700" t="str">
            <v>OTH REGULATORY LIAB-PASGA2</v>
          </cell>
          <cell r="E700">
            <v>1</v>
          </cell>
          <cell r="F700">
            <v>254680</v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/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B701">
            <v>254690</v>
          </cell>
          <cell r="C701" t="str">
            <v>Roll Fwd Sched</v>
          </cell>
          <cell r="D701" t="str">
            <v>OTH REGULATORY LIAB-BEE BEE DECOMMISSIONING</v>
          </cell>
          <cell r="E701">
            <v>1</v>
          </cell>
          <cell r="F701">
            <v>254690</v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/>
          </cell>
          <cell r="L701">
            <v>-12544.66618</v>
          </cell>
          <cell r="M701">
            <v>-12590.66871</v>
          </cell>
          <cell r="N701">
            <v>-12598.37732</v>
          </cell>
          <cell r="O701">
            <v>-12598.37732</v>
          </cell>
          <cell r="P701">
            <v>-12598.37732</v>
          </cell>
          <cell r="Q701">
            <v>-12598.37732</v>
          </cell>
          <cell r="R701">
            <v>-12598.37732</v>
          </cell>
          <cell r="S701">
            <v>-12598.249169999999</v>
          </cell>
          <cell r="T701">
            <v>-12597.650519999999</v>
          </cell>
          <cell r="U701">
            <v>-12597.056350000001</v>
          </cell>
          <cell r="V701">
            <v>-12594.915000000001</v>
          </cell>
          <cell r="W701">
            <v>-12558.36231</v>
          </cell>
          <cell r="X701">
            <v>-12509.961600000001</v>
          </cell>
          <cell r="Y701">
            <v>-12588.008545999999</v>
          </cell>
        </row>
        <row r="702">
          <cell r="B702">
            <v>254901</v>
          </cell>
          <cell r="C702" t="str">
            <v>Roll Fwd Sched</v>
          </cell>
          <cell r="D702" t="str">
            <v>EXCESS FEDERAL DIT NCR ITEMS-ELECTRIC</v>
          </cell>
          <cell r="E702">
            <v>2</v>
          </cell>
          <cell r="F702">
            <v>254901</v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/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B703">
            <v>254903</v>
          </cell>
          <cell r="C703" t="str">
            <v>Roll Fwd Sched</v>
          </cell>
          <cell r="D703" t="str">
            <v>EXCESS FEDERAL DIT NON NCR ITEMS-ELECTRIC</v>
          </cell>
          <cell r="E703">
            <v>3</v>
          </cell>
          <cell r="F703">
            <v>254903</v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/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B704">
            <v>254904</v>
          </cell>
          <cell r="C704" t="str">
            <v>Roll Fwd Sched</v>
          </cell>
          <cell r="D704" t="str">
            <v>EXCESS FEDERAL DIT NON NCR ITEMS-GAS</v>
          </cell>
          <cell r="E704">
            <v>3</v>
          </cell>
          <cell r="F704">
            <v>254904</v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/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B705">
            <v>254905</v>
          </cell>
          <cell r="C705" t="str">
            <v>Roll Fwd Sched</v>
          </cell>
          <cell r="D705" t="str">
            <v>EXCESS STATE DIT NCR ITEMS-ELECTRIC</v>
          </cell>
          <cell r="E705">
            <v>2</v>
          </cell>
          <cell r="F705">
            <v>254905</v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/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</row>
        <row r="706">
          <cell r="B706">
            <v>254907</v>
          </cell>
          <cell r="C706" t="str">
            <v>Roll Fwd Sched</v>
          </cell>
          <cell r="D706" t="str">
            <v>EXCESS STATE DIT NON NCR ITEMS-ELECTRIC</v>
          </cell>
          <cell r="E706">
            <v>3</v>
          </cell>
          <cell r="F706">
            <v>254907</v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/>
          </cell>
          <cell r="L706">
            <v>-608.93908999999996</v>
          </cell>
          <cell r="M706">
            <v>-592.02409999999998</v>
          </cell>
          <cell r="N706">
            <v>-575.10913000000005</v>
          </cell>
          <cell r="O706">
            <v>-558.19413999999995</v>
          </cell>
          <cell r="P706">
            <v>-541.27917000000002</v>
          </cell>
          <cell r="Q706">
            <v>-524.36419000000001</v>
          </cell>
          <cell r="R706">
            <v>-507.44920000000002</v>
          </cell>
          <cell r="S706">
            <v>-490.53422999999998</v>
          </cell>
          <cell r="T706">
            <v>-473.61925000000002</v>
          </cell>
          <cell r="U706">
            <v>-456.70427000000001</v>
          </cell>
          <cell r="V706">
            <v>-439.78928999999999</v>
          </cell>
          <cell r="W706">
            <v>-422.87432000000001</v>
          </cell>
          <cell r="X706">
            <v>-405.95933000000002</v>
          </cell>
          <cell r="Y706">
            <v>-507.449208</v>
          </cell>
        </row>
        <row r="707">
          <cell r="B707">
            <v>254908</v>
          </cell>
          <cell r="C707" t="str">
            <v>Roll Fwd Sched</v>
          </cell>
          <cell r="D707" t="str">
            <v>EXCESS STATE DIT NON NCR ITEMS-GAS</v>
          </cell>
          <cell r="E707">
            <v>4</v>
          </cell>
          <cell r="F707">
            <v>254908</v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/>
          </cell>
          <cell r="L707">
            <v>-249.26399000000001</v>
          </cell>
          <cell r="M707">
            <v>-242.33999</v>
          </cell>
          <cell r="N707">
            <v>-235.41598999999999</v>
          </cell>
          <cell r="O707">
            <v>-228.49198000000001</v>
          </cell>
          <cell r="P707">
            <v>-221.56798000000001</v>
          </cell>
          <cell r="Q707">
            <v>-214.64397</v>
          </cell>
          <cell r="R707">
            <v>-207.71996999999999</v>
          </cell>
          <cell r="S707">
            <v>-200.79596000000001</v>
          </cell>
          <cell r="T707">
            <v>-193.87196</v>
          </cell>
          <cell r="U707">
            <v>-186.94795999999999</v>
          </cell>
          <cell r="V707">
            <v>-180.02395000000001</v>
          </cell>
          <cell r="W707">
            <v>-173.09995000000001</v>
          </cell>
          <cell r="X707">
            <v>-166.17594</v>
          </cell>
          <cell r="Y707">
            <v>-207.71996899999999</v>
          </cell>
        </row>
        <row r="708">
          <cell r="B708">
            <v>254994</v>
          </cell>
          <cell r="C708" t="str">
            <v>Roll Fwd Sched</v>
          </cell>
          <cell r="D708" t="str">
            <v>RECLASS OTH REG LIAB-ASGA-ELEC (WITH ACCT 254995)</v>
          </cell>
          <cell r="E708">
            <v>1</v>
          </cell>
          <cell r="F708">
            <v>254994</v>
          </cell>
          <cell r="G708" t="str">
            <v/>
          </cell>
          <cell r="H708">
            <v>254994</v>
          </cell>
          <cell r="I708" t="str">
            <v/>
          </cell>
          <cell r="J708" t="str">
            <v/>
          </cell>
          <cell r="K708" t="str">
            <v/>
          </cell>
          <cell r="L708">
            <v>3.79E-3</v>
          </cell>
          <cell r="M708">
            <v>3.79E-3</v>
          </cell>
          <cell r="N708">
            <v>3.79E-3</v>
          </cell>
          <cell r="O708">
            <v>3.79E-3</v>
          </cell>
          <cell r="P708">
            <v>3.79E-3</v>
          </cell>
          <cell r="Q708">
            <v>3.79E-3</v>
          </cell>
          <cell r="R708">
            <v>3.79E-3</v>
          </cell>
          <cell r="S708">
            <v>3.79E-3</v>
          </cell>
          <cell r="T708">
            <v>3.79E-3</v>
          </cell>
          <cell r="U708">
            <v>3.79E-3</v>
          </cell>
          <cell r="V708">
            <v>3.79E-3</v>
          </cell>
          <cell r="W708">
            <v>3.79E-3</v>
          </cell>
          <cell r="X708">
            <v>3.79E-3</v>
          </cell>
          <cell r="Y708">
            <v>3.79E-3</v>
          </cell>
        </row>
        <row r="709">
          <cell r="B709">
            <v>254995</v>
          </cell>
          <cell r="C709" t="str">
            <v>Roll Fwd Sched</v>
          </cell>
          <cell r="D709" t="str">
            <v>RECLASS OTH REG LIAB-ASGA-ELEC (WITH ACCT 254994)</v>
          </cell>
          <cell r="E709">
            <v>1</v>
          </cell>
          <cell r="F709">
            <v>254995</v>
          </cell>
          <cell r="G709" t="str">
            <v/>
          </cell>
          <cell r="H709">
            <v>254995</v>
          </cell>
          <cell r="I709" t="str">
            <v/>
          </cell>
          <cell r="J709" t="str">
            <v/>
          </cell>
          <cell r="K709" t="str">
            <v/>
          </cell>
          <cell r="L709">
            <v>-3.79E-3</v>
          </cell>
          <cell r="M709">
            <v>-3.79E-3</v>
          </cell>
          <cell r="N709">
            <v>-3.79E-3</v>
          </cell>
          <cell r="O709">
            <v>-3.79E-3</v>
          </cell>
          <cell r="P709">
            <v>-3.79E-3</v>
          </cell>
          <cell r="Q709">
            <v>-3.79E-3</v>
          </cell>
          <cell r="R709">
            <v>-3.79E-3</v>
          </cell>
          <cell r="S709">
            <v>-3.79E-3</v>
          </cell>
          <cell r="T709">
            <v>-3.79E-3</v>
          </cell>
          <cell r="U709">
            <v>-3.79E-3</v>
          </cell>
          <cell r="V709">
            <v>-3.79E-3</v>
          </cell>
          <cell r="W709">
            <v>-3.79E-3</v>
          </cell>
          <cell r="X709">
            <v>-3.79E-3</v>
          </cell>
          <cell r="Y709">
            <v>-3.79E-3</v>
          </cell>
        </row>
        <row r="710">
          <cell r="B710">
            <v>254996</v>
          </cell>
          <cell r="C710" t="str">
            <v>Roll Fwd Sched</v>
          </cell>
          <cell r="D710" t="str">
            <v>OTH REG LIAB-UNFUNDED FUTURE FED IT-ELEC</v>
          </cell>
          <cell r="E710">
            <v>1</v>
          </cell>
          <cell r="F710">
            <v>254996</v>
          </cell>
          <cell r="G710" t="str">
            <v/>
          </cell>
          <cell r="H710">
            <v>254996</v>
          </cell>
          <cell r="I710" t="str">
            <v/>
          </cell>
          <cell r="J710" t="str">
            <v/>
          </cell>
          <cell r="K710" t="str">
            <v/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</row>
        <row r="711">
          <cell r="B711">
            <v>255000</v>
          </cell>
          <cell r="C711" t="str">
            <v>Roll Fwd Sched</v>
          </cell>
          <cell r="D711" t="str">
            <v>ACCUM DEFERRED INVESTMENT TAX CREDIT</v>
          </cell>
          <cell r="E711" t="str">
            <v/>
          </cell>
          <cell r="F711">
            <v>255000</v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/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B712">
            <v>255100</v>
          </cell>
          <cell r="C712" t="str">
            <v>Roll Fwd Sched</v>
          </cell>
          <cell r="D712" t="str">
            <v>ACCUMULATED DEF INVEST TAX CREDITS-ELECTRIC</v>
          </cell>
          <cell r="E712" t="str">
            <v/>
          </cell>
          <cell r="F712">
            <v>255100</v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/>
          </cell>
          <cell r="L712">
            <v>-1773.9934499999999</v>
          </cell>
          <cell r="M712">
            <v>-1734.5767800000001</v>
          </cell>
          <cell r="N712">
            <v>-1695.16011</v>
          </cell>
          <cell r="O712">
            <v>-1655.74344</v>
          </cell>
          <cell r="P712">
            <v>-1616.3267699999999</v>
          </cell>
          <cell r="Q712">
            <v>-1531.9101000000001</v>
          </cell>
          <cell r="R712">
            <v>-1537.49343</v>
          </cell>
          <cell r="S712">
            <v>-1498.0768</v>
          </cell>
          <cell r="T712">
            <v>-1458.66013</v>
          </cell>
          <cell r="U712">
            <v>-1419.2434599999999</v>
          </cell>
          <cell r="V712">
            <v>-1379.8267900000001</v>
          </cell>
          <cell r="W712">
            <v>-1340.41012</v>
          </cell>
          <cell r="X712">
            <v>-1300.9934499999999</v>
          </cell>
          <cell r="Y712">
            <v>-1533.7434479999999</v>
          </cell>
        </row>
        <row r="713">
          <cell r="B713">
            <v>255200</v>
          </cell>
          <cell r="C713" t="str">
            <v>Roll Fwd Sched</v>
          </cell>
          <cell r="D713" t="str">
            <v>ACCUMULATED DEF INVEST TAX CREDITS-GAS</v>
          </cell>
          <cell r="E713" t="str">
            <v/>
          </cell>
          <cell r="F713">
            <v>255200</v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/>
          </cell>
          <cell r="L713">
            <v>-875.54490999999996</v>
          </cell>
          <cell r="M713">
            <v>-856.29490999999996</v>
          </cell>
          <cell r="N713">
            <v>-837.04490999999996</v>
          </cell>
          <cell r="O713">
            <v>-817.79490999999996</v>
          </cell>
          <cell r="P713">
            <v>-798.54490999999996</v>
          </cell>
          <cell r="Q713">
            <v>-779.29490999999996</v>
          </cell>
          <cell r="R713">
            <v>-760.04490999999996</v>
          </cell>
          <cell r="S713">
            <v>-740.79490999999996</v>
          </cell>
          <cell r="T713">
            <v>-721.54490999999996</v>
          </cell>
          <cell r="U713">
            <v>-702.29490999999996</v>
          </cell>
          <cell r="V713">
            <v>-683.04490999999996</v>
          </cell>
          <cell r="W713">
            <v>-663.79490999999996</v>
          </cell>
          <cell r="X713">
            <v>-644.54490999999996</v>
          </cell>
          <cell r="Y713">
            <v>-760.04490999999996</v>
          </cell>
        </row>
        <row r="714">
          <cell r="B714">
            <v>282000</v>
          </cell>
          <cell r="C714" t="str">
            <v>Roll Fwd Sched</v>
          </cell>
          <cell r="D714" t="str">
            <v>ACCUM DEF INC TAXES - LIBERALIZED DEPRECIATION</v>
          </cell>
          <cell r="E714" t="str">
            <v/>
          </cell>
          <cell r="F714">
            <v>282000</v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/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B715">
            <v>282010</v>
          </cell>
          <cell r="C715" t="str">
            <v>Roll Fwd Sched</v>
          </cell>
          <cell r="D715" t="str">
            <v>ACCUM DEF INC TAXES - STATE</v>
          </cell>
          <cell r="E715" t="str">
            <v/>
          </cell>
          <cell r="F715">
            <v>282010</v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/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16">
          <cell r="B716">
            <v>282110</v>
          </cell>
          <cell r="C716" t="str">
            <v>SFAS-109</v>
          </cell>
          <cell r="D716" t="str">
            <v>ACCUM DEF INC TAXES - FIT-DEPRECIATION &amp; OTHER</v>
          </cell>
          <cell r="E716" t="str">
            <v/>
          </cell>
          <cell r="F716" t="str">
            <v/>
          </cell>
          <cell r="G716" t="str">
            <v/>
          </cell>
          <cell r="H716">
            <v>282110</v>
          </cell>
          <cell r="I716" t="str">
            <v/>
          </cell>
          <cell r="J716" t="str">
            <v/>
          </cell>
          <cell r="K716" t="str">
            <v/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</row>
        <row r="717">
          <cell r="B717">
            <v>282120</v>
          </cell>
          <cell r="C717" t="str">
            <v>SFAS-109</v>
          </cell>
          <cell r="D717" t="str">
            <v>ACCUM DEF INC TAXES - FIXED ASSETS</v>
          </cell>
          <cell r="E717" t="str">
            <v/>
          </cell>
          <cell r="F717" t="str">
            <v/>
          </cell>
          <cell r="G717" t="str">
            <v/>
          </cell>
          <cell r="H717">
            <v>282120</v>
          </cell>
          <cell r="I717" t="str">
            <v/>
          </cell>
          <cell r="J717" t="str">
            <v/>
          </cell>
          <cell r="K717" t="str">
            <v/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</row>
        <row r="718">
          <cell r="B718">
            <v>282161</v>
          </cell>
          <cell r="C718" t="str">
            <v>Roll Fwd Sched</v>
          </cell>
          <cell r="D718" t="str">
            <v>ACCUM DEF INC TAX-FAS 109 FEDERAL -OTH PROP - ELE</v>
          </cell>
          <cell r="E718" t="str">
            <v/>
          </cell>
          <cell r="F718">
            <v>282161</v>
          </cell>
          <cell r="G718" t="str">
            <v/>
          </cell>
          <cell r="H718">
            <v>282161</v>
          </cell>
          <cell r="I718" t="str">
            <v/>
          </cell>
          <cell r="J718" t="str">
            <v/>
          </cell>
          <cell r="K718" t="str">
            <v/>
          </cell>
          <cell r="L718">
            <v>-36723.546990000003</v>
          </cell>
          <cell r="M718">
            <v>-36349.014210000001</v>
          </cell>
          <cell r="N718">
            <v>-36897.802190000002</v>
          </cell>
          <cell r="O718">
            <v>-37166.718670000002</v>
          </cell>
          <cell r="P718">
            <v>-36910.716209999999</v>
          </cell>
          <cell r="Q718">
            <v>-37164.285830000001</v>
          </cell>
          <cell r="R718">
            <v>-37255.965770000003</v>
          </cell>
          <cell r="S718">
            <v>-37336.943630000002</v>
          </cell>
          <cell r="T718">
            <v>-37390.783320000002</v>
          </cell>
          <cell r="U718">
            <v>-38183.121019999999</v>
          </cell>
          <cell r="V718">
            <v>-38005.195879999999</v>
          </cell>
          <cell r="W718">
            <v>-21433.683209999999</v>
          </cell>
          <cell r="X718">
            <v>-29635.774799999999</v>
          </cell>
          <cell r="Y718">
            <v>-35606.157570000003</v>
          </cell>
        </row>
        <row r="719">
          <cell r="B719">
            <v>282162</v>
          </cell>
          <cell r="C719" t="str">
            <v>Roll Fwd Sched</v>
          </cell>
          <cell r="D719" t="str">
            <v>ACCUM DEF INC TAX-FAS 109 FEDERAL - OTH PROP - GA</v>
          </cell>
          <cell r="E719" t="str">
            <v/>
          </cell>
          <cell r="F719">
            <v>282162</v>
          </cell>
          <cell r="G719" t="str">
            <v/>
          </cell>
          <cell r="H719">
            <v>282162</v>
          </cell>
          <cell r="I719" t="str">
            <v/>
          </cell>
          <cell r="J719" t="str">
            <v/>
          </cell>
          <cell r="K719" t="str">
            <v/>
          </cell>
          <cell r="L719">
            <v>-18362.302370000001</v>
          </cell>
          <cell r="M719">
            <v>-18276.3171</v>
          </cell>
          <cell r="N719">
            <v>-18188.754929999999</v>
          </cell>
          <cell r="O719">
            <v>-18143.885460000001</v>
          </cell>
          <cell r="P719">
            <v>-18071.672900000001</v>
          </cell>
          <cell r="Q719">
            <v>-18013.70851</v>
          </cell>
          <cell r="R719">
            <v>-17911.819749999999</v>
          </cell>
          <cell r="S719">
            <v>-17823.010569999999</v>
          </cell>
          <cell r="T719">
            <v>-17769.469099999998</v>
          </cell>
          <cell r="U719">
            <v>-17742.235349999999</v>
          </cell>
          <cell r="V719">
            <v>-17674.804349999999</v>
          </cell>
          <cell r="W719">
            <v>-17570.681219999999</v>
          </cell>
          <cell r="X719">
            <v>-16595.447939999998</v>
          </cell>
          <cell r="Y719">
            <v>-17888.769532999999</v>
          </cell>
        </row>
        <row r="720">
          <cell r="B720">
            <v>282170</v>
          </cell>
          <cell r="C720" t="str">
            <v>SFAS-109</v>
          </cell>
          <cell r="D720" t="str">
            <v>ACCUM DEF INC TAXES - NYS FAS 109 LIBERAL DEPR</v>
          </cell>
          <cell r="E720" t="str">
            <v/>
          </cell>
          <cell r="F720" t="str">
            <v/>
          </cell>
          <cell r="G720" t="str">
            <v/>
          </cell>
          <cell r="H720">
            <v>282170</v>
          </cell>
          <cell r="I720" t="str">
            <v/>
          </cell>
          <cell r="J720" t="str">
            <v/>
          </cell>
          <cell r="K720" t="str">
            <v/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</row>
        <row r="721">
          <cell r="B721">
            <v>282171</v>
          </cell>
          <cell r="C721" t="str">
            <v>Roll Fwd Sched</v>
          </cell>
          <cell r="D721" t="str">
            <v>ACCUM DEF INC TAX-FAS 109 STATE -OTH PROP - ELEC</v>
          </cell>
          <cell r="E721" t="str">
            <v/>
          </cell>
          <cell r="F721">
            <v>282171</v>
          </cell>
          <cell r="G721" t="str">
            <v/>
          </cell>
          <cell r="H721">
            <v>282171</v>
          </cell>
          <cell r="I721" t="str">
            <v/>
          </cell>
          <cell r="J721" t="str">
            <v/>
          </cell>
          <cell r="K721" t="str">
            <v/>
          </cell>
          <cell r="L721">
            <v>-11253.820369999999</v>
          </cell>
          <cell r="M721">
            <v>-11212.425999999999</v>
          </cell>
          <cell r="N721">
            <v>-11369.341549999999</v>
          </cell>
          <cell r="O721">
            <v>-11470.250169999999</v>
          </cell>
          <cell r="P721">
            <v>-11457.789870000001</v>
          </cell>
          <cell r="Q721">
            <v>-11540.350899999999</v>
          </cell>
          <cell r="R721">
            <v>-11608.19289</v>
          </cell>
          <cell r="S721">
            <v>-11667.46753</v>
          </cell>
          <cell r="T721">
            <v>-11716.83092</v>
          </cell>
          <cell r="U721">
            <v>-11952.96581</v>
          </cell>
          <cell r="V721">
            <v>-12015.07314</v>
          </cell>
          <cell r="W721">
            <v>-11700.52599</v>
          </cell>
          <cell r="X721">
            <v>-11831.41094</v>
          </cell>
          <cell r="Y721">
            <v>-11604.485869</v>
          </cell>
        </row>
        <row r="722">
          <cell r="B722">
            <v>282172</v>
          </cell>
          <cell r="C722" t="str">
            <v>Roll Fwd Sched</v>
          </cell>
          <cell r="D722" t="str">
            <v>ACCUM DEF INC TAX - FAS 109 STATE - OTH PROP - GA</v>
          </cell>
          <cell r="E722" t="str">
            <v/>
          </cell>
          <cell r="F722">
            <v>282172</v>
          </cell>
          <cell r="G722" t="str">
            <v/>
          </cell>
          <cell r="H722">
            <v>282172</v>
          </cell>
          <cell r="I722" t="str">
            <v/>
          </cell>
          <cell r="J722" t="str">
            <v/>
          </cell>
          <cell r="K722" t="str">
            <v/>
          </cell>
          <cell r="L722">
            <v>-5725.2928400000001</v>
          </cell>
          <cell r="M722">
            <v>-5736.5963700000002</v>
          </cell>
          <cell r="N722">
            <v>-5745.0231700000004</v>
          </cell>
          <cell r="O722">
            <v>-5765.4812300000003</v>
          </cell>
          <cell r="P722">
            <v>-5780.68703</v>
          </cell>
          <cell r="Q722">
            <v>-5799.3806199999999</v>
          </cell>
          <cell r="R722">
            <v>-5812.6820299999999</v>
          </cell>
          <cell r="S722">
            <v>-5824.8013300000002</v>
          </cell>
          <cell r="T722">
            <v>-5841.76145</v>
          </cell>
          <cell r="U722">
            <v>-5936.3041800000001</v>
          </cell>
          <cell r="V722">
            <v>-5952.6090100000001</v>
          </cell>
          <cell r="W722">
            <v>-5961.2711600000002</v>
          </cell>
          <cell r="X722">
            <v>-5960.06826</v>
          </cell>
          <cell r="Y722">
            <v>-5833.2731780000004</v>
          </cell>
        </row>
        <row r="723">
          <cell r="B723">
            <v>282200</v>
          </cell>
          <cell r="C723" t="str">
            <v>Roll Fwd Sched</v>
          </cell>
          <cell r="D723" t="str">
            <v>ACCUM DEF INC TAX-OTH PROP-FEDERAL-ELECTRIC</v>
          </cell>
          <cell r="E723" t="str">
            <v/>
          </cell>
          <cell r="F723">
            <v>282200</v>
          </cell>
          <cell r="G723" t="str">
            <v/>
          </cell>
          <cell r="H723">
            <v>282200</v>
          </cell>
          <cell r="I723" t="str">
            <v/>
          </cell>
          <cell r="J723" t="str">
            <v/>
          </cell>
          <cell r="K723" t="str">
            <v/>
          </cell>
          <cell r="L723">
            <v>-136021.34419</v>
          </cell>
          <cell r="M723">
            <v>-139161.40538000001</v>
          </cell>
          <cell r="N723">
            <v>-142404.56615999999</v>
          </cell>
          <cell r="O723">
            <v>-145507.39864999999</v>
          </cell>
          <cell r="P723">
            <v>-148594.82500000001</v>
          </cell>
          <cell r="Q723">
            <v>-149603.98710999999</v>
          </cell>
          <cell r="R723">
            <v>-152190.10227</v>
          </cell>
          <cell r="S723">
            <v>-154947.41740000001</v>
          </cell>
          <cell r="T723">
            <v>-157524.50915</v>
          </cell>
          <cell r="U723">
            <v>-175762.98272</v>
          </cell>
          <cell r="V723">
            <v>-172056.03320000001</v>
          </cell>
          <cell r="W723">
            <v>-175169.3475</v>
          </cell>
          <cell r="X723">
            <v>-176640.47813</v>
          </cell>
          <cell r="Y723">
            <v>-155771.123808</v>
          </cell>
        </row>
        <row r="724">
          <cell r="B724">
            <v>282210</v>
          </cell>
          <cell r="C724" t="str">
            <v>Roll Fwd Sched</v>
          </cell>
          <cell r="D724" t="str">
            <v>ACCUM DEF INC TAX-OTH PROP-FEDERAL-GAS</v>
          </cell>
          <cell r="E724" t="str">
            <v/>
          </cell>
          <cell r="F724">
            <v>282210</v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/>
          </cell>
          <cell r="L724">
            <v>-68312.496020000006</v>
          </cell>
          <cell r="M724">
            <v>-69387.600409999999</v>
          </cell>
          <cell r="N724">
            <v>-70462.669930000004</v>
          </cell>
          <cell r="O724">
            <v>-71538.614509999999</v>
          </cell>
          <cell r="P724">
            <v>-72615.184160000004</v>
          </cell>
          <cell r="Q724">
            <v>-73319.696890000007</v>
          </cell>
          <cell r="R724">
            <v>-74315.082290000006</v>
          </cell>
          <cell r="S724">
            <v>-75314.543420000002</v>
          </cell>
          <cell r="T724">
            <v>-76310.359200000006</v>
          </cell>
          <cell r="U724">
            <v>-79821.131080000006</v>
          </cell>
          <cell r="V724">
            <v>-77938.933189999996</v>
          </cell>
          <cell r="W724">
            <v>-78929.922739999995</v>
          </cell>
          <cell r="X724">
            <v>-80249.550759999998</v>
          </cell>
          <cell r="Y724">
            <v>-74519.563433999996</v>
          </cell>
        </row>
        <row r="725">
          <cell r="B725">
            <v>282240</v>
          </cell>
          <cell r="C725" t="str">
            <v>Roll Fwd Sched</v>
          </cell>
          <cell r="D725" t="str">
            <v>ACCUM DEF INC TAX-OTH PROP-STATE-ELECTRIC</v>
          </cell>
          <cell r="E725" t="str">
            <v/>
          </cell>
          <cell r="F725">
            <v>282240</v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/>
          </cell>
          <cell r="L725">
            <v>-9356.3495600000006</v>
          </cell>
          <cell r="M725">
            <v>-9465.0251100000005</v>
          </cell>
          <cell r="N725">
            <v>-9599.5206999999991</v>
          </cell>
          <cell r="O725">
            <v>-9698.2680700000001</v>
          </cell>
          <cell r="P725">
            <v>-9792.3985499999999</v>
          </cell>
          <cell r="Q725">
            <v>-9946.9607699999997</v>
          </cell>
          <cell r="R725">
            <v>-10026.84122</v>
          </cell>
          <cell r="S725">
            <v>-10150.33548</v>
          </cell>
          <cell r="T725">
            <v>-10238.461370000001</v>
          </cell>
          <cell r="U725">
            <v>-11677.77449</v>
          </cell>
          <cell r="V725">
            <v>-10519.55378</v>
          </cell>
          <cell r="W725">
            <v>-10604.329369999999</v>
          </cell>
          <cell r="X725">
            <v>-10104.75517</v>
          </cell>
          <cell r="Y725">
            <v>-10120.835106</v>
          </cell>
        </row>
        <row r="726">
          <cell r="B726">
            <v>282250</v>
          </cell>
          <cell r="C726" t="str">
            <v>Roll Fwd Sched</v>
          </cell>
          <cell r="D726" t="str">
            <v>ACCUM DEF INC TAX-OTH PROP-STATE-GAS</v>
          </cell>
          <cell r="E726" t="str">
            <v/>
          </cell>
          <cell r="F726">
            <v>282250</v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/>
          </cell>
          <cell r="L726">
            <v>-4130.0527199999997</v>
          </cell>
          <cell r="M726">
            <v>-4165.9873600000001</v>
          </cell>
          <cell r="N726">
            <v>-4204.4467800000002</v>
          </cell>
          <cell r="O726">
            <v>-4240.3884399999997</v>
          </cell>
          <cell r="P726">
            <v>-4275.7482</v>
          </cell>
          <cell r="Q726">
            <v>-4312.5817900000002</v>
          </cell>
          <cell r="R726">
            <v>-4342.2569700000004</v>
          </cell>
          <cell r="S726">
            <v>-4376.8602700000001</v>
          </cell>
          <cell r="T726">
            <v>-4413.5278699999999</v>
          </cell>
          <cell r="U726">
            <v>-4944.9842900000003</v>
          </cell>
          <cell r="V726">
            <v>-4501.9692500000001</v>
          </cell>
          <cell r="W726">
            <v>-4537.2056599999996</v>
          </cell>
          <cell r="X726">
            <v>-4431.69866</v>
          </cell>
          <cell r="Y726">
            <v>-4383.0693810000002</v>
          </cell>
        </row>
        <row r="727">
          <cell r="B727">
            <v>283000</v>
          </cell>
          <cell r="C727" t="str">
            <v>Roll Fwd Sched</v>
          </cell>
          <cell r="D727" t="str">
            <v>ACCUM DEF INC TAXES - OTHER</v>
          </cell>
          <cell r="E727" t="str">
            <v/>
          </cell>
          <cell r="F727">
            <v>283000</v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/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</row>
        <row r="728">
          <cell r="B728">
            <v>283007</v>
          </cell>
          <cell r="C728" t="str">
            <v>Roll Fwd Sched</v>
          </cell>
          <cell r="D728" t="str">
            <v>ACCUM DEFERRED INC TAXES-FEDERAL-CURRENT-GAS</v>
          </cell>
          <cell r="E728" t="str">
            <v/>
          </cell>
          <cell r="F728">
            <v>283007</v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</row>
        <row r="729">
          <cell r="B729">
            <v>283010</v>
          </cell>
          <cell r="C729" t="str">
            <v>Roll Fwd Sched</v>
          </cell>
          <cell r="D729" t="str">
            <v>ACCUM DEF INC TAXES - STATE</v>
          </cell>
          <cell r="E729" t="str">
            <v/>
          </cell>
          <cell r="F729">
            <v>283010</v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</row>
        <row r="730">
          <cell r="B730">
            <v>283015</v>
          </cell>
          <cell r="C730" t="str">
            <v>Roll Fwd Sched</v>
          </cell>
          <cell r="D730" t="str">
            <v>RECLASS-INCOME TAXES-FEDERAL-CURRENT-GAS</v>
          </cell>
          <cell r="E730" t="str">
            <v/>
          </cell>
          <cell r="F730">
            <v>283015</v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/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</row>
        <row r="731">
          <cell r="B731">
            <v>283017</v>
          </cell>
          <cell r="C731" t="str">
            <v>Roll Fwd Sched</v>
          </cell>
          <cell r="D731" t="str">
            <v>ACCUM DEFERRED INC TAXES-STATE-CURRENT-GAS</v>
          </cell>
          <cell r="E731" t="str">
            <v/>
          </cell>
          <cell r="F731">
            <v>283017</v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/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B732">
            <v>283019</v>
          </cell>
          <cell r="C732" t="str">
            <v>Roll Fwd Sched</v>
          </cell>
          <cell r="D732" t="str">
            <v>RECLASS-INCOME TAXES-STATE-CURRENT-GAS</v>
          </cell>
          <cell r="E732" t="str">
            <v/>
          </cell>
          <cell r="F732">
            <v>283019</v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/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</row>
        <row r="733">
          <cell r="B733">
            <v>283120</v>
          </cell>
          <cell r="C733" t="str">
            <v>SFAS-109</v>
          </cell>
          <cell r="D733" t="str">
            <v>ACCUM DEF INC TAXES - WATER</v>
          </cell>
          <cell r="E733" t="str">
            <v/>
          </cell>
          <cell r="F733" t="str">
            <v/>
          </cell>
          <cell r="G733" t="str">
            <v/>
          </cell>
          <cell r="H733">
            <v>283120</v>
          </cell>
          <cell r="I733" t="str">
            <v/>
          </cell>
          <cell r="J733" t="str">
            <v/>
          </cell>
          <cell r="K733" t="str">
            <v/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B734">
            <v>283140</v>
          </cell>
          <cell r="C734" t="str">
            <v>SFAS-109</v>
          </cell>
          <cell r="D734" t="str">
            <v>ACCUM DEF INC TAXES - PROPERTY TAX-FEDERAL</v>
          </cell>
          <cell r="E734" t="str">
            <v/>
          </cell>
          <cell r="F734" t="str">
            <v/>
          </cell>
          <cell r="G734" t="str">
            <v/>
          </cell>
          <cell r="H734">
            <v>283140</v>
          </cell>
          <cell r="I734" t="str">
            <v/>
          </cell>
          <cell r="J734" t="str">
            <v/>
          </cell>
          <cell r="K734" t="str">
            <v/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</row>
        <row r="735">
          <cell r="B735">
            <v>283160</v>
          </cell>
          <cell r="C735" t="str">
            <v>SFAS-109</v>
          </cell>
          <cell r="D735" t="str">
            <v>ACCUM DEF INC TAXES - NINE MILE DEFERRAL</v>
          </cell>
          <cell r="E735" t="str">
            <v/>
          </cell>
          <cell r="F735" t="str">
            <v/>
          </cell>
          <cell r="G735" t="str">
            <v/>
          </cell>
          <cell r="H735">
            <v>283160</v>
          </cell>
          <cell r="I735" t="str">
            <v/>
          </cell>
          <cell r="J735" t="str">
            <v/>
          </cell>
          <cell r="K735" t="str">
            <v/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</row>
        <row r="736">
          <cell r="B736">
            <v>283161</v>
          </cell>
          <cell r="C736" t="str">
            <v>SFAS-109</v>
          </cell>
          <cell r="D736" t="str">
            <v>ACCUM DEF INC TAXES -FAS 109-OTHER-FEDERAL-ELEC</v>
          </cell>
          <cell r="E736" t="str">
            <v/>
          </cell>
          <cell r="F736" t="str">
            <v/>
          </cell>
          <cell r="G736" t="str">
            <v/>
          </cell>
          <cell r="H736">
            <v>283161</v>
          </cell>
          <cell r="I736" t="str">
            <v/>
          </cell>
          <cell r="J736" t="str">
            <v/>
          </cell>
          <cell r="K736" t="str">
            <v/>
          </cell>
          <cell r="L736">
            <v>-13062.105670000001</v>
          </cell>
          <cell r="M736">
            <v>-12947.18835</v>
          </cell>
          <cell r="N736">
            <v>-12832.271059999999</v>
          </cell>
          <cell r="O736">
            <v>-12717.3537</v>
          </cell>
          <cell r="P736">
            <v>-12602.43635</v>
          </cell>
          <cell r="Q736">
            <v>-12487.519050000001</v>
          </cell>
          <cell r="R736">
            <v>-12372.60174</v>
          </cell>
          <cell r="S736">
            <v>-12257.684380000001</v>
          </cell>
          <cell r="T736">
            <v>-12142.76707</v>
          </cell>
          <cell r="U736">
            <v>-12281.650739999999</v>
          </cell>
          <cell r="V736">
            <v>-12438.642470000001</v>
          </cell>
          <cell r="W736">
            <v>-12298.78615</v>
          </cell>
          <cell r="X736">
            <v>-13068.513360000001</v>
          </cell>
          <cell r="Y736">
            <v>-12537.017548</v>
          </cell>
        </row>
        <row r="737">
          <cell r="B737">
            <v>283162</v>
          </cell>
          <cell r="C737" t="str">
            <v>SFAS-109</v>
          </cell>
          <cell r="D737" t="str">
            <v>ACCUM DEF INC TAXES -FAS 109-OTHER-FEDERAL-GAS</v>
          </cell>
          <cell r="E737" t="str">
            <v/>
          </cell>
          <cell r="F737" t="str">
            <v/>
          </cell>
          <cell r="G737" t="str">
            <v/>
          </cell>
          <cell r="H737">
            <v>283162</v>
          </cell>
          <cell r="I737" t="str">
            <v/>
          </cell>
          <cell r="J737" t="str">
            <v/>
          </cell>
          <cell r="K737" t="str">
            <v/>
          </cell>
          <cell r="L737">
            <v>-1023.8362100000001</v>
          </cell>
          <cell r="M737">
            <v>-1023.83617</v>
          </cell>
          <cell r="N737">
            <v>-1023.83619</v>
          </cell>
          <cell r="O737">
            <v>-1023.83617</v>
          </cell>
          <cell r="P737">
            <v>-1023.8362</v>
          </cell>
          <cell r="Q737">
            <v>-1023.83617</v>
          </cell>
          <cell r="R737">
            <v>-1023.83618</v>
          </cell>
          <cell r="S737">
            <v>-1023.83619</v>
          </cell>
          <cell r="T737">
            <v>-1023.83619</v>
          </cell>
          <cell r="U737">
            <v>-1024.9751799999999</v>
          </cell>
          <cell r="V737">
            <v>-1024.9751699999999</v>
          </cell>
          <cell r="W737">
            <v>-1024.9751699999999</v>
          </cell>
          <cell r="X737">
            <v>-1312.85437</v>
          </cell>
          <cell r="Y737">
            <v>-1036.163356</v>
          </cell>
        </row>
        <row r="738">
          <cell r="B738">
            <v>283170</v>
          </cell>
          <cell r="C738" t="str">
            <v>SFAS-109</v>
          </cell>
          <cell r="D738" t="str">
            <v>ACCUM DEF INC TAXES - NYS FAS 109-OTHER</v>
          </cell>
          <cell r="E738" t="str">
            <v/>
          </cell>
          <cell r="F738" t="str">
            <v/>
          </cell>
          <cell r="G738" t="str">
            <v/>
          </cell>
          <cell r="H738">
            <v>283170</v>
          </cell>
          <cell r="I738" t="str">
            <v/>
          </cell>
          <cell r="J738" t="str">
            <v/>
          </cell>
          <cell r="K738" t="str">
            <v/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B739">
            <v>283171</v>
          </cell>
          <cell r="C739" t="str">
            <v>SFAS-109</v>
          </cell>
          <cell r="D739" t="str">
            <v>ACCUM DEF INC TAXES -FAS 109-OTHER-STATE-ELECTRIC</v>
          </cell>
          <cell r="E739" t="str">
            <v/>
          </cell>
          <cell r="F739" t="str">
            <v/>
          </cell>
          <cell r="G739" t="str">
            <v/>
          </cell>
          <cell r="H739">
            <v>283171</v>
          </cell>
          <cell r="I739" t="str">
            <v/>
          </cell>
          <cell r="J739" t="str">
            <v/>
          </cell>
          <cell r="K739" t="str">
            <v/>
          </cell>
          <cell r="L739">
            <v>4200.83446</v>
          </cell>
          <cell r="M739">
            <v>4194.6154800000004</v>
          </cell>
          <cell r="N739">
            <v>4188.3964999999998</v>
          </cell>
          <cell r="O739">
            <v>4182.1774299999997</v>
          </cell>
          <cell r="P739">
            <v>4175.9584800000002</v>
          </cell>
          <cell r="Q739">
            <v>4169.7394700000004</v>
          </cell>
          <cell r="R739">
            <v>4163.5204599999997</v>
          </cell>
          <cell r="S739">
            <v>4157.3014499999999</v>
          </cell>
          <cell r="T739">
            <v>4151.0824599999996</v>
          </cell>
          <cell r="U739">
            <v>4053.6534799999999</v>
          </cell>
          <cell r="V739">
            <v>4047.4344900000001</v>
          </cell>
          <cell r="W739">
            <v>3969.9625000000001</v>
          </cell>
          <cell r="X739">
            <v>3792.5165499999998</v>
          </cell>
          <cell r="Y739">
            <v>4120.876475</v>
          </cell>
        </row>
        <row r="740">
          <cell r="B740">
            <v>283172</v>
          </cell>
          <cell r="C740" t="str">
            <v>SFAS-109</v>
          </cell>
          <cell r="D740" t="str">
            <v>ACCUM DEF INC TAXES -FAS 109-OTHER-STATE-GAS</v>
          </cell>
          <cell r="E740" t="str">
            <v/>
          </cell>
          <cell r="F740" t="str">
            <v/>
          </cell>
          <cell r="G740" t="str">
            <v/>
          </cell>
          <cell r="H740">
            <v>283172</v>
          </cell>
          <cell r="I740" t="str">
            <v/>
          </cell>
          <cell r="J740" t="str">
            <v/>
          </cell>
          <cell r="K740" t="str">
            <v/>
          </cell>
          <cell r="L740">
            <v>2895.94679</v>
          </cell>
          <cell r="M740">
            <v>2895.9467500000001</v>
          </cell>
          <cell r="N740">
            <v>2895.94677</v>
          </cell>
          <cell r="O740">
            <v>2895.9468000000002</v>
          </cell>
          <cell r="P740">
            <v>2895.94677</v>
          </cell>
          <cell r="Q740">
            <v>2895.9467500000001</v>
          </cell>
          <cell r="R740">
            <v>2895.94677</v>
          </cell>
          <cell r="S740">
            <v>2895.9468099999999</v>
          </cell>
          <cell r="T740">
            <v>2895.9467800000002</v>
          </cell>
          <cell r="U740">
            <v>2895.40877</v>
          </cell>
          <cell r="V740">
            <v>2895.4087199999999</v>
          </cell>
          <cell r="W740">
            <v>2895.4088000000002</v>
          </cell>
          <cell r="X740">
            <v>2840.2637800000002</v>
          </cell>
          <cell r="Y740">
            <v>2893.4921479999998</v>
          </cell>
        </row>
        <row r="741">
          <cell r="B741">
            <v>283200</v>
          </cell>
          <cell r="C741" t="str">
            <v>Roll Fwd Sched</v>
          </cell>
          <cell r="D741" t="str">
            <v>ACCUM DEF INC TAX-OTH-FEDERAL-ELECTRIC</v>
          </cell>
          <cell r="E741" t="str">
            <v/>
          </cell>
          <cell r="F741">
            <v>283200</v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/>
          </cell>
          <cell r="L741">
            <v>-19930.979329999998</v>
          </cell>
          <cell r="M741">
            <v>-20153.951389999998</v>
          </cell>
          <cell r="N741">
            <v>-20376.923470000002</v>
          </cell>
          <cell r="O741">
            <v>-20599.895530000002</v>
          </cell>
          <cell r="P741">
            <v>-20822.867600000001</v>
          </cell>
          <cell r="Q741">
            <v>-21045.839680000001</v>
          </cell>
          <cell r="R741">
            <v>-21269.684600000001</v>
          </cell>
          <cell r="S741">
            <v>-21326.567080000001</v>
          </cell>
          <cell r="T741">
            <v>-21478.072660000002</v>
          </cell>
          <cell r="U741">
            <v>-18442.24613</v>
          </cell>
          <cell r="V741">
            <v>-25430.337009999999</v>
          </cell>
          <cell r="W741">
            <v>-25606.587899999999</v>
          </cell>
          <cell r="X741">
            <v>-22055.73947</v>
          </cell>
          <cell r="Y741">
            <v>-21462.194371000001</v>
          </cell>
        </row>
        <row r="742">
          <cell r="B742">
            <v>283210</v>
          </cell>
          <cell r="C742" t="str">
            <v>Roll Fwd Sched</v>
          </cell>
          <cell r="D742" t="str">
            <v>ACCUM DEF INC TAX-OTH-FEDERAL-GAS</v>
          </cell>
          <cell r="E742" t="str">
            <v/>
          </cell>
          <cell r="F742">
            <v>283210</v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/>
          </cell>
          <cell r="L742">
            <v>1786.82053</v>
          </cell>
          <cell r="M742">
            <v>1773.5856699999999</v>
          </cell>
          <cell r="N742">
            <v>1760.5921599999999</v>
          </cell>
          <cell r="O742">
            <v>1836.3221799999999</v>
          </cell>
          <cell r="P742">
            <v>1823.7031400000001</v>
          </cell>
          <cell r="Q742">
            <v>1810.9844599999999</v>
          </cell>
          <cell r="R742">
            <v>1798.18941</v>
          </cell>
          <cell r="S742">
            <v>1815.64924</v>
          </cell>
          <cell r="T742">
            <v>1831.20976</v>
          </cell>
          <cell r="U742">
            <v>3173.35151</v>
          </cell>
          <cell r="V742">
            <v>322.33499</v>
          </cell>
          <cell r="W742">
            <v>326.21534000000003</v>
          </cell>
          <cell r="X742">
            <v>605.20450000000005</v>
          </cell>
          <cell r="Y742">
            <v>1622.345865</v>
          </cell>
        </row>
        <row r="743">
          <cell r="B743">
            <v>283300</v>
          </cell>
          <cell r="C743" t="str">
            <v>Roll Fwd Sched</v>
          </cell>
          <cell r="D743" t="str">
            <v>ACCUM DEF INC TAX-OTH-FEDERAL-ELECTRIC-NONOP</v>
          </cell>
          <cell r="E743" t="str">
            <v/>
          </cell>
          <cell r="F743">
            <v>283300</v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/>
          </cell>
          <cell r="L743">
            <v>-420.34699999999998</v>
          </cell>
          <cell r="M743">
            <v>-420.34699999999998</v>
          </cell>
          <cell r="N743">
            <v>-420.34699999999998</v>
          </cell>
          <cell r="O743">
            <v>-420.34699999999998</v>
          </cell>
          <cell r="P743">
            <v>-420.34699999999998</v>
          </cell>
          <cell r="Q743">
            <v>-420.34699999999998</v>
          </cell>
          <cell r="R743">
            <v>-420.34699999999998</v>
          </cell>
          <cell r="S743">
            <v>-420.34699999999998</v>
          </cell>
          <cell r="T743">
            <v>-420.34699999999998</v>
          </cell>
          <cell r="U743">
            <v>-420.34699999999998</v>
          </cell>
          <cell r="V743">
            <v>-420.34699999999998</v>
          </cell>
          <cell r="W743">
            <v>-420.34699999999998</v>
          </cell>
          <cell r="X743">
            <v>-420.34699999999998</v>
          </cell>
          <cell r="Y743">
            <v>-420.34699999999998</v>
          </cell>
        </row>
        <row r="744">
          <cell r="B744">
            <v>283310</v>
          </cell>
          <cell r="C744" t="str">
            <v>Roll Fwd Sched</v>
          </cell>
          <cell r="D744" t="str">
            <v>ACCUM DEF INC TAX-OTH-FEDERAL-GAS-NONOP</v>
          </cell>
          <cell r="E744" t="str">
            <v/>
          </cell>
          <cell r="F744">
            <v>283310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/>
          </cell>
          <cell r="L744">
            <v>-175.815</v>
          </cell>
          <cell r="M744">
            <v>-175.815</v>
          </cell>
          <cell r="N744">
            <v>-175.815</v>
          </cell>
          <cell r="O744">
            <v>-175.815</v>
          </cell>
          <cell r="P744">
            <v>-175.815</v>
          </cell>
          <cell r="Q744">
            <v>-175.815</v>
          </cell>
          <cell r="R744">
            <v>-175.815</v>
          </cell>
          <cell r="S744">
            <v>-175.815</v>
          </cell>
          <cell r="T744">
            <v>-175.815</v>
          </cell>
          <cell r="U744">
            <v>-175.815</v>
          </cell>
          <cell r="V744">
            <v>-175.815</v>
          </cell>
          <cell r="W744">
            <v>-175.815</v>
          </cell>
          <cell r="X744">
            <v>-175.815</v>
          </cell>
          <cell r="Y744">
            <v>-175.815</v>
          </cell>
        </row>
        <row r="745">
          <cell r="B745">
            <v>283400</v>
          </cell>
          <cell r="C745" t="str">
            <v>Roll Fwd Sched</v>
          </cell>
          <cell r="D745" t="str">
            <v>ACCUM DEF INC TAX-OTH-STATE-ELECTRIC</v>
          </cell>
          <cell r="E745" t="str">
            <v/>
          </cell>
          <cell r="F745">
            <v>283400</v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/>
          </cell>
          <cell r="L745">
            <v>-4655.8144300000004</v>
          </cell>
          <cell r="M745">
            <v>-4707.4869200000003</v>
          </cell>
          <cell r="N745">
            <v>-4759.1594100000002</v>
          </cell>
          <cell r="O745">
            <v>-4810.8319000000001</v>
          </cell>
          <cell r="P745">
            <v>-4862.5043900000001</v>
          </cell>
          <cell r="Q745">
            <v>-4914.1768899999997</v>
          </cell>
          <cell r="R745">
            <v>-4966.0399799999996</v>
          </cell>
          <cell r="S745">
            <v>-4981.4450200000001</v>
          </cell>
          <cell r="T745">
            <v>-5017.5120399999996</v>
          </cell>
          <cell r="U745">
            <v>-4478.1450299999997</v>
          </cell>
          <cell r="V745">
            <v>-5761.4805900000001</v>
          </cell>
          <cell r="W745">
            <v>-5802.9510200000004</v>
          </cell>
          <cell r="X745">
            <v>-5038.5675700000002</v>
          </cell>
          <cell r="Y745">
            <v>-4992.4103489999998</v>
          </cell>
        </row>
        <row r="746">
          <cell r="B746">
            <v>283410</v>
          </cell>
          <cell r="C746" t="str">
            <v>Roll Fwd Sched</v>
          </cell>
          <cell r="D746" t="str">
            <v>ACCUM DEF INC TAX-OTH-STATE-GAS</v>
          </cell>
          <cell r="E746" t="str">
            <v/>
          </cell>
          <cell r="F746">
            <v>283410</v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/>
          </cell>
          <cell r="L746">
            <v>113.70902</v>
          </cell>
          <cell r="M746">
            <v>110.28888999999999</v>
          </cell>
          <cell r="N746">
            <v>106.92146</v>
          </cell>
          <cell r="O746">
            <v>122.92777</v>
          </cell>
          <cell r="P746">
            <v>119.64211</v>
          </cell>
          <cell r="Q746">
            <v>116.3347</v>
          </cell>
          <cell r="R746">
            <v>113.01061</v>
          </cell>
          <cell r="S746">
            <v>116.29299</v>
          </cell>
          <cell r="T746">
            <v>119.16065</v>
          </cell>
          <cell r="U746">
            <v>393.392</v>
          </cell>
          <cell r="V746">
            <v>-80.917209999999997</v>
          </cell>
          <cell r="W746">
            <v>-80.600049999999996</v>
          </cell>
          <cell r="X746">
            <v>-22.783840000000001</v>
          </cell>
          <cell r="Y746">
            <v>100.15970900000001</v>
          </cell>
        </row>
        <row r="747">
          <cell r="B747">
            <v>283420</v>
          </cell>
          <cell r="C747" t="str">
            <v>Roll Fwd Sched</v>
          </cell>
          <cell r="D747" t="str">
            <v>ACCUM DEF INC TAX-OTH-STATE-ELECTRIC-NONOP</v>
          </cell>
          <cell r="E747" t="str">
            <v/>
          </cell>
          <cell r="F747">
            <v>283420</v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/>
          </cell>
          <cell r="L747">
            <v>-11.82</v>
          </cell>
          <cell r="M747">
            <v>-11.82</v>
          </cell>
          <cell r="N747">
            <v>-11.82</v>
          </cell>
          <cell r="O747">
            <v>-11.82</v>
          </cell>
          <cell r="P747">
            <v>-11.82</v>
          </cell>
          <cell r="Q747">
            <v>-11.82</v>
          </cell>
          <cell r="R747">
            <v>-11.82</v>
          </cell>
          <cell r="S747">
            <v>-11.82</v>
          </cell>
          <cell r="T747">
            <v>-11.82</v>
          </cell>
          <cell r="U747">
            <v>-11.82</v>
          </cell>
          <cell r="V747">
            <v>-11.82</v>
          </cell>
          <cell r="W747">
            <v>-11.82</v>
          </cell>
          <cell r="X747">
            <v>-11.82</v>
          </cell>
          <cell r="Y747">
            <v>-11.82</v>
          </cell>
        </row>
        <row r="748">
          <cell r="B748">
            <v>283430</v>
          </cell>
          <cell r="C748" t="str">
            <v>Roll Fwd Sched</v>
          </cell>
          <cell r="D748" t="str">
            <v>ACCUM DEF INC TAX-OTH-STATE-GAS-NONOP</v>
          </cell>
          <cell r="E748" t="str">
            <v/>
          </cell>
          <cell r="F748">
            <v>283430</v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/>
          </cell>
          <cell r="L748">
            <v>-6.3630000000000004</v>
          </cell>
          <cell r="M748">
            <v>-6.3630000000000004</v>
          </cell>
          <cell r="N748">
            <v>-6.3630000000000004</v>
          </cell>
          <cell r="O748">
            <v>-6.3630000000000004</v>
          </cell>
          <cell r="P748">
            <v>-6.3630000000000004</v>
          </cell>
          <cell r="Q748">
            <v>-6.3630000000000004</v>
          </cell>
          <cell r="R748">
            <v>-6.3630000000000004</v>
          </cell>
          <cell r="S748">
            <v>-6.3630000000000004</v>
          </cell>
          <cell r="T748">
            <v>-6.3630000000000004</v>
          </cell>
          <cell r="U748">
            <v>-6.3630000000000004</v>
          </cell>
          <cell r="V748">
            <v>-6.3630000000000004</v>
          </cell>
          <cell r="W748">
            <v>-6.3630000000000004</v>
          </cell>
          <cell r="X748">
            <v>-6.3630000000000004</v>
          </cell>
          <cell r="Y748">
            <v>-6.3630000000000004</v>
          </cell>
        </row>
        <row r="749">
          <cell r="B749">
            <v>283500</v>
          </cell>
          <cell r="C749" t="str">
            <v>Roll Fwd Sched</v>
          </cell>
          <cell r="D749" t="str">
            <v>ADIT-OTH-REG-FEDERAL-ELECTRIC</v>
          </cell>
          <cell r="E749" t="str">
            <v/>
          </cell>
          <cell r="F749">
            <v>283500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/>
          </cell>
          <cell r="L749">
            <v>-89191.96286</v>
          </cell>
          <cell r="M749">
            <v>-87353.633000000002</v>
          </cell>
          <cell r="N749">
            <v>-87464.497820000004</v>
          </cell>
          <cell r="O749">
            <v>-85770.694730000003</v>
          </cell>
          <cell r="P749">
            <v>-85131.660619999995</v>
          </cell>
          <cell r="Q749">
            <v>-83432.593009999997</v>
          </cell>
          <cell r="R749">
            <v>-82240.176229999997</v>
          </cell>
          <cell r="S749">
            <v>-80432.232369999998</v>
          </cell>
          <cell r="T749">
            <v>-78714.900769999993</v>
          </cell>
          <cell r="U749">
            <v>-78303.43535</v>
          </cell>
          <cell r="V749">
            <v>-77594.090530000001</v>
          </cell>
          <cell r="W749">
            <v>-74951.112380000006</v>
          </cell>
          <cell r="X749">
            <v>-79283.849359999993</v>
          </cell>
          <cell r="Y749">
            <v>-82135.577743000002</v>
          </cell>
        </row>
        <row r="750">
          <cell r="B750">
            <v>283505</v>
          </cell>
          <cell r="C750" t="str">
            <v>SFAS-109</v>
          </cell>
          <cell r="D750" t="str">
            <v>ADIT-FAS 109 GROSSUP-FEDERAL ELECTRIC</v>
          </cell>
          <cell r="E750" t="str">
            <v/>
          </cell>
          <cell r="F750" t="str">
            <v/>
          </cell>
          <cell r="G750" t="str">
            <v/>
          </cell>
          <cell r="H750">
            <v>283505</v>
          </cell>
          <cell r="I750" t="str">
            <v/>
          </cell>
          <cell r="J750" t="str">
            <v/>
          </cell>
          <cell r="K750" t="str">
            <v/>
          </cell>
          <cell r="L750">
            <v>-39012.020989999997</v>
          </cell>
          <cell r="M750">
            <v>-38774.953249999999</v>
          </cell>
          <cell r="N750">
            <v>-39141.840510000002</v>
          </cell>
          <cell r="O750">
            <v>-39327.870159999999</v>
          </cell>
          <cell r="P750">
            <v>-39170.206270000002</v>
          </cell>
          <cell r="Q750">
            <v>-39353.842700000001</v>
          </cell>
          <cell r="R750">
            <v>-39410.882180000001</v>
          </cell>
          <cell r="S750">
            <v>-39473.295720000002</v>
          </cell>
          <cell r="T750">
            <v>-39515.759700000002</v>
          </cell>
          <cell r="U750">
            <v>-40242.218439999997</v>
          </cell>
          <cell r="V750">
            <v>-40313.160609999999</v>
          </cell>
          <cell r="W750">
            <v>-26640.41634</v>
          </cell>
          <cell r="X750">
            <v>-31446.95379</v>
          </cell>
          <cell r="Y750">
            <v>-38049.494439000002</v>
          </cell>
        </row>
        <row r="751">
          <cell r="B751">
            <v>283506</v>
          </cell>
          <cell r="C751" t="str">
            <v>SFAS-109</v>
          </cell>
          <cell r="D751" t="str">
            <v>ADIT-FAS 109 GROSSUP-FEDERAL GAS</v>
          </cell>
          <cell r="E751" t="str">
            <v/>
          </cell>
          <cell r="F751" t="str">
            <v/>
          </cell>
          <cell r="G751" t="str">
            <v/>
          </cell>
          <cell r="H751">
            <v>283506</v>
          </cell>
          <cell r="I751" t="str">
            <v/>
          </cell>
          <cell r="J751" t="str">
            <v/>
          </cell>
          <cell r="K751" t="str">
            <v/>
          </cell>
          <cell r="L751">
            <v>-12399.867130000001</v>
          </cell>
          <cell r="M751">
            <v>-12366.3914</v>
          </cell>
          <cell r="N751">
            <v>-12330.51758</v>
          </cell>
          <cell r="O751">
            <v>-12324.110420000001</v>
          </cell>
          <cell r="P751">
            <v>-12300.151980000001</v>
          </cell>
          <cell r="Q751">
            <v>-12285.74368</v>
          </cell>
          <cell r="R751">
            <v>-12244.780269999999</v>
          </cell>
          <cell r="S751">
            <v>-12210.2232</v>
          </cell>
          <cell r="T751">
            <v>-12197.26304</v>
          </cell>
          <cell r="U751">
            <v>-12241.14687</v>
          </cell>
          <cell r="V751">
            <v>-12220.35491</v>
          </cell>
          <cell r="W751">
            <v>-12175.822340000001</v>
          </cell>
          <cell r="X751">
            <v>-11841.49188</v>
          </cell>
          <cell r="Y751">
            <v>-12251.4321</v>
          </cell>
        </row>
        <row r="752">
          <cell r="B752">
            <v>283510</v>
          </cell>
          <cell r="C752" t="str">
            <v>Roll Fwd Sched</v>
          </cell>
          <cell r="D752" t="str">
            <v>ADIT-OTH-REG-FEDERAL-GAS</v>
          </cell>
          <cell r="E752" t="str">
            <v/>
          </cell>
          <cell r="F752">
            <v>283510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/>
          </cell>
          <cell r="L752">
            <v>-35451.891340000002</v>
          </cell>
          <cell r="M752">
            <v>-34118.241430000002</v>
          </cell>
          <cell r="N752">
            <v>-34090.177929999998</v>
          </cell>
          <cell r="O752">
            <v>-32635.01683</v>
          </cell>
          <cell r="P752">
            <v>-32002.952590000001</v>
          </cell>
          <cell r="Q752">
            <v>-32000.834589999999</v>
          </cell>
          <cell r="R752">
            <v>-32170.97365</v>
          </cell>
          <cell r="S752">
            <v>-32116.455750000001</v>
          </cell>
          <cell r="T752">
            <v>-31062.34101</v>
          </cell>
          <cell r="U752">
            <v>-31464.8940799999</v>
          </cell>
          <cell r="V752">
            <v>-31054.655119999999</v>
          </cell>
          <cell r="W752">
            <v>-30736.19411</v>
          </cell>
          <cell r="X752">
            <v>-33328.215640000002</v>
          </cell>
          <cell r="Y752">
            <v>-32320.232548</v>
          </cell>
        </row>
        <row r="753">
          <cell r="B753">
            <v>283515</v>
          </cell>
          <cell r="C753" t="str">
            <v>SFAS-109</v>
          </cell>
          <cell r="D753" t="str">
            <v>ADIT-FAS 109 GROSSUP-STATE ELECTRIC</v>
          </cell>
          <cell r="E753" t="str">
            <v/>
          </cell>
          <cell r="F753" t="str">
            <v/>
          </cell>
          <cell r="G753" t="str">
            <v/>
          </cell>
          <cell r="H753">
            <v>283515</v>
          </cell>
          <cell r="I753" t="str">
            <v/>
          </cell>
          <cell r="J753" t="str">
            <v/>
          </cell>
          <cell r="K753" t="str">
            <v/>
          </cell>
          <cell r="L753">
            <v>-3395.4392499999999</v>
          </cell>
          <cell r="M753">
            <v>-3329.5440800000001</v>
          </cell>
          <cell r="N753">
            <v>-3395.5290100000002</v>
          </cell>
          <cell r="O753">
            <v>-3422.02169</v>
          </cell>
          <cell r="P753">
            <v>-3373.4652500000002</v>
          </cell>
          <cell r="Q753">
            <v>-3395.9962</v>
          </cell>
          <cell r="R753">
            <v>-3397.76172</v>
          </cell>
          <cell r="S753">
            <v>-3397.2615300000002</v>
          </cell>
          <cell r="T753">
            <v>-3392.4051199999999</v>
          </cell>
          <cell r="U753">
            <v>-3327.1487299999999</v>
          </cell>
          <cell r="V753">
            <v>-3328.5108500000001</v>
          </cell>
          <cell r="W753">
            <v>-1451.1038000000001</v>
          </cell>
          <cell r="X753">
            <v>-2737.58761</v>
          </cell>
          <cell r="Y753">
            <v>-3189.771784</v>
          </cell>
        </row>
        <row r="754">
          <cell r="B754">
            <v>283516</v>
          </cell>
          <cell r="C754" t="str">
            <v>SFAS-109</v>
          </cell>
          <cell r="D754" t="str">
            <v>ADIT-FAS 109 GROSSUP-STATE GAS</v>
          </cell>
          <cell r="E754" t="str">
            <v/>
          </cell>
          <cell r="F754" t="str">
            <v/>
          </cell>
          <cell r="G754" t="str">
            <v/>
          </cell>
          <cell r="H754">
            <v>283516</v>
          </cell>
          <cell r="I754" t="str">
            <v/>
          </cell>
          <cell r="J754" t="str">
            <v/>
          </cell>
          <cell r="K754" t="str">
            <v/>
          </cell>
          <cell r="L754">
            <v>-1083.33431</v>
          </cell>
          <cell r="M754">
            <v>-1074.55333</v>
          </cell>
          <cell r="N754">
            <v>-1065.24866</v>
          </cell>
          <cell r="O754">
            <v>-1062.3784000000001</v>
          </cell>
          <cell r="P754">
            <v>-1055.6756</v>
          </cell>
          <cell r="Q754">
            <v>-1051.0582099999999</v>
          </cell>
          <cell r="R754">
            <v>-1040.6422</v>
          </cell>
          <cell r="S754">
            <v>-1031.62508</v>
          </cell>
          <cell r="T754">
            <v>-1027.3239100000001</v>
          </cell>
          <cell r="U754">
            <v>-1035.4352100000001</v>
          </cell>
          <cell r="V754">
            <v>-1029.42383</v>
          </cell>
          <cell r="W754">
            <v>-983.26813000000004</v>
          </cell>
          <cell r="X754">
            <v>-908.79226000000006</v>
          </cell>
          <cell r="Y754">
            <v>-1037.7246540000001</v>
          </cell>
        </row>
        <row r="755">
          <cell r="B755">
            <v>283550</v>
          </cell>
          <cell r="C755" t="str">
            <v>Roll Fwd Sched</v>
          </cell>
          <cell r="D755" t="str">
            <v>ADIT-OTH-REG-STATE-ELECTRIC</v>
          </cell>
          <cell r="E755" t="str">
            <v/>
          </cell>
          <cell r="F755">
            <v>283550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/>
          </cell>
          <cell r="L755">
            <v>-16585.82271</v>
          </cell>
          <cell r="M755">
            <v>-16293.38984</v>
          </cell>
          <cell r="N755">
            <v>-16426.584579999999</v>
          </cell>
          <cell r="O755">
            <v>-16165.71067</v>
          </cell>
          <cell r="P755">
            <v>-16135.156929999999</v>
          </cell>
          <cell r="Q755">
            <v>-15873.133449999999</v>
          </cell>
          <cell r="R755">
            <v>-15721.74265</v>
          </cell>
          <cell r="S755">
            <v>-15435.944869999999</v>
          </cell>
          <cell r="T755">
            <v>-15169.93326</v>
          </cell>
          <cell r="U755">
            <v>-15188.901669999999</v>
          </cell>
          <cell r="V755">
            <v>-15142.994839999999</v>
          </cell>
          <cell r="W755">
            <v>-14674.858319999999</v>
          </cell>
          <cell r="X755">
            <v>-15729.944310000001</v>
          </cell>
          <cell r="Y755">
            <v>-15698.852883</v>
          </cell>
        </row>
        <row r="756">
          <cell r="B756">
            <v>283560</v>
          </cell>
          <cell r="C756" t="str">
            <v>Roll Fwd Sched</v>
          </cell>
          <cell r="D756" t="str">
            <v>ADIT-OTH-REG-STATE-GAS</v>
          </cell>
          <cell r="E756" t="str">
            <v/>
          </cell>
          <cell r="F756">
            <v>283560</v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/>
          </cell>
          <cell r="L756">
            <v>-7668.6297100000002</v>
          </cell>
          <cell r="M756">
            <v>-7377.4129000000003</v>
          </cell>
          <cell r="N756">
            <v>-7371.2849399999996</v>
          </cell>
          <cell r="O756">
            <v>-7053.5348599999998</v>
          </cell>
          <cell r="P756">
            <v>-6915.5168299999996</v>
          </cell>
          <cell r="Q756">
            <v>-6915.0543399999997</v>
          </cell>
          <cell r="R756">
            <v>-6952.20604</v>
          </cell>
          <cell r="S756">
            <v>-6940.3014700000003</v>
          </cell>
          <cell r="T756">
            <v>-6710.12417</v>
          </cell>
          <cell r="U756">
            <v>-6798.1958000000004</v>
          </cell>
          <cell r="V756">
            <v>-6708.61571</v>
          </cell>
          <cell r="W756">
            <v>-6639.0763299999999</v>
          </cell>
          <cell r="X756">
            <v>-7205.0721100000001</v>
          </cell>
          <cell r="Y756">
            <v>-6984.8478580000001</v>
          </cell>
        </row>
        <row r="757">
          <cell r="B757">
            <v>283883</v>
          </cell>
          <cell r="C757" t="str">
            <v>Roll Fwd Sched</v>
          </cell>
          <cell r="D757" t="str">
            <v>TAXES ACCRUED-GAS-GAAP FIN 48 - DEFERRED</v>
          </cell>
          <cell r="E757" t="str">
            <v/>
          </cell>
          <cell r="F757">
            <v>283883</v>
          </cell>
          <cell r="G757" t="str">
            <v/>
          </cell>
          <cell r="H757">
            <v>283883</v>
          </cell>
          <cell r="I757" t="str">
            <v/>
          </cell>
          <cell r="J757" t="str">
            <v/>
          </cell>
          <cell r="K757" t="str">
            <v/>
          </cell>
          <cell r="L757">
            <v>-3205</v>
          </cell>
          <cell r="M757">
            <v>-3205</v>
          </cell>
          <cell r="N757">
            <v>-3205</v>
          </cell>
          <cell r="O757">
            <v>-3205</v>
          </cell>
          <cell r="P757">
            <v>-3205</v>
          </cell>
          <cell r="Q757">
            <v>-3205</v>
          </cell>
          <cell r="R757">
            <v>-3205</v>
          </cell>
          <cell r="S757">
            <v>-3205</v>
          </cell>
          <cell r="T757">
            <v>-3205</v>
          </cell>
          <cell r="U757">
            <v>-3205</v>
          </cell>
          <cell r="V757">
            <v>-3205</v>
          </cell>
          <cell r="W757">
            <v>-3205</v>
          </cell>
          <cell r="X757">
            <v>0</v>
          </cell>
          <cell r="Y757">
            <v>-3071.458333</v>
          </cell>
        </row>
        <row r="758">
          <cell r="B758">
            <v>283884</v>
          </cell>
          <cell r="C758" t="str">
            <v>Roll Fwd Sched</v>
          </cell>
          <cell r="D758" t="str">
            <v>TAXES ACCRUED-ELEC-FERC FIN 48 - DEFERRED</v>
          </cell>
          <cell r="E758" t="str">
            <v/>
          </cell>
          <cell r="F758">
            <v>283884</v>
          </cell>
          <cell r="G758" t="str">
            <v/>
          </cell>
          <cell r="H758">
            <v>283884</v>
          </cell>
          <cell r="I758" t="str">
            <v/>
          </cell>
          <cell r="J758" t="str">
            <v/>
          </cell>
          <cell r="K758" t="str">
            <v/>
          </cell>
          <cell r="L758">
            <v>-704</v>
          </cell>
          <cell r="M758">
            <v>-704</v>
          </cell>
          <cell r="N758">
            <v>-704</v>
          </cell>
          <cell r="O758">
            <v>-704</v>
          </cell>
          <cell r="P758">
            <v>-704</v>
          </cell>
          <cell r="Q758">
            <v>-704</v>
          </cell>
          <cell r="R758">
            <v>-704</v>
          </cell>
          <cell r="S758">
            <v>-704</v>
          </cell>
          <cell r="T758">
            <v>-704</v>
          </cell>
          <cell r="U758">
            <v>-704</v>
          </cell>
          <cell r="V758">
            <v>-704</v>
          </cell>
          <cell r="W758">
            <v>-704</v>
          </cell>
          <cell r="X758">
            <v>-704</v>
          </cell>
          <cell r="Y758">
            <v>-704</v>
          </cell>
        </row>
        <row r="759">
          <cell r="B759">
            <v>283983</v>
          </cell>
          <cell r="C759" t="str">
            <v>Roll Fwd Sched</v>
          </cell>
          <cell r="D759" t="str">
            <v>TAXES ACCRUED-ELEC-FERC FIN 48 - DEFERRED</v>
          </cell>
          <cell r="E759" t="str">
            <v/>
          </cell>
          <cell r="F759">
            <v>283983</v>
          </cell>
          <cell r="G759" t="str">
            <v/>
          </cell>
          <cell r="H759">
            <v>283983</v>
          </cell>
          <cell r="I759" t="str">
            <v/>
          </cell>
          <cell r="J759" t="str">
            <v/>
          </cell>
          <cell r="K759" t="str">
            <v/>
          </cell>
          <cell r="L759">
            <v>3205</v>
          </cell>
          <cell r="M759">
            <v>3205</v>
          </cell>
          <cell r="N759">
            <v>3205</v>
          </cell>
          <cell r="O759">
            <v>3205</v>
          </cell>
          <cell r="P759">
            <v>3205</v>
          </cell>
          <cell r="Q759">
            <v>3205</v>
          </cell>
          <cell r="R759">
            <v>3205</v>
          </cell>
          <cell r="S759">
            <v>3205</v>
          </cell>
          <cell r="T759">
            <v>3205</v>
          </cell>
          <cell r="U759">
            <v>3205</v>
          </cell>
          <cell r="V759">
            <v>3205</v>
          </cell>
          <cell r="W759">
            <v>3205</v>
          </cell>
          <cell r="X759">
            <v>0</v>
          </cell>
          <cell r="Y759">
            <v>3071.458333</v>
          </cell>
        </row>
        <row r="760">
          <cell r="B760">
            <v>283984</v>
          </cell>
          <cell r="C760" t="str">
            <v>Roll Fwd Sched</v>
          </cell>
          <cell r="D760" t="str">
            <v>TAXES ACCRUED-GAS-FERC FIN 48 - DEFERRED</v>
          </cell>
          <cell r="E760" t="str">
            <v/>
          </cell>
          <cell r="F760">
            <v>283984</v>
          </cell>
          <cell r="G760" t="str">
            <v/>
          </cell>
          <cell r="H760">
            <v>283984</v>
          </cell>
          <cell r="I760" t="str">
            <v/>
          </cell>
          <cell r="J760" t="str">
            <v/>
          </cell>
          <cell r="K760" t="str">
            <v/>
          </cell>
          <cell r="L760">
            <v>704</v>
          </cell>
          <cell r="M760">
            <v>704</v>
          </cell>
          <cell r="N760">
            <v>704</v>
          </cell>
          <cell r="O760">
            <v>704</v>
          </cell>
          <cell r="P760">
            <v>704</v>
          </cell>
          <cell r="Q760">
            <v>704</v>
          </cell>
          <cell r="R760">
            <v>704</v>
          </cell>
          <cell r="S760">
            <v>704</v>
          </cell>
          <cell r="T760">
            <v>704</v>
          </cell>
          <cell r="U760">
            <v>704</v>
          </cell>
          <cell r="V760">
            <v>704</v>
          </cell>
          <cell r="W760">
            <v>704</v>
          </cell>
          <cell r="X760">
            <v>704</v>
          </cell>
          <cell r="Y760">
            <v>704</v>
          </cell>
        </row>
        <row r="761">
          <cell r="B761">
            <v>283986</v>
          </cell>
          <cell r="C761" t="str">
            <v>Roll Fwd Sched</v>
          </cell>
          <cell r="D761" t="str">
            <v>RECLASS-ACCUM DEFER INC TX-FED-CURRENT-ELECTRIC</v>
          </cell>
          <cell r="E761" t="str">
            <v/>
          </cell>
          <cell r="F761">
            <v>283986</v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B762">
            <v>283987</v>
          </cell>
          <cell r="C762" t="str">
            <v>Roll Fwd Sched</v>
          </cell>
          <cell r="D762" t="str">
            <v>RECLASS-ACCUM DEFER INC TX-FED-CURRENT-GAS</v>
          </cell>
          <cell r="E762" t="str">
            <v/>
          </cell>
          <cell r="F762">
            <v>283987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</row>
        <row r="763">
          <cell r="B763">
            <v>283988</v>
          </cell>
          <cell r="C763" t="str">
            <v>Roll Fwd Sched</v>
          </cell>
          <cell r="D763" t="str">
            <v>RECLASS-ACCUM DEFER INC TX-STATE-CURRENT-ELECTRIC</v>
          </cell>
          <cell r="E763" t="str">
            <v/>
          </cell>
          <cell r="F763">
            <v>283988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/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</row>
        <row r="764">
          <cell r="B764">
            <v>283989</v>
          </cell>
          <cell r="C764" t="str">
            <v>Roll Fwd Sched</v>
          </cell>
          <cell r="D764" t="str">
            <v>RECLASS-ACCUM DEFER INC TX-STATE-CURRENT-GAS</v>
          </cell>
          <cell r="E764" t="str">
            <v/>
          </cell>
          <cell r="F764">
            <v>283989</v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/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B765">
            <v>283990</v>
          </cell>
          <cell r="C765" t="str">
            <v>SFAS-109</v>
          </cell>
          <cell r="D765" t="str">
            <v>RECLASS-OTHER REG LIAB-ADIT-ELEC (WITH ACCT 28399</v>
          </cell>
          <cell r="E765" t="str">
            <v/>
          </cell>
          <cell r="F765" t="str">
            <v/>
          </cell>
          <cell r="G765" t="str">
            <v/>
          </cell>
          <cell r="H765">
            <v>283990</v>
          </cell>
          <cell r="I765" t="str">
            <v/>
          </cell>
          <cell r="J765" t="str">
            <v/>
          </cell>
          <cell r="K765" t="str">
            <v/>
          </cell>
          <cell r="L765">
            <v>-21180.91561</v>
          </cell>
          <cell r="M765">
            <v>-21180.91561</v>
          </cell>
          <cell r="N765">
            <v>-21180.91561</v>
          </cell>
          <cell r="O765">
            <v>-21180.91561</v>
          </cell>
          <cell r="P765">
            <v>-21180.91561</v>
          </cell>
          <cell r="Q765">
            <v>-21180.91561</v>
          </cell>
          <cell r="R765">
            <v>-21180.91561</v>
          </cell>
          <cell r="S765">
            <v>-21180.91561</v>
          </cell>
          <cell r="T765">
            <v>-21180.91561</v>
          </cell>
          <cell r="U765">
            <v>-21180.91561</v>
          </cell>
          <cell r="V765">
            <v>-21180.91561</v>
          </cell>
          <cell r="W765">
            <v>-21180.91561</v>
          </cell>
          <cell r="X765">
            <v>-21180.91561</v>
          </cell>
          <cell r="Y765">
            <v>-21180.91561</v>
          </cell>
        </row>
        <row r="766">
          <cell r="B766">
            <v>283991</v>
          </cell>
          <cell r="C766" t="str">
            <v>SFAS-109</v>
          </cell>
          <cell r="D766" t="str">
            <v>RECLASS-OTH REG LIAB-ADIT-ELEC (W/ ACCT 283990)</v>
          </cell>
          <cell r="E766" t="str">
            <v/>
          </cell>
          <cell r="F766" t="str">
            <v/>
          </cell>
          <cell r="G766" t="str">
            <v/>
          </cell>
          <cell r="H766">
            <v>283991</v>
          </cell>
          <cell r="I766" t="str">
            <v/>
          </cell>
          <cell r="J766" t="str">
            <v/>
          </cell>
          <cell r="K766" t="str">
            <v/>
          </cell>
          <cell r="L766">
            <v>21180.915059999999</v>
          </cell>
          <cell r="M766">
            <v>21180.915059999999</v>
          </cell>
          <cell r="N766">
            <v>21180.915059999999</v>
          </cell>
          <cell r="O766">
            <v>21180.915059999999</v>
          </cell>
          <cell r="P766">
            <v>21180.915059999999</v>
          </cell>
          <cell r="Q766">
            <v>21180.915059999999</v>
          </cell>
          <cell r="R766">
            <v>21180.915059999999</v>
          </cell>
          <cell r="S766">
            <v>21180.915059999999</v>
          </cell>
          <cell r="T766">
            <v>21180.915059999999</v>
          </cell>
          <cell r="U766">
            <v>21180.915059999999</v>
          </cell>
          <cell r="V766">
            <v>21180.915059999999</v>
          </cell>
          <cell r="W766">
            <v>21180.915059999999</v>
          </cell>
          <cell r="X766">
            <v>21180.915059999999</v>
          </cell>
          <cell r="Y766">
            <v>21180.915059999999</v>
          </cell>
        </row>
        <row r="767">
          <cell r="B767">
            <v>283992</v>
          </cell>
          <cell r="C767" t="str">
            <v>SFAS-109</v>
          </cell>
          <cell r="D767" t="str">
            <v>RECLASS-OTH REG LIAB-ADIT-GAS (W/ ACCT 283993)</v>
          </cell>
          <cell r="E767" t="str">
            <v/>
          </cell>
          <cell r="F767" t="str">
            <v/>
          </cell>
          <cell r="G767" t="str">
            <v/>
          </cell>
          <cell r="H767">
            <v>283992</v>
          </cell>
          <cell r="I767" t="str">
            <v/>
          </cell>
          <cell r="J767" t="str">
            <v/>
          </cell>
          <cell r="K767" t="str">
            <v/>
          </cell>
          <cell r="L767">
            <v>2851.5479799999998</v>
          </cell>
          <cell r="M767">
            <v>2851.5479799999998</v>
          </cell>
          <cell r="N767">
            <v>2851.5479799999998</v>
          </cell>
          <cell r="O767">
            <v>2851.5479799999998</v>
          </cell>
          <cell r="P767">
            <v>2851.5479799999998</v>
          </cell>
          <cell r="Q767">
            <v>2851.5479799999998</v>
          </cell>
          <cell r="R767">
            <v>2851.5479799999998</v>
          </cell>
          <cell r="S767">
            <v>2851.5479799999998</v>
          </cell>
          <cell r="T767">
            <v>2851.5479799999998</v>
          </cell>
          <cell r="U767">
            <v>2851.5479799999998</v>
          </cell>
          <cell r="V767">
            <v>2851.5479799999998</v>
          </cell>
          <cell r="W767">
            <v>2851.5479799999998</v>
          </cell>
          <cell r="X767">
            <v>2851.5479799999998</v>
          </cell>
          <cell r="Y767">
            <v>2851.5479799999998</v>
          </cell>
        </row>
        <row r="768">
          <cell r="B768">
            <v>283993</v>
          </cell>
          <cell r="C768" t="str">
            <v>SFAS-109</v>
          </cell>
          <cell r="D768" t="str">
            <v>RECLASS-OTH REG LIAB-ADIT-GAS (W/ ACCT 283992)</v>
          </cell>
          <cell r="E768" t="str">
            <v/>
          </cell>
          <cell r="F768" t="str">
            <v/>
          </cell>
          <cell r="G768" t="str">
            <v/>
          </cell>
          <cell r="H768">
            <v>283993</v>
          </cell>
          <cell r="I768" t="str">
            <v/>
          </cell>
          <cell r="J768" t="str">
            <v/>
          </cell>
          <cell r="K768" t="str">
            <v/>
          </cell>
          <cell r="L768">
            <v>-2851.5480200000002</v>
          </cell>
          <cell r="M768">
            <v>-2851.5480200000002</v>
          </cell>
          <cell r="N768">
            <v>-2851.5480200000002</v>
          </cell>
          <cell r="O768">
            <v>-2851.5480200000002</v>
          </cell>
          <cell r="P768">
            <v>-2851.5480200000002</v>
          </cell>
          <cell r="Q768">
            <v>-2851.5480200000002</v>
          </cell>
          <cell r="R768">
            <v>-2851.5480200000002</v>
          </cell>
          <cell r="S768">
            <v>-2851.5480200000002</v>
          </cell>
          <cell r="T768">
            <v>-2851.5480200000002</v>
          </cell>
          <cell r="U768">
            <v>-2851.5480200000002</v>
          </cell>
          <cell r="V768">
            <v>-2851.5480200000002</v>
          </cell>
          <cell r="W768">
            <v>-2851.5480200000002</v>
          </cell>
          <cell r="X768">
            <v>-2851.5480200000002</v>
          </cell>
          <cell r="Y768">
            <v>-2851.5480200000002</v>
          </cell>
        </row>
        <row r="769">
          <cell r="B769">
            <v>299999</v>
          </cell>
          <cell r="C769" t="str">
            <v>Not in RTBS</v>
          </cell>
          <cell r="D769" t="str">
            <v>INTERFACE-CLEARING</v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>
            <v>299999</v>
          </cell>
          <cell r="K769" t="str">
            <v/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</row>
        <row r="770">
          <cell r="B770">
            <v>407300</v>
          </cell>
          <cell r="C770" t="str">
            <v>NOT USED</v>
          </cell>
          <cell r="D770" t="str">
            <v>REGULATORY DEBITS - ELECTRIC</v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/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</row>
        <row r="771">
          <cell r="B771">
            <v>407303</v>
          </cell>
          <cell r="C771" t="str">
            <v>NOT USED</v>
          </cell>
          <cell r="D771" t="str">
            <v>REGULATORY DEBITS - ELECTRIC - O&amp;M</v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/>
          </cell>
          <cell r="L771">
            <v>1025.02476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42.709364999999998</v>
          </cell>
        </row>
        <row r="772">
          <cell r="B772">
            <v>407310</v>
          </cell>
          <cell r="C772" t="str">
            <v>NOT USED</v>
          </cell>
          <cell r="D772" t="str">
            <v>REGULATORY DEBITS - GAS</v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/>
          </cell>
          <cell r="L772">
            <v>519.62211000000002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21.650921</v>
          </cell>
        </row>
        <row r="773">
          <cell r="B773">
            <v>407402</v>
          </cell>
          <cell r="C773" t="str">
            <v>NOT USED</v>
          </cell>
          <cell r="D773" t="str">
            <v>REGULATORY CREDITS - ELECTRIC-PURCHASED POWER</v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/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</row>
        <row r="774">
          <cell r="B774">
            <v>407403</v>
          </cell>
          <cell r="C774" t="str">
            <v>NOT USED</v>
          </cell>
          <cell r="D774" t="str">
            <v>REGULATORY CREDITS - ELECTRIC - O&amp;M</v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/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B775">
            <v>411710</v>
          </cell>
          <cell r="C775" t="str">
            <v>NOT USED</v>
          </cell>
          <cell r="D775" t="str">
            <v>LOSSES FR DISP OF UTILITY PHFFU-ELEC</v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/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B776">
            <v>415000</v>
          </cell>
          <cell r="C776" t="str">
            <v>NOT USED</v>
          </cell>
          <cell r="D776" t="str">
            <v>REVENUE FROM MERCHANDISING</v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/>
          </cell>
          <cell r="L776">
            <v>-12.8714</v>
          </cell>
          <cell r="M776">
            <v>-1.06335</v>
          </cell>
          <cell r="N776">
            <v>-2.1267</v>
          </cell>
          <cell r="O776">
            <v>-2.1892499999999999</v>
          </cell>
          <cell r="P776">
            <v>-2.24485</v>
          </cell>
          <cell r="Q776">
            <v>-2.3143500000000001</v>
          </cell>
          <cell r="R776">
            <v>-2.3769</v>
          </cell>
          <cell r="S776">
            <v>-2.4325000000000001</v>
          </cell>
          <cell r="T776">
            <v>-2.5019999999999998</v>
          </cell>
          <cell r="U776">
            <v>-2.5645500000000001</v>
          </cell>
          <cell r="V776">
            <v>-2.6271</v>
          </cell>
          <cell r="W776">
            <v>-2.6896499999999999</v>
          </cell>
          <cell r="X776">
            <v>-1.6679999999999999</v>
          </cell>
          <cell r="Y776">
            <v>-2.700075</v>
          </cell>
        </row>
        <row r="777">
          <cell r="B777">
            <v>417000</v>
          </cell>
          <cell r="C777" t="str">
            <v>NOT USED</v>
          </cell>
          <cell r="D777" t="str">
            <v>REVENUES OF NONUTILITY OPERATIONS</v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/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</row>
        <row r="778">
          <cell r="B778">
            <v>417099</v>
          </cell>
          <cell r="C778" t="str">
            <v>NOT USED</v>
          </cell>
          <cell r="D778" t="str">
            <v>NON UTILITY REVENUES - INTERCOMPANY</v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/>
          </cell>
          <cell r="L778">
            <v>-1029.2888399999999</v>
          </cell>
          <cell r="M778">
            <v>-85.774069999999995</v>
          </cell>
          <cell r="N778">
            <v>-171.54813999999999</v>
          </cell>
          <cell r="O778">
            <v>-257.32220999999998</v>
          </cell>
          <cell r="P778">
            <v>-343.09627999999998</v>
          </cell>
          <cell r="Q778">
            <v>-428.87034999999997</v>
          </cell>
          <cell r="R778">
            <v>-514.64441999999997</v>
          </cell>
          <cell r="S778">
            <v>-600.41849000000002</v>
          </cell>
          <cell r="T778">
            <v>-686.19255999999996</v>
          </cell>
          <cell r="U778">
            <v>-771.96663000000001</v>
          </cell>
          <cell r="V778">
            <v>-857.74069999999995</v>
          </cell>
          <cell r="W778">
            <v>-943.51477</v>
          </cell>
          <cell r="X778">
            <v>-1029.2888399999999</v>
          </cell>
          <cell r="Y778">
            <v>-557.53145500000005</v>
          </cell>
        </row>
        <row r="779">
          <cell r="B779">
            <v>418000</v>
          </cell>
          <cell r="C779" t="str">
            <v>NOT USED</v>
          </cell>
          <cell r="D779" t="str">
            <v>NONOP RENTAL INC</v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>
            <v>418010</v>
          </cell>
          <cell r="C780" t="str">
            <v>NOT USED</v>
          </cell>
          <cell r="D780" t="str">
            <v>NONOP RENTAL INC-PROP DEPR EXP</v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/>
          </cell>
          <cell r="L780">
            <v>30.25752</v>
          </cell>
          <cell r="M780">
            <v>2.5214599999999998</v>
          </cell>
          <cell r="N780">
            <v>5.0429199999999996</v>
          </cell>
          <cell r="O780">
            <v>7.5643799999999999</v>
          </cell>
          <cell r="P780">
            <v>10.085839999999999</v>
          </cell>
          <cell r="Q780">
            <v>12.6073</v>
          </cell>
          <cell r="R780">
            <v>15.12876</v>
          </cell>
          <cell r="S780">
            <v>17.650220000000001</v>
          </cell>
          <cell r="T780">
            <v>20.171679999999999</v>
          </cell>
          <cell r="U780">
            <v>22.69314</v>
          </cell>
          <cell r="V780">
            <v>25.214600000000001</v>
          </cell>
          <cell r="W780">
            <v>27.736059999999998</v>
          </cell>
          <cell r="X780">
            <v>30.25752</v>
          </cell>
          <cell r="Y780">
            <v>16.389489999999999</v>
          </cell>
        </row>
        <row r="781">
          <cell r="B781">
            <v>419010</v>
          </cell>
          <cell r="C781" t="str">
            <v>NOT USED</v>
          </cell>
          <cell r="D781" t="str">
            <v>MISCELLANEOUS DIVIDEND INCOME</v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L781">
            <v>-6.8320000000000006E-2</v>
          </cell>
          <cell r="M781">
            <v>-0.60916999999999999</v>
          </cell>
          <cell r="N781">
            <v>-0.61036999999999997</v>
          </cell>
          <cell r="O781">
            <v>-0.61036999999999997</v>
          </cell>
          <cell r="P781">
            <v>-0.61180999999999996</v>
          </cell>
          <cell r="Q781">
            <v>-0.61180999999999996</v>
          </cell>
          <cell r="R781">
            <v>-0.61180999999999996</v>
          </cell>
          <cell r="S781">
            <v>-0.61324999999999996</v>
          </cell>
          <cell r="T781">
            <v>-0.61324999999999996</v>
          </cell>
          <cell r="U781">
            <v>-0.61738999999999999</v>
          </cell>
          <cell r="V781">
            <v>-0.61738999999999999</v>
          </cell>
          <cell r="W781">
            <v>-0.61738999999999999</v>
          </cell>
          <cell r="X781">
            <v>-0.78512999999999999</v>
          </cell>
          <cell r="Y781">
            <v>-0.59756100000000001</v>
          </cell>
        </row>
        <row r="782">
          <cell r="B782">
            <v>419020</v>
          </cell>
          <cell r="C782" t="str">
            <v>NOT USED</v>
          </cell>
          <cell r="D782" t="str">
            <v>MISCELLANEOUS INTEREST INC -  SECURITIES OWNED</v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/>
          </cell>
          <cell r="L782">
            <v>-142.42536999999999</v>
          </cell>
          <cell r="M782">
            <v>-25.181629999999998</v>
          </cell>
          <cell r="N782">
            <v>-30.45552</v>
          </cell>
          <cell r="O782">
            <v>-31.732710000000001</v>
          </cell>
          <cell r="P782">
            <v>-33.722909999999999</v>
          </cell>
          <cell r="Q782">
            <v>-33.722909999999999</v>
          </cell>
          <cell r="R782">
            <v>-33.722909999999999</v>
          </cell>
          <cell r="S782">
            <v>-35.269979999999997</v>
          </cell>
          <cell r="T782">
            <v>-42.922829999999998</v>
          </cell>
          <cell r="U782">
            <v>-52.204500000000003</v>
          </cell>
          <cell r="V782">
            <v>-54.334789999999998</v>
          </cell>
          <cell r="W782">
            <v>-63.22927</v>
          </cell>
          <cell r="X782">
            <v>-84.242670000000004</v>
          </cell>
          <cell r="Y782">
            <v>-45.819498000000003</v>
          </cell>
        </row>
        <row r="783">
          <cell r="B783">
            <v>419040</v>
          </cell>
          <cell r="C783" t="str">
            <v>NOT USED</v>
          </cell>
          <cell r="D783" t="str">
            <v>MISCELLANEOUS INTEREST REVENUES</v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/>
          </cell>
          <cell r="L783">
            <v>-134.31720000000001</v>
          </cell>
          <cell r="M783">
            <v>-15.58358</v>
          </cell>
          <cell r="N783">
            <v>-24.072320000000001</v>
          </cell>
          <cell r="O783">
            <v>-27.026489999999999</v>
          </cell>
          <cell r="P783">
            <v>-28.633189999999999</v>
          </cell>
          <cell r="Q783">
            <v>-34.542720000000003</v>
          </cell>
          <cell r="R783">
            <v>-43.084359999999997</v>
          </cell>
          <cell r="S783">
            <v>-47.394539999999999</v>
          </cell>
          <cell r="T783">
            <v>-51.788159999999998</v>
          </cell>
          <cell r="U783">
            <v>-53.87388</v>
          </cell>
          <cell r="V783">
            <v>-63.413139999999999</v>
          </cell>
          <cell r="W783">
            <v>-76.49503</v>
          </cell>
          <cell r="X783">
            <v>-83.458370000000002</v>
          </cell>
          <cell r="Y783">
            <v>-47.8996</v>
          </cell>
        </row>
        <row r="784">
          <cell r="B784">
            <v>419051</v>
          </cell>
          <cell r="C784" t="str">
            <v>NOT USED</v>
          </cell>
          <cell r="D784" t="str">
            <v>INT&amp;DIV INC-TAX EXEMPT</v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/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B785">
            <v>419055</v>
          </cell>
          <cell r="C785" t="str">
            <v>NOT USED</v>
          </cell>
          <cell r="D785" t="str">
            <v>INT&amp;DIV INC-NON QUALIFIED &amp; DIRECTORS TRUST</v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/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B786">
            <v>419060</v>
          </cell>
          <cell r="C786" t="str">
            <v>NOT USED</v>
          </cell>
          <cell r="D786" t="str">
            <v>STORM DEFERRAL INTEREST INCOME</v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/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B787">
            <v>419099</v>
          </cell>
          <cell r="C787" t="str">
            <v>NOT USED</v>
          </cell>
          <cell r="D787" t="str">
            <v>INTERCO INTEREST INCOME-CAPITAL TRUST</v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/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</row>
        <row r="788">
          <cell r="B788">
            <v>419101</v>
          </cell>
          <cell r="C788" t="str">
            <v>NOT USED</v>
          </cell>
          <cell r="D788" t="str">
            <v>ALLOWANCE FOR FUNDS DURING CONST - EQUITY-ELECTRI</v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/>
          </cell>
          <cell r="L788">
            <v>-1711.0784000000001</v>
          </cell>
          <cell r="M788">
            <v>-217.68011999999999</v>
          </cell>
          <cell r="N788">
            <v>-438.03654999999998</v>
          </cell>
          <cell r="O788">
            <v>-669.70272999999997</v>
          </cell>
          <cell r="P788">
            <v>-903.95614999999998</v>
          </cell>
          <cell r="Q788">
            <v>-1103.8924</v>
          </cell>
          <cell r="R788">
            <v>-1436.66084</v>
          </cell>
          <cell r="S788">
            <v>-1760.8909000000001</v>
          </cell>
          <cell r="T788">
            <v>-2082.5050000000001</v>
          </cell>
          <cell r="U788">
            <v>-3758.0331099999999</v>
          </cell>
          <cell r="V788">
            <v>-4301.80116</v>
          </cell>
          <cell r="W788">
            <v>-4885.0225200000004</v>
          </cell>
          <cell r="X788">
            <v>-5541.1627500000004</v>
          </cell>
          <cell r="Y788">
            <v>-2098.6918380000002</v>
          </cell>
        </row>
        <row r="789">
          <cell r="B789">
            <v>419103</v>
          </cell>
          <cell r="C789" t="str">
            <v>NOT USED</v>
          </cell>
          <cell r="D789" t="str">
            <v>ALLOWANCE FOR FUNDS DURING CONST - EQUITY-GAS</v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/>
          </cell>
          <cell r="L789">
            <v>-53.864849999999997</v>
          </cell>
          <cell r="M789">
            <v>-1.97462</v>
          </cell>
          <cell r="N789">
            <v>-3.4299599999999999</v>
          </cell>
          <cell r="O789">
            <v>-4.8615399999999998</v>
          </cell>
          <cell r="P789">
            <v>-6.2831700000000001</v>
          </cell>
          <cell r="Q789">
            <v>-7.37331</v>
          </cell>
          <cell r="R789">
            <v>-20.217479999999998</v>
          </cell>
          <cell r="S789">
            <v>-38.746070000000003</v>
          </cell>
          <cell r="T789">
            <v>-59.933509999999998</v>
          </cell>
          <cell r="U789">
            <v>-241.58568</v>
          </cell>
          <cell r="V789">
            <v>-281.90857</v>
          </cell>
          <cell r="W789">
            <v>-323.43151999999998</v>
          </cell>
          <cell r="X789">
            <v>-370.76988</v>
          </cell>
          <cell r="Y789">
            <v>-100.17189999999999</v>
          </cell>
        </row>
        <row r="790">
          <cell r="B790">
            <v>421000</v>
          </cell>
          <cell r="C790" t="str">
            <v>NOT USED</v>
          </cell>
          <cell r="D790" t="str">
            <v>MISCELLANEOUS NON-OPERATING INCOME-COMMON</v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/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</row>
        <row r="791">
          <cell r="B791">
            <v>421001</v>
          </cell>
          <cell r="C791" t="str">
            <v>NOT USED</v>
          </cell>
          <cell r="D791" t="str">
            <v>MISCELLANEOUS NON-OPERATING INCOME-ELECTRIC</v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/>
          </cell>
          <cell r="L791">
            <v>141.61138</v>
          </cell>
          <cell r="M791">
            <v>23.125</v>
          </cell>
          <cell r="N791">
            <v>46.25</v>
          </cell>
          <cell r="O791">
            <v>16.824639999999999</v>
          </cell>
          <cell r="P791">
            <v>16.824639999999999</v>
          </cell>
          <cell r="Q791">
            <v>16.824639999999999</v>
          </cell>
          <cell r="R791">
            <v>20.14339</v>
          </cell>
          <cell r="S791">
            <v>20.14339</v>
          </cell>
          <cell r="T791">
            <v>20.14339</v>
          </cell>
          <cell r="U791">
            <v>-24.74776</v>
          </cell>
          <cell r="V791">
            <v>-24.74776</v>
          </cell>
          <cell r="W791">
            <v>-24.74776</v>
          </cell>
          <cell r="X791">
            <v>1.4155800000000001</v>
          </cell>
          <cell r="Y791">
            <v>14.795774</v>
          </cell>
        </row>
        <row r="792">
          <cell r="B792">
            <v>421002</v>
          </cell>
          <cell r="C792" t="str">
            <v>NOT USED</v>
          </cell>
          <cell r="D792" t="str">
            <v>MISCELLANEOUS NON-OPERATING INCOME-GAS</v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/>
          </cell>
          <cell r="L792">
            <v>-236.94845000000001</v>
          </cell>
          <cell r="M792">
            <v>-65.45</v>
          </cell>
          <cell r="N792">
            <v>-130.9</v>
          </cell>
          <cell r="O792">
            <v>8.5136699999999994</v>
          </cell>
          <cell r="P792">
            <v>8.5136699999999994</v>
          </cell>
          <cell r="Q792">
            <v>8.5136699999999994</v>
          </cell>
          <cell r="R792">
            <v>10.19304</v>
          </cell>
          <cell r="S792">
            <v>10.19304</v>
          </cell>
          <cell r="T792">
            <v>10.19304</v>
          </cell>
          <cell r="U792">
            <v>-12.522959999999999</v>
          </cell>
          <cell r="V792">
            <v>-12.522959999999999</v>
          </cell>
          <cell r="W792">
            <v>-12.522959999999999</v>
          </cell>
          <cell r="X792">
            <v>0.71631999999999996</v>
          </cell>
          <cell r="Y792">
            <v>-24.659568</v>
          </cell>
        </row>
        <row r="793">
          <cell r="B793">
            <v>421003</v>
          </cell>
          <cell r="C793" t="str">
            <v>NOT USED</v>
          </cell>
          <cell r="D793" t="str">
            <v>SERP ADJ-OID FOR FERC VS O&amp;M IN GAAP-ELECTRIC</v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/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</row>
        <row r="794">
          <cell r="B794">
            <v>421004</v>
          </cell>
          <cell r="C794" t="str">
            <v>NOT USED</v>
          </cell>
          <cell r="D794" t="str">
            <v>SERP ADJ-OID FOR FERC VS O&amp;M IN GAAP-GAS</v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</row>
        <row r="795">
          <cell r="B795">
            <v>421080</v>
          </cell>
          <cell r="C795" t="str">
            <v>NOT USED</v>
          </cell>
          <cell r="D795" t="str">
            <v>MISC NONOP INC-CARRYING COST-ELECTRIC</v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/>
          </cell>
          <cell r="L795">
            <v>-4342.1564500000004</v>
          </cell>
          <cell r="M795">
            <v>-152.77036000000001</v>
          </cell>
          <cell r="N795">
            <v>-296.80399</v>
          </cell>
          <cell r="O795">
            <v>-436.29351000000003</v>
          </cell>
          <cell r="P795">
            <v>-595.07177999999999</v>
          </cell>
          <cell r="Q795">
            <v>-747.99734999999998</v>
          </cell>
          <cell r="R795">
            <v>-890.58108000000004</v>
          </cell>
          <cell r="S795">
            <v>-1018.77302</v>
          </cell>
          <cell r="T795">
            <v>-1081.778</v>
          </cell>
          <cell r="U795">
            <v>-1209.65428</v>
          </cell>
          <cell r="V795">
            <v>-1370.5702200000001</v>
          </cell>
          <cell r="W795">
            <v>-1500.88572</v>
          </cell>
          <cell r="X795">
            <v>-1632.09672</v>
          </cell>
          <cell r="Y795">
            <v>-1024.0254910000001</v>
          </cell>
        </row>
        <row r="796">
          <cell r="B796">
            <v>421081</v>
          </cell>
          <cell r="C796" t="str">
            <v>NOT USED</v>
          </cell>
          <cell r="D796" t="str">
            <v>MISC NONOP INC-CARRYING COST-GAS</v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/>
          </cell>
          <cell r="L796">
            <v>-2385.6770999999999</v>
          </cell>
          <cell r="M796">
            <v>-114.13648999999999</v>
          </cell>
          <cell r="N796">
            <v>-217.21513999999999</v>
          </cell>
          <cell r="O796">
            <v>-325.18059</v>
          </cell>
          <cell r="P796">
            <v>-439.21588000000003</v>
          </cell>
          <cell r="Q796">
            <v>-549.40314000000001</v>
          </cell>
          <cell r="R796">
            <v>-655.27931999999998</v>
          </cell>
          <cell r="S796">
            <v>-757.79129</v>
          </cell>
          <cell r="T796">
            <v>-860.00166000000002</v>
          </cell>
          <cell r="U796">
            <v>-969.72073999999998</v>
          </cell>
          <cell r="V796">
            <v>-1106.83482</v>
          </cell>
          <cell r="W796">
            <v>-1217.8173999999999</v>
          </cell>
          <cell r="X796">
            <v>-1421.1286299999999</v>
          </cell>
          <cell r="Y796">
            <v>-759.66661099999999</v>
          </cell>
        </row>
        <row r="797">
          <cell r="B797">
            <v>421121</v>
          </cell>
          <cell r="C797" t="str">
            <v>NOT USED</v>
          </cell>
          <cell r="D797" t="str">
            <v>GAIN ON DISPOSITION OF PROPERTY - ELECTRIC</v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/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B798">
            <v>421125</v>
          </cell>
          <cell r="C798" t="str">
            <v>NOT USED</v>
          </cell>
          <cell r="D798" t="str">
            <v>GAIN ON SALE OF GENERATION ASSETS</v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/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B799">
            <v>421126</v>
          </cell>
          <cell r="C799" t="str">
            <v>NOT USED</v>
          </cell>
          <cell r="D799" t="str">
            <v>DEFERRAL OF ASSET SALE GAIN</v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/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</row>
        <row r="800">
          <cell r="B800">
            <v>421221</v>
          </cell>
          <cell r="C800" t="str">
            <v>NOT USED</v>
          </cell>
          <cell r="D800" t="str">
            <v>LOSS ON DISPOSITION OF PROPERTY - ELECTRIC</v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/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</row>
        <row r="801">
          <cell r="B801">
            <v>421240</v>
          </cell>
          <cell r="C801" t="str">
            <v>NOT USED</v>
          </cell>
          <cell r="D801" t="str">
            <v>LOSS ON HEDGED ACTIVITY</v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/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B802">
            <v>421500</v>
          </cell>
          <cell r="C802" t="str">
            <v>NOT USED</v>
          </cell>
          <cell r="D802" t="str">
            <v>GAIN ON INSTRUMENTS-ELECTRIC</v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B803">
            <v>421502</v>
          </cell>
          <cell r="C803" t="str">
            <v>NOT USED</v>
          </cell>
          <cell r="D803" t="str">
            <v>GAIN ON INSTRUMENTS-GAS</v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/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B804">
            <v>422000</v>
          </cell>
          <cell r="C804" t="str">
            <v>NOT USED</v>
          </cell>
          <cell r="D804" t="str">
            <v>REVENUE ENHANCEMENT BILLING</v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>
            <v>-722.07946000000004</v>
          </cell>
          <cell r="M804">
            <v>-28.380790000000001</v>
          </cell>
          <cell r="N804">
            <v>-90.237790000000004</v>
          </cell>
          <cell r="O804">
            <v>-241.89895000000001</v>
          </cell>
          <cell r="P804">
            <v>-291.42525999999998</v>
          </cell>
          <cell r="Q804">
            <v>-324.98709000000002</v>
          </cell>
          <cell r="R804">
            <v>-349.82071999999999</v>
          </cell>
          <cell r="S804">
            <v>-381.18239</v>
          </cell>
          <cell r="T804">
            <v>-405.64258999999998</v>
          </cell>
          <cell r="U804">
            <v>-452.12860999999998</v>
          </cell>
          <cell r="V804">
            <v>-491.61214999999999</v>
          </cell>
          <cell r="W804">
            <v>-514.16988000000003</v>
          </cell>
          <cell r="X804">
            <v>-728.41918999999996</v>
          </cell>
          <cell r="Y804">
            <v>-358.06129499999997</v>
          </cell>
        </row>
        <row r="805">
          <cell r="B805">
            <v>423000</v>
          </cell>
          <cell r="C805" t="str">
            <v>NOT USED</v>
          </cell>
          <cell r="D805" t="str">
            <v>GAS REVENUE ENHANCEMENT/DAMAGE BILLING REV</v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/>
          </cell>
          <cell r="L805">
            <v>-53.643120000000003</v>
          </cell>
          <cell r="M805">
            <v>-11.654260000000001</v>
          </cell>
          <cell r="N805">
            <v>-24.240670000000001</v>
          </cell>
          <cell r="O805">
            <v>-30.130990000000001</v>
          </cell>
          <cell r="P805">
            <v>-34.061799999999998</v>
          </cell>
          <cell r="Q805">
            <v>-39.488199999999999</v>
          </cell>
          <cell r="R805">
            <v>-59.746200000000002</v>
          </cell>
          <cell r="S805">
            <v>-71.341049999999996</v>
          </cell>
          <cell r="T805">
            <v>-90.479179999999999</v>
          </cell>
          <cell r="U805">
            <v>-112.41058</v>
          </cell>
          <cell r="V805">
            <v>-139.84761</v>
          </cell>
          <cell r="W805">
            <v>-149.29803000000001</v>
          </cell>
          <cell r="X805">
            <v>-173.57624999999999</v>
          </cell>
          <cell r="Y805">
            <v>-73.025688000000002</v>
          </cell>
        </row>
        <row r="806">
          <cell r="B806">
            <v>426500</v>
          </cell>
          <cell r="C806" t="str">
            <v>NOT USED</v>
          </cell>
          <cell r="D806" t="str">
            <v>LOSS ON INSTRUMENTS - ELECTRIC</v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/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B807">
            <v>431099</v>
          </cell>
          <cell r="C807" t="str">
            <v>NOT USED</v>
          </cell>
          <cell r="D807" t="str">
            <v>INTERCOMPANY INTEREST EXPENSE</v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/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1.1857500000000001</v>
          </cell>
          <cell r="Q807">
            <v>10.440630000000001</v>
          </cell>
          <cell r="R807">
            <v>11.551780000000001</v>
          </cell>
          <cell r="S807">
            <v>12.0145</v>
          </cell>
          <cell r="T807">
            <v>12.0145</v>
          </cell>
          <cell r="U807">
            <v>12.0145</v>
          </cell>
          <cell r="V807">
            <v>12.0145</v>
          </cell>
          <cell r="W807">
            <v>12.0145</v>
          </cell>
          <cell r="X807">
            <v>12.0145</v>
          </cell>
          <cell r="Y807">
            <v>7.4381589999999997</v>
          </cell>
        </row>
        <row r="808">
          <cell r="B808">
            <v>432001</v>
          </cell>
          <cell r="C808" t="str">
            <v>NOT USED</v>
          </cell>
          <cell r="D808" t="str">
            <v>ALLOWANCE FOR FUNDS DURING CONST - DEBT-ELECTRIC</v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>
            <v>-1245.21084</v>
          </cell>
          <cell r="M808">
            <v>-175.40733</v>
          </cell>
          <cell r="N808">
            <v>-352.97127</v>
          </cell>
          <cell r="O808">
            <v>-539.64152000000001</v>
          </cell>
          <cell r="P808">
            <v>-728.08213000000001</v>
          </cell>
          <cell r="Q808">
            <v>-890.59676999999999</v>
          </cell>
          <cell r="R808">
            <v>-1161.0816500000001</v>
          </cell>
          <cell r="S808">
            <v>-1424.62807</v>
          </cell>
          <cell r="T808">
            <v>-1686.04775</v>
          </cell>
          <cell r="U808">
            <v>-2969.4818599999999</v>
          </cell>
          <cell r="V808">
            <v>-3386.0250999999998</v>
          </cell>
          <cell r="W808">
            <v>-3832.7914300000002</v>
          </cell>
          <cell r="X808">
            <v>-4401.3930399999999</v>
          </cell>
          <cell r="Y808">
            <v>-1664.1714019999999</v>
          </cell>
        </row>
        <row r="809">
          <cell r="B809">
            <v>432003</v>
          </cell>
          <cell r="C809" t="str">
            <v>NOT USED</v>
          </cell>
          <cell r="D809" t="str">
            <v>ALLOWANCE FOR FUNDS DURING CONST - DEBT-GAS</v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/>
          </cell>
          <cell r="L809">
            <v>-42.822240000000001</v>
          </cell>
          <cell r="M809">
            <v>-1.59114</v>
          </cell>
          <cell r="N809">
            <v>-2.7638500000000001</v>
          </cell>
          <cell r="O809">
            <v>-3.9174000000000002</v>
          </cell>
          <cell r="P809">
            <v>-5.0629400000000002</v>
          </cell>
          <cell r="Q809">
            <v>-5.94902</v>
          </cell>
          <cell r="R809">
            <v>-16.3887</v>
          </cell>
          <cell r="S809">
            <v>-31.449400000000001</v>
          </cell>
          <cell r="T809">
            <v>-48.671939999999999</v>
          </cell>
          <cell r="U809">
            <v>-185.19557</v>
          </cell>
          <cell r="V809">
            <v>-216.08410000000001</v>
          </cell>
          <cell r="W809">
            <v>-247.89214000000001</v>
          </cell>
          <cell r="X809">
            <v>-289.01420000000002</v>
          </cell>
          <cell r="Y809">
            <v>-77.573701999999997</v>
          </cell>
        </row>
        <row r="810">
          <cell r="B810">
            <v>439010</v>
          </cell>
          <cell r="C810" t="str">
            <v>NOT USED</v>
          </cell>
          <cell r="D810" t="str">
            <v>Preferred Dividends Adj.</v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/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</row>
        <row r="811">
          <cell r="B811">
            <v>440100</v>
          </cell>
          <cell r="C811" t="str">
            <v>NOT USED</v>
          </cell>
          <cell r="D811" t="str">
            <v>ELEC REVENUE - RESIDENTIAL-REGULAR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/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</row>
        <row r="812">
          <cell r="B812">
            <v>440120</v>
          </cell>
          <cell r="C812" t="str">
            <v>NOT USED</v>
          </cell>
          <cell r="D812" t="str">
            <v>ELEC REVENUE - FIXED - RESIDENTIAL-DELIVERY</v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/>
          </cell>
          <cell r="L812">
            <v>-113726.44379</v>
          </cell>
          <cell r="M812">
            <v>-11614.276</v>
          </cell>
          <cell r="N812">
            <v>-22693.172129999999</v>
          </cell>
          <cell r="O812">
            <v>-33210.041729999997</v>
          </cell>
          <cell r="P812">
            <v>-43416.950920000003</v>
          </cell>
          <cell r="Q812">
            <v>-53126.423170000002</v>
          </cell>
          <cell r="R812">
            <v>-63602.097049999997</v>
          </cell>
          <cell r="S812">
            <v>-74845.724090000003</v>
          </cell>
          <cell r="T812">
            <v>-86015.829830000002</v>
          </cell>
          <cell r="U812">
            <v>-97183.600619999997</v>
          </cell>
          <cell r="V812">
            <v>-107584.81002999999</v>
          </cell>
          <cell r="W812">
            <v>-117658.803</v>
          </cell>
          <cell r="X812">
            <v>-128351.12417</v>
          </cell>
          <cell r="Y812">
            <v>-69332.542713000003</v>
          </cell>
        </row>
        <row r="813">
          <cell r="B813">
            <v>440125</v>
          </cell>
          <cell r="C813" t="str">
            <v>NOT USED</v>
          </cell>
          <cell r="D813" t="str">
            <v>ELEC REV-FIXED-RESIDENTIAL-UNBILLED DELIVERY</v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/>
          </cell>
          <cell r="L813">
            <v>1584.9449999999999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66.039375000000007</v>
          </cell>
        </row>
        <row r="814">
          <cell r="B814">
            <v>440128</v>
          </cell>
          <cell r="C814" t="str">
            <v>NOT USED</v>
          </cell>
          <cell r="D814" t="str">
            <v>ELEC REV-RESIDENTIAL-DELIVERY CHARGE-RETAIL ACCES</v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/>
          </cell>
          <cell r="L814">
            <v>-30083.46617</v>
          </cell>
          <cell r="M814">
            <v>-3622.1039999999998</v>
          </cell>
          <cell r="N814">
            <v>-7042.2765300000001</v>
          </cell>
          <cell r="O814">
            <v>-10526.96459</v>
          </cell>
          <cell r="P814">
            <v>-13853.22135</v>
          </cell>
          <cell r="Q814">
            <v>-17089.942190000002</v>
          </cell>
          <cell r="R814">
            <v>-20622.960459999998</v>
          </cell>
          <cell r="S814">
            <v>-24472.579519999999</v>
          </cell>
          <cell r="T814">
            <v>-28341.433059999999</v>
          </cell>
          <cell r="U814">
            <v>-32220.694200000002</v>
          </cell>
          <cell r="V814">
            <v>-35771.13781</v>
          </cell>
          <cell r="W814">
            <v>-39265.345390000002</v>
          </cell>
          <cell r="X814">
            <v>-43024.020120000001</v>
          </cell>
          <cell r="Y814">
            <v>-22448.533520000001</v>
          </cell>
        </row>
        <row r="815">
          <cell r="B815">
            <v>440130</v>
          </cell>
          <cell r="C815" t="str">
            <v>NOT USED</v>
          </cell>
          <cell r="D815" t="str">
            <v>ELEC REVENUE - FIXED - RESIDENTIAL-COMMODITY</v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>
            <v>-111126.5952</v>
          </cell>
          <cell r="M815">
            <v>-11651.407149999999</v>
          </cell>
          <cell r="N815">
            <v>-21496.561089999999</v>
          </cell>
          <cell r="O815">
            <v>-29091.68967</v>
          </cell>
          <cell r="P815">
            <v>-37065.218249999998</v>
          </cell>
          <cell r="Q815">
            <v>-43899.364220000003</v>
          </cell>
          <cell r="R815">
            <v>-52063.573360000002</v>
          </cell>
          <cell r="S815">
            <v>-62194.647799999999</v>
          </cell>
          <cell r="T815">
            <v>-71876.604869999996</v>
          </cell>
          <cell r="U815">
            <v>-80258.727039999998</v>
          </cell>
          <cell r="V815">
            <v>-87566.133260000002</v>
          </cell>
          <cell r="W815">
            <v>-95157.532319999998</v>
          </cell>
          <cell r="X815">
            <v>-103135.52514</v>
          </cell>
          <cell r="Y815">
            <v>-58287.709932999998</v>
          </cell>
        </row>
        <row r="816">
          <cell r="B816">
            <v>440135</v>
          </cell>
          <cell r="C816" t="str">
            <v>NOT USED</v>
          </cell>
          <cell r="D816" t="str">
            <v>ELEC REV-FIXED-RESIDENTIAL-UNBILLED COMMODITY</v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L816">
            <v>2616.2719999999999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109.01133299999999</v>
          </cell>
        </row>
        <row r="817">
          <cell r="B817">
            <v>440138</v>
          </cell>
          <cell r="C817" t="str">
            <v>NOT USED</v>
          </cell>
          <cell r="D817" t="str">
            <v>ELEC REV-RESIDENTIAL-SUPPLY CHARGE-RETAIL ACCESS</v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/>
          </cell>
          <cell r="L817">
            <v>-20.24757</v>
          </cell>
          <cell r="M817">
            <v>0</v>
          </cell>
          <cell r="N817">
            <v>0</v>
          </cell>
          <cell r="O817">
            <v>7.1389999999999995E-2</v>
          </cell>
          <cell r="P817">
            <v>7.1389999999999995E-2</v>
          </cell>
          <cell r="Q817">
            <v>7.1389999999999995E-2</v>
          </cell>
          <cell r="R817">
            <v>7.1389999999999995E-2</v>
          </cell>
          <cell r="S817">
            <v>7.1389999999999995E-2</v>
          </cell>
          <cell r="T817">
            <v>7.1389999999999995E-2</v>
          </cell>
          <cell r="U817">
            <v>8.0140000000000003E-2</v>
          </cell>
          <cell r="V817">
            <v>7.1389999999999995E-2</v>
          </cell>
          <cell r="W817">
            <v>7.1389999999999995E-2</v>
          </cell>
          <cell r="X817">
            <v>7.1389999999999995E-2</v>
          </cell>
          <cell r="Y817">
            <v>-0.78640200000000005</v>
          </cell>
        </row>
        <row r="818">
          <cell r="B818">
            <v>440140</v>
          </cell>
          <cell r="C818" t="str">
            <v>NOT USED</v>
          </cell>
          <cell r="D818" t="str">
            <v>ELEC REVENUE-FIXED-RESIDENTIAL-TRANSITION CHARGE</v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>
            <v>-2395.1656800000001</v>
          </cell>
          <cell r="M818">
            <v>305.00817000000001</v>
          </cell>
          <cell r="N818">
            <v>1887.30178</v>
          </cell>
          <cell r="O818">
            <v>4225.9045599999999</v>
          </cell>
          <cell r="P818">
            <v>6200.0778399999999</v>
          </cell>
          <cell r="Q818">
            <v>7360.1585100000002</v>
          </cell>
          <cell r="R818">
            <v>8106.2118499999997</v>
          </cell>
          <cell r="S818">
            <v>8715.1283500000009</v>
          </cell>
          <cell r="T818">
            <v>8986.4868499999993</v>
          </cell>
          <cell r="U818">
            <v>9405.7965999999997</v>
          </cell>
          <cell r="V818">
            <v>10876.176359999999</v>
          </cell>
          <cell r="W818">
            <v>12503.41937</v>
          </cell>
          <cell r="X818">
            <v>13486.79689</v>
          </cell>
          <cell r="Y818">
            <v>7009.7904870000002</v>
          </cell>
        </row>
        <row r="819">
          <cell r="B819">
            <v>440142</v>
          </cell>
          <cell r="C819" t="str">
            <v>NOT USED</v>
          </cell>
          <cell r="D819" t="str">
            <v>ELEC REV-RESIDENTIAL-BILLING CHARGE-MFC COMMODITY</v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>
            <v>-439.66548</v>
          </cell>
          <cell r="M819">
            <v>-226.88853</v>
          </cell>
          <cell r="N819">
            <v>-398.19844000000001</v>
          </cell>
          <cell r="O819">
            <v>-526.29061999999999</v>
          </cell>
          <cell r="P819">
            <v>-678.04404</v>
          </cell>
          <cell r="Q819">
            <v>-802.66584</v>
          </cell>
          <cell r="R819">
            <v>-928.62651000000005</v>
          </cell>
          <cell r="S819">
            <v>-1090.3621499999999</v>
          </cell>
          <cell r="T819">
            <v>-1242.3442299999999</v>
          </cell>
          <cell r="U819">
            <v>-1404.0457699999999</v>
          </cell>
          <cell r="V819">
            <v>-1574.2992400000001</v>
          </cell>
          <cell r="W819">
            <v>-1743.0431599999999</v>
          </cell>
          <cell r="X819">
            <v>-1915.76675</v>
          </cell>
          <cell r="Y819">
            <v>-982.71038699999997</v>
          </cell>
        </row>
        <row r="820">
          <cell r="B820">
            <v>440143</v>
          </cell>
          <cell r="C820" t="str">
            <v>NOT USED</v>
          </cell>
          <cell r="D820" t="str">
            <v>ELEC REV-RESIDENTIAL-BILLING CHARGE-MFC DELIVERY</v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>
            <v>-1978.14753</v>
          </cell>
          <cell r="M820">
            <v>-886.05183</v>
          </cell>
          <cell r="N820">
            <v>-1697.0336</v>
          </cell>
          <cell r="O820">
            <v>-2433.78397</v>
          </cell>
          <cell r="P820">
            <v>-3127.8902899999998</v>
          </cell>
          <cell r="Q820">
            <v>-3753.7777000000001</v>
          </cell>
          <cell r="R820">
            <v>-4488.83565</v>
          </cell>
          <cell r="S820">
            <v>-5333.3679499999998</v>
          </cell>
          <cell r="T820">
            <v>-6171.8586400000004</v>
          </cell>
          <cell r="U820">
            <v>-6962.7130900000002</v>
          </cell>
          <cell r="V820">
            <v>-7606.7550899999997</v>
          </cell>
          <cell r="W820">
            <v>-8218.7871799999994</v>
          </cell>
          <cell r="X820">
            <v>-8901.4899600000008</v>
          </cell>
          <cell r="Y820">
            <v>-4676.7228109999996</v>
          </cell>
        </row>
        <row r="821">
          <cell r="B821">
            <v>440148</v>
          </cell>
          <cell r="C821" t="str">
            <v>NOT USED</v>
          </cell>
          <cell r="D821" t="str">
            <v>ELEC REV-RESIDENTIAL-TRANSITION CHRG-RETAIL ACCES</v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>
            <v>-757.62606000000005</v>
          </cell>
          <cell r="M821">
            <v>99.7166</v>
          </cell>
          <cell r="N821">
            <v>605.78062</v>
          </cell>
          <cell r="O821">
            <v>1432.7867699999999</v>
          </cell>
          <cell r="P821">
            <v>2124.6795900000002</v>
          </cell>
          <cell r="Q821">
            <v>2552.9656599999998</v>
          </cell>
          <cell r="R821">
            <v>2826.7837800000002</v>
          </cell>
          <cell r="S821">
            <v>3054.8151600000001</v>
          </cell>
          <cell r="T821">
            <v>3159.7167199999999</v>
          </cell>
          <cell r="U821">
            <v>3316.08437</v>
          </cell>
          <cell r="V821">
            <v>3855.6498200000001</v>
          </cell>
          <cell r="W821">
            <v>4471.17058</v>
          </cell>
          <cell r="X821">
            <v>4846.7671700000001</v>
          </cell>
          <cell r="Y821">
            <v>2462.060019</v>
          </cell>
        </row>
        <row r="822">
          <cell r="B822">
            <v>440149</v>
          </cell>
          <cell r="C822" t="str">
            <v>NOT USED</v>
          </cell>
          <cell r="D822" t="str">
            <v>ELEC REV-RESIDENTIAL-EEPS</v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>
            <v>-3241.7360100000001</v>
          </cell>
          <cell r="M822">
            <v>-323.52542999999997</v>
          </cell>
          <cell r="N822">
            <v>-636.72838000000002</v>
          </cell>
          <cell r="O822">
            <v>-937.14425000000006</v>
          </cell>
          <cell r="P822">
            <v>-1219.7763299999999</v>
          </cell>
          <cell r="Q822">
            <v>-1474.65652</v>
          </cell>
          <cell r="R822">
            <v>-1774.0838100000001</v>
          </cell>
          <cell r="S822">
            <v>-2117.8455300000001</v>
          </cell>
          <cell r="T822">
            <v>-2459.1579200000001</v>
          </cell>
          <cell r="U822">
            <v>-2789.3168099999998</v>
          </cell>
          <cell r="V822">
            <v>-3065.6627600000002</v>
          </cell>
          <cell r="W822">
            <v>-3331.0051899999999</v>
          </cell>
          <cell r="X822">
            <v>-3630.2433700000001</v>
          </cell>
          <cell r="Y822">
            <v>-1963.7410520000001</v>
          </cell>
        </row>
        <row r="823">
          <cell r="B823">
            <v>440150</v>
          </cell>
          <cell r="C823" t="str">
            <v>NOT USED</v>
          </cell>
          <cell r="D823" t="str">
            <v>ELEC REV-FIXED-RESIDENTIAL-SYSTEM BENEFIT CHARGES</v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>
            <v>-1705.31161</v>
          </cell>
          <cell r="M823">
            <v>-261.61721999999997</v>
          </cell>
          <cell r="N823">
            <v>-382.38137999999998</v>
          </cell>
          <cell r="O823">
            <v>-378.40861999999998</v>
          </cell>
          <cell r="P823">
            <v>-377.63918999999999</v>
          </cell>
          <cell r="Q823">
            <v>-377.38001000000003</v>
          </cell>
          <cell r="R823">
            <v>-377.32735000000002</v>
          </cell>
          <cell r="S823">
            <v>-377.20542</v>
          </cell>
          <cell r="T823">
            <v>-377.10597999999999</v>
          </cell>
          <cell r="U823">
            <v>-377.06830000000002</v>
          </cell>
          <cell r="V823">
            <v>-377.08136999999999</v>
          </cell>
          <cell r="W823">
            <v>-377.02044999999998</v>
          </cell>
          <cell r="X823">
            <v>-376.95447999999999</v>
          </cell>
          <cell r="Y823">
            <v>-423.447361</v>
          </cell>
        </row>
        <row r="824">
          <cell r="B824">
            <v>440151</v>
          </cell>
          <cell r="C824" t="str">
            <v>NOT USED</v>
          </cell>
          <cell r="D824" t="str">
            <v>ELEC REV-FIXED-RESIDENTIAL-RETAIL ACCESS SURCHARG</v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>
            <v>-4821.2612499999996</v>
          </cell>
          <cell r="M824">
            <v>0.18984000000000001</v>
          </cell>
          <cell r="N824">
            <v>-2.078E-2</v>
          </cell>
          <cell r="O824">
            <v>0.24301</v>
          </cell>
          <cell r="P824">
            <v>0.37907000000000002</v>
          </cell>
          <cell r="Q824">
            <v>0.34046999999999999</v>
          </cell>
          <cell r="R824">
            <v>0.24246000000000001</v>
          </cell>
          <cell r="S824">
            <v>0.44192999999999999</v>
          </cell>
          <cell r="T824">
            <v>0.53946000000000005</v>
          </cell>
          <cell r="U824">
            <v>0.52639000000000002</v>
          </cell>
          <cell r="V824">
            <v>0.51681999999999995</v>
          </cell>
          <cell r="W824">
            <v>0.54132000000000002</v>
          </cell>
          <cell r="X824">
            <v>0.57404999999999995</v>
          </cell>
          <cell r="Y824">
            <v>-200.53363400000001</v>
          </cell>
        </row>
        <row r="825">
          <cell r="B825">
            <v>440152</v>
          </cell>
          <cell r="C825" t="str">
            <v>NOT USED</v>
          </cell>
          <cell r="D825" t="str">
            <v>ELEC REVENUE - RESIDENTIAL-SUPPLY RECONCILIATION</v>
          </cell>
          <cell r="E825" t="str">
            <v/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</row>
        <row r="826">
          <cell r="B826">
            <v>440153</v>
          </cell>
          <cell r="C826" t="str">
            <v>NOT USED</v>
          </cell>
          <cell r="D826" t="str">
            <v>ELEC REV-RESIDENTIAL-SURCHARGE RETAIL ACCESS</v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>
            <v>-1411.12501</v>
          </cell>
          <cell r="M826">
            <v>-150.90719999999999</v>
          </cell>
          <cell r="N826">
            <v>-288.14452</v>
          </cell>
          <cell r="O826">
            <v>-422.29757999999998</v>
          </cell>
          <cell r="P826">
            <v>-546.44277999999997</v>
          </cell>
          <cell r="Q826">
            <v>-662.94502</v>
          </cell>
          <cell r="R826">
            <v>-800.55478000000005</v>
          </cell>
          <cell r="S826">
            <v>-960.76787000000002</v>
          </cell>
          <cell r="T826">
            <v>-1122.62718</v>
          </cell>
          <cell r="U826">
            <v>-1136.63221</v>
          </cell>
          <cell r="V826">
            <v>-1012.69276</v>
          </cell>
          <cell r="W826">
            <v>-892.64260999999999</v>
          </cell>
          <cell r="X826">
            <v>-751.14455999999996</v>
          </cell>
          <cell r="Y826">
            <v>-756.48244099999999</v>
          </cell>
        </row>
        <row r="827">
          <cell r="B827">
            <v>440154</v>
          </cell>
          <cell r="C827" t="str">
            <v>NOT USED</v>
          </cell>
          <cell r="D827" t="str">
            <v>ELEC REV-RESIDENTIAL-SURCHARGE FULL SERVICE</v>
          </cell>
          <cell r="E827" t="str">
            <v/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>
            <v>-4500.6414500000001</v>
          </cell>
          <cell r="M827">
            <v>-453.83960999999999</v>
          </cell>
          <cell r="N827">
            <v>-869.18339000000003</v>
          </cell>
          <cell r="O827">
            <v>-1246.67536</v>
          </cell>
          <cell r="P827">
            <v>-1602.1934200000001</v>
          </cell>
          <cell r="Q827">
            <v>-1922.9757400000001</v>
          </cell>
          <cell r="R827">
            <v>-2299.8110099999999</v>
          </cell>
          <cell r="S827">
            <v>-2732.77574</v>
          </cell>
          <cell r="T827">
            <v>-3162.5769</v>
          </cell>
          <cell r="U827">
            <v>-3180.7388000000001</v>
          </cell>
          <cell r="V827">
            <v>-2840.7582699999998</v>
          </cell>
          <cell r="W827">
            <v>-2508.3646699999999</v>
          </cell>
          <cell r="X827">
            <v>-2121.6772799999999</v>
          </cell>
          <cell r="Y827">
            <v>-2177.5876899999998</v>
          </cell>
        </row>
        <row r="828">
          <cell r="B828">
            <v>440158</v>
          </cell>
          <cell r="C828" t="str">
            <v>NOT USED</v>
          </cell>
          <cell r="D828" t="str">
            <v>ELEC REV-RESIDENT-SYSTEM BENEFI CHRG-RETAIL ACCES</v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>
            <v>-535.32704999999999</v>
          </cell>
          <cell r="M828">
            <v>-86.961410000000001</v>
          </cell>
          <cell r="N828">
            <v>-128.77593999999999</v>
          </cell>
          <cell r="O828">
            <v>-128.25274999999999</v>
          </cell>
          <cell r="P828">
            <v>-127.9306</v>
          </cell>
          <cell r="Q828">
            <v>-127.83158</v>
          </cell>
          <cell r="R828">
            <v>-127.76759</v>
          </cell>
          <cell r="S828">
            <v>-127.69889000000001</v>
          </cell>
          <cell r="T828">
            <v>-127.67748</v>
          </cell>
          <cell r="U828">
            <v>-127.66573</v>
          </cell>
          <cell r="V828">
            <v>-127.65336000000001</v>
          </cell>
          <cell r="W828">
            <v>-127.65172</v>
          </cell>
          <cell r="X828">
            <v>-127.65971</v>
          </cell>
          <cell r="Y828">
            <v>-141.44670300000001</v>
          </cell>
        </row>
        <row r="829">
          <cell r="B829">
            <v>440159</v>
          </cell>
          <cell r="C829" t="str">
            <v>NOT USED</v>
          </cell>
          <cell r="D829" t="str">
            <v>ELEC REV-RESIDENT-EEPS-RETAIL ACCESS</v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/>
          </cell>
          <cell r="L829">
            <v>-1014.56384</v>
          </cell>
          <cell r="M829">
            <v>-107.53713</v>
          </cell>
          <cell r="N829">
            <v>-210.85039</v>
          </cell>
          <cell r="O829">
            <v>-317.68421000000001</v>
          </cell>
          <cell r="P829">
            <v>-416.50454999999999</v>
          </cell>
          <cell r="Q829">
            <v>-509.16284000000002</v>
          </cell>
          <cell r="R829">
            <v>-618.56917999999996</v>
          </cell>
          <cell r="S829">
            <v>-745.94637999999998</v>
          </cell>
          <cell r="T829">
            <v>-874.63265000000001</v>
          </cell>
          <cell r="U829">
            <v>-1000.2781199999999</v>
          </cell>
          <cell r="V829">
            <v>-1103.7636</v>
          </cell>
          <cell r="W829">
            <v>-1203.21126</v>
          </cell>
          <cell r="X829">
            <v>-1316.1952000000001</v>
          </cell>
          <cell r="Y829">
            <v>-689.45998599999996</v>
          </cell>
        </row>
        <row r="830">
          <cell r="B830">
            <v>440160</v>
          </cell>
          <cell r="C830" t="str">
            <v>NOT USED</v>
          </cell>
          <cell r="D830" t="str">
            <v>ELEC REV-RESIDENTIAL-RENEWABLE PORTFOLIO CHARGE</v>
          </cell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>
            <v>-2450.3861299999999</v>
          </cell>
          <cell r="M830">
            <v>-332.53554000000003</v>
          </cell>
          <cell r="N830">
            <v>-637.07885999999996</v>
          </cell>
          <cell r="O830">
            <v>-913.62728000000004</v>
          </cell>
          <cell r="P830">
            <v>-1174.1405199999999</v>
          </cell>
          <cell r="Q830">
            <v>-1409.10312</v>
          </cell>
          <cell r="R830">
            <v>-1685.0999200000001</v>
          </cell>
          <cell r="S830">
            <v>-2002.0668599999999</v>
          </cell>
          <cell r="T830">
            <v>-2316.7734999999998</v>
          </cell>
          <cell r="U830">
            <v>-2621.1879600000002</v>
          </cell>
          <cell r="V830">
            <v>-2893.4569999999999</v>
          </cell>
          <cell r="W830">
            <v>-3169.4979699999999</v>
          </cell>
          <cell r="X830">
            <v>-3480.42164</v>
          </cell>
          <cell r="Y830">
            <v>-1843.3310349999999</v>
          </cell>
        </row>
        <row r="831">
          <cell r="B831">
            <v>440168</v>
          </cell>
          <cell r="C831" t="str">
            <v>NOT USED</v>
          </cell>
          <cell r="D831" t="str">
            <v>EL REV-RESIDENT-RENEWABLE PORTFOLIO-RETAIL ACCESS</v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>
            <v>-768.92098999999996</v>
          </cell>
          <cell r="M831">
            <v>-110.53577</v>
          </cell>
          <cell r="N831">
            <v>-211.27345</v>
          </cell>
          <cell r="O831">
            <v>-309.75094999999999</v>
          </cell>
          <cell r="P831">
            <v>-400.83816000000002</v>
          </cell>
          <cell r="Q831">
            <v>-486.26844</v>
          </cell>
          <cell r="R831">
            <v>-587.15866000000005</v>
          </cell>
          <cell r="S831">
            <v>-704.60910000000001</v>
          </cell>
          <cell r="T831">
            <v>-823.25615000000005</v>
          </cell>
          <cell r="U831">
            <v>-939.10691999999995</v>
          </cell>
          <cell r="V831">
            <v>-1040.82844</v>
          </cell>
          <cell r="W831">
            <v>-1144.25802</v>
          </cell>
          <cell r="X831">
            <v>-1261.6323299999999</v>
          </cell>
          <cell r="Y831">
            <v>-647.76339299999995</v>
          </cell>
        </row>
        <row r="832">
          <cell r="B832">
            <v>440173</v>
          </cell>
          <cell r="C832" t="str">
            <v>NOT USED</v>
          </cell>
          <cell r="D832" t="str">
            <v>ELEC REVENUE-FIXED-RESIDENTIAL-DELIVERY GRT</v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>
            <v>-4394.8388800000002</v>
          </cell>
          <cell r="M832">
            <v>-433.72001999999998</v>
          </cell>
          <cell r="N832">
            <v>-799.96693000000005</v>
          </cell>
          <cell r="O832">
            <v>-1117.03397</v>
          </cell>
          <cell r="P832">
            <v>-1432.8015399999999</v>
          </cell>
          <cell r="Q832">
            <v>-1756.0853199999999</v>
          </cell>
          <cell r="R832">
            <v>-2123.39777</v>
          </cell>
          <cell r="S832">
            <v>-2525.3798299999999</v>
          </cell>
          <cell r="T832">
            <v>-2938.0015600000002</v>
          </cell>
          <cell r="U832">
            <v>-3332.48171</v>
          </cell>
          <cell r="V832">
            <v>-3649.0794299999998</v>
          </cell>
          <cell r="W832">
            <v>-3950.3625299999999</v>
          </cell>
          <cell r="X832">
            <v>-4296.0859</v>
          </cell>
          <cell r="Y832">
            <v>-2366.9810830000001</v>
          </cell>
        </row>
        <row r="833">
          <cell r="B833">
            <v>440174</v>
          </cell>
          <cell r="C833" t="str">
            <v>NOT USED</v>
          </cell>
          <cell r="D833" t="str">
            <v>ELEC REVENUE-FIXED-RESIDENTIAL-COMMODITY-GRT</v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>
            <v>-724.27009999999996</v>
          </cell>
          <cell r="M833">
            <v>-84.706289999999996</v>
          </cell>
          <cell r="N833">
            <v>-159.79173</v>
          </cell>
          <cell r="O833">
            <v>-216.86239</v>
          </cell>
          <cell r="P833">
            <v>-276.74707999999998</v>
          </cell>
          <cell r="Q833">
            <v>-325.86788000000001</v>
          </cell>
          <cell r="R833">
            <v>-379.92847999999998</v>
          </cell>
          <cell r="S833">
            <v>-444.11880000000002</v>
          </cell>
          <cell r="T833">
            <v>-506.53773999999999</v>
          </cell>
          <cell r="U833">
            <v>-562.65697999999998</v>
          </cell>
          <cell r="V833">
            <v>-613.56497000000002</v>
          </cell>
          <cell r="W833">
            <v>-667.43715999999995</v>
          </cell>
          <cell r="X833">
            <v>-724.65192000000002</v>
          </cell>
          <cell r="Y833">
            <v>-413.55670900000001</v>
          </cell>
        </row>
        <row r="834">
          <cell r="B834">
            <v>440320</v>
          </cell>
          <cell r="C834" t="str">
            <v>NOT USED</v>
          </cell>
          <cell r="D834" t="str">
            <v>ELEC REVENUE - VARIABLE - RESIDENTIAL-DELIVERY</v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</row>
        <row r="835">
          <cell r="B835">
            <v>440325</v>
          </cell>
          <cell r="C835" t="str">
            <v>NOT USED</v>
          </cell>
          <cell r="D835" t="str">
            <v>ELEC REV-VARIABLE-RESIDENTIAL-UNBILLED DELIVERY</v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>
            <v>-3205.2876999999999</v>
          </cell>
          <cell r="M835">
            <v>366.89102000000003</v>
          </cell>
          <cell r="N835">
            <v>1234.8034700000001</v>
          </cell>
          <cell r="O835">
            <v>1286.0798299999999</v>
          </cell>
          <cell r="P835">
            <v>1840.4539600000001</v>
          </cell>
          <cell r="Q835">
            <v>946.84569999999997</v>
          </cell>
          <cell r="R835">
            <v>855.97324000000003</v>
          </cell>
          <cell r="S835">
            <v>-944.62428</v>
          </cell>
          <cell r="T835">
            <v>-77.565960000000004</v>
          </cell>
          <cell r="U835">
            <v>1104.9716900000001</v>
          </cell>
          <cell r="V835">
            <v>1263.3979099999999</v>
          </cell>
          <cell r="W835">
            <v>1010.06276</v>
          </cell>
          <cell r="X835">
            <v>369.77713</v>
          </cell>
          <cell r="Y835">
            <v>622.46117100000004</v>
          </cell>
        </row>
        <row r="836">
          <cell r="B836">
            <v>440330</v>
          </cell>
          <cell r="C836" t="str">
            <v>NOT USED</v>
          </cell>
          <cell r="D836" t="str">
            <v>ELEC REVENUE - VARIABLE - RESIDENTIAL-COMMODITY</v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B837">
            <v>440335</v>
          </cell>
          <cell r="C837" t="str">
            <v>NOT USED</v>
          </cell>
          <cell r="D837" t="str">
            <v>ELEC REV-VARIABLE-RESIDENTIAL-UNBILLED COMMODITY</v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>
            <v>-1380.1848500000001</v>
          </cell>
          <cell r="M837">
            <v>-689.55791999999997</v>
          </cell>
          <cell r="N837">
            <v>3503.5883199999998</v>
          </cell>
          <cell r="O837">
            <v>2748.4017899999999</v>
          </cell>
          <cell r="P837">
            <v>3129.3185699999999</v>
          </cell>
          <cell r="Q837">
            <v>2116.2538500000001</v>
          </cell>
          <cell r="R837">
            <v>1155.38861</v>
          </cell>
          <cell r="S837">
            <v>-974.85681</v>
          </cell>
          <cell r="T837">
            <v>81.647660000000002</v>
          </cell>
          <cell r="U837">
            <v>2182.0835699999998</v>
          </cell>
          <cell r="V837">
            <v>2361.0549599999999</v>
          </cell>
          <cell r="W837">
            <v>1668.01892</v>
          </cell>
          <cell r="X837">
            <v>1051.16498</v>
          </cell>
          <cell r="Y837">
            <v>1426.402632</v>
          </cell>
        </row>
        <row r="838">
          <cell r="B838">
            <v>440340</v>
          </cell>
          <cell r="C838" t="str">
            <v>NOT USED</v>
          </cell>
          <cell r="D838" t="str">
            <v>ELEC REV-VARIABLE-RESIDENTIAL-TRANSITION CHARGE</v>
          </cell>
          <cell r="E838" t="str">
            <v/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B839">
            <v>440350</v>
          </cell>
          <cell r="C839" t="str">
            <v>NOT USED</v>
          </cell>
          <cell r="D839" t="str">
            <v>ELEC REV-VARIABLE-RESIDENTIAL-SYSTEM BENEFIT CHRG</v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B840">
            <v>440351</v>
          </cell>
          <cell r="C840" t="str">
            <v>NOT USED</v>
          </cell>
          <cell r="D840" t="str">
            <v>ELEC REV-VARI-RESIDENTIAL-RETAIL ACCESS SURCHARGE</v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/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B841">
            <v>440373</v>
          </cell>
          <cell r="C841" t="str">
            <v>NOT USED</v>
          </cell>
          <cell r="D841" t="str">
            <v>ELEC REVENUE-VARIABLE-RESIDENTIAL-DELIVERY GRT</v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/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B842">
            <v>440374</v>
          </cell>
          <cell r="C842" t="str">
            <v>NOT USED</v>
          </cell>
          <cell r="D842" t="str">
            <v>ELEC REVENUE-VARIABLE-RESIDENTIAL-COMMODITY-GRT</v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B843">
            <v>440500</v>
          </cell>
          <cell r="C843" t="str">
            <v>NOT USED</v>
          </cell>
          <cell r="D843" t="str">
            <v>ELEC REVENUE - RETAIL-UNBILLED</v>
          </cell>
          <cell r="E843" t="str">
            <v/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B844">
            <v>440520</v>
          </cell>
          <cell r="C844" t="str">
            <v>NOT USED</v>
          </cell>
          <cell r="D844" t="str">
            <v>ELEC REVENUE - ESCO - RESIDENTIAL-DELIVERY</v>
          </cell>
          <cell r="E844" t="str">
            <v/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B845">
            <v>440525</v>
          </cell>
          <cell r="C845" t="str">
            <v>NOT USED</v>
          </cell>
          <cell r="D845" t="str">
            <v>ELEC REV-ESCO-RESIDENTIAL-UNBILLED DELIVERY</v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>
            <v>-782.56899999999996</v>
          </cell>
          <cell r="M845">
            <v>56.808999999999997</v>
          </cell>
          <cell r="N845">
            <v>280.21199999999999</v>
          </cell>
          <cell r="O845">
            <v>248.94900000000001</v>
          </cell>
          <cell r="P845">
            <v>400.03300000000002</v>
          </cell>
          <cell r="Q845">
            <v>80.748999999999995</v>
          </cell>
          <cell r="R845">
            <v>50.984960000000001</v>
          </cell>
          <cell r="S845">
            <v>-540.07109000000003</v>
          </cell>
          <cell r="T845">
            <v>-295.13229000000001</v>
          </cell>
          <cell r="U845">
            <v>82.336680000000001</v>
          </cell>
          <cell r="V845">
            <v>131.50355999999999</v>
          </cell>
          <cell r="W845">
            <v>37.075960000000002</v>
          </cell>
          <cell r="X845">
            <v>-190.58452</v>
          </cell>
          <cell r="Y845">
            <v>3.906085</v>
          </cell>
        </row>
        <row r="846">
          <cell r="B846">
            <v>440535</v>
          </cell>
          <cell r="C846" t="str">
            <v>NOT USED</v>
          </cell>
          <cell r="D846" t="str">
            <v>ELEC REV-RESIDENTIAL-EPO UNBILLED TRANSITION</v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>
            <v>229.71199999999999</v>
          </cell>
          <cell r="M846">
            <v>92.802000000000007</v>
          </cell>
          <cell r="N846">
            <v>423.02600000000001</v>
          </cell>
          <cell r="O846">
            <v>400.01600000000002</v>
          </cell>
          <cell r="P846">
            <v>298.97500000000002</v>
          </cell>
          <cell r="Q846">
            <v>162.89699999999999</v>
          </cell>
          <cell r="R846">
            <v>138.74091000000001</v>
          </cell>
          <cell r="S846">
            <v>116.9006</v>
          </cell>
          <cell r="T846">
            <v>14.00098</v>
          </cell>
          <cell r="U846">
            <v>145.57935000000001</v>
          </cell>
          <cell r="V846">
            <v>487.48916000000003</v>
          </cell>
          <cell r="W846">
            <v>283.80207999999999</v>
          </cell>
          <cell r="X846">
            <v>180.71086</v>
          </cell>
          <cell r="Y846">
            <v>230.786709</v>
          </cell>
        </row>
        <row r="847">
          <cell r="B847">
            <v>440540</v>
          </cell>
          <cell r="C847" t="str">
            <v>NOT USED</v>
          </cell>
          <cell r="D847" t="str">
            <v>ELEC REV-ESCO-RESIDENTIAL-TRANSITION CHARGE</v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B848">
            <v>440550</v>
          </cell>
          <cell r="C848" t="str">
            <v>NOT USED</v>
          </cell>
          <cell r="D848" t="str">
            <v>ELEC REV-ESCO-RESIDENTIAL-SYSTEM BENEFIT CHRGE</v>
          </cell>
          <cell r="E848" t="str">
            <v/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B849">
            <v>440551</v>
          </cell>
          <cell r="C849" t="str">
            <v>NOT USED</v>
          </cell>
          <cell r="D849" t="str">
            <v>ELEC REV-ESCO-RESIDENTIAL-RETAIL ACCESS SURCHARGE</v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B850">
            <v>440552</v>
          </cell>
          <cell r="C850" t="str">
            <v>NOT USED</v>
          </cell>
          <cell r="D850" t="str">
            <v>ELEC REV-ESCO-RESIDENTIAL-RETAIL ACCESS CREDIT</v>
          </cell>
          <cell r="E850" t="str">
            <v/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1">
          <cell r="B851">
            <v>440573</v>
          </cell>
          <cell r="C851" t="str">
            <v>NOT USED</v>
          </cell>
          <cell r="D851" t="str">
            <v>ELEC REVENUE-ESCO-RESIDENTIAL-DELIVERY GRT</v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</row>
        <row r="852">
          <cell r="B852">
            <v>440620</v>
          </cell>
          <cell r="C852" t="str">
            <v>NOT USED</v>
          </cell>
          <cell r="D852" t="str">
            <v>ELEC REV-ESCO W/SUPPLY ADJUST-RESIDENTIAL-DELIVER</v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/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</row>
        <row r="853">
          <cell r="B853">
            <v>440625</v>
          </cell>
          <cell r="C853" t="str">
            <v>NOT USED</v>
          </cell>
          <cell r="D853" t="str">
            <v>EL REV-ESCO W/SUP ADJUST-RESIDENTIAL-UNBLD DELVRY</v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/>
          </cell>
          <cell r="L853">
            <v>37.389000000000003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1.5578749999999999</v>
          </cell>
        </row>
        <row r="854">
          <cell r="B854">
            <v>440630</v>
          </cell>
          <cell r="C854" t="str">
            <v>NOT USED</v>
          </cell>
          <cell r="D854" t="str">
            <v>EL REV-ESCO W/SUPPLY ADJUST-RESIDENTIAL-COMMODITY</v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/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</row>
        <row r="855">
          <cell r="B855">
            <v>440635</v>
          </cell>
          <cell r="C855" t="str">
            <v>NOT USED</v>
          </cell>
          <cell r="D855" t="str">
            <v>EL REV-ESCO W/SUP ADJUST-RESIDENTIAL-UNBLD COMMDT</v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/>
          </cell>
          <cell r="L855">
            <v>30.715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1.279792</v>
          </cell>
        </row>
        <row r="856">
          <cell r="B856">
            <v>440640</v>
          </cell>
          <cell r="C856" t="str">
            <v>NOT USED</v>
          </cell>
          <cell r="D856" t="str">
            <v>EL REV-ESCO W/SUPPLY ADJUST-RES-TRANSITION CHARGE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/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</row>
        <row r="857">
          <cell r="B857">
            <v>440645</v>
          </cell>
          <cell r="C857" t="str">
            <v>NOT USED</v>
          </cell>
          <cell r="D857" t="str">
            <v>E-UNBILLED-RESIDENTIAL-DELIVERY GROSS RECEIPTS TA</v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/>
          </cell>
          <cell r="L857">
            <v>-34.543999999999997</v>
          </cell>
          <cell r="M857">
            <v>22.530999999999999</v>
          </cell>
          <cell r="N857">
            <v>88.956000000000003</v>
          </cell>
          <cell r="O857">
            <v>86.37</v>
          </cell>
          <cell r="P857">
            <v>95.236000000000004</v>
          </cell>
          <cell r="Q857">
            <v>47.253</v>
          </cell>
          <cell r="R857">
            <v>41.383249999999997</v>
          </cell>
          <cell r="S857">
            <v>-28.205269999999999</v>
          </cell>
          <cell r="T857">
            <v>-181.1677</v>
          </cell>
          <cell r="U857">
            <v>-87.135660000000001</v>
          </cell>
          <cell r="V857">
            <v>-66.747249999999994</v>
          </cell>
          <cell r="W857">
            <v>-103.43203</v>
          </cell>
          <cell r="X857">
            <v>-130.37114</v>
          </cell>
          <cell r="Y857">
            <v>-13.951352999999999</v>
          </cell>
        </row>
        <row r="858">
          <cell r="B858">
            <v>440650</v>
          </cell>
          <cell r="C858" t="str">
            <v>NOT USED</v>
          </cell>
          <cell r="D858" t="str">
            <v>EL REV-ESCO W/SUPPLY ADJUST-RESIDENTIAL-SBC</v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</row>
        <row r="859">
          <cell r="B859">
            <v>440651</v>
          </cell>
          <cell r="C859" t="str">
            <v>NOT USED</v>
          </cell>
          <cell r="D859" t="str">
            <v>EL REV-ESCO W/SUPPLY ADJUST-RESIDENTIAL-RAS</v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/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</row>
        <row r="860">
          <cell r="B860">
            <v>440652</v>
          </cell>
          <cell r="C860" t="str">
            <v>NOT USED</v>
          </cell>
          <cell r="D860" t="str">
            <v>EL REV-ESCO W/SUPPLY ADJUST-RESIDENTIAL-RAC</v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/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</row>
        <row r="861">
          <cell r="B861">
            <v>440653</v>
          </cell>
          <cell r="C861" t="str">
            <v>NOT USED</v>
          </cell>
          <cell r="D861" t="str">
            <v>EL REV-ESCO W/SUPPLY ADJUST-RESIDENTIAL-MBBC</v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/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</row>
        <row r="862">
          <cell r="B862">
            <v>440655</v>
          </cell>
          <cell r="C862" t="str">
            <v>NOT USED</v>
          </cell>
          <cell r="D862" t="str">
            <v>E-UNBILL-RESIDENTIAL-COMMODITY GROSS RECEIPTS TAX</v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/>
          </cell>
          <cell r="L862">
            <v>4.1449999999999996</v>
          </cell>
          <cell r="M862">
            <v>-10.186999999999999</v>
          </cell>
          <cell r="N862">
            <v>22.651</v>
          </cell>
          <cell r="O862">
            <v>16.213000000000001</v>
          </cell>
          <cell r="P862">
            <v>22.792999999999999</v>
          </cell>
          <cell r="Q862">
            <v>16.408999999999999</v>
          </cell>
          <cell r="R862">
            <v>7.5813199999999998</v>
          </cell>
          <cell r="S862">
            <v>-12.77319</v>
          </cell>
          <cell r="T862">
            <v>-5.6845600000000003</v>
          </cell>
          <cell r="U862">
            <v>12.82023</v>
          </cell>
          <cell r="V862">
            <v>6.2426199999999996</v>
          </cell>
          <cell r="W862">
            <v>4.1898600000000004</v>
          </cell>
          <cell r="X862">
            <v>8.3669999999999994E-2</v>
          </cell>
          <cell r="Y862">
            <v>6.8641350000000001</v>
          </cell>
        </row>
        <row r="863">
          <cell r="B863">
            <v>440673</v>
          </cell>
          <cell r="C863" t="str">
            <v>NOT USED</v>
          </cell>
          <cell r="D863" t="str">
            <v>ELEC REV-ESCO W/SUPPLY ADJUST-RESIDNT-DELIVERY GR</v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/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</row>
        <row r="864">
          <cell r="B864">
            <v>442100</v>
          </cell>
          <cell r="C864" t="str">
            <v>NOT USED</v>
          </cell>
          <cell r="D864" t="str">
            <v>ELEC REVENUE - COMMERCIAL-REGULAR</v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/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</row>
        <row r="865">
          <cell r="B865">
            <v>442110</v>
          </cell>
          <cell r="C865" t="str">
            <v>NOT USED</v>
          </cell>
          <cell r="D865" t="str">
            <v>ELEC REVENUE-COMMERCIAL-ECON DEVELOPMNT CREDIT</v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/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</row>
        <row r="866">
          <cell r="B866">
            <v>442120</v>
          </cell>
          <cell r="C866" t="str">
            <v>NOT USED</v>
          </cell>
          <cell r="D866" t="str">
            <v>ELEC REVENUE -FIXED - COMMERCIAL-DELIVERY</v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/>
          </cell>
          <cell r="L866">
            <v>-25737.69657</v>
          </cell>
          <cell r="M866">
            <v>-2481.1587199999999</v>
          </cell>
          <cell r="N866">
            <v>-4954.49521</v>
          </cell>
          <cell r="O866">
            <v>-7334.5431799999997</v>
          </cell>
          <cell r="P866">
            <v>-9664.7610700000005</v>
          </cell>
          <cell r="Q866">
            <v>-11992.550950000001</v>
          </cell>
          <cell r="R866">
            <v>-14505.776529999999</v>
          </cell>
          <cell r="S866">
            <v>-17108.578379999999</v>
          </cell>
          <cell r="T866">
            <v>-19710.286800000002</v>
          </cell>
          <cell r="U866">
            <v>-22327.99841</v>
          </cell>
          <cell r="V866">
            <v>-24879.248960000001</v>
          </cell>
          <cell r="W866">
            <v>-27234.500960000001</v>
          </cell>
          <cell r="X866">
            <v>-29648.048129999999</v>
          </cell>
          <cell r="Y866">
            <v>-15823.897627</v>
          </cell>
        </row>
        <row r="867">
          <cell r="B867">
            <v>442125</v>
          </cell>
          <cell r="C867" t="str">
            <v>NOT USED</v>
          </cell>
          <cell r="D867" t="str">
            <v>ELEC REVENUE-FIXED-COMMERCIAL-UNBILLED DELIVERY</v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>
            <v>121.187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5.0494579999999996</v>
          </cell>
        </row>
        <row r="868">
          <cell r="B868">
            <v>442128</v>
          </cell>
          <cell r="C868" t="str">
            <v>NOT USED</v>
          </cell>
          <cell r="D868" t="str">
            <v>ELEC REV-COMMERCIAL-DELIVERY CHARGE-RETAIL ACCESS</v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>
            <v>-48768.570099999997</v>
          </cell>
          <cell r="M868">
            <v>-5783.6174000000001</v>
          </cell>
          <cell r="N868">
            <v>-11507.555189999999</v>
          </cell>
          <cell r="O868">
            <v>-17270.690259999999</v>
          </cell>
          <cell r="P868">
            <v>-23154.708460000002</v>
          </cell>
          <cell r="Q868">
            <v>-29303.837049999998</v>
          </cell>
          <cell r="R868">
            <v>-36102.26238</v>
          </cell>
          <cell r="S868">
            <v>-43186.583850000003</v>
          </cell>
          <cell r="T868">
            <v>-50391.647010000001</v>
          </cell>
          <cell r="U868">
            <v>-57125.310700000002</v>
          </cell>
          <cell r="V868">
            <v>-63655.069889999999</v>
          </cell>
          <cell r="W868">
            <v>-69622.816789999997</v>
          </cell>
          <cell r="X868">
            <v>-75492.576639999999</v>
          </cell>
          <cell r="Y868">
            <v>-39102.889363000002</v>
          </cell>
        </row>
        <row r="869">
          <cell r="B869">
            <v>442130</v>
          </cell>
          <cell r="C869" t="str">
            <v>NOT USED</v>
          </cell>
          <cell r="D869" t="str">
            <v>ELECTRIC REVENUE - FIXED - COMMERCIAL-COMMODITY</v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>
            <v>-30892.248909999998</v>
          </cell>
          <cell r="M869">
            <v>-3030.4452900000001</v>
          </cell>
          <cell r="N869">
            <v>-5558.6051799999996</v>
          </cell>
          <cell r="O869">
            <v>-7179.1433200000001</v>
          </cell>
          <cell r="P869">
            <v>-9016.2571200000002</v>
          </cell>
          <cell r="Q869">
            <v>-10820.066510000001</v>
          </cell>
          <cell r="R869">
            <v>-13070.82071</v>
          </cell>
          <cell r="S869">
            <v>-15635.86354</v>
          </cell>
          <cell r="T869">
            <v>-18092.692609999998</v>
          </cell>
          <cell r="U869">
            <v>-20069.195909999999</v>
          </cell>
          <cell r="V869">
            <v>-21921.84865</v>
          </cell>
          <cell r="W869">
            <v>-23757.25765</v>
          </cell>
          <cell r="X869">
            <v>-25667.689170000001</v>
          </cell>
          <cell r="Y869">
            <v>-14702.680461</v>
          </cell>
        </row>
        <row r="870">
          <cell r="B870">
            <v>442131</v>
          </cell>
          <cell r="C870" t="str">
            <v>NOT USED</v>
          </cell>
          <cell r="D870" t="str">
            <v>ELEC REV-FPO SPECIAL CONTRACT-COMMERCIAL-COMMODIT</v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</row>
        <row r="871">
          <cell r="B871">
            <v>442135</v>
          </cell>
          <cell r="C871" t="str">
            <v>NOT USED</v>
          </cell>
          <cell r="D871" t="str">
            <v>ELEC REVENUE-FIXED-COMMERCIAL-UNBILLED COMMODITY</v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>
            <v>226.87700000000001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9.4532080000000001</v>
          </cell>
        </row>
        <row r="872">
          <cell r="B872">
            <v>442138</v>
          </cell>
          <cell r="C872" t="str">
            <v>NOT USED</v>
          </cell>
          <cell r="D872" t="str">
            <v>ELEC REV-COMMERCIAL-SUPPLY CHARGE-RETAIL ACCESS</v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>
            <v>-9.5950600000000001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-0.39979399999999998</v>
          </cell>
        </row>
        <row r="873">
          <cell r="B873">
            <v>442140</v>
          </cell>
          <cell r="C873" t="str">
            <v>NOT USED</v>
          </cell>
          <cell r="D873" t="str">
            <v>ELEC REV-FIXED-COMMERCIAL-TRANSITION CHARGE</v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>
            <v>-6097.2665699999998</v>
          </cell>
          <cell r="M873">
            <v>-4.8327600000000004</v>
          </cell>
          <cell r="N873">
            <v>209.53637000000001</v>
          </cell>
          <cell r="O873">
            <v>436.74399</v>
          </cell>
          <cell r="P873">
            <v>562.54960000000005</v>
          </cell>
          <cell r="Q873">
            <v>565.84082999999998</v>
          </cell>
          <cell r="R873">
            <v>472.89917000000003</v>
          </cell>
          <cell r="S873">
            <v>302.50421</v>
          </cell>
          <cell r="T873">
            <v>71.781409999999994</v>
          </cell>
          <cell r="U873">
            <v>-160.37918999999999</v>
          </cell>
          <cell r="V873">
            <v>-166.07683</v>
          </cell>
          <cell r="W873">
            <v>-95.294650000000004</v>
          </cell>
          <cell r="X873">
            <v>-122.95484</v>
          </cell>
          <cell r="Y873">
            <v>-76.236546000000004</v>
          </cell>
        </row>
        <row r="874">
          <cell r="B874">
            <v>442142</v>
          </cell>
          <cell r="C874" t="str">
            <v>NOT USED</v>
          </cell>
          <cell r="D874" t="str">
            <v>ELEC REV-COMMERCIAL-BILLING CHARGE-MFC COMMODITY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>
            <v>-37.878270000000001</v>
          </cell>
          <cell r="M874">
            <v>-17.889089999999999</v>
          </cell>
          <cell r="N874">
            <v>-32.871310000000001</v>
          </cell>
          <cell r="O874">
            <v>-45.453989999999997</v>
          </cell>
          <cell r="P874">
            <v>-59.892270000000003</v>
          </cell>
          <cell r="Q874">
            <v>-70.518680000000003</v>
          </cell>
          <cell r="R874">
            <v>-79.98733</v>
          </cell>
          <cell r="S874">
            <v>-92.015649999999994</v>
          </cell>
          <cell r="T874">
            <v>-103.93675</v>
          </cell>
          <cell r="U874">
            <v>-117.44166</v>
          </cell>
          <cell r="V874">
            <v>-134.90253000000001</v>
          </cell>
          <cell r="W874">
            <v>-153.02768</v>
          </cell>
          <cell r="X874">
            <v>-171.72621000000001</v>
          </cell>
          <cell r="Y874">
            <v>-84.394931999999997</v>
          </cell>
        </row>
        <row r="875">
          <cell r="B875">
            <v>442143</v>
          </cell>
          <cell r="C875" t="str">
            <v>NOT USED</v>
          </cell>
          <cell r="D875" t="str">
            <v>ELEC REV-COMMERCIAL-BILLING CHARGE-MFC DELIVERY</v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>
            <v>-519.27371000000005</v>
          </cell>
          <cell r="M875">
            <v>-214.14180999999999</v>
          </cell>
          <cell r="N875">
            <v>-418.15947999999997</v>
          </cell>
          <cell r="O875">
            <v>-611.26566000000003</v>
          </cell>
          <cell r="P875">
            <v>-794.21920999999998</v>
          </cell>
          <cell r="Q875">
            <v>-963.91494999999998</v>
          </cell>
          <cell r="R875">
            <v>-1161.2790500000001</v>
          </cell>
          <cell r="S875">
            <v>-1375.5279</v>
          </cell>
          <cell r="T875">
            <v>-1584.59557</v>
          </cell>
          <cell r="U875">
            <v>-1789.1590900000001</v>
          </cell>
          <cell r="V875">
            <v>-1968.9009100000001</v>
          </cell>
          <cell r="W875">
            <v>-2134.6932499999998</v>
          </cell>
          <cell r="X875">
            <v>-2314.3992199999998</v>
          </cell>
          <cell r="Y875">
            <v>-1202.7244450000001</v>
          </cell>
        </row>
        <row r="876">
          <cell r="B876">
            <v>442148</v>
          </cell>
          <cell r="C876" t="str">
            <v>NOT USED</v>
          </cell>
          <cell r="D876" t="str">
            <v>ELEC REV-COMMERCIAL-TRANSITION CHRG-RETAIL ACCESS</v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>
            <v>-21547.640810000001</v>
          </cell>
          <cell r="M876">
            <v>124.00682999999999</v>
          </cell>
          <cell r="N876">
            <v>993.38418999999999</v>
          </cell>
          <cell r="O876">
            <v>1845.7723000000001</v>
          </cell>
          <cell r="P876">
            <v>2295.7237500000001</v>
          </cell>
          <cell r="Q876">
            <v>2230.4007200000001</v>
          </cell>
          <cell r="R876">
            <v>1799.6350199999999</v>
          </cell>
          <cell r="S876">
            <v>1039.6529800000001</v>
          </cell>
          <cell r="T876">
            <v>-9.2329699999999999</v>
          </cell>
          <cell r="U876">
            <v>-891.01383999999996</v>
          </cell>
          <cell r="V876">
            <v>-728.14549</v>
          </cell>
          <cell r="W876">
            <v>-532.33321999999998</v>
          </cell>
          <cell r="X876">
            <v>-667.74748</v>
          </cell>
          <cell r="Y876">
            <v>-244.98698999999999</v>
          </cell>
        </row>
        <row r="877">
          <cell r="B877">
            <v>442149</v>
          </cell>
          <cell r="C877" t="str">
            <v>NOT USED</v>
          </cell>
          <cell r="D877" t="str">
            <v>ELEC REV-COMMERCIAL-EEPS</v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>
            <v>-913.42061999999999</v>
          </cell>
          <cell r="M877">
            <v>-80.661709999999999</v>
          </cell>
          <cell r="N877">
            <v>-162.45687000000001</v>
          </cell>
          <cell r="O877">
            <v>-243.9922</v>
          </cell>
          <cell r="P877">
            <v>-320.97723000000002</v>
          </cell>
          <cell r="Q877">
            <v>-392.28268000000003</v>
          </cell>
          <cell r="R877">
            <v>-475.11245000000002</v>
          </cell>
          <cell r="S877">
            <v>-564.90461000000005</v>
          </cell>
          <cell r="T877">
            <v>-652.46812999999997</v>
          </cell>
          <cell r="U877">
            <v>-740.67845</v>
          </cell>
          <cell r="V877">
            <v>-820.39175</v>
          </cell>
          <cell r="W877">
            <v>-894.30259000000001</v>
          </cell>
          <cell r="X877">
            <v>-975.47293000000002</v>
          </cell>
          <cell r="Y877">
            <v>-524.38962000000004</v>
          </cell>
        </row>
        <row r="878">
          <cell r="B878">
            <v>442150</v>
          </cell>
          <cell r="C878" t="str">
            <v>NOT USED</v>
          </cell>
          <cell r="D878" t="str">
            <v>ELEC REV-FIXED-COMMERCIAL-SYSTEM BENEFIT CHARGES</v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>
            <v>-477.84550999999999</v>
          </cell>
          <cell r="M878">
            <v>-65.267080000000007</v>
          </cell>
          <cell r="N878">
            <v>-96.641580000000005</v>
          </cell>
          <cell r="O878">
            <v>-96.503699999999995</v>
          </cell>
          <cell r="P878">
            <v>-96.493489999999994</v>
          </cell>
          <cell r="Q878">
            <v>-96.460390000000004</v>
          </cell>
          <cell r="R878">
            <v>-96.445310000000006</v>
          </cell>
          <cell r="S878">
            <v>-96.435199999999995</v>
          </cell>
          <cell r="T878">
            <v>-96.381770000000003</v>
          </cell>
          <cell r="U878">
            <v>-96.389570000000006</v>
          </cell>
          <cell r="V878">
            <v>-96.407610000000005</v>
          </cell>
          <cell r="W878">
            <v>-96.411109999999994</v>
          </cell>
          <cell r="X878">
            <v>-96.411500000000004</v>
          </cell>
          <cell r="Y878">
            <v>-109.74711000000001</v>
          </cell>
        </row>
        <row r="879">
          <cell r="B879">
            <v>442151</v>
          </cell>
          <cell r="C879" t="str">
            <v>NOT USED</v>
          </cell>
          <cell r="D879" t="str">
            <v>ELEC REV-FIXED-COMMERCIAL-RETAIL ACCESS SURCHARGE</v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>
            <v>-4672.3629499999997</v>
          </cell>
          <cell r="M879">
            <v>0.16375999999999999</v>
          </cell>
          <cell r="N879">
            <v>0.22044</v>
          </cell>
          <cell r="O879">
            <v>0.14951</v>
          </cell>
          <cell r="P879">
            <v>0.13585</v>
          </cell>
          <cell r="Q879">
            <v>0.15060000000000001</v>
          </cell>
          <cell r="R879">
            <v>0.13866999999999999</v>
          </cell>
          <cell r="S879">
            <v>0.16100999999999999</v>
          </cell>
          <cell r="T879">
            <v>0.28722999999999999</v>
          </cell>
          <cell r="U879">
            <v>0.24840999999999999</v>
          </cell>
          <cell r="V879">
            <v>0.65347999999999995</v>
          </cell>
          <cell r="W879">
            <v>0.24929000000000001</v>
          </cell>
          <cell r="X879">
            <v>0.65137</v>
          </cell>
          <cell r="Y879">
            <v>-194.441462</v>
          </cell>
        </row>
        <row r="880">
          <cell r="B880">
            <v>442152</v>
          </cell>
          <cell r="C880" t="str">
            <v>NOT USED</v>
          </cell>
          <cell r="D880" t="str">
            <v>ELEC REVENUE - COMMERCIAL-SUPPLY RECONCILIATION</v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>
            <v>442153</v>
          </cell>
          <cell r="C881" t="str">
            <v>NOT USED</v>
          </cell>
          <cell r="D881" t="str">
            <v>ELEC REV-COMMERCIAL-SURCHARGE RETAIL ACCESS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>
            <v>-3828.1717199999998</v>
          </cell>
          <cell r="M881">
            <v>-321.8141</v>
          </cell>
          <cell r="N881">
            <v>-634.40219999999999</v>
          </cell>
          <cell r="O881">
            <v>-946.28346999999997</v>
          </cell>
          <cell r="P881">
            <v>-1262.6863800000001</v>
          </cell>
          <cell r="Q881">
            <v>-1587.62014</v>
          </cell>
          <cell r="R881">
            <v>-1953.86022</v>
          </cell>
          <cell r="S881">
            <v>-2341.62021</v>
          </cell>
          <cell r="T881">
            <v>-2736.7726400000001</v>
          </cell>
          <cell r="U881">
            <v>-3096.14921</v>
          </cell>
          <cell r="V881">
            <v>-3433.5112600000002</v>
          </cell>
          <cell r="W881">
            <v>-3696.74478</v>
          </cell>
          <cell r="X881">
            <v>-3933.6488100000001</v>
          </cell>
          <cell r="Y881">
            <v>-2157.6979059999999</v>
          </cell>
        </row>
        <row r="882">
          <cell r="B882">
            <v>442154</v>
          </cell>
          <cell r="C882" t="str">
            <v>NOT USED</v>
          </cell>
          <cell r="D882" t="str">
            <v>ELEC REV-COMMERCIAL-SURCHARGE FULL SERVICE</v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>
            <v>-1323.0486800000001</v>
          </cell>
          <cell r="M882">
            <v>-114.44589000000001</v>
          </cell>
          <cell r="N882">
            <v>-226.64895999999999</v>
          </cell>
          <cell r="O882">
            <v>-334.77060999999998</v>
          </cell>
          <cell r="P882">
            <v>-437.84062</v>
          </cell>
          <cell r="Q882">
            <v>-534.58195000000001</v>
          </cell>
          <cell r="R882">
            <v>-644.34226999999998</v>
          </cell>
          <cell r="S882">
            <v>-762.29315999999994</v>
          </cell>
          <cell r="T882">
            <v>-879.00468999999998</v>
          </cell>
          <cell r="U882">
            <v>-994.49125000000004</v>
          </cell>
          <cell r="V882">
            <v>-1100.77331</v>
          </cell>
          <cell r="W882">
            <v>-1191.3366100000001</v>
          </cell>
          <cell r="X882">
            <v>-1277.7162699999999</v>
          </cell>
          <cell r="Y882">
            <v>-710.07598299999995</v>
          </cell>
        </row>
        <row r="883">
          <cell r="B883">
            <v>442158</v>
          </cell>
          <cell r="C883" t="str">
            <v>NOT USED</v>
          </cell>
          <cell r="D883" t="str">
            <v>ELEC REV-COMMERCIAL-SYSTEM BENEFIT CHRG-RTL ACCES</v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>
            <v>-1720.1954499999999</v>
          </cell>
          <cell r="M883">
            <v>-237.24459999999999</v>
          </cell>
          <cell r="N883">
            <v>-319.56905</v>
          </cell>
          <cell r="O883">
            <v>-320.0847</v>
          </cell>
          <cell r="P883">
            <v>-320.09228000000002</v>
          </cell>
          <cell r="Q883">
            <v>-320.07037000000003</v>
          </cell>
          <cell r="R883">
            <v>-320.06644</v>
          </cell>
          <cell r="S883">
            <v>-320.06941999999998</v>
          </cell>
          <cell r="T883">
            <v>-320.06858999999997</v>
          </cell>
          <cell r="U883">
            <v>-320.07126</v>
          </cell>
          <cell r="V883">
            <v>-319.82636000000002</v>
          </cell>
          <cell r="W883">
            <v>-320.07100000000003</v>
          </cell>
          <cell r="X883">
            <v>-319.82733999999999</v>
          </cell>
          <cell r="Y883">
            <v>-371.43712199999999</v>
          </cell>
        </row>
        <row r="884">
          <cell r="B884">
            <v>442159</v>
          </cell>
          <cell r="C884" t="str">
            <v>NOT USED</v>
          </cell>
          <cell r="D884" t="str">
            <v>ELEC REV-COMMERCIAL-EEPS-RETAIL ACCESS</v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>
            <v>-3250.7569400000002</v>
          </cell>
          <cell r="M884">
            <v>-293.41989999999998</v>
          </cell>
          <cell r="N884">
            <v>-591.92642999999998</v>
          </cell>
          <cell r="O884">
            <v>-896.19505000000004</v>
          </cell>
          <cell r="P884">
            <v>-1200.933</v>
          </cell>
          <cell r="Q884">
            <v>-1496.0768599999999</v>
          </cell>
          <cell r="R884">
            <v>-1835.02097</v>
          </cell>
          <cell r="S884">
            <v>-2203.1931500000001</v>
          </cell>
          <cell r="T884">
            <v>-2570.0409800000002</v>
          </cell>
          <cell r="U884">
            <v>-2907.6565999999998</v>
          </cell>
          <cell r="V884">
            <v>-3226.2893600000002</v>
          </cell>
          <cell r="W884">
            <v>-3521.3245999999999</v>
          </cell>
          <cell r="X884">
            <v>-3821.8446899999999</v>
          </cell>
          <cell r="Y884">
            <v>-2023.1981430000001</v>
          </cell>
        </row>
        <row r="885">
          <cell r="B885">
            <v>442160</v>
          </cell>
          <cell r="C885" t="str">
            <v>NOT USED</v>
          </cell>
          <cell r="D885" t="str">
            <v>ELEC REV-COMMERCIAL-RENEWABLE PORTFOLIO CHARGE</v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>
            <v>-687.04369999999994</v>
          </cell>
          <cell r="M885">
            <v>-82.942170000000004</v>
          </cell>
          <cell r="N885">
            <v>-162.47735</v>
          </cell>
          <cell r="O885">
            <v>-237.63526999999999</v>
          </cell>
          <cell r="P885">
            <v>-308.61293999999998</v>
          </cell>
          <cell r="Q885">
            <v>-374.35385000000002</v>
          </cell>
          <cell r="R885">
            <v>-450.71773000000002</v>
          </cell>
          <cell r="S885">
            <v>-533.50973999999997</v>
          </cell>
          <cell r="T885">
            <v>-614.26651000000004</v>
          </cell>
          <cell r="U885">
            <v>-695.59294</v>
          </cell>
          <cell r="V885">
            <v>-773.90905999999995</v>
          </cell>
          <cell r="W885">
            <v>-850.66646000000003</v>
          </cell>
          <cell r="X885">
            <v>-934.96433999999999</v>
          </cell>
          <cell r="Y885">
            <v>-491.30733700000002</v>
          </cell>
        </row>
        <row r="886">
          <cell r="B886">
            <v>442168</v>
          </cell>
          <cell r="C886" t="str">
            <v>NOT USED</v>
          </cell>
          <cell r="D886" t="str">
            <v>ELEC REV-COMMERCIAL-RENEWABLE PORTFOLIO-RETAIL AC</v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>
            <v>-2464.3042399999999</v>
          </cell>
          <cell r="M886">
            <v>-301.56849</v>
          </cell>
          <cell r="N886">
            <v>-587.56296999999995</v>
          </cell>
          <cell r="O886">
            <v>-868.15254000000004</v>
          </cell>
          <cell r="P886">
            <v>-1149.12103</v>
          </cell>
          <cell r="Q886">
            <v>-1421.2445700000001</v>
          </cell>
          <cell r="R886">
            <v>-1733.7505799999999</v>
          </cell>
          <cell r="S886">
            <v>-2073.2071000000001</v>
          </cell>
          <cell r="T886">
            <v>-2411.4425200000001</v>
          </cell>
          <cell r="U886">
            <v>-2722.7264399999999</v>
          </cell>
          <cell r="V886">
            <v>-3040.9568199999999</v>
          </cell>
          <cell r="W886">
            <v>-3347.17182</v>
          </cell>
          <cell r="X886">
            <v>-3659.3989200000001</v>
          </cell>
          <cell r="Y886">
            <v>-1893.229705</v>
          </cell>
        </row>
        <row r="887">
          <cell r="B887">
            <v>442173</v>
          </cell>
          <cell r="C887" t="str">
            <v>NOT USED</v>
          </cell>
          <cell r="D887" t="str">
            <v>ELEC REVENUE-FIXED-COMMERCIAL-DELIVERY GRT</v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>
            <v>-338.20431000000002</v>
          </cell>
          <cell r="M887">
            <v>-26.271080000000001</v>
          </cell>
          <cell r="N887">
            <v>-50.289270000000002</v>
          </cell>
          <cell r="O887">
            <v>-72.431899999999999</v>
          </cell>
          <cell r="P887">
            <v>-94.923670000000001</v>
          </cell>
          <cell r="Q887">
            <v>-118.54792999999999</v>
          </cell>
          <cell r="R887">
            <v>-145.21961999999999</v>
          </cell>
          <cell r="S887">
            <v>-172.74118999999999</v>
          </cell>
          <cell r="T887">
            <v>-201.02800999999999</v>
          </cell>
          <cell r="U887">
            <v>-229.94208</v>
          </cell>
          <cell r="V887">
            <v>-255.84907000000001</v>
          </cell>
          <cell r="W887">
            <v>-278.19815</v>
          </cell>
          <cell r="X887">
            <v>-303.18815999999998</v>
          </cell>
          <cell r="Y887">
            <v>-163.84485000000001</v>
          </cell>
        </row>
        <row r="888">
          <cell r="B888">
            <v>442174</v>
          </cell>
          <cell r="C888" t="str">
            <v>NOT USED</v>
          </cell>
          <cell r="D888" t="str">
            <v>ELEC REVENUE-FIXED-COMMERCIAL-COMMODITY GRT</v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>
            <v>-289.70303000000001</v>
          </cell>
          <cell r="M888">
            <v>-28.577770000000001</v>
          </cell>
          <cell r="N888">
            <v>-53.09272</v>
          </cell>
          <cell r="O888">
            <v>-69.112660000000005</v>
          </cell>
          <cell r="P888">
            <v>-87.200919999999996</v>
          </cell>
          <cell r="Q888">
            <v>-105.05306</v>
          </cell>
          <cell r="R888">
            <v>-127.08633</v>
          </cell>
          <cell r="S888">
            <v>-151.09649999999999</v>
          </cell>
          <cell r="T888">
            <v>-174.98142000000001</v>
          </cell>
          <cell r="U888">
            <v>-194.93553</v>
          </cell>
          <cell r="V888">
            <v>-212.95227</v>
          </cell>
          <cell r="W888">
            <v>-230.12797</v>
          </cell>
          <cell r="X888">
            <v>-248.83394999999999</v>
          </cell>
          <cell r="Y888">
            <v>-141.95713699999999</v>
          </cell>
        </row>
        <row r="889">
          <cell r="B889">
            <v>442250</v>
          </cell>
          <cell r="C889" t="str">
            <v>NOT USED</v>
          </cell>
          <cell r="D889" t="str">
            <v>ELEC REVENUE - INDUSTRIAL-SYSTEM BENEFIT CHARGES</v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</row>
        <row r="890">
          <cell r="B890">
            <v>442251</v>
          </cell>
          <cell r="C890" t="str">
            <v>NOT USED</v>
          </cell>
          <cell r="D890" t="str">
            <v>ELEC REVENUE-INDUSTRIAL-RETAIL ACCESS SURCHARGE</v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</row>
        <row r="891">
          <cell r="B891">
            <v>442252</v>
          </cell>
          <cell r="C891" t="str">
            <v>NOT USED</v>
          </cell>
          <cell r="D891" t="str">
            <v>ELEC REVENUE - INDUSTRIAL-SUPPLY RECONCILIATION</v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</row>
        <row r="892">
          <cell r="B892">
            <v>442320</v>
          </cell>
          <cell r="C892" t="str">
            <v>NOT USED</v>
          </cell>
          <cell r="D892" t="str">
            <v>ELEC REVENUE -VARIABLE - COMMERCIAL-DELIVERY</v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</row>
        <row r="893">
          <cell r="B893">
            <v>442325</v>
          </cell>
          <cell r="C893" t="str">
            <v>NOT USED</v>
          </cell>
          <cell r="D893" t="str">
            <v>ELEC REVENUE-VARIABLE-COMMERCIAL-UNBILLED DELIVER</v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>
            <v>-389.90490999999997</v>
          </cell>
          <cell r="M893">
            <v>-47.217320000000001</v>
          </cell>
          <cell r="N893">
            <v>97.763030000000001</v>
          </cell>
          <cell r="O893">
            <v>19.171040000000001</v>
          </cell>
          <cell r="P893">
            <v>189.453</v>
          </cell>
          <cell r="Q893">
            <v>-94.112089999999995</v>
          </cell>
          <cell r="R893">
            <v>44.300089999999997</v>
          </cell>
          <cell r="S893">
            <v>-322.5455</v>
          </cell>
          <cell r="T893">
            <v>-340.11883</v>
          </cell>
          <cell r="U893">
            <v>-201.14657</v>
          </cell>
          <cell r="V893">
            <v>-141.97606999999999</v>
          </cell>
          <cell r="W893">
            <v>-21.056809999999999</v>
          </cell>
          <cell r="X893">
            <v>-83.185289999999995</v>
          </cell>
          <cell r="Y893">
            <v>-87.835927999999996</v>
          </cell>
        </row>
        <row r="894">
          <cell r="B894">
            <v>442330</v>
          </cell>
          <cell r="C894" t="str">
            <v>NOT USED</v>
          </cell>
          <cell r="D894" t="str">
            <v>ELECTRIC REVENUE -VARIABLE - COMMERCIAL-COMMODITY</v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</row>
        <row r="895">
          <cell r="B895">
            <v>442335</v>
          </cell>
          <cell r="C895" t="str">
            <v>NOT USED</v>
          </cell>
          <cell r="D895" t="str">
            <v>ELEC REV-VARIABLE-COMMERCIAL-UNBILLED COMMODITY</v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>
            <v>-264.50402000000003</v>
          </cell>
          <cell r="M895">
            <v>-311.19938999999999</v>
          </cell>
          <cell r="N895">
            <v>1032.56411</v>
          </cell>
          <cell r="O895">
            <v>679.29651000000001</v>
          </cell>
          <cell r="P895">
            <v>647.26844000000006</v>
          </cell>
          <cell r="Q895">
            <v>257.95301999999998</v>
          </cell>
          <cell r="R895">
            <v>367.65757000000002</v>
          </cell>
          <cell r="S895">
            <v>-360.95060999999998</v>
          </cell>
          <cell r="T895">
            <v>118.17272</v>
          </cell>
          <cell r="U895">
            <v>341.06365</v>
          </cell>
          <cell r="V895">
            <v>507.96949999999998</v>
          </cell>
          <cell r="W895">
            <v>460.53035</v>
          </cell>
          <cell r="X895">
            <v>468.76195000000001</v>
          </cell>
          <cell r="Y895">
            <v>320.20456999999999</v>
          </cell>
        </row>
        <row r="896">
          <cell r="B896">
            <v>442340</v>
          </cell>
          <cell r="C896" t="str">
            <v>NOT USED</v>
          </cell>
          <cell r="D896" t="str">
            <v>ELEC REV-VARIABLE-COMMERCIAL-TRANSITION CHARGE</v>
          </cell>
          <cell r="E896" t="str">
            <v/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</row>
        <row r="897">
          <cell r="B897">
            <v>442350</v>
          </cell>
          <cell r="C897" t="str">
            <v>NOT USED</v>
          </cell>
          <cell r="D897" t="str">
            <v>ELEC RV-VARIABLE-COMMERCIAL-SYSTEM BENEFIT CHARGE</v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</row>
        <row r="898">
          <cell r="B898">
            <v>442351</v>
          </cell>
          <cell r="C898" t="str">
            <v>NOT USED</v>
          </cell>
          <cell r="D898" t="str">
            <v>ELC RV-VARIABLE-COMMERCIAL-RETAIL ACCESS SURCHARG</v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</row>
        <row r="899">
          <cell r="B899">
            <v>442373</v>
          </cell>
          <cell r="C899" t="str">
            <v>NOT USED</v>
          </cell>
          <cell r="D899" t="str">
            <v>ELEC REVENUE-VARIABLE-COMMERCIAL-DELIVERY GRT</v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</row>
        <row r="900">
          <cell r="B900">
            <v>442374</v>
          </cell>
          <cell r="C900" t="str">
            <v>NOT USED</v>
          </cell>
          <cell r="D900" t="str">
            <v>ELEC REVENUE-VARIABLE-COMMERCIAL-COMMODITY GRT</v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</row>
        <row r="901">
          <cell r="B901">
            <v>442400</v>
          </cell>
          <cell r="C901" t="str">
            <v>NOT USED</v>
          </cell>
          <cell r="D901" t="str">
            <v>ELEC REVENUE - INDUSTRIAL-REGULAR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</row>
        <row r="902">
          <cell r="B902">
            <v>442410</v>
          </cell>
          <cell r="C902" t="str">
            <v>NOT USED</v>
          </cell>
          <cell r="D902" t="str">
            <v>ELEC REVENUE-INDUSTRIAL-ECON DEVELOPMNT CREDIT</v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</row>
        <row r="903">
          <cell r="B903">
            <v>442520</v>
          </cell>
          <cell r="C903" t="str">
            <v>NOT USED</v>
          </cell>
          <cell r="D903" t="str">
            <v>ELEC REVENUE - ESCO - COMMERCIAL-DELIVERY</v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</row>
        <row r="904">
          <cell r="B904">
            <v>442525</v>
          </cell>
          <cell r="C904" t="str">
            <v>NOT USED</v>
          </cell>
          <cell r="D904" t="str">
            <v>ELEC REVENUE-ESCO-COMMERCIAL-UNBILLED DELIVERY</v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>
            <v>-879.90668000000005</v>
          </cell>
          <cell r="M904">
            <v>-184.18341000000001</v>
          </cell>
          <cell r="N904">
            <v>219.12582</v>
          </cell>
          <cell r="O904">
            <v>86.485889999999998</v>
          </cell>
          <cell r="P904">
            <v>385.24786</v>
          </cell>
          <cell r="Q904">
            <v>-287.43509</v>
          </cell>
          <cell r="R904">
            <v>-85.370149999999995</v>
          </cell>
          <cell r="S904">
            <v>-823.98887000000002</v>
          </cell>
          <cell r="T904">
            <v>-906.05255</v>
          </cell>
          <cell r="U904">
            <v>-489.41714000000002</v>
          </cell>
          <cell r="V904">
            <v>-255.57286999999999</v>
          </cell>
          <cell r="W904">
            <v>215.35569000000001</v>
          </cell>
          <cell r="X904">
            <v>-34.87144</v>
          </cell>
          <cell r="Y904">
            <v>-215.26615699999999</v>
          </cell>
        </row>
        <row r="905">
          <cell r="B905">
            <v>442535</v>
          </cell>
          <cell r="C905" t="str">
            <v>NOT USED</v>
          </cell>
          <cell r="D905" t="str">
            <v>ELEC REV-COMMERCIAL-EPO UNBILLED TRANSITION</v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>
            <v>342.95567999999997</v>
          </cell>
          <cell r="M905">
            <v>479.50706000000002</v>
          </cell>
          <cell r="N905">
            <v>610.83982000000003</v>
          </cell>
          <cell r="O905">
            <v>543.38721999999996</v>
          </cell>
          <cell r="P905">
            <v>360.24059999999997</v>
          </cell>
          <cell r="Q905">
            <v>162.42081999999999</v>
          </cell>
          <cell r="R905">
            <v>77.538340000000005</v>
          </cell>
          <cell r="S905">
            <v>-84.948989999999995</v>
          </cell>
          <cell r="T905">
            <v>-227.34548000000001</v>
          </cell>
          <cell r="U905">
            <v>-48.180320000000002</v>
          </cell>
          <cell r="V905">
            <v>488.01859999999999</v>
          </cell>
          <cell r="W905">
            <v>260.93491</v>
          </cell>
          <cell r="X905">
            <v>179.14148</v>
          </cell>
          <cell r="Y905">
            <v>240.28843000000001</v>
          </cell>
        </row>
        <row r="906">
          <cell r="B906">
            <v>442540</v>
          </cell>
          <cell r="C906" t="str">
            <v>NOT USED</v>
          </cell>
          <cell r="D906" t="str">
            <v>ELEC REV-ESCO-COMMERCIAL-TRANSITION CHARGE</v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</row>
        <row r="907">
          <cell r="B907">
            <v>442541</v>
          </cell>
          <cell r="C907" t="str">
            <v>NOT USED</v>
          </cell>
          <cell r="D907" t="str">
            <v>EL REV-EPO SPECIAL CONTRACT-COMRCL TRANSITION CHR</v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</row>
        <row r="908">
          <cell r="B908">
            <v>442550</v>
          </cell>
          <cell r="C908" t="str">
            <v>NOT USED</v>
          </cell>
          <cell r="D908" t="str">
            <v>ELEC RV- ESCO -COMMERCIAL-SYSTEM BENEFIT CHARGES</v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>
            <v>442551</v>
          </cell>
          <cell r="C909" t="str">
            <v>NOT USED</v>
          </cell>
          <cell r="D909" t="str">
            <v>ELC RV- ESCO -COMMERCIAL-RETAIL ACCESS SURCHARGE</v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</row>
        <row r="910">
          <cell r="B910">
            <v>442552</v>
          </cell>
          <cell r="C910" t="str">
            <v>NOT USED</v>
          </cell>
          <cell r="D910" t="str">
            <v>ELC RV- ESCO -COMMERCIAL-RETAIL ACCESS CREDIT</v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</row>
        <row r="911">
          <cell r="B911">
            <v>442573</v>
          </cell>
          <cell r="C911" t="str">
            <v>NOT USED</v>
          </cell>
          <cell r="D911" t="str">
            <v>ELEC REVENUE-ESCO-COMMERCIAL-DELIVERY GRT</v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</row>
        <row r="912">
          <cell r="B912">
            <v>442620</v>
          </cell>
          <cell r="C912" t="str">
            <v>NOT USED</v>
          </cell>
          <cell r="D912" t="str">
            <v>ELEC REVENUE-ESCO W/ SUP ADJ-COMMERCIAL-DELIVERY</v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</row>
        <row r="913">
          <cell r="B913">
            <v>442625</v>
          </cell>
          <cell r="C913" t="str">
            <v>NOT USED</v>
          </cell>
          <cell r="D913" t="str">
            <v>ELEC REV-ESCO W/ SUP ADJ-COMMRCIAL-UNBILD DELIVER</v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>
            <v>20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0.83333299999999999</v>
          </cell>
        </row>
        <row r="914">
          <cell r="B914">
            <v>442630</v>
          </cell>
          <cell r="C914" t="str">
            <v>NOT USED</v>
          </cell>
          <cell r="D914" t="str">
            <v>ELEC REVENUE-ESCO W/ SUP ADJ-COMMERCIAL-COMMODITY</v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</row>
        <row r="915">
          <cell r="B915">
            <v>442631</v>
          </cell>
          <cell r="C915" t="str">
            <v>NOT USED</v>
          </cell>
          <cell r="D915" t="str">
            <v>EL REV-EOSA SPECIAL CONTRACTS-COMMERCIAL-COMMODIT</v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</row>
        <row r="916">
          <cell r="B916">
            <v>442635</v>
          </cell>
          <cell r="C916" t="str">
            <v>NOT USED</v>
          </cell>
          <cell r="D916" t="str">
            <v>ELEC REVENUE-ESCO W/ SUP ADJ-COMMRCIAL-UNBLD CMDT</v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>
            <v>14.239000000000001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0.59329200000000004</v>
          </cell>
        </row>
        <row r="917">
          <cell r="B917">
            <v>442640</v>
          </cell>
          <cell r="C917" t="str">
            <v>NOT USED</v>
          </cell>
          <cell r="D917" t="str">
            <v>ELEC REV-ESCO W/SUP ADJ-COMMERCIAL-TRANSITION CHR</v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</row>
        <row r="918">
          <cell r="B918">
            <v>442645</v>
          </cell>
          <cell r="C918" t="str">
            <v>NOT USED</v>
          </cell>
          <cell r="D918" t="str">
            <v>E-UNBILLED-COMMERCIAL-DELIVERY GROSS RECEIPTS TAX</v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>
            <v>-1.2609999999999999</v>
          </cell>
          <cell r="M918">
            <v>1.254</v>
          </cell>
          <cell r="N918">
            <v>3.2280000000000002</v>
          </cell>
          <cell r="O918">
            <v>2.1909999999999998</v>
          </cell>
          <cell r="P918">
            <v>3.1520000000000001</v>
          </cell>
          <cell r="Q918">
            <v>-0.36199999999999999</v>
          </cell>
          <cell r="R918">
            <v>0.73043999999999998</v>
          </cell>
          <cell r="S918">
            <v>-3.5472899999999998</v>
          </cell>
          <cell r="T918">
            <v>-2.7586900000000001</v>
          </cell>
          <cell r="U918">
            <v>-0.98011999999999999</v>
          </cell>
          <cell r="V918">
            <v>1.5042500000000001</v>
          </cell>
          <cell r="W918">
            <v>1.76485</v>
          </cell>
          <cell r="X918">
            <v>0.96741999999999995</v>
          </cell>
          <cell r="Y918">
            <v>0.502471</v>
          </cell>
        </row>
        <row r="919">
          <cell r="B919">
            <v>442650</v>
          </cell>
          <cell r="C919" t="str">
            <v>NOT USED</v>
          </cell>
          <cell r="D919" t="str">
            <v>ELEC REVENUE-ESCO W/ SUP ADJ-COMMERCIAL-SBC</v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</row>
        <row r="920">
          <cell r="B920">
            <v>442651</v>
          </cell>
          <cell r="C920" t="str">
            <v>NOT USED</v>
          </cell>
          <cell r="D920" t="str">
            <v>ELEC REVENUE-ESCO W/ SUP ADJ-COMMERCIAL-RAS</v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</row>
        <row r="921">
          <cell r="B921">
            <v>442652</v>
          </cell>
          <cell r="C921" t="str">
            <v>NOT USED</v>
          </cell>
          <cell r="D921" t="str">
            <v>ELEC REVENUE-ESCO W/ SUP ADJ-COMMERCIAL-RAC</v>
          </cell>
          <cell r="E921" t="str">
            <v/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</row>
        <row r="922">
          <cell r="B922">
            <v>442653</v>
          </cell>
          <cell r="C922" t="str">
            <v>NOT USED</v>
          </cell>
          <cell r="D922" t="str">
            <v>ELEC REVENUE-ESCO W/ SUP ADJ-COMMERCIAL-MBBC</v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</row>
        <row r="923">
          <cell r="B923">
            <v>442655</v>
          </cell>
          <cell r="C923" t="str">
            <v>NOT USED</v>
          </cell>
          <cell r="D923" t="str">
            <v>E-UNBILLED-COMMERCIAL-COMMODITY GROSS RECEIPTS TA</v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>
            <v>-1.772</v>
          </cell>
          <cell r="M923">
            <v>-4.8029999999999999</v>
          </cell>
          <cell r="N923">
            <v>7.9630000000000001</v>
          </cell>
          <cell r="O923">
            <v>4.7240000000000002</v>
          </cell>
          <cell r="P923">
            <v>5.1310000000000002</v>
          </cell>
          <cell r="Q923">
            <v>1.984</v>
          </cell>
          <cell r="R923">
            <v>3.3478500000000002</v>
          </cell>
          <cell r="S923">
            <v>-3.22052</v>
          </cell>
          <cell r="T923">
            <v>0.56069000000000002</v>
          </cell>
          <cell r="U923">
            <v>2.3649300000000002</v>
          </cell>
          <cell r="V923">
            <v>1.96234</v>
          </cell>
          <cell r="W923">
            <v>2.5370499999999998</v>
          </cell>
          <cell r="X923">
            <v>2.8496700000000001</v>
          </cell>
          <cell r="Y923">
            <v>1.9241809999999999</v>
          </cell>
        </row>
        <row r="924">
          <cell r="B924">
            <v>442673</v>
          </cell>
          <cell r="C924" t="str">
            <v>NOT USED</v>
          </cell>
          <cell r="D924" t="str">
            <v>ELEC REV-ESCO W/ SUP ADJ-COMMERCIAL-DELIVERY GRT</v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</row>
        <row r="925">
          <cell r="B925">
            <v>443120</v>
          </cell>
          <cell r="C925" t="str">
            <v>NOT USED</v>
          </cell>
          <cell r="D925" t="str">
            <v>ELEC REVENUE-FIXED-INDUSTRIAL-DELIVERY</v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>
            <v>-6313.9570299999996</v>
          </cell>
          <cell r="M925">
            <v>-600.16047000000003</v>
          </cell>
          <cell r="N925">
            <v>-1210.3490999999999</v>
          </cell>
          <cell r="O925">
            <v>-1821.64176</v>
          </cell>
          <cell r="P925">
            <v>-2403.0196299999998</v>
          </cell>
          <cell r="Q925">
            <v>-2978.8211299999998</v>
          </cell>
          <cell r="R925">
            <v>-3511.85313</v>
          </cell>
          <cell r="S925">
            <v>-4072.1768299999999</v>
          </cell>
          <cell r="T925">
            <v>-4461.9991900000005</v>
          </cell>
          <cell r="U925">
            <v>-5029.2406600000004</v>
          </cell>
          <cell r="V925">
            <v>-5613.1019200000001</v>
          </cell>
          <cell r="W925">
            <v>-6091.8207400000001</v>
          </cell>
          <cell r="X925">
            <v>-6589.3350799999998</v>
          </cell>
          <cell r="Y925">
            <v>-3687.1525510000001</v>
          </cell>
        </row>
        <row r="926">
          <cell r="B926">
            <v>443125</v>
          </cell>
          <cell r="C926" t="str">
            <v>NOT USED</v>
          </cell>
          <cell r="D926" t="str">
            <v>ELEC REV-FIXED-INDUSTRIAL-UNBILLED-DELIVERY</v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>
            <v>23.277000000000001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0.96987500000000004</v>
          </cell>
        </row>
        <row r="927">
          <cell r="B927">
            <v>443128</v>
          </cell>
          <cell r="C927" t="str">
            <v>NOT USED</v>
          </cell>
          <cell r="D927" t="str">
            <v>ELEC REV-INDUSTRIAL-DELIVERY CHARGE-RETAIL ACCESS</v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>
            <v>-14876.62644</v>
          </cell>
          <cell r="M927">
            <v>-2201.88</v>
          </cell>
          <cell r="N927">
            <v>-4428.7974599999998</v>
          </cell>
          <cell r="O927">
            <v>-6695.6533300000001</v>
          </cell>
          <cell r="P927">
            <v>-9039.0072999999993</v>
          </cell>
          <cell r="Q927">
            <v>-11631.177890000001</v>
          </cell>
          <cell r="R927">
            <v>-14349.795749999999</v>
          </cell>
          <cell r="S927">
            <v>-17094.16835</v>
          </cell>
          <cell r="T927">
            <v>-19777.111099999998</v>
          </cell>
          <cell r="U927">
            <v>-22424.657719999999</v>
          </cell>
          <cell r="V927">
            <v>-25002.67743</v>
          </cell>
          <cell r="W927">
            <v>-27470.80673</v>
          </cell>
          <cell r="X927">
            <v>-29806.18074</v>
          </cell>
          <cell r="Y927">
            <v>-15204.761388000001</v>
          </cell>
        </row>
        <row r="928">
          <cell r="B928">
            <v>443130</v>
          </cell>
          <cell r="C928" t="str">
            <v>NOT USED</v>
          </cell>
          <cell r="D928" t="str">
            <v>ELEC REVENUE-FIXED-INDUSTRIAL-COMMODITY</v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>
            <v>-17204.89183</v>
          </cell>
          <cell r="M928">
            <v>-1201.8388</v>
          </cell>
          <cell r="N928">
            <v>-1953.7601</v>
          </cell>
          <cell r="O928">
            <v>-2712.68048</v>
          </cell>
          <cell r="P928">
            <v>-3683.0162700000001</v>
          </cell>
          <cell r="Q928">
            <v>-4660.9741100000001</v>
          </cell>
          <cell r="R928">
            <v>-5495.5315499999997</v>
          </cell>
          <cell r="S928">
            <v>-6399.1375900000003</v>
          </cell>
          <cell r="T928">
            <v>-7247.9052799999999</v>
          </cell>
          <cell r="U928">
            <v>-7995.0754699999998</v>
          </cell>
          <cell r="V928">
            <v>-8942.5088699999997</v>
          </cell>
          <cell r="W928">
            <v>-9599.7345000000005</v>
          </cell>
          <cell r="X928">
            <v>-10164.36067</v>
          </cell>
          <cell r="Y928">
            <v>-6131.3991059999998</v>
          </cell>
        </row>
        <row r="929">
          <cell r="B929">
            <v>443131</v>
          </cell>
          <cell r="C929" t="str">
            <v>NOT USED</v>
          </cell>
          <cell r="D929" t="str">
            <v>ELEC REV-FPO SPECIAL CONTRACT-INDUSTRIAL COMMODIT</v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</row>
        <row r="930">
          <cell r="B930">
            <v>443135</v>
          </cell>
          <cell r="C930" t="str">
            <v>NOT USED</v>
          </cell>
          <cell r="D930" t="str">
            <v>ELEC REV-FIXED-INDUSTRIAL-UNBILLED-COMMODITY</v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>
            <v>65.269000000000005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2.7195420000000001</v>
          </cell>
        </row>
        <row r="931">
          <cell r="B931">
            <v>443138</v>
          </cell>
          <cell r="C931" t="str">
            <v>NOT USED</v>
          </cell>
          <cell r="D931" t="str">
            <v>ELEC REV-INDUSTRIAL-SUPPLY CHARGE-RETAIL ACCESS</v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>
            <v>-4.6240000000000003E-2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-1.9269999999999999E-3</v>
          </cell>
        </row>
        <row r="932">
          <cell r="B932">
            <v>443140</v>
          </cell>
          <cell r="C932" t="str">
            <v>NOT USED</v>
          </cell>
          <cell r="D932" t="str">
            <v>ELEC REVENUE-FIXED-INDUSTRIAL-TRANSITION CHARGE</v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>
            <v>-3539.3531800000001</v>
          </cell>
          <cell r="M932">
            <v>28.491579999999999</v>
          </cell>
          <cell r="N932">
            <v>128.86895999999999</v>
          </cell>
          <cell r="O932">
            <v>232.84707</v>
          </cell>
          <cell r="P932">
            <v>283.53555999999998</v>
          </cell>
          <cell r="Q932">
            <v>265.24027000000001</v>
          </cell>
          <cell r="R932">
            <v>222.27491000000001</v>
          </cell>
          <cell r="S932">
            <v>155.25353999999999</v>
          </cell>
          <cell r="T932">
            <v>53.408639999999998</v>
          </cell>
          <cell r="U932">
            <v>-33.655439999999999</v>
          </cell>
          <cell r="V932">
            <v>15.72855</v>
          </cell>
          <cell r="W932">
            <v>29.436530000000001</v>
          </cell>
          <cell r="X932">
            <v>17.76708</v>
          </cell>
          <cell r="Y932">
            <v>-31.613572999999999</v>
          </cell>
        </row>
        <row r="933">
          <cell r="B933">
            <v>443142</v>
          </cell>
          <cell r="C933" t="str">
            <v>NOT USED</v>
          </cell>
          <cell r="D933" t="str">
            <v>ELEC REV-INDUSTRIAL-BILLING CHARGE-MFC COMMODITY</v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>
            <v>-8.5607399999999991</v>
          </cell>
          <cell r="M933">
            <v>-2.1580900000000001</v>
          </cell>
          <cell r="N933">
            <v>-4.1628800000000004</v>
          </cell>
          <cell r="O933">
            <v>-6.73482</v>
          </cell>
          <cell r="P933">
            <v>-10.05072</v>
          </cell>
          <cell r="Q933">
            <v>-11.689500000000001</v>
          </cell>
          <cell r="R933">
            <v>-13.01538</v>
          </cell>
          <cell r="S933">
            <v>-14.58184</v>
          </cell>
          <cell r="T933">
            <v>-16.458739999999999</v>
          </cell>
          <cell r="U933">
            <v>-18.740359999999999</v>
          </cell>
          <cell r="V933">
            <v>-24.937840000000001</v>
          </cell>
          <cell r="W933">
            <v>-29.06278</v>
          </cell>
          <cell r="X933">
            <v>-32.702620000000003</v>
          </cell>
          <cell r="Y933">
            <v>-14.352053</v>
          </cell>
        </row>
        <row r="934">
          <cell r="B934">
            <v>443143</v>
          </cell>
          <cell r="C934" t="str">
            <v>NOT USED</v>
          </cell>
          <cell r="D934" t="str">
            <v>ELEC REV-INDUSTRIAL-BILLING CHARGE-MFC DELIVERY</v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>
            <v>-313.8023</v>
          </cell>
          <cell r="M934">
            <v>-83.569270000000003</v>
          </cell>
          <cell r="N934">
            <v>-166.03487999999999</v>
          </cell>
          <cell r="O934">
            <v>-260.69184999999999</v>
          </cell>
          <cell r="P934">
            <v>-362.36673999999999</v>
          </cell>
          <cell r="Q934">
            <v>-457.51737000000003</v>
          </cell>
          <cell r="R934">
            <v>-534.51913000000002</v>
          </cell>
          <cell r="S934">
            <v>-612.33389</v>
          </cell>
          <cell r="T934">
            <v>-696.93753000000004</v>
          </cell>
          <cell r="U934">
            <v>-778.17071999999996</v>
          </cell>
          <cell r="V934">
            <v>-875.60212999999999</v>
          </cell>
          <cell r="W934">
            <v>-938.31727999999998</v>
          </cell>
          <cell r="X934">
            <v>-995.51670000000001</v>
          </cell>
          <cell r="Y934">
            <v>-535.060024</v>
          </cell>
        </row>
        <row r="935">
          <cell r="B935">
            <v>443148</v>
          </cell>
          <cell r="C935" t="str">
            <v>NOT USED</v>
          </cell>
          <cell r="D935" t="str">
            <v>ELEC REV-INDUSTRIAL-TRANSITION CHRG-RETAIL ACCESS</v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>
            <v>-11815.89306</v>
          </cell>
          <cell r="M935">
            <v>67.858230000000006</v>
          </cell>
          <cell r="N935">
            <v>513.34751000000006</v>
          </cell>
          <cell r="O935">
            <v>979.67778999999996</v>
          </cell>
          <cell r="P935">
            <v>1222.21181</v>
          </cell>
          <cell r="Q935">
            <v>1194.0468599999999</v>
          </cell>
          <cell r="R935">
            <v>942.72582</v>
          </cell>
          <cell r="S935">
            <v>549.05397000000005</v>
          </cell>
          <cell r="T935">
            <v>-13.240830000000001</v>
          </cell>
          <cell r="U935">
            <v>-507.19690000000003</v>
          </cell>
          <cell r="V935">
            <v>-406.22027000000003</v>
          </cell>
          <cell r="W935">
            <v>-296.93378000000001</v>
          </cell>
          <cell r="X935">
            <v>-370.17570000000001</v>
          </cell>
          <cell r="Y935">
            <v>-153.975348</v>
          </cell>
        </row>
        <row r="936">
          <cell r="B936">
            <v>443149</v>
          </cell>
          <cell r="C936" t="str">
            <v>NOT USED</v>
          </cell>
          <cell r="D936" t="str">
            <v>ELEC REVENUE-INDUSTRIAL-EEPS</v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>
            <v>-548.71172999999999</v>
          </cell>
          <cell r="M936">
            <v>-32.554470000000002</v>
          </cell>
          <cell r="N936">
            <v>-67.210549999999998</v>
          </cell>
          <cell r="O936">
            <v>-107.95183</v>
          </cell>
          <cell r="P936">
            <v>-150.70536000000001</v>
          </cell>
          <cell r="Q936">
            <v>-190.91829999999999</v>
          </cell>
          <cell r="R936">
            <v>-224.11899</v>
          </cell>
          <cell r="S936">
            <v>-257.74083999999999</v>
          </cell>
          <cell r="T936">
            <v>-294.02478000000002</v>
          </cell>
          <cell r="U936">
            <v>-330.36326000000003</v>
          </cell>
          <cell r="V936">
            <v>-373.96915999999999</v>
          </cell>
          <cell r="W936">
            <v>-402.91539999999998</v>
          </cell>
          <cell r="X936">
            <v>-429.76679999999999</v>
          </cell>
          <cell r="Y936">
            <v>-243.47601700000001</v>
          </cell>
        </row>
        <row r="937">
          <cell r="B937">
            <v>443150</v>
          </cell>
          <cell r="C937" t="str">
            <v>NOT USED</v>
          </cell>
          <cell r="D937" t="str">
            <v>ELEC REVENUE-FIXED-INDUSTRIAL-SBC</v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>
            <v>-287.26974000000001</v>
          </cell>
          <cell r="M937">
            <v>-26.32283</v>
          </cell>
          <cell r="N937">
            <v>-33.295960000000001</v>
          </cell>
          <cell r="O937">
            <v>-33.350540000000002</v>
          </cell>
          <cell r="P937">
            <v>-33.294229999999999</v>
          </cell>
          <cell r="Q937">
            <v>-33.292940000000002</v>
          </cell>
          <cell r="R937">
            <v>-33.281689999999998</v>
          </cell>
          <cell r="S937">
            <v>-33.281689999999998</v>
          </cell>
          <cell r="T937">
            <v>-33.281689999999998</v>
          </cell>
          <cell r="U937">
            <v>-33.281689999999998</v>
          </cell>
          <cell r="V937">
            <v>-33.281689999999998</v>
          </cell>
          <cell r="W937">
            <v>-33.281689999999998</v>
          </cell>
          <cell r="X937">
            <v>-33.281689999999998</v>
          </cell>
          <cell r="Y937">
            <v>-43.293529999999997</v>
          </cell>
        </row>
        <row r="938">
          <cell r="B938">
            <v>443151</v>
          </cell>
          <cell r="C938" t="str">
            <v>NOT USED</v>
          </cell>
          <cell r="D938" t="str">
            <v>ELEC REVENUE-FIXED-INDUSTRIAL-RAS</v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>
            <v>-2542.6471799999999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-105.94363300000001</v>
          </cell>
        </row>
        <row r="939">
          <cell r="B939">
            <v>443153</v>
          </cell>
          <cell r="C939" t="str">
            <v>NOT USED</v>
          </cell>
          <cell r="D939" t="str">
            <v>ELEC REVENUE-INDUSTRIAL-SURCHARGE RETAIL ACCESS</v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>
            <v>-1888.74281</v>
          </cell>
          <cell r="M939">
            <v>-152.74043</v>
          </cell>
          <cell r="N939">
            <v>-307.20843000000002</v>
          </cell>
          <cell r="O939">
            <v>-463.25967000000003</v>
          </cell>
          <cell r="P939">
            <v>-627.61568</v>
          </cell>
          <cell r="Q939">
            <v>-807.53449999999998</v>
          </cell>
          <cell r="R939">
            <v>-998.87293</v>
          </cell>
          <cell r="S939">
            <v>-1192.46298</v>
          </cell>
          <cell r="T939">
            <v>-1382.76775</v>
          </cell>
          <cell r="U939">
            <v>-1567.8540599999999</v>
          </cell>
          <cell r="V939">
            <v>-1745.6471300000001</v>
          </cell>
          <cell r="W939">
            <v>-1882.22894</v>
          </cell>
          <cell r="X939">
            <v>-1999.3931299999999</v>
          </cell>
          <cell r="Y939">
            <v>-1089.355039</v>
          </cell>
        </row>
        <row r="940">
          <cell r="B940">
            <v>443154</v>
          </cell>
          <cell r="C940" t="str">
            <v>NOT USED</v>
          </cell>
          <cell r="D940" t="str">
            <v>ELEC REVENUE-INDUSTRIAL-SURCHARGE FULL SERVICE</v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>
            <v>-744.55694000000005</v>
          </cell>
          <cell r="M940">
            <v>-51.205689999999997</v>
          </cell>
          <cell r="N940">
            <v>-101.75778</v>
          </cell>
          <cell r="O940">
            <v>-151.99071000000001</v>
          </cell>
          <cell r="P940">
            <v>-199.76824999999999</v>
          </cell>
          <cell r="Q940">
            <v>-248.68478999999999</v>
          </cell>
          <cell r="R940">
            <v>-299.14593000000002</v>
          </cell>
          <cell r="S940">
            <v>-350.70715000000001</v>
          </cell>
          <cell r="T940">
            <v>-401.18691000000001</v>
          </cell>
          <cell r="U940">
            <v>-450.95407999999998</v>
          </cell>
          <cell r="V940">
            <v>-499.73604999999998</v>
          </cell>
          <cell r="W940">
            <v>-540.40351999999996</v>
          </cell>
          <cell r="X940">
            <v>-580.44857999999999</v>
          </cell>
          <cell r="Y940">
            <v>-329.83696800000001</v>
          </cell>
        </row>
        <row r="941">
          <cell r="B941">
            <v>443158</v>
          </cell>
          <cell r="C941" t="str">
            <v>NOT USED</v>
          </cell>
          <cell r="D941" t="str">
            <v>ELEC REV-INDUSTRIAL-SYSTEM BENEFIT CHRG-RETAIL AC</v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>
            <v>-910.4171</v>
          </cell>
          <cell r="M941">
            <v>-118.30727</v>
          </cell>
          <cell r="N941">
            <v>-162.32433</v>
          </cell>
          <cell r="O941">
            <v>-162.3605</v>
          </cell>
          <cell r="P941">
            <v>-162.3605</v>
          </cell>
          <cell r="Q941">
            <v>-162.3605</v>
          </cell>
          <cell r="R941">
            <v>-162.3605</v>
          </cell>
          <cell r="S941">
            <v>-162.3605</v>
          </cell>
          <cell r="T941">
            <v>-162.3605</v>
          </cell>
          <cell r="U941">
            <v>-162.3605</v>
          </cell>
          <cell r="V941">
            <v>-162.3605</v>
          </cell>
          <cell r="W941">
            <v>-162.3605</v>
          </cell>
          <cell r="X941">
            <v>-162.3605</v>
          </cell>
          <cell r="Y941">
            <v>-189.85540800000001</v>
          </cell>
        </row>
        <row r="942">
          <cell r="B942">
            <v>443159</v>
          </cell>
          <cell r="C942" t="str">
            <v>NOT USED</v>
          </cell>
          <cell r="D942" t="str">
            <v>ELEC REV-INDUSTRIAL-EEPS-RETAIL ACCESS</v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>
            <v>-1722.13355</v>
          </cell>
          <cell r="M942">
            <v>-146.31559999999999</v>
          </cell>
          <cell r="N942">
            <v>-301.78136000000001</v>
          </cell>
          <cell r="O942">
            <v>-469.34176000000002</v>
          </cell>
          <cell r="P942">
            <v>-630.95189000000005</v>
          </cell>
          <cell r="Q942">
            <v>-808.49035000000003</v>
          </cell>
          <cell r="R942">
            <v>-1006.20434</v>
          </cell>
          <cell r="S942">
            <v>-1198.73307</v>
          </cell>
          <cell r="T942">
            <v>-1395.87913</v>
          </cell>
          <cell r="U942">
            <v>-1586.89373</v>
          </cell>
          <cell r="V942">
            <v>-1767.2090599999999</v>
          </cell>
          <cell r="W942">
            <v>-1932.74542</v>
          </cell>
          <cell r="X942">
            <v>-2093.82035</v>
          </cell>
          <cell r="Y942">
            <v>-1096.043555</v>
          </cell>
        </row>
        <row r="943">
          <cell r="B943">
            <v>443160</v>
          </cell>
          <cell r="C943" t="str">
            <v>NOT USED</v>
          </cell>
          <cell r="D943" t="str">
            <v>ELEC REV-INDUSTRIAL-RENEWABLE PORTFOLIO CHARGE</v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>
            <v>-412.46330999999998</v>
          </cell>
          <cell r="M943">
            <v>-33.458570000000002</v>
          </cell>
          <cell r="N943">
            <v>-66.323319999999995</v>
          </cell>
          <cell r="O943">
            <v>-103.89359</v>
          </cell>
          <cell r="P943">
            <v>-143.30448000000001</v>
          </cell>
          <cell r="Q943">
            <v>-180.38050999999999</v>
          </cell>
          <cell r="R943">
            <v>-210.98996</v>
          </cell>
          <cell r="S943">
            <v>-241.98916</v>
          </cell>
          <cell r="T943">
            <v>-275.44247000000001</v>
          </cell>
          <cell r="U943">
            <v>-308.94625000000002</v>
          </cell>
          <cell r="V943">
            <v>-353.18104</v>
          </cell>
          <cell r="W943">
            <v>-383.24043</v>
          </cell>
          <cell r="X943">
            <v>-411.12909000000002</v>
          </cell>
          <cell r="Y943">
            <v>-226.07883200000001</v>
          </cell>
        </row>
        <row r="944">
          <cell r="B944">
            <v>443168</v>
          </cell>
          <cell r="C944" t="str">
            <v>NOT USED</v>
          </cell>
          <cell r="D944" t="str">
            <v>ELEC REV-INDUSTRIAL-RENEWABLE PORTFOLIO-RETAIL AC</v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>
            <v>-1304.04483</v>
          </cell>
          <cell r="M944">
            <v>-150.37997999999999</v>
          </cell>
          <cell r="N944">
            <v>-299.47739999999999</v>
          </cell>
          <cell r="O944">
            <v>-453.97183999999999</v>
          </cell>
          <cell r="P944">
            <v>-602.97528</v>
          </cell>
          <cell r="Q944">
            <v>-766.66477999999995</v>
          </cell>
          <cell r="R944">
            <v>-948.95541000000003</v>
          </cell>
          <cell r="S944">
            <v>-1126.4657199999999</v>
          </cell>
          <cell r="T944">
            <v>-1308.23317</v>
          </cell>
          <cell r="U944">
            <v>-1484.3472099999999</v>
          </cell>
          <cell r="V944">
            <v>-1664.7282499999999</v>
          </cell>
          <cell r="W944">
            <v>-1836.6308899999999</v>
          </cell>
          <cell r="X944">
            <v>-2003.90238</v>
          </cell>
          <cell r="Y944">
            <v>-1024.733628</v>
          </cell>
        </row>
        <row r="945">
          <cell r="B945">
            <v>443173</v>
          </cell>
          <cell r="C945" t="str">
            <v>NOT USED</v>
          </cell>
          <cell r="D945" t="str">
            <v>ELEC REV-FIXED-INDUSTRIAL-DELIVERY GRT</v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>
            <v>-254.81610000000001</v>
          </cell>
          <cell r="M945">
            <v>-13.31983</v>
          </cell>
          <cell r="N945">
            <v>-25.50553</v>
          </cell>
          <cell r="O945">
            <v>-37.98066</v>
          </cell>
          <cell r="P945">
            <v>-51.894260000000003</v>
          </cell>
          <cell r="Q945">
            <v>-67.075429999999997</v>
          </cell>
          <cell r="R945">
            <v>-80.578440000000001</v>
          </cell>
          <cell r="S945">
            <v>-95.125389999999996</v>
          </cell>
          <cell r="T945">
            <v>-111.04676000000001</v>
          </cell>
          <cell r="U945">
            <v>-126.45095000000001</v>
          </cell>
          <cell r="V945">
            <v>-139.80715000000001</v>
          </cell>
          <cell r="W945">
            <v>-151.09854999999999</v>
          </cell>
          <cell r="X945">
            <v>-162.49754999999999</v>
          </cell>
          <cell r="Y945">
            <v>-92.378315000000001</v>
          </cell>
        </row>
        <row r="946">
          <cell r="B946">
            <v>443174</v>
          </cell>
          <cell r="C946" t="str">
            <v>NOT USED</v>
          </cell>
          <cell r="D946" t="str">
            <v>ELEC REV-FIXED-INDUSTRIAL-COMMODITY GRT</v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>
            <v>-369.34107</v>
          </cell>
          <cell r="M946">
            <v>-21.704139999999999</v>
          </cell>
          <cell r="N946">
            <v>-35.965220000000002</v>
          </cell>
          <cell r="O946">
            <v>-53.140430000000002</v>
          </cell>
          <cell r="P946">
            <v>-77.693160000000006</v>
          </cell>
          <cell r="Q946">
            <v>-101.58834</v>
          </cell>
          <cell r="R946">
            <v>-119.04746</v>
          </cell>
          <cell r="S946">
            <v>-137.18618000000001</v>
          </cell>
          <cell r="T946">
            <v>-155.15468000000001</v>
          </cell>
          <cell r="U946">
            <v>-171.57284999999999</v>
          </cell>
          <cell r="V946">
            <v>-194.43845999999999</v>
          </cell>
          <cell r="W946">
            <v>-208.26661999999999</v>
          </cell>
          <cell r="X946">
            <v>-218.65555000000001</v>
          </cell>
          <cell r="Y946">
            <v>-130.81298799999999</v>
          </cell>
        </row>
        <row r="947">
          <cell r="B947">
            <v>443320</v>
          </cell>
          <cell r="C947" t="str">
            <v>NOT USED</v>
          </cell>
          <cell r="D947" t="str">
            <v>ELEC REVENUE-VARIABLE-INDUSTRIAL-DELIVERY</v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</row>
        <row r="948">
          <cell r="B948">
            <v>443325</v>
          </cell>
          <cell r="C948" t="str">
            <v>NOT USED</v>
          </cell>
          <cell r="D948" t="str">
            <v>ELEC REV-VARIABLE-INDUSTRIAL-UNBILLED-DELIVERY</v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>
            <v>-21.02261</v>
          </cell>
          <cell r="M948">
            <v>-68.223240000000004</v>
          </cell>
          <cell r="N948">
            <v>-18.689779999999999</v>
          </cell>
          <cell r="O948">
            <v>-6.9445800000000002</v>
          </cell>
          <cell r="P948">
            <v>4.02555</v>
          </cell>
          <cell r="Q948">
            <v>-52.363390000000003</v>
          </cell>
          <cell r="R948">
            <v>-44.324019999999997</v>
          </cell>
          <cell r="S948">
            <v>-83.544390000000007</v>
          </cell>
          <cell r="T948">
            <v>-101.63864</v>
          </cell>
          <cell r="U948">
            <v>-73.446820000000002</v>
          </cell>
          <cell r="V948">
            <v>-60.591450000000002</v>
          </cell>
          <cell r="W948">
            <v>-42.363770000000002</v>
          </cell>
          <cell r="X948">
            <v>-19.808219999999999</v>
          </cell>
          <cell r="Y948">
            <v>-47.376662000000003</v>
          </cell>
        </row>
        <row r="949">
          <cell r="B949">
            <v>443330</v>
          </cell>
          <cell r="C949" t="str">
            <v>NOT USED</v>
          </cell>
          <cell r="D949" t="str">
            <v>ELEC REVENUE-VARIABLE-INDUSTRIAL-COMMODITY</v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</row>
        <row r="950">
          <cell r="B950">
            <v>443331</v>
          </cell>
          <cell r="C950" t="str">
            <v>NOT USED</v>
          </cell>
          <cell r="D950" t="str">
            <v>ELEC REV-VPO SPECIAL CONTRACT-INDUSTRIAL COMMODIT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</row>
        <row r="951">
          <cell r="B951">
            <v>443335</v>
          </cell>
          <cell r="C951" t="str">
            <v>NOT USED</v>
          </cell>
          <cell r="D951" t="str">
            <v>ELEC REV-VARIABLE-INDUSTRIAL-UNBILLED-COMMODITY</v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>
            <v>-13.29434</v>
          </cell>
          <cell r="M951">
            <v>-104.49324</v>
          </cell>
          <cell r="N951">
            <v>284.30392000000001</v>
          </cell>
          <cell r="O951">
            <v>214.69206</v>
          </cell>
          <cell r="P951">
            <v>209.18244000000001</v>
          </cell>
          <cell r="Q951">
            <v>103.23934</v>
          </cell>
          <cell r="R951">
            <v>117.99569</v>
          </cell>
          <cell r="S951">
            <v>22.016069999999999</v>
          </cell>
          <cell r="T951">
            <v>100.34491</v>
          </cell>
          <cell r="U951">
            <v>131.22332</v>
          </cell>
          <cell r="V951">
            <v>177.75172000000001</v>
          </cell>
          <cell r="W951">
            <v>165.38648000000001</v>
          </cell>
          <cell r="X951">
            <v>206.30491000000001</v>
          </cell>
          <cell r="Y951">
            <v>126.512333</v>
          </cell>
        </row>
        <row r="952">
          <cell r="B952">
            <v>443340</v>
          </cell>
          <cell r="C952" t="str">
            <v>NOT USED</v>
          </cell>
          <cell r="D952" t="str">
            <v>ELEC REVENUE-VARIABLE-INDUSTRIAL-TRANSITION CHARG</v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</row>
        <row r="953">
          <cell r="B953">
            <v>443350</v>
          </cell>
          <cell r="C953" t="str">
            <v>NOT USED</v>
          </cell>
          <cell r="D953" t="str">
            <v>ELEC REVENUE-VARIABLE-INDUSTRIAL-SBC</v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</row>
        <row r="954">
          <cell r="B954">
            <v>443351</v>
          </cell>
          <cell r="C954" t="str">
            <v>NOT USED</v>
          </cell>
          <cell r="D954" t="str">
            <v>ELEC REVENUE-VARIABLE-INDUSTRIAL-RAS</v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</row>
        <row r="955">
          <cell r="B955">
            <v>443373</v>
          </cell>
          <cell r="C955" t="str">
            <v>NOT USED</v>
          </cell>
          <cell r="D955" t="str">
            <v>ELEC REV-VARIABLE-INDUSTRIAL-DELIVERY GRT</v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</row>
        <row r="956">
          <cell r="B956">
            <v>443374</v>
          </cell>
          <cell r="C956" t="str">
            <v>NOT USED</v>
          </cell>
          <cell r="D956" t="str">
            <v>ELEC REV-VARIABLE-INDUSTRIAL-COMMODITY GRT</v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</row>
        <row r="957">
          <cell r="B957">
            <v>443520</v>
          </cell>
          <cell r="C957" t="str">
            <v>NOT USED</v>
          </cell>
          <cell r="D957" t="str">
            <v>ELEC REVENUE- ESCO -INDUSTRIAL-DELIVERY</v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</row>
        <row r="958">
          <cell r="B958">
            <v>443525</v>
          </cell>
          <cell r="C958" t="str">
            <v>NOT USED</v>
          </cell>
          <cell r="D958" t="str">
            <v>ELEC REV- ESCO -INDUSTRIAL-UNBILLED-DELIVERY</v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>
            <v>-717.33799999999997</v>
          </cell>
          <cell r="M958">
            <v>225.273</v>
          </cell>
          <cell r="N958">
            <v>302.90294</v>
          </cell>
          <cell r="O958">
            <v>260.67500000000001</v>
          </cell>
          <cell r="P958">
            <v>205.03586000000001</v>
          </cell>
          <cell r="Q958">
            <v>197.30600000000001</v>
          </cell>
          <cell r="R958">
            <v>24.711359999999999</v>
          </cell>
          <cell r="S958">
            <v>504.10388999999998</v>
          </cell>
          <cell r="T958">
            <v>-127.83768999999999</v>
          </cell>
          <cell r="U958">
            <v>-80.129930000000002</v>
          </cell>
          <cell r="V958">
            <v>329.79529000000002</v>
          </cell>
          <cell r="W958">
            <v>243.56734</v>
          </cell>
          <cell r="X958">
            <v>423.37842999999998</v>
          </cell>
          <cell r="Y958">
            <v>161.53527299999999</v>
          </cell>
        </row>
        <row r="959">
          <cell r="B959">
            <v>443535</v>
          </cell>
          <cell r="C959" t="str">
            <v>NOT USED</v>
          </cell>
          <cell r="D959" t="str">
            <v>ELEC REV-INDUSTRIAL-EPO UNBILLED TRANSITION</v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>
            <v>234.75200000000001</v>
          </cell>
          <cell r="M959">
            <v>269.92200000000003</v>
          </cell>
          <cell r="N959">
            <v>353.14692000000002</v>
          </cell>
          <cell r="O959">
            <v>310.17700000000002</v>
          </cell>
          <cell r="P959">
            <v>221.66372000000001</v>
          </cell>
          <cell r="Q959">
            <v>105.443</v>
          </cell>
          <cell r="R959">
            <v>44.050339999999998</v>
          </cell>
          <cell r="S959">
            <v>63.928359999999998</v>
          </cell>
          <cell r="T959">
            <v>-90.51397</v>
          </cell>
          <cell r="U959">
            <v>-18.684979999999999</v>
          </cell>
          <cell r="V959">
            <v>249.26801</v>
          </cell>
          <cell r="W959">
            <v>152.8648</v>
          </cell>
          <cell r="X959">
            <v>121.83013</v>
          </cell>
          <cell r="Y959">
            <v>153.29635500000001</v>
          </cell>
        </row>
        <row r="960">
          <cell r="B960">
            <v>443540</v>
          </cell>
          <cell r="C960" t="str">
            <v>NOT USED</v>
          </cell>
          <cell r="D960" t="str">
            <v>ELEC REVENUE- ESCO -INDUSTRIAL-TRANSITION CHARGE</v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</row>
        <row r="961">
          <cell r="B961">
            <v>443541</v>
          </cell>
          <cell r="C961" t="str">
            <v>NOT USED</v>
          </cell>
          <cell r="D961" t="str">
            <v>EL RV-EPO SPEC CONTRACT-INDUSTRIAL-TRANSITION CHR</v>
          </cell>
          <cell r="E961" t="str">
            <v/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</row>
        <row r="962">
          <cell r="B962">
            <v>443550</v>
          </cell>
          <cell r="C962" t="str">
            <v>NOT USED</v>
          </cell>
          <cell r="D962" t="str">
            <v>ELEC REVENUE- ESCO -INDUSTRIAL-SBC</v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</row>
        <row r="963">
          <cell r="B963">
            <v>443551</v>
          </cell>
          <cell r="C963" t="str">
            <v>NOT USED</v>
          </cell>
          <cell r="D963" t="str">
            <v>ELEC REVENUE- ESCO -INDUSTRIAL-RAS</v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</row>
        <row r="964">
          <cell r="B964">
            <v>443552</v>
          </cell>
          <cell r="C964" t="str">
            <v>NOT USED</v>
          </cell>
          <cell r="D964" t="str">
            <v>ELEC REVENUE- ESCO -INDUSTRIAL-RAC</v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</row>
        <row r="965">
          <cell r="B965">
            <v>443573</v>
          </cell>
          <cell r="C965" t="str">
            <v>NOT USED</v>
          </cell>
          <cell r="D965" t="str">
            <v>ELEC REV- ESCO -INDUSTRIAL-DELIVERY GRT</v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</row>
        <row r="966">
          <cell r="B966">
            <v>443620</v>
          </cell>
          <cell r="C966" t="str">
            <v>NOT USED</v>
          </cell>
          <cell r="D966" t="str">
            <v>ELEC REV-ESCO W/SUPPLY ADJUST-INDUSTRIAL-DELIVERY</v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</row>
        <row r="967">
          <cell r="B967">
            <v>443625</v>
          </cell>
          <cell r="C967" t="str">
            <v>NOT USED</v>
          </cell>
          <cell r="D967" t="str">
            <v>EL REV-ESCO W/SUP ADJ-INDUSTRIAL-UNBILLED-DELIVER</v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>
            <v>5.5E-2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2.2920000000000002E-3</v>
          </cell>
        </row>
        <row r="968">
          <cell r="B968">
            <v>443630</v>
          </cell>
          <cell r="C968" t="str">
            <v>NOT USED</v>
          </cell>
          <cell r="D968" t="str">
            <v>ELEC REV-ESCO W/SUPPLY ADJUST-INDUSTRIAL-COMMODIT</v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</row>
        <row r="969">
          <cell r="B969">
            <v>443635</v>
          </cell>
          <cell r="C969" t="str">
            <v>NOT USED</v>
          </cell>
          <cell r="D969" t="str">
            <v>EL REV-ESCO W/SUP ADJ-INDUSTRIAL-UNBILLED-COMODIT</v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>
            <v>0.10100000000000001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4.2079999999999999E-3</v>
          </cell>
        </row>
        <row r="970">
          <cell r="B970">
            <v>443640</v>
          </cell>
          <cell r="C970" t="str">
            <v>NOT USED</v>
          </cell>
          <cell r="D970" t="str">
            <v>ELEC REV-ESCO W/SUP ADJ-INDUSTRIAL-TRANSITION CHR</v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</row>
        <row r="971">
          <cell r="B971">
            <v>443645</v>
          </cell>
          <cell r="C971" t="str">
            <v>NOT USED</v>
          </cell>
          <cell r="D971" t="str">
            <v>E-UNBILLED-INDUSTRIAL-DELIVERY GROSS RECEIPTS TAX</v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>
            <v>0.55000000000000004</v>
          </cell>
          <cell r="M971">
            <v>-0.24</v>
          </cell>
          <cell r="N971">
            <v>0.373</v>
          </cell>
          <cell r="O971">
            <v>0.39700000000000002</v>
          </cell>
          <cell r="P971">
            <v>0.34699999999999998</v>
          </cell>
          <cell r="Q971">
            <v>-0.36799999999999999</v>
          </cell>
          <cell r="R971">
            <v>-0.36135</v>
          </cell>
          <cell r="S971">
            <v>-0.84335000000000004</v>
          </cell>
          <cell r="T971">
            <v>-0.85324</v>
          </cell>
          <cell r="U971">
            <v>-0.48901</v>
          </cell>
          <cell r="V971">
            <v>6.694E-2</v>
          </cell>
          <cell r="W971">
            <v>1.391E-2</v>
          </cell>
          <cell r="X971">
            <v>0.18393000000000001</v>
          </cell>
          <cell r="Y971">
            <v>-0.13251099999999999</v>
          </cell>
        </row>
        <row r="972">
          <cell r="B972">
            <v>443650</v>
          </cell>
          <cell r="C972" t="str">
            <v>NOT USED</v>
          </cell>
          <cell r="D972" t="str">
            <v>ELEC REV-ESCO W/SUPPLY ADJUST-INDUSTRIAL-SBC</v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</row>
        <row r="973">
          <cell r="B973">
            <v>443651</v>
          </cell>
          <cell r="C973" t="str">
            <v>NOT USED</v>
          </cell>
          <cell r="D973" t="str">
            <v>ELEC REV-ESCO W/SUPPLY ADJUST-INDUSTRIAL-RAS</v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</row>
        <row r="974">
          <cell r="B974">
            <v>443652</v>
          </cell>
          <cell r="C974" t="str">
            <v>NOT USED</v>
          </cell>
          <cell r="D974" t="str">
            <v>ELEC REV-ESCO W/SUPPLY ADJUST-INDUSTRIAL-RAC</v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</row>
        <row r="975">
          <cell r="B975">
            <v>443653</v>
          </cell>
          <cell r="C975" t="str">
            <v>NOT USED</v>
          </cell>
          <cell r="D975" t="str">
            <v>ELEC REV-ESCO W/SUPPLY ADJUST-INDUSTRIAL-MBBC</v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</row>
        <row r="976">
          <cell r="B976">
            <v>443655</v>
          </cell>
          <cell r="C976" t="str">
            <v>NOT USED</v>
          </cell>
          <cell r="D976" t="str">
            <v>E-UNBILLED-INDUSTRIAL-COMMODITY GROSS RECEIPTS TA</v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>
            <v>-1.2E-2</v>
          </cell>
          <cell r="M976">
            <v>-1.4710000000000001</v>
          </cell>
          <cell r="N976">
            <v>2.2570000000000001</v>
          </cell>
          <cell r="O976">
            <v>1.659</v>
          </cell>
          <cell r="P976">
            <v>1.764</v>
          </cell>
          <cell r="Q976">
            <v>0.871</v>
          </cell>
          <cell r="R976">
            <v>1.0902400000000001</v>
          </cell>
          <cell r="S976">
            <v>0.23363999999999999</v>
          </cell>
          <cell r="T976">
            <v>0.83992999999999995</v>
          </cell>
          <cell r="U976">
            <v>1.0605500000000001</v>
          </cell>
          <cell r="V976">
            <v>1.0925499999999999</v>
          </cell>
          <cell r="W976">
            <v>1.1785699999999999</v>
          </cell>
          <cell r="X976">
            <v>1.6620699999999999</v>
          </cell>
          <cell r="Y976">
            <v>0.95004299999999997</v>
          </cell>
        </row>
        <row r="977">
          <cell r="B977">
            <v>443673</v>
          </cell>
          <cell r="C977" t="str">
            <v>NOT USED</v>
          </cell>
          <cell r="D977" t="str">
            <v>ELEC REV-ESCO W/SUP ADJ-INDUSTRIAL-DELIVERY GRT</v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</row>
        <row r="978">
          <cell r="B978">
            <v>444000</v>
          </cell>
          <cell r="C978" t="str">
            <v>NOT USED</v>
          </cell>
          <cell r="D978" t="str">
            <v>ELEC REVENUE - STREET LIGHTING-REGULAR</v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</row>
        <row r="979">
          <cell r="B979">
            <v>444120</v>
          </cell>
          <cell r="C979" t="str">
            <v>NOT USED</v>
          </cell>
          <cell r="D979" t="str">
            <v>ELECTRIC REVENUE-FIXED-STREET LIGHTING-DELIVERY</v>
          </cell>
          <cell r="E979" t="str">
            <v/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>
            <v>1552.8791200000001</v>
          </cell>
          <cell r="M979">
            <v>-26.598240000000001</v>
          </cell>
          <cell r="N979">
            <v>-85.823800000000006</v>
          </cell>
          <cell r="O979">
            <v>-132.66095999999999</v>
          </cell>
          <cell r="P979">
            <v>-215.33413999999999</v>
          </cell>
          <cell r="Q979">
            <v>-297.77305999999999</v>
          </cell>
          <cell r="R979">
            <v>-379.66804000000002</v>
          </cell>
          <cell r="S979">
            <v>-461.76116999999999</v>
          </cell>
          <cell r="T979">
            <v>-542.38941</v>
          </cell>
          <cell r="U979">
            <v>-624.31691999999998</v>
          </cell>
          <cell r="V979">
            <v>-712.49117999999999</v>
          </cell>
          <cell r="W979">
            <v>-796.54173000000003</v>
          </cell>
          <cell r="X979">
            <v>-879.50012000000004</v>
          </cell>
          <cell r="Y979">
            <v>-328.22242899999998</v>
          </cell>
        </row>
        <row r="980">
          <cell r="B980">
            <v>444128</v>
          </cell>
          <cell r="C980" t="str">
            <v>NOT USED</v>
          </cell>
          <cell r="D980" t="str">
            <v>ELEC REV-ST LIGHTING-DELIVERY CHARGE-RETAIL ACCES</v>
          </cell>
          <cell r="E980" t="str">
            <v/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>
            <v>-5813.5732799999996</v>
          </cell>
          <cell r="M980">
            <v>-387.46904000000001</v>
          </cell>
          <cell r="N980">
            <v>-776.20645999999999</v>
          </cell>
          <cell r="O980">
            <v>-1154.9343799999999</v>
          </cell>
          <cell r="P980">
            <v>-1515.66662</v>
          </cell>
          <cell r="Q980">
            <v>-1870.8683599999999</v>
          </cell>
          <cell r="R980">
            <v>-2219.3151499999999</v>
          </cell>
          <cell r="S980">
            <v>-2572.2154500000001</v>
          </cell>
          <cell r="T980">
            <v>-2933.8355499999998</v>
          </cell>
          <cell r="U980">
            <v>-3315.6148800000001</v>
          </cell>
          <cell r="V980">
            <v>-3713.5769599999999</v>
          </cell>
          <cell r="W980">
            <v>-4119.2734099999998</v>
          </cell>
          <cell r="X980">
            <v>-4543.5678799999996</v>
          </cell>
          <cell r="Y980">
            <v>-2479.7955700000002</v>
          </cell>
        </row>
        <row r="981">
          <cell r="B981">
            <v>444130</v>
          </cell>
          <cell r="C981" t="str">
            <v>NOT USED</v>
          </cell>
          <cell r="D981" t="str">
            <v>ELECTRIC REVENUE-FIXED-STREET LIGHTING-COMMODITY</v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>
            <v>-360.27535999999998</v>
          </cell>
          <cell r="M981">
            <v>-25.3459</v>
          </cell>
          <cell r="N981">
            <v>-41.556460000000001</v>
          </cell>
          <cell r="O981">
            <v>-44.82535</v>
          </cell>
          <cell r="P981">
            <v>-79.270989999999998</v>
          </cell>
          <cell r="Q981">
            <v>-106.61451</v>
          </cell>
          <cell r="R981">
            <v>-137.03691000000001</v>
          </cell>
          <cell r="S981">
            <v>-167.38332</v>
          </cell>
          <cell r="T981">
            <v>-197.50960000000001</v>
          </cell>
          <cell r="U981">
            <v>-225.97128000000001</v>
          </cell>
          <cell r="V981">
            <v>-265.35057999999998</v>
          </cell>
          <cell r="W981">
            <v>-303.73532</v>
          </cell>
          <cell r="X981">
            <v>-342.11000999999999</v>
          </cell>
          <cell r="Y981">
            <v>-162.14940899999999</v>
          </cell>
        </row>
        <row r="982">
          <cell r="B982">
            <v>444138</v>
          </cell>
          <cell r="C982" t="str">
            <v>NOT USED</v>
          </cell>
          <cell r="D982" t="str">
            <v>ELEC REV-ST LIGHTING-SUPPLY CHARGE-RETAIL ACCESS</v>
          </cell>
          <cell r="E982" t="str">
            <v/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</row>
        <row r="983">
          <cell r="B983">
            <v>444140</v>
          </cell>
          <cell r="C983" t="str">
            <v>NOT USED</v>
          </cell>
          <cell r="D983" t="str">
            <v>ELEC REV-FIXED-STREET LIGHTING-TRANSITION CHARGE</v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/>
          </cell>
          <cell r="L983">
            <v>-91.270510000000002</v>
          </cell>
          <cell r="M983">
            <v>2.7707999999999999</v>
          </cell>
          <cell r="N983">
            <v>7.5129900000000003</v>
          </cell>
          <cell r="O983">
            <v>11.022270000000001</v>
          </cell>
          <cell r="P983">
            <v>12.21618</v>
          </cell>
          <cell r="Q983">
            <v>11.302670000000001</v>
          </cell>
          <cell r="R983">
            <v>9.5337200000000006</v>
          </cell>
          <cell r="S983">
            <v>6.8179800000000004</v>
          </cell>
          <cell r="T983">
            <v>2.8772500000000001</v>
          </cell>
          <cell r="U983">
            <v>-0.17027999999999999</v>
          </cell>
          <cell r="V983">
            <v>2.6219600000000001</v>
          </cell>
          <cell r="W983">
            <v>2.59239</v>
          </cell>
          <cell r="X983">
            <v>1.52912</v>
          </cell>
          <cell r="Y983">
            <v>2.0189360000000001</v>
          </cell>
        </row>
        <row r="984">
          <cell r="B984">
            <v>444142</v>
          </cell>
          <cell r="C984" t="str">
            <v>NOT USED</v>
          </cell>
          <cell r="D984" t="str">
            <v>ELEC REV-STREETLIGHTING-BILLING CHG-MFC COMMODITY</v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/>
          </cell>
          <cell r="L984">
            <v>-2.5943700000000001</v>
          </cell>
          <cell r="M984">
            <v>-0.99848999999999999</v>
          </cell>
          <cell r="N984">
            <v>-1.5359100000000001</v>
          </cell>
          <cell r="O984">
            <v>-2.1855199999999999</v>
          </cell>
          <cell r="P984">
            <v>-2.93771</v>
          </cell>
          <cell r="Q984">
            <v>-3.4033699999999998</v>
          </cell>
          <cell r="R984">
            <v>-3.9284400000000002</v>
          </cell>
          <cell r="S984">
            <v>-4.4915599999999998</v>
          </cell>
          <cell r="T984">
            <v>-5.0082100000000001</v>
          </cell>
          <cell r="U984">
            <v>-5.7542999999999997</v>
          </cell>
          <cell r="V984">
            <v>-6.6747199999999998</v>
          </cell>
          <cell r="W984">
            <v>-7.5786899999999999</v>
          </cell>
          <cell r="X984">
            <v>-8.4131499999999999</v>
          </cell>
          <cell r="Y984">
            <v>-4.1667230000000002</v>
          </cell>
        </row>
        <row r="985">
          <cell r="B985">
            <v>444143</v>
          </cell>
          <cell r="C985" t="str">
            <v>NOT USED</v>
          </cell>
          <cell r="D985" t="str">
            <v>ELEC REV-ST LIGHTING-BILLING CHARGE-MFC DELIVERY</v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/>
          </cell>
          <cell r="L985">
            <v>-11.45551</v>
          </cell>
          <cell r="M985">
            <v>-3.7634699999999999</v>
          </cell>
          <cell r="N985">
            <v>-7.2110099999999999</v>
          </cell>
          <cell r="O985">
            <v>-10.59563</v>
          </cell>
          <cell r="P985">
            <v>-13.691280000000001</v>
          </cell>
          <cell r="Q985">
            <v>-16.647400000000001</v>
          </cell>
          <cell r="R985">
            <v>-19.455079999999999</v>
          </cell>
          <cell r="S985">
            <v>-22.346450000000001</v>
          </cell>
          <cell r="T985">
            <v>-25.412120000000002</v>
          </cell>
          <cell r="U985">
            <v>-28.463349999999998</v>
          </cell>
          <cell r="V985">
            <v>-31.760280000000002</v>
          </cell>
          <cell r="W985">
            <v>-35.100749999999998</v>
          </cell>
          <cell r="X985">
            <v>-38.630409999999998</v>
          </cell>
          <cell r="Y985">
            <v>-19.957481999999999</v>
          </cell>
        </row>
        <row r="986">
          <cell r="B986">
            <v>444148</v>
          </cell>
          <cell r="C986" t="str">
            <v>NOT USED</v>
          </cell>
          <cell r="D986" t="str">
            <v>ELEC REV-ST LIGHTING-TRANSITION CHRG-RETAIL ACCES</v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/>
          </cell>
          <cell r="L986">
            <v>-371.70911000000001</v>
          </cell>
          <cell r="M986">
            <v>15.53243</v>
          </cell>
          <cell r="N986">
            <v>37.699509999999997</v>
          </cell>
          <cell r="O986">
            <v>53.484850000000002</v>
          </cell>
          <cell r="P986">
            <v>58.41854</v>
          </cell>
          <cell r="Q986">
            <v>54.778669999999998</v>
          </cell>
          <cell r="R986">
            <v>48.185650000000003</v>
          </cell>
          <cell r="S986">
            <v>37.68544</v>
          </cell>
          <cell r="T986">
            <v>21.458929999999999</v>
          </cell>
          <cell r="U986">
            <v>8.1680399999999995</v>
          </cell>
          <cell r="V986">
            <v>21.403300000000002</v>
          </cell>
          <cell r="W986">
            <v>21.253730000000001</v>
          </cell>
          <cell r="X986">
            <v>15.83606</v>
          </cell>
          <cell r="Y986">
            <v>16.677714000000002</v>
          </cell>
        </row>
        <row r="987">
          <cell r="B987">
            <v>444149</v>
          </cell>
          <cell r="C987" t="str">
            <v>NOT USED</v>
          </cell>
          <cell r="D987" t="str">
            <v>ELEC REVENUE-STREET LIGHTING-EEPS</v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/>
          </cell>
          <cell r="L987">
            <v>-14.41361</v>
          </cell>
          <cell r="M987">
            <v>-1.3745700000000001</v>
          </cell>
          <cell r="N987">
            <v>-2.7778800000000001</v>
          </cell>
          <cell r="O987">
            <v>-4.1559600000000003</v>
          </cell>
          <cell r="P987">
            <v>-5.4162299999999997</v>
          </cell>
          <cell r="Q987">
            <v>-6.61972</v>
          </cell>
          <cell r="R987">
            <v>-7.7627699999999997</v>
          </cell>
          <cell r="S987">
            <v>-8.9400300000000001</v>
          </cell>
          <cell r="T987">
            <v>-10.188040000000001</v>
          </cell>
          <cell r="U987">
            <v>-11.49634</v>
          </cell>
          <cell r="V987">
            <v>-12.91004</v>
          </cell>
          <cell r="W987">
            <v>-14.37369</v>
          </cell>
          <cell r="X987">
            <v>-15.920199999999999</v>
          </cell>
          <cell r="Y987">
            <v>-8.4318480000000005</v>
          </cell>
        </row>
        <row r="988">
          <cell r="B988">
            <v>444150</v>
          </cell>
          <cell r="C988" t="str">
            <v>NOT USED</v>
          </cell>
          <cell r="D988" t="str">
            <v>ELECTRIC REVENUE-FIXED-STREET LIGHTING-SBC</v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/>
          </cell>
          <cell r="L988">
            <v>-7.9302999999999999</v>
          </cell>
          <cell r="M988">
            <v>-1.11148</v>
          </cell>
          <cell r="N988">
            <v>-1.1132500000000001</v>
          </cell>
          <cell r="O988">
            <v>-1.1132500000000001</v>
          </cell>
          <cell r="P988">
            <v>-1.1132500000000001</v>
          </cell>
          <cell r="Q988">
            <v>-1.1137699999999999</v>
          </cell>
          <cell r="R988">
            <v>-1.1137699999999999</v>
          </cell>
          <cell r="S988">
            <v>-1.1137699999999999</v>
          </cell>
          <cell r="T988">
            <v>-1.1137699999999999</v>
          </cell>
          <cell r="U988">
            <v>-1.1137699999999999</v>
          </cell>
          <cell r="V988">
            <v>-1.1137699999999999</v>
          </cell>
          <cell r="W988">
            <v>-1.1137699999999999</v>
          </cell>
          <cell r="X988">
            <v>-1.1137699999999999</v>
          </cell>
          <cell r="Y988">
            <v>-1.3974709999999999</v>
          </cell>
        </row>
        <row r="989">
          <cell r="B989">
            <v>444151</v>
          </cell>
          <cell r="C989" t="str">
            <v>NOT USED</v>
          </cell>
          <cell r="D989" t="str">
            <v>ELECTRIC REVENUE-FIXED-STREET LIGHTING-RAS</v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/>
          </cell>
          <cell r="L989">
            <v>-75.929670000000002</v>
          </cell>
          <cell r="M989">
            <v>0</v>
          </cell>
          <cell r="N989">
            <v>0</v>
          </cell>
          <cell r="O989">
            <v>0</v>
          </cell>
          <cell r="P989">
            <v>3.5899999999999999E-3</v>
          </cell>
          <cell r="Q989">
            <v>3.5899999999999999E-3</v>
          </cell>
          <cell r="R989">
            <v>3.5899999999999999E-3</v>
          </cell>
          <cell r="S989">
            <v>3.5899999999999999E-3</v>
          </cell>
          <cell r="T989">
            <v>3.5899999999999999E-3</v>
          </cell>
          <cell r="U989">
            <v>3.5899999999999999E-3</v>
          </cell>
          <cell r="V989">
            <v>3.5899999999999999E-3</v>
          </cell>
          <cell r="W989">
            <v>3.5899999999999999E-3</v>
          </cell>
          <cell r="X989">
            <v>3.5899999999999999E-3</v>
          </cell>
          <cell r="Y989">
            <v>-3.1611929999999999</v>
          </cell>
        </row>
        <row r="990">
          <cell r="B990">
            <v>444153</v>
          </cell>
          <cell r="C990" t="str">
            <v>NOT USED</v>
          </cell>
          <cell r="D990" t="str">
            <v>ELECT REVENUE-ST LIGHTING-SURCHARGE RETAIL ACCESS</v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/>
          </cell>
          <cell r="L990">
            <v>-176.15467000000001</v>
          </cell>
          <cell r="M990">
            <v>-14.70327</v>
          </cell>
          <cell r="N990">
            <v>-30.409079999999999</v>
          </cell>
          <cell r="O990">
            <v>-45.284910000000004</v>
          </cell>
          <cell r="P990">
            <v>-57.744689999999999</v>
          </cell>
          <cell r="Q990">
            <v>-69.076520000000002</v>
          </cell>
          <cell r="R990">
            <v>-79.265919999999994</v>
          </cell>
          <cell r="S990">
            <v>-90.161649999999995</v>
          </cell>
          <cell r="T990">
            <v>-102.46417</v>
          </cell>
          <cell r="U990">
            <v>-116.12493000000001</v>
          </cell>
          <cell r="V990">
            <v>-132.15729999999999</v>
          </cell>
          <cell r="W990">
            <v>-149.34774999999999</v>
          </cell>
          <cell r="X990">
            <v>-168.13972000000001</v>
          </cell>
          <cell r="Y990">
            <v>-88.240615000000005</v>
          </cell>
        </row>
        <row r="991">
          <cell r="B991">
            <v>444154</v>
          </cell>
          <cell r="C991" t="str">
            <v>NOT USED</v>
          </cell>
          <cell r="D991" t="str">
            <v>ELECTRIC REVENUE-ST LIGHTING-SURCHARGE FULL SERVI</v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>
            <v>-39.630949999999999</v>
          </cell>
          <cell r="M991">
            <v>-3.66716</v>
          </cell>
          <cell r="N991">
            <v>-7.02623</v>
          </cell>
          <cell r="O991">
            <v>-10.32419</v>
          </cell>
          <cell r="P991">
            <v>-13.34065</v>
          </cell>
          <cell r="Q991">
            <v>-16.221409999999999</v>
          </cell>
          <cell r="R991">
            <v>-18.95759</v>
          </cell>
          <cell r="S991">
            <v>-21.775670000000002</v>
          </cell>
          <cell r="T991">
            <v>-24.76324</v>
          </cell>
          <cell r="U991">
            <v>-27.894839999999999</v>
          </cell>
          <cell r="V991">
            <v>-31.278829999999999</v>
          </cell>
          <cell r="W991">
            <v>-34.782389999999999</v>
          </cell>
          <cell r="X991">
            <v>-38.484299999999998</v>
          </cell>
          <cell r="Y991">
            <v>-20.757484999999999</v>
          </cell>
        </row>
        <row r="992">
          <cell r="B992">
            <v>444158</v>
          </cell>
          <cell r="C992" t="str">
            <v>NOT USED</v>
          </cell>
          <cell r="D992" t="str">
            <v>EL REV-ST LIGHTING-SYSTEM BENEFIT CHRG-RETL ACCES</v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>
            <v>-36.413699999999999</v>
          </cell>
          <cell r="M992">
            <v>-4.4544899999999998</v>
          </cell>
          <cell r="N992">
            <v>-4.4574100000000003</v>
          </cell>
          <cell r="O992">
            <v>-4.4574100000000003</v>
          </cell>
          <cell r="P992">
            <v>-4.4353300000000004</v>
          </cell>
          <cell r="Q992">
            <v>-4.4353300000000004</v>
          </cell>
          <cell r="R992">
            <v>-4.4353300000000004</v>
          </cell>
          <cell r="S992">
            <v>-4.4353300000000004</v>
          </cell>
          <cell r="T992">
            <v>-4.4353300000000004</v>
          </cell>
          <cell r="U992">
            <v>-4.4353300000000004</v>
          </cell>
          <cell r="V992">
            <v>-4.4353300000000004</v>
          </cell>
          <cell r="W992">
            <v>-4.4353300000000004</v>
          </cell>
          <cell r="X992">
            <v>-4.4353300000000004</v>
          </cell>
          <cell r="Y992">
            <v>-5.7730389999999998</v>
          </cell>
        </row>
        <row r="993">
          <cell r="B993">
            <v>444159</v>
          </cell>
          <cell r="C993" t="str">
            <v>NOT USED</v>
          </cell>
          <cell r="D993" t="str">
            <v>ELEC REV-ST LIGHTING-EEPS-RETAIL ACCESS</v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>
            <v>-63.932450000000003</v>
          </cell>
          <cell r="M993">
            <v>-5.5089399999999999</v>
          </cell>
          <cell r="N993">
            <v>-12.06831</v>
          </cell>
          <cell r="O993">
            <v>-18.281330000000001</v>
          </cell>
          <cell r="P993">
            <v>-23.488700000000001</v>
          </cell>
          <cell r="Q993">
            <v>-28.221489999999999</v>
          </cell>
          <cell r="R993">
            <v>-32.477020000000003</v>
          </cell>
          <cell r="S993">
            <v>-37.0276</v>
          </cell>
          <cell r="T993">
            <v>-42.16574</v>
          </cell>
          <cell r="U993">
            <v>-47.871630000000003</v>
          </cell>
          <cell r="V993">
            <v>-54.567970000000003</v>
          </cell>
          <cell r="W993">
            <v>-61.748260000000002</v>
          </cell>
          <cell r="X993">
            <v>-69.597830000000002</v>
          </cell>
          <cell r="Y993">
            <v>-35.849344000000002</v>
          </cell>
        </row>
        <row r="994">
          <cell r="B994">
            <v>444160</v>
          </cell>
          <cell r="C994" t="str">
            <v>NOT USED</v>
          </cell>
          <cell r="D994" t="str">
            <v>EL REV-ST LIGHTING-RENEWABLE PORTFOLIO CHARGE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>
            <v>-11.191660000000001</v>
          </cell>
          <cell r="M994">
            <v>-1.4128099999999999</v>
          </cell>
          <cell r="N994">
            <v>-2.7069299999999998</v>
          </cell>
          <cell r="O994">
            <v>-3.9774500000000002</v>
          </cell>
          <cell r="P994">
            <v>-5.1396199999999999</v>
          </cell>
          <cell r="Q994">
            <v>-6.2492799999999997</v>
          </cell>
          <cell r="R994">
            <v>-7.3032899999999996</v>
          </cell>
          <cell r="S994">
            <v>-8.3886199999999995</v>
          </cell>
          <cell r="T994">
            <v>-9.5395299999999992</v>
          </cell>
          <cell r="U994">
            <v>-10.74578</v>
          </cell>
          <cell r="V994">
            <v>-12.213789999999999</v>
          </cell>
          <cell r="W994">
            <v>-13.7338</v>
          </cell>
          <cell r="X994">
            <v>-15.33989</v>
          </cell>
          <cell r="Y994">
            <v>-7.889723</v>
          </cell>
        </row>
        <row r="995">
          <cell r="B995">
            <v>444168</v>
          </cell>
          <cell r="C995" t="str">
            <v>NOT USED</v>
          </cell>
          <cell r="D995" t="str">
            <v>EL REV-ST LIGHTING-RENEWABLE PORTFOLIO-RETAIL ACC</v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>
            <v>-50.83775</v>
          </cell>
          <cell r="M995">
            <v>-5.6616999999999997</v>
          </cell>
          <cell r="N995">
            <v>-11.709540000000001</v>
          </cell>
          <cell r="O995">
            <v>-17.437889999999999</v>
          </cell>
          <cell r="P995">
            <v>-22.23678</v>
          </cell>
          <cell r="Q995">
            <v>-26.60033</v>
          </cell>
          <cell r="R995">
            <v>-30.524069999999998</v>
          </cell>
          <cell r="S995">
            <v>-34.719790000000003</v>
          </cell>
          <cell r="T995">
            <v>-39.457360000000001</v>
          </cell>
          <cell r="U995">
            <v>-44.718119999999999</v>
          </cell>
          <cell r="V995">
            <v>-51.671900000000001</v>
          </cell>
          <cell r="W995">
            <v>-59.128399999999999</v>
          </cell>
          <cell r="X995">
            <v>-67.274479999999997</v>
          </cell>
          <cell r="Y995">
            <v>-33.576833000000001</v>
          </cell>
        </row>
        <row r="996">
          <cell r="B996">
            <v>444173</v>
          </cell>
          <cell r="C996" t="str">
            <v>NOT USED</v>
          </cell>
          <cell r="D996" t="str">
            <v>ELEC REVENUE-FIXED-STREET LIGHTING-DELIVERY GRT</v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>
            <v>-3.47384</v>
          </cell>
          <cell r="M996">
            <v>-0.26550000000000001</v>
          </cell>
          <cell r="N996">
            <v>-0.51827999999999996</v>
          </cell>
          <cell r="O996">
            <v>-0.77556999999999998</v>
          </cell>
          <cell r="P996">
            <v>-1.0406500000000001</v>
          </cell>
          <cell r="Q996">
            <v>-1.31592</v>
          </cell>
          <cell r="R996">
            <v>-1.5906499999999999</v>
          </cell>
          <cell r="S996">
            <v>-1.8696699999999999</v>
          </cell>
          <cell r="T996">
            <v>-2.1549299999999998</v>
          </cell>
          <cell r="U996">
            <v>-2.4445299999999999</v>
          </cell>
          <cell r="V996">
            <v>-2.7116099999999999</v>
          </cell>
          <cell r="W996">
            <v>-2.9914399999999999</v>
          </cell>
          <cell r="X996">
            <v>-3.29128</v>
          </cell>
          <cell r="Y996">
            <v>-1.755109</v>
          </cell>
        </row>
        <row r="997">
          <cell r="B997">
            <v>444174</v>
          </cell>
          <cell r="C997" t="str">
            <v>NOT USED</v>
          </cell>
          <cell r="D997" t="str">
            <v>ELEC REVENUE-FIXED-STREET LIGHTING-COMMODITY GRT</v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>
            <v>-1.77607</v>
          </cell>
          <cell r="M997">
            <v>-0.21970000000000001</v>
          </cell>
          <cell r="N997">
            <v>-0.36059999999999998</v>
          </cell>
          <cell r="O997">
            <v>-0.52866999999999997</v>
          </cell>
          <cell r="P997">
            <v>-0.69396000000000002</v>
          </cell>
          <cell r="Q997">
            <v>-0.82937000000000005</v>
          </cell>
          <cell r="R997">
            <v>-0.98133999999999999</v>
          </cell>
          <cell r="S997">
            <v>-1.1312599999999999</v>
          </cell>
          <cell r="T997">
            <v>-1.27661</v>
          </cell>
          <cell r="U997">
            <v>-1.41333</v>
          </cell>
          <cell r="V997">
            <v>-1.5926100000000001</v>
          </cell>
          <cell r="W997">
            <v>-1.7657700000000001</v>
          </cell>
          <cell r="X997">
            <v>-1.93889</v>
          </cell>
          <cell r="Y997">
            <v>-1.054225</v>
          </cell>
        </row>
        <row r="998">
          <cell r="B998">
            <v>444320</v>
          </cell>
          <cell r="C998" t="str">
            <v>NOT USED</v>
          </cell>
          <cell r="D998" t="str">
            <v>ELECTRIC REVENUE-VARIABLE-STREET LIGHTING-DELIVER</v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</row>
        <row r="999">
          <cell r="B999">
            <v>444330</v>
          </cell>
          <cell r="C999" t="str">
            <v>NOT USED</v>
          </cell>
          <cell r="D999" t="str">
            <v>ELEC REVENUE-VARIABLE-STREET LIGHTING-COMMODITY</v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</row>
        <row r="1000">
          <cell r="B1000">
            <v>444340</v>
          </cell>
          <cell r="C1000" t="str">
            <v>NOT USED</v>
          </cell>
          <cell r="D1000" t="str">
            <v>ELEC REV-VARIABLE-ST LIGHTING-TRANSITION CHARGE</v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</row>
        <row r="1001">
          <cell r="B1001">
            <v>444350</v>
          </cell>
          <cell r="C1001" t="str">
            <v>NOT USED</v>
          </cell>
          <cell r="D1001" t="str">
            <v>ELECTRIC REVENUE-VARIABLE-STREET LIGHTING-SBC</v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</row>
        <row r="1002">
          <cell r="B1002">
            <v>444351</v>
          </cell>
          <cell r="C1002" t="str">
            <v>NOT USED</v>
          </cell>
          <cell r="D1002" t="str">
            <v>ELECTRIC REVENUE-VARIABLE-STREET LIGHTING-RAS</v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</row>
        <row r="1003">
          <cell r="B1003">
            <v>444373</v>
          </cell>
          <cell r="C1003" t="str">
            <v>NOT USED</v>
          </cell>
          <cell r="D1003" t="str">
            <v>ELEC REVENUE-VARIABLE-STREET LIGHTING-DELIVERY GR</v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</row>
        <row r="1004">
          <cell r="B1004">
            <v>444374</v>
          </cell>
          <cell r="C1004" t="str">
            <v>NOT USED</v>
          </cell>
          <cell r="D1004" t="str">
            <v>ELEC REVENUE-VARIABLE-ST LIGHTING-COMMODITY GRT</v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</row>
        <row r="1005">
          <cell r="B1005">
            <v>445100</v>
          </cell>
          <cell r="C1005" t="str">
            <v>NOT USED</v>
          </cell>
          <cell r="D1005" t="str">
            <v>ELEC REVENUE - MUNICIPAL-REGULAR</v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/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</row>
        <row r="1006">
          <cell r="B1006">
            <v>445120</v>
          </cell>
          <cell r="C1006" t="str">
            <v>NOT USED</v>
          </cell>
          <cell r="D1006" t="str">
            <v>ELECTRIC REVENUE-FIXED-MUNICIPAL-DELIVERY</v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/>
          </cell>
          <cell r="L1006">
            <v>-2085.8538800000001</v>
          </cell>
          <cell r="M1006">
            <v>-238.58993000000001</v>
          </cell>
          <cell r="N1006">
            <v>-472.41088999999999</v>
          </cell>
          <cell r="O1006">
            <v>-699.37967000000003</v>
          </cell>
          <cell r="P1006">
            <v>-925.64099999999996</v>
          </cell>
          <cell r="Q1006">
            <v>-1140.04385</v>
          </cell>
          <cell r="R1006">
            <v>-1353.5128199999999</v>
          </cell>
          <cell r="S1006">
            <v>-1564.0754400000001</v>
          </cell>
          <cell r="T1006">
            <v>-1769.4419499999999</v>
          </cell>
          <cell r="U1006">
            <v>-1974.18604</v>
          </cell>
          <cell r="V1006">
            <v>-2200.4176200000002</v>
          </cell>
          <cell r="W1006">
            <v>-2374.7060900000001</v>
          </cell>
          <cell r="X1006">
            <v>-2569.18786</v>
          </cell>
          <cell r="Y1006">
            <v>-1419.9938480000001</v>
          </cell>
        </row>
        <row r="1007">
          <cell r="B1007">
            <v>445125</v>
          </cell>
          <cell r="C1007" t="str">
            <v>NOT USED</v>
          </cell>
          <cell r="D1007" t="str">
            <v>ELECTRIC REVENUE-FIXED-MUNICIPAL-UNBILLED DELIVER</v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/>
          </cell>
          <cell r="L1007">
            <v>4.5789999999999997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0.19079199999999999</v>
          </cell>
        </row>
        <row r="1008">
          <cell r="B1008">
            <v>445128</v>
          </cell>
          <cell r="C1008" t="str">
            <v>NOT USED</v>
          </cell>
          <cell r="D1008" t="str">
            <v>ELEC REV-MUNICIPAL-DELIVERY CHARGE-RETAIL ACCESS</v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/>
          </cell>
          <cell r="L1008">
            <v>-10875.16885</v>
          </cell>
          <cell r="M1008">
            <v>-1326.1240499999999</v>
          </cell>
          <cell r="N1008">
            <v>-2660.0198700000001</v>
          </cell>
          <cell r="O1008">
            <v>-3999.5365999999999</v>
          </cell>
          <cell r="P1008">
            <v>-5349.5338400000001</v>
          </cell>
          <cell r="Q1008">
            <v>-6818.1213200000002</v>
          </cell>
          <cell r="R1008">
            <v>-8346.0385499999993</v>
          </cell>
          <cell r="S1008">
            <v>-9883.2153500000004</v>
          </cell>
          <cell r="T1008">
            <v>-11319.186610000001</v>
          </cell>
          <cell r="U1008">
            <v>-12797.988799999999</v>
          </cell>
          <cell r="V1008">
            <v>-14374.544029999999</v>
          </cell>
          <cell r="W1008">
            <v>-15797.65259</v>
          </cell>
          <cell r="X1008">
            <v>-17205.487550000002</v>
          </cell>
          <cell r="Y1008">
            <v>-8892.6908170000006</v>
          </cell>
        </row>
        <row r="1009">
          <cell r="B1009">
            <v>445130</v>
          </cell>
          <cell r="C1009" t="str">
            <v>NOT USED</v>
          </cell>
          <cell r="D1009" t="str">
            <v>ELECTRIC REVENUE-FIXED-MUNICIPAL-COMMODITY</v>
          </cell>
          <cell r="E1009" t="str">
            <v/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/>
          </cell>
          <cell r="L1009">
            <v>-4033.6138299999998</v>
          </cell>
          <cell r="M1009">
            <v>-439.19430999999997</v>
          </cell>
          <cell r="N1009">
            <v>-793.28471999999999</v>
          </cell>
          <cell r="O1009">
            <v>-1007.16349</v>
          </cell>
          <cell r="P1009">
            <v>-1256.7257099999999</v>
          </cell>
          <cell r="Q1009">
            <v>-1494.74801</v>
          </cell>
          <cell r="R1009">
            <v>-1771.99414</v>
          </cell>
          <cell r="S1009">
            <v>-2069.1104500000001</v>
          </cell>
          <cell r="T1009">
            <v>-2345.18093</v>
          </cell>
          <cell r="U1009">
            <v>-2561.0956000000001</v>
          </cell>
          <cell r="V1009">
            <v>-2787.43968</v>
          </cell>
          <cell r="W1009">
            <v>-2975.9442600000002</v>
          </cell>
          <cell r="X1009">
            <v>-3190.41662</v>
          </cell>
          <cell r="Y1009">
            <v>-1926.158044</v>
          </cell>
        </row>
        <row r="1010">
          <cell r="B1010">
            <v>445131</v>
          </cell>
          <cell r="C1010" t="str">
            <v>NOT USED</v>
          </cell>
          <cell r="D1010" t="str">
            <v>ELEC REVENUE-FPO SPEC CONTRACT-MUNICIPAL-COMMODIT</v>
          </cell>
          <cell r="E1010" t="str">
            <v/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/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</row>
        <row r="1011">
          <cell r="B1011">
            <v>445135</v>
          </cell>
          <cell r="C1011" t="str">
            <v>NOT USED</v>
          </cell>
          <cell r="D1011" t="str">
            <v>ELEC REVENUE-FIXED-MUNICIPAL-UNBILLED COMMODITY</v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/>
          </cell>
          <cell r="L1011">
            <v>17.405999999999999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0.72524999999999995</v>
          </cell>
        </row>
        <row r="1012">
          <cell r="B1012">
            <v>445138</v>
          </cell>
          <cell r="C1012" t="str">
            <v>NOT USED</v>
          </cell>
          <cell r="D1012" t="str">
            <v>ELEC REV-MUNICIPAL-SUPPLY CHARGE-RETAIL ACCESS</v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/>
          </cell>
          <cell r="L1012">
            <v>-0.14399000000000001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-6.0000000000000001E-3</v>
          </cell>
        </row>
        <row r="1013">
          <cell r="B1013">
            <v>445140</v>
          </cell>
          <cell r="C1013" t="str">
            <v>NOT USED</v>
          </cell>
          <cell r="D1013" t="str">
            <v>ELEC REVENUE-FIXED-MUNICIPAL-TRANSITION CHARGE</v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/>
          </cell>
          <cell r="L1013">
            <v>-799.23368000000005</v>
          </cell>
          <cell r="M1013">
            <v>-1.0207200000000001</v>
          </cell>
          <cell r="N1013">
            <v>29.835319999999999</v>
          </cell>
          <cell r="O1013">
            <v>62.41874</v>
          </cell>
          <cell r="P1013">
            <v>80.350030000000004</v>
          </cell>
          <cell r="Q1013">
            <v>80.89725</v>
          </cell>
          <cell r="R1013">
            <v>69.037000000000006</v>
          </cell>
          <cell r="S1013">
            <v>49.070639999999997</v>
          </cell>
          <cell r="T1013">
            <v>22.306329999999999</v>
          </cell>
          <cell r="U1013">
            <v>-4.3034299999999996</v>
          </cell>
          <cell r="V1013">
            <v>-3.6419899999999998</v>
          </cell>
          <cell r="W1013">
            <v>2.7197800000000001</v>
          </cell>
          <cell r="X1013">
            <v>-0.60982999999999998</v>
          </cell>
          <cell r="Y1013">
            <v>-1.0210669999999999</v>
          </cell>
        </row>
        <row r="1014">
          <cell r="B1014">
            <v>445142</v>
          </cell>
          <cell r="C1014" t="str">
            <v>NOT USED</v>
          </cell>
          <cell r="D1014" t="str">
            <v>ELEC REV-MUNICIPAL-BILLING CHARGE-MFC COMMODITY</v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>
            <v>-2.81488</v>
          </cell>
          <cell r="M1014">
            <v>-1.29878</v>
          </cell>
          <cell r="N1014">
            <v>-2.3831199999999999</v>
          </cell>
          <cell r="O1014">
            <v>-3.3734600000000001</v>
          </cell>
          <cell r="P1014">
            <v>-4.4915000000000003</v>
          </cell>
          <cell r="Q1014">
            <v>-5.2399899999999997</v>
          </cell>
          <cell r="R1014">
            <v>-5.7918000000000003</v>
          </cell>
          <cell r="S1014">
            <v>-6.4864499999999996</v>
          </cell>
          <cell r="T1014">
            <v>-7.1939900000000003</v>
          </cell>
          <cell r="U1014">
            <v>-8.0256399999999992</v>
          </cell>
          <cell r="V1014">
            <v>-9.4531899999999993</v>
          </cell>
          <cell r="W1014">
            <v>-10.86321</v>
          </cell>
          <cell r="X1014">
            <v>-12.450979999999999</v>
          </cell>
          <cell r="Y1014">
            <v>-6.0195049999999997</v>
          </cell>
        </row>
        <row r="1015">
          <cell r="B1015">
            <v>445143</v>
          </cell>
          <cell r="C1015" t="str">
            <v>NOT USED</v>
          </cell>
          <cell r="D1015" t="str">
            <v>ELEC REV-MUNICIPAL-BILLING CHARGE-MFC DELIVERY</v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/>
          </cell>
          <cell r="L1015">
            <v>-72.085930000000005</v>
          </cell>
          <cell r="M1015">
            <v>-30.6709</v>
          </cell>
          <cell r="N1015">
            <v>-59.761659999999999</v>
          </cell>
          <cell r="O1015">
            <v>-87.241399999999999</v>
          </cell>
          <cell r="P1015">
            <v>-113.28082999999999</v>
          </cell>
          <cell r="Q1015">
            <v>-135.93404000000001</v>
          </cell>
          <cell r="R1015">
            <v>-160.42563999999999</v>
          </cell>
          <cell r="S1015">
            <v>-185.27583000000001</v>
          </cell>
          <cell r="T1015">
            <v>-209.23121</v>
          </cell>
          <cell r="U1015">
            <v>-232.36016000000001</v>
          </cell>
          <cell r="V1015">
            <v>-254.92404999999999</v>
          </cell>
          <cell r="W1015">
            <v>-272.35023999999999</v>
          </cell>
          <cell r="X1015">
            <v>-293.05408999999997</v>
          </cell>
          <cell r="Y1015">
            <v>-160.335498</v>
          </cell>
        </row>
        <row r="1016">
          <cell r="B1016">
            <v>445148</v>
          </cell>
          <cell r="C1016" t="str">
            <v>NOT USED</v>
          </cell>
          <cell r="D1016" t="str">
            <v>ELEC REV-MUNICIPAL-TRANSITION CHRG-RETAIL ACCESS</v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/>
          </cell>
          <cell r="L1016">
            <v>-4894.6496699999998</v>
          </cell>
          <cell r="M1016">
            <v>-7.3207500000000003</v>
          </cell>
          <cell r="N1016">
            <v>171.92597000000001</v>
          </cell>
          <cell r="O1016">
            <v>371.11977000000002</v>
          </cell>
          <cell r="P1016">
            <v>488.02096</v>
          </cell>
          <cell r="Q1016">
            <v>489.87236999999999</v>
          </cell>
          <cell r="R1016">
            <v>404.60527999999999</v>
          </cell>
          <cell r="S1016">
            <v>250.76623000000001</v>
          </cell>
          <cell r="T1016">
            <v>58.822499999999998</v>
          </cell>
          <cell r="U1016">
            <v>-132.29282000000001</v>
          </cell>
          <cell r="V1016">
            <v>-139.22447</v>
          </cell>
          <cell r="W1016">
            <v>-76.898240000000001</v>
          </cell>
          <cell r="X1016">
            <v>-103.03086</v>
          </cell>
          <cell r="Y1016">
            <v>-51.620289</v>
          </cell>
        </row>
        <row r="1017">
          <cell r="B1017">
            <v>445149</v>
          </cell>
          <cell r="C1017" t="str">
            <v>NOT USED</v>
          </cell>
          <cell r="D1017" t="str">
            <v>ELEC REVENUE-MUNICIPAL-EEPS</v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>
            <v>-116.7456</v>
          </cell>
          <cell r="M1017">
            <v>-11.202059999999999</v>
          </cell>
          <cell r="N1017">
            <v>-22.44333</v>
          </cell>
          <cell r="O1017">
            <v>-33.632330000000003</v>
          </cell>
          <cell r="P1017">
            <v>-44.234110000000001</v>
          </cell>
          <cell r="Q1017">
            <v>-53.457009999999997</v>
          </cell>
          <cell r="R1017">
            <v>-63.428519999999999</v>
          </cell>
          <cell r="S1017">
            <v>-73.54589</v>
          </cell>
          <cell r="T1017">
            <v>-83.299319999999994</v>
          </cell>
          <cell r="U1017">
            <v>-92.952209999999994</v>
          </cell>
          <cell r="V1017">
            <v>-102.62824999999999</v>
          </cell>
          <cell r="W1017">
            <v>-110.19271000000001</v>
          </cell>
          <cell r="X1017">
            <v>-119.26421000000001</v>
          </cell>
          <cell r="Y1017">
            <v>-67.418386999999996</v>
          </cell>
        </row>
        <row r="1018">
          <cell r="B1018">
            <v>445150</v>
          </cell>
          <cell r="C1018" t="str">
            <v>NOT USED</v>
          </cell>
          <cell r="D1018" t="str">
            <v>ELEC REVENUE-FIXED-MUNICIPAL-SYSTEM BENEFIT CHARG</v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/>
          </cell>
          <cell r="L1018">
            <v>-61.52223</v>
          </cell>
          <cell r="M1018">
            <v>-9.0578000000000003</v>
          </cell>
          <cell r="N1018">
            <v>-13.305350000000001</v>
          </cell>
          <cell r="O1018">
            <v>-13.30109</v>
          </cell>
          <cell r="P1018">
            <v>-13.300700000000001</v>
          </cell>
          <cell r="Q1018">
            <v>-13.30031</v>
          </cell>
          <cell r="R1018">
            <v>-13.3003</v>
          </cell>
          <cell r="S1018">
            <v>-13.3003</v>
          </cell>
          <cell r="T1018">
            <v>-13.299049999999999</v>
          </cell>
          <cell r="U1018">
            <v>-13.299049999999999</v>
          </cell>
          <cell r="V1018">
            <v>-13.299049999999999</v>
          </cell>
          <cell r="W1018">
            <v>-13.299049999999999</v>
          </cell>
          <cell r="X1018">
            <v>-13.299049999999999</v>
          </cell>
          <cell r="Y1018">
            <v>-14.956058000000001</v>
          </cell>
        </row>
        <row r="1019">
          <cell r="B1019">
            <v>445151</v>
          </cell>
          <cell r="C1019" t="str">
            <v>NOT USED</v>
          </cell>
          <cell r="D1019" t="str">
            <v>ELEC REV-FIXED-MUNICIPAL-RETAIL ACCESS SURCHARGE</v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/>
          </cell>
          <cell r="L1019">
            <v>-922.72080000000005</v>
          </cell>
          <cell r="M1019">
            <v>3.0000000000000001E-5</v>
          </cell>
          <cell r="N1019">
            <v>3.0000000000000001E-5</v>
          </cell>
          <cell r="O1019">
            <v>2.232E-2</v>
          </cell>
          <cell r="P1019">
            <v>3.6299999999999999E-2</v>
          </cell>
          <cell r="Q1019">
            <v>3.6420000000000001E-2</v>
          </cell>
          <cell r="R1019">
            <v>3.6420000000000001E-2</v>
          </cell>
          <cell r="S1019">
            <v>3.6420000000000001E-2</v>
          </cell>
          <cell r="T1019">
            <v>3.635E-2</v>
          </cell>
          <cell r="U1019">
            <v>3.635E-2</v>
          </cell>
          <cell r="V1019">
            <v>3.635E-2</v>
          </cell>
          <cell r="W1019">
            <v>3.635E-2</v>
          </cell>
          <cell r="X1019">
            <v>3.635E-2</v>
          </cell>
          <cell r="Y1019">
            <v>-38.419074000000002</v>
          </cell>
        </row>
        <row r="1020">
          <cell r="B1020">
            <v>445152</v>
          </cell>
          <cell r="C1020" t="str">
            <v>NOT USED</v>
          </cell>
          <cell r="D1020" t="str">
            <v>ELEC REVENUE-MUNICIPAL-SUPPLY RECONCILIATION</v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/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</row>
        <row r="1021">
          <cell r="B1021">
            <v>445153</v>
          </cell>
          <cell r="C1021" t="str">
            <v>NOT USED</v>
          </cell>
          <cell r="D1021" t="str">
            <v>EL REV-PUBLIC AUTHORITY SURCHARGE RETAIL ACCESS</v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/>
          </cell>
          <cell r="L1021">
            <v>-925.45051999999998</v>
          </cell>
          <cell r="M1021">
            <v>-76.831540000000004</v>
          </cell>
          <cell r="N1021">
            <v>-153.75807</v>
          </cell>
          <cell r="O1021">
            <v>-231.75337999999999</v>
          </cell>
          <cell r="P1021">
            <v>-308.68081999999998</v>
          </cell>
          <cell r="Q1021">
            <v>-394.18565000000001</v>
          </cell>
          <cell r="R1021">
            <v>-481.81668000000002</v>
          </cell>
          <cell r="S1021">
            <v>-571.88049000000001</v>
          </cell>
          <cell r="T1021">
            <v>-655.74087999999995</v>
          </cell>
          <cell r="U1021">
            <v>-739.77578000000005</v>
          </cell>
          <cell r="V1021">
            <v>-828.01039000000003</v>
          </cell>
          <cell r="W1021">
            <v>-900.84974999999997</v>
          </cell>
          <cell r="X1021">
            <v>-964.05898999999999</v>
          </cell>
          <cell r="Y1021">
            <v>-524.00318200000004</v>
          </cell>
        </row>
        <row r="1022">
          <cell r="B1022">
            <v>445154</v>
          </cell>
          <cell r="C1022" t="str">
            <v>NOT USED</v>
          </cell>
          <cell r="D1022" t="str">
            <v>EL REV-PUBLIC AUTHORITY SURCHARGE FULL SERVICE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/>
          </cell>
          <cell r="L1022">
            <v>-146.19602</v>
          </cell>
          <cell r="M1022">
            <v>-12.844799999999999</v>
          </cell>
          <cell r="N1022">
            <v>-25.309090000000001</v>
          </cell>
          <cell r="O1022">
            <v>-37.39143</v>
          </cell>
          <cell r="P1022">
            <v>-49.230910000000002</v>
          </cell>
          <cell r="Q1022">
            <v>-60.245750000000001</v>
          </cell>
          <cell r="R1022">
            <v>-71.505120000000005</v>
          </cell>
          <cell r="S1022">
            <v>-82.397620000000003</v>
          </cell>
          <cell r="T1022">
            <v>-92.99342</v>
          </cell>
          <cell r="U1022">
            <v>-103.44094</v>
          </cell>
          <cell r="V1022">
            <v>-114.65276</v>
          </cell>
          <cell r="W1022">
            <v>-122.93875</v>
          </cell>
          <cell r="X1022">
            <v>-131.04838000000001</v>
          </cell>
          <cell r="Y1022">
            <v>-75.964399</v>
          </cell>
        </row>
        <row r="1023">
          <cell r="B1023">
            <v>445158</v>
          </cell>
          <cell r="C1023" t="str">
            <v>NOT USED</v>
          </cell>
          <cell r="D1023" t="str">
            <v>ELEC REV-MUNICIPAL-SYSTEM BENEFIT CHRG-RTL ACCESS</v>
          </cell>
          <cell r="E1023" t="str">
            <v/>
          </cell>
          <cell r="F1023" t="str">
            <v/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/>
          </cell>
          <cell r="L1023">
            <v>-368.37477000000001</v>
          </cell>
          <cell r="M1023">
            <v>-51.59975</v>
          </cell>
          <cell r="N1023">
            <v>-76.716189999999997</v>
          </cell>
          <cell r="O1023">
            <v>-76.698139999999995</v>
          </cell>
          <cell r="P1023">
            <v>-76.674250000000001</v>
          </cell>
          <cell r="Q1023">
            <v>-76.67971</v>
          </cell>
          <cell r="R1023">
            <v>-76.679550000000006</v>
          </cell>
          <cell r="S1023">
            <v>-76.677490000000006</v>
          </cell>
          <cell r="T1023">
            <v>-76.677490000000006</v>
          </cell>
          <cell r="U1023">
            <v>-76.677490000000006</v>
          </cell>
          <cell r="V1023">
            <v>-76.677490000000006</v>
          </cell>
          <cell r="W1023">
            <v>-76.677490000000006</v>
          </cell>
          <cell r="X1023">
            <v>-76.677490000000006</v>
          </cell>
          <cell r="Y1023">
            <v>-86.746763999999999</v>
          </cell>
        </row>
        <row r="1024">
          <cell r="B1024">
            <v>445159</v>
          </cell>
          <cell r="C1024" t="str">
            <v>NOT USED</v>
          </cell>
          <cell r="D1024" t="str">
            <v>ELEC REV-MUNICIPAL-EEPS-RETAIL ACCESS</v>
          </cell>
          <cell r="E1024" t="str">
            <v/>
          </cell>
          <cell r="F1024" t="str">
            <v/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/>
          </cell>
          <cell r="L1024">
            <v>-699.41758000000004</v>
          </cell>
          <cell r="M1024">
            <v>-63.816020000000002</v>
          </cell>
          <cell r="N1024">
            <v>-129.32971000000001</v>
          </cell>
          <cell r="O1024">
            <v>-197.48983000000001</v>
          </cell>
          <cell r="P1024">
            <v>-265.09611999999998</v>
          </cell>
          <cell r="Q1024">
            <v>-330.15910000000002</v>
          </cell>
          <cell r="R1024">
            <v>-402.22224</v>
          </cell>
          <cell r="S1024">
            <v>-479.86874999999998</v>
          </cell>
          <cell r="T1024">
            <v>-549.66735000000006</v>
          </cell>
          <cell r="U1024">
            <v>-619.54241999999999</v>
          </cell>
          <cell r="V1024">
            <v>-690.79255000000001</v>
          </cell>
          <cell r="W1024">
            <v>-754.85473999999999</v>
          </cell>
          <cell r="X1024">
            <v>-824.53229999999996</v>
          </cell>
          <cell r="Y1024">
            <v>-437.067814</v>
          </cell>
        </row>
        <row r="1025">
          <cell r="B1025">
            <v>445160</v>
          </cell>
          <cell r="C1025" t="str">
            <v>NOT USED</v>
          </cell>
          <cell r="D1025" t="str">
            <v>EL REV-MUNICIPAL-RENEWABLE PORTFOLIO CHARGE</v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/>
          </cell>
          <cell r="L1025">
            <v>-88.185299999999998</v>
          </cell>
          <cell r="M1025">
            <v>-11.51336</v>
          </cell>
          <cell r="N1025">
            <v>-22.433420000000002</v>
          </cell>
          <cell r="O1025">
            <v>-32.748869999999997</v>
          </cell>
          <cell r="P1025">
            <v>-42.523650000000004</v>
          </cell>
          <cell r="Q1025">
            <v>-51.027090000000001</v>
          </cell>
          <cell r="R1025">
            <v>-60.220799999999997</v>
          </cell>
          <cell r="S1025">
            <v>-69.549109999999999</v>
          </cell>
          <cell r="T1025">
            <v>-78.541510000000002</v>
          </cell>
          <cell r="U1025">
            <v>-87.441360000000003</v>
          </cell>
          <cell r="V1025">
            <v>-96.989620000000002</v>
          </cell>
          <cell r="W1025">
            <v>-104.84569</v>
          </cell>
          <cell r="X1025">
            <v>-114.26564999999999</v>
          </cell>
          <cell r="Y1025">
            <v>-63.254995999999998</v>
          </cell>
        </row>
        <row r="1026">
          <cell r="B1026">
            <v>445168</v>
          </cell>
          <cell r="C1026" t="str">
            <v>NOT USED</v>
          </cell>
          <cell r="D1026" t="str">
            <v>ELEC REV-MUNICIPAL-RENEWABLE PORTFOLIO-RETAIL ACC</v>
          </cell>
          <cell r="E1026" t="str">
            <v/>
          </cell>
          <cell r="F1026" t="str">
            <v/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>
            <v>-527.89044000000001</v>
          </cell>
          <cell r="M1026">
            <v>-65.588759999999994</v>
          </cell>
          <cell r="N1026">
            <v>-129.27824000000001</v>
          </cell>
          <cell r="O1026">
            <v>-192.12419</v>
          </cell>
          <cell r="P1026">
            <v>-254.45662999999999</v>
          </cell>
          <cell r="Q1026">
            <v>-314.44497000000001</v>
          </cell>
          <cell r="R1026">
            <v>-380.88673</v>
          </cell>
          <cell r="S1026">
            <v>-452.47579999999999</v>
          </cell>
          <cell r="T1026">
            <v>-516.82952</v>
          </cell>
          <cell r="U1026">
            <v>-581.25364000000002</v>
          </cell>
          <cell r="V1026">
            <v>-651.25106000000005</v>
          </cell>
          <cell r="W1026">
            <v>-717.78363999999999</v>
          </cell>
          <cell r="X1026">
            <v>-790.06730000000005</v>
          </cell>
          <cell r="Y1026">
            <v>-409.61267099999998</v>
          </cell>
        </row>
        <row r="1027">
          <cell r="B1027">
            <v>445173</v>
          </cell>
          <cell r="C1027" t="str">
            <v>NOT USED</v>
          </cell>
          <cell r="D1027" t="str">
            <v>ELECTRIC REVENUE-FIXED-MUNICIPAL-DELIVERY GRT</v>
          </cell>
          <cell r="E1027" t="str">
            <v/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/>
          </cell>
          <cell r="L1027">
            <v>-38.087040000000002</v>
          </cell>
          <cell r="M1027">
            <v>-2.9275699999999998</v>
          </cell>
          <cell r="N1027">
            <v>-5.3419100000000004</v>
          </cell>
          <cell r="O1027">
            <v>-7.52379</v>
          </cell>
          <cell r="P1027">
            <v>-9.7767999999999997</v>
          </cell>
          <cell r="Q1027">
            <v>-12.076890000000001</v>
          </cell>
          <cell r="R1027">
            <v>-14.403280000000001</v>
          </cell>
          <cell r="S1027">
            <v>-16.736840000000001</v>
          </cell>
          <cell r="T1027">
            <v>-19.177129999999998</v>
          </cell>
          <cell r="U1027">
            <v>-21.588039999999999</v>
          </cell>
          <cell r="V1027">
            <v>-24.06429</v>
          </cell>
          <cell r="W1027">
            <v>-25.697569999999999</v>
          </cell>
          <cell r="X1027">
            <v>-27.684539999999998</v>
          </cell>
          <cell r="Y1027">
            <v>-16.016658</v>
          </cell>
        </row>
        <row r="1028">
          <cell r="B1028">
            <v>445174</v>
          </cell>
          <cell r="C1028" t="str">
            <v>NOT USED</v>
          </cell>
          <cell r="D1028" t="str">
            <v>ELECTRIC REVENUE-FIXED-MUNICIPAL-COMMODITY GRT</v>
          </cell>
          <cell r="E1028" t="str">
            <v/>
          </cell>
          <cell r="F1028" t="str">
            <v/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>
            <v>-49.044759999999997</v>
          </cell>
          <cell r="M1028">
            <v>-5.11435</v>
          </cell>
          <cell r="N1028">
            <v>-9.9325700000000001</v>
          </cell>
          <cell r="O1028">
            <v>-12.433870000000001</v>
          </cell>
          <cell r="P1028">
            <v>-15.53938</v>
          </cell>
          <cell r="Q1028">
            <v>-18.324780000000001</v>
          </cell>
          <cell r="R1028">
            <v>-21.169889999999999</v>
          </cell>
          <cell r="S1028">
            <v>-24.31016</v>
          </cell>
          <cell r="T1028">
            <v>-27.649920000000002</v>
          </cell>
          <cell r="U1028">
            <v>-30.181539999999998</v>
          </cell>
          <cell r="V1028">
            <v>-32.87135</v>
          </cell>
          <cell r="W1028">
            <v>-34.831049999999998</v>
          </cell>
          <cell r="X1028">
            <v>-37.24098</v>
          </cell>
          <cell r="Y1028">
            <v>-22.958477999999999</v>
          </cell>
        </row>
        <row r="1029">
          <cell r="B1029">
            <v>445320</v>
          </cell>
          <cell r="C1029" t="str">
            <v>NOT USED</v>
          </cell>
          <cell r="D1029" t="str">
            <v>ELECTRIC REVENUE-VARIABLE-MUNICIPAL-DELIVERY</v>
          </cell>
          <cell r="E1029" t="str">
            <v/>
          </cell>
          <cell r="F1029" t="str">
            <v/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/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</row>
        <row r="1030">
          <cell r="B1030">
            <v>445325</v>
          </cell>
          <cell r="C1030" t="str">
            <v>NOT USED</v>
          </cell>
          <cell r="D1030" t="str">
            <v>ELEC REVENUE-VARIABLE-MUNICIPAL-UNBILLED DELIVERY</v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/>
          </cell>
          <cell r="L1030">
            <v>-29.7378</v>
          </cell>
          <cell r="M1030">
            <v>-31.004930000000002</v>
          </cell>
          <cell r="N1030">
            <v>-15.05991</v>
          </cell>
          <cell r="O1030">
            <v>-18.486879999999999</v>
          </cell>
          <cell r="P1030">
            <v>-15.361319999999999</v>
          </cell>
          <cell r="Q1030">
            <v>-18.911200000000001</v>
          </cell>
          <cell r="R1030">
            <v>-16.291889999999999</v>
          </cell>
          <cell r="S1030">
            <v>-6.2130400000000003</v>
          </cell>
          <cell r="T1030">
            <v>-25.900179999999999</v>
          </cell>
          <cell r="U1030">
            <v>-3.98116</v>
          </cell>
          <cell r="V1030">
            <v>32.236919999999998</v>
          </cell>
          <cell r="W1030">
            <v>5.75678</v>
          </cell>
          <cell r="X1030">
            <v>14.16234</v>
          </cell>
          <cell r="Y1030">
            <v>-10.083712</v>
          </cell>
        </row>
        <row r="1031">
          <cell r="B1031">
            <v>445330</v>
          </cell>
          <cell r="C1031" t="str">
            <v>NOT USED</v>
          </cell>
          <cell r="D1031" t="str">
            <v>ELECTRIC REVENUE-VARIABLE-MUNICIPAL-COMMODITY</v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/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</row>
        <row r="1032">
          <cell r="B1032">
            <v>445335</v>
          </cell>
          <cell r="C1032" t="str">
            <v>NOT USED</v>
          </cell>
          <cell r="D1032" t="str">
            <v>ELEC REVENUE-VARIABLE-MUNICIPAL-UNBILLED COMMODIT</v>
          </cell>
          <cell r="E1032" t="str">
            <v/>
          </cell>
          <cell r="F1032" t="str">
            <v/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/>
          </cell>
          <cell r="L1032">
            <v>-15.13766</v>
          </cell>
          <cell r="M1032">
            <v>-69.085740000000001</v>
          </cell>
          <cell r="N1032">
            <v>155.32266000000001</v>
          </cell>
          <cell r="O1032">
            <v>100.17236</v>
          </cell>
          <cell r="P1032">
            <v>93.260120000000001</v>
          </cell>
          <cell r="Q1032">
            <v>65.160659999999993</v>
          </cell>
          <cell r="R1032">
            <v>50.447740000000003</v>
          </cell>
          <cell r="S1032">
            <v>60.03407</v>
          </cell>
          <cell r="T1032">
            <v>65.314629999999994</v>
          </cell>
          <cell r="U1032">
            <v>95.117720000000006</v>
          </cell>
          <cell r="V1032">
            <v>152.44130999999999</v>
          </cell>
          <cell r="W1032">
            <v>106.2079</v>
          </cell>
          <cell r="X1032">
            <v>130.55282</v>
          </cell>
          <cell r="Y1032">
            <v>77.675083999999998</v>
          </cell>
        </row>
        <row r="1033">
          <cell r="B1033">
            <v>445340</v>
          </cell>
          <cell r="C1033" t="str">
            <v>NOT USED</v>
          </cell>
          <cell r="D1033" t="str">
            <v>ELEC REVENUE-VARIABLE-MUNICIPAL-TRANSITION CHARGE</v>
          </cell>
          <cell r="E1033" t="str">
            <v/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/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</row>
        <row r="1034">
          <cell r="B1034">
            <v>445350</v>
          </cell>
          <cell r="C1034" t="str">
            <v>NOT USED</v>
          </cell>
          <cell r="D1034" t="str">
            <v>ELEC REV-VARIABLE-MUNICIPAL-SYSTEM BENEFIT CHARGE</v>
          </cell>
          <cell r="E1034" t="str">
            <v/>
          </cell>
          <cell r="F1034" t="str">
            <v/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/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</row>
        <row r="1035">
          <cell r="B1035">
            <v>445351</v>
          </cell>
          <cell r="C1035" t="str">
            <v>NOT USED</v>
          </cell>
          <cell r="D1035" t="str">
            <v>ELC REV-VARIABLE-MUNICIPAL-RETAIL ACCESS SURCHARG</v>
          </cell>
          <cell r="E1035" t="str">
            <v/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/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</row>
        <row r="1036">
          <cell r="B1036">
            <v>445373</v>
          </cell>
          <cell r="C1036" t="str">
            <v>NOT USED</v>
          </cell>
          <cell r="D1036" t="str">
            <v>ELECTRIC REVENUE-VARIABLE-MUNICIPAL-DELIVERY GRT</v>
          </cell>
          <cell r="E1036" t="str">
            <v/>
          </cell>
          <cell r="F1036" t="str">
            <v/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/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</row>
        <row r="1037">
          <cell r="B1037">
            <v>445374</v>
          </cell>
          <cell r="C1037" t="str">
            <v>NOT USED</v>
          </cell>
          <cell r="D1037" t="str">
            <v>ELECTRIC REVENUE-VARIABLE-MUNICIPAL-COMMODITY GRT</v>
          </cell>
          <cell r="E1037" t="str">
            <v/>
          </cell>
          <cell r="F1037" t="str">
            <v/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/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</row>
        <row r="1038">
          <cell r="B1038">
            <v>445520</v>
          </cell>
          <cell r="C1038" t="str">
            <v>NOT USED</v>
          </cell>
          <cell r="D1038" t="str">
            <v>ELECTRIC REVENUE- ESCO -MUNICIPAL-DELIVERY</v>
          </cell>
          <cell r="E1038" t="str">
            <v/>
          </cell>
          <cell r="F1038" t="str">
            <v/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</row>
        <row r="1039">
          <cell r="B1039">
            <v>445525</v>
          </cell>
          <cell r="C1039" t="str">
            <v>NOT USED</v>
          </cell>
          <cell r="D1039" t="str">
            <v>ELEC REVENUE- ESCO -MUNICIPAL-UNBILLED DELIVERY</v>
          </cell>
          <cell r="E1039" t="str">
            <v/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/>
          </cell>
          <cell r="L1039">
            <v>-305.74900000000002</v>
          </cell>
          <cell r="M1039">
            <v>-87.661000000000001</v>
          </cell>
          <cell r="N1039">
            <v>106.35899999999999</v>
          </cell>
          <cell r="O1039">
            <v>37.207560000000001</v>
          </cell>
          <cell r="P1039">
            <v>72.991730000000004</v>
          </cell>
          <cell r="Q1039">
            <v>-32.601999999999997</v>
          </cell>
          <cell r="R1039">
            <v>-78.696809999999999</v>
          </cell>
          <cell r="S1039">
            <v>-37.726190000000003</v>
          </cell>
          <cell r="T1039">
            <v>-131.03843000000001</v>
          </cell>
          <cell r="U1039">
            <v>-95.616720000000001</v>
          </cell>
          <cell r="V1039">
            <v>-12.072520000000001</v>
          </cell>
          <cell r="W1039">
            <v>41.859789999999997</v>
          </cell>
          <cell r="X1039">
            <v>40.854930000000003</v>
          </cell>
          <cell r="Y1039">
            <v>-29.120218999999999</v>
          </cell>
        </row>
        <row r="1040">
          <cell r="B1040">
            <v>445535</v>
          </cell>
          <cell r="C1040" t="str">
            <v>NOT USED</v>
          </cell>
          <cell r="D1040" t="str">
            <v>ELEC REV-MUNICIPAL-EPO UNBILLED TRANSITION</v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/>
          </cell>
          <cell r="L1040">
            <v>115.43</v>
          </cell>
          <cell r="M1040">
            <v>153.32</v>
          </cell>
          <cell r="N1040">
            <v>190.19499999999999</v>
          </cell>
          <cell r="O1040">
            <v>170.49901</v>
          </cell>
          <cell r="P1040">
            <v>110.66211</v>
          </cell>
          <cell r="Q1040">
            <v>51.225999999999999</v>
          </cell>
          <cell r="R1040">
            <v>20.328720000000001</v>
          </cell>
          <cell r="S1040">
            <v>-1.7794700000000001</v>
          </cell>
          <cell r="T1040">
            <v>-56.209339999999997</v>
          </cell>
          <cell r="U1040">
            <v>-9.3943300000000001</v>
          </cell>
          <cell r="V1040">
            <v>141.49259000000001</v>
          </cell>
          <cell r="W1040">
            <v>77.766589999999994</v>
          </cell>
          <cell r="X1040">
            <v>54.812350000000002</v>
          </cell>
          <cell r="Y1040">
            <v>77.769005000000007</v>
          </cell>
        </row>
        <row r="1041">
          <cell r="B1041">
            <v>445540</v>
          </cell>
          <cell r="C1041" t="str">
            <v>NOT USED</v>
          </cell>
          <cell r="D1041" t="str">
            <v>ELEC REVENUE- ESCO -MUNICIPAL-TRANSITION CHARGE</v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/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>
            <v>445550</v>
          </cell>
          <cell r="C1042" t="str">
            <v>NOT USED</v>
          </cell>
          <cell r="D1042" t="str">
            <v>ELEC REV- ESCO -MUNICIPAL-SYSTEM BENEFIT CHARGE</v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/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</row>
        <row r="1043">
          <cell r="B1043">
            <v>445551</v>
          </cell>
          <cell r="C1043" t="str">
            <v>NOT USED</v>
          </cell>
          <cell r="D1043" t="str">
            <v>ELC REV- ESCO -MUNICIPAL-RETAIL ACCESS SURCHARGE</v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/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</row>
        <row r="1044">
          <cell r="B1044">
            <v>445552</v>
          </cell>
          <cell r="C1044" t="str">
            <v>NOT USED</v>
          </cell>
          <cell r="D1044" t="str">
            <v>ELC REV- ESCO -MUNICIPAL-RETAIL ACCESS CREDIT</v>
          </cell>
          <cell r="E1044" t="str">
            <v/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/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</row>
        <row r="1045">
          <cell r="B1045">
            <v>445573</v>
          </cell>
          <cell r="C1045" t="str">
            <v>NOT USED</v>
          </cell>
          <cell r="D1045" t="str">
            <v>ELECTRIC REVENUE- ESCO -MUNICIPAL-DELIVERY GRT</v>
          </cell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/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</row>
        <row r="1046">
          <cell r="B1046">
            <v>445620</v>
          </cell>
          <cell r="C1046" t="str">
            <v>NOT USED</v>
          </cell>
          <cell r="D1046" t="str">
            <v>ELEC REV-ESCO W/ SUPPLY ADJUST-MUNICIPAL-DELIVERY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/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</row>
        <row r="1047">
          <cell r="B1047">
            <v>445625</v>
          </cell>
          <cell r="C1047" t="str">
            <v>NOT USED</v>
          </cell>
          <cell r="D1047" t="str">
            <v>ELEC REV-ESCO W/SUP ADJ-MUNICIPAL-UNBILL-DELIVERY</v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/>
          </cell>
          <cell r="L1047">
            <v>0.08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3.333E-3</v>
          </cell>
        </row>
        <row r="1048">
          <cell r="B1048">
            <v>445630</v>
          </cell>
          <cell r="C1048" t="str">
            <v>NOT USED</v>
          </cell>
          <cell r="D1048" t="str">
            <v>ELEC REV-ESCO W/ SUPPLY ADJUST-MUNICIPAL-COMMODIT</v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/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</row>
        <row r="1049">
          <cell r="B1049">
            <v>445635</v>
          </cell>
          <cell r="C1049" t="str">
            <v>NOT USED</v>
          </cell>
          <cell r="D1049" t="str">
            <v>ELEC REV-ESCO W/SUP ADJ-MUNICIPAL-UNBILL-COMMODIT</v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/>
          </cell>
          <cell r="L1049">
            <v>0.129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5.3749999999999996E-3</v>
          </cell>
        </row>
        <row r="1050">
          <cell r="B1050">
            <v>445640</v>
          </cell>
          <cell r="C1050" t="str">
            <v>NOT USED</v>
          </cell>
          <cell r="D1050" t="str">
            <v>ELEC REV-ESCO W/ SUP ADJ-MUNICIPAL-TRANSITION CHR</v>
          </cell>
          <cell r="E1050" t="str">
            <v/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/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</row>
        <row r="1051">
          <cell r="B1051">
            <v>445645</v>
          </cell>
          <cell r="C1051" t="str">
            <v>NOT USED</v>
          </cell>
          <cell r="D1051" t="str">
            <v>E-UNBILLED-MUNICIPAL-DELIVERY-GROSS RECEIPTS TAX</v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/>
          </cell>
          <cell r="L1051">
            <v>4.0000000000000001E-3</v>
          </cell>
          <cell r="M1051">
            <v>-5.1999999999999998E-2</v>
          </cell>
          <cell r="N1051">
            <v>0.188</v>
          </cell>
          <cell r="O1051">
            <v>0.114</v>
          </cell>
          <cell r="P1051">
            <v>3.5999999999999997E-2</v>
          </cell>
          <cell r="Q1051">
            <v>-9.7000000000000003E-2</v>
          </cell>
          <cell r="R1051">
            <v>-0.12373000000000001</v>
          </cell>
          <cell r="S1051">
            <v>-3.721E-2</v>
          </cell>
          <cell r="T1051">
            <v>-0.16374</v>
          </cell>
          <cell r="U1051">
            <v>9.919E-2</v>
          </cell>
          <cell r="V1051">
            <v>0.60052000000000005</v>
          </cell>
          <cell r="W1051">
            <v>0.29060999999999998</v>
          </cell>
          <cell r="X1051">
            <v>0.34941</v>
          </cell>
          <cell r="Y1051">
            <v>8.5944999999999994E-2</v>
          </cell>
        </row>
        <row r="1052">
          <cell r="B1052">
            <v>445650</v>
          </cell>
          <cell r="C1052" t="str">
            <v>NOT USED</v>
          </cell>
          <cell r="D1052" t="str">
            <v>ELEC REV-ESCO W/ SUP ADJ-MUNICIPAL-SBC</v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/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</row>
        <row r="1053">
          <cell r="B1053">
            <v>445651</v>
          </cell>
          <cell r="C1053" t="str">
            <v>NOT USED</v>
          </cell>
          <cell r="D1053" t="str">
            <v>ELEC REV-ESCO W/ SUP ADJ-MUNICIPAL-RAS</v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/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</row>
        <row r="1054">
          <cell r="B1054">
            <v>445652</v>
          </cell>
          <cell r="C1054" t="str">
            <v>NOT USED</v>
          </cell>
          <cell r="D1054" t="str">
            <v>ELEC REV-ESCO W/ SUP ADJ-MUNICIPAL-RAC</v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/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</row>
        <row r="1055">
          <cell r="B1055">
            <v>445653</v>
          </cell>
          <cell r="C1055" t="str">
            <v>NOT USED</v>
          </cell>
          <cell r="D1055" t="str">
            <v>ELEC REV-ESCO W/ SUP ADJ-MUNICIPAL-MBBC</v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/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</row>
        <row r="1056">
          <cell r="B1056">
            <v>445655</v>
          </cell>
          <cell r="C1056" t="str">
            <v>NOT USED</v>
          </cell>
          <cell r="D1056" t="str">
            <v>E-UNBILLED-MUNICIPAL-COMMODITY GROSS RECEIPTS TAX</v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/>
          </cell>
          <cell r="L1056">
            <v>-0.22500000000000001</v>
          </cell>
          <cell r="M1056">
            <v>-0.93799999999999994</v>
          </cell>
          <cell r="N1056">
            <v>1.202</v>
          </cell>
          <cell r="O1056">
            <v>0.69699999999999995</v>
          </cell>
          <cell r="P1056">
            <v>0.73699999999999999</v>
          </cell>
          <cell r="Q1056">
            <v>0.55700000000000005</v>
          </cell>
          <cell r="R1056">
            <v>0.46340999999999999</v>
          </cell>
          <cell r="S1056">
            <v>0.57157000000000002</v>
          </cell>
          <cell r="T1056">
            <v>0.55523999999999996</v>
          </cell>
          <cell r="U1056">
            <v>0.80440999999999996</v>
          </cell>
          <cell r="V1056">
            <v>1.2292099999999999</v>
          </cell>
          <cell r="W1056">
            <v>0.79962999999999995</v>
          </cell>
          <cell r="X1056">
            <v>1.0846499999999999</v>
          </cell>
          <cell r="Y1056">
            <v>0.59235800000000005</v>
          </cell>
        </row>
        <row r="1057">
          <cell r="B1057">
            <v>445673</v>
          </cell>
          <cell r="C1057" t="str">
            <v>NOT USED</v>
          </cell>
          <cell r="D1057" t="str">
            <v>ELEC REV-ESCO W/ SUP ADJUST-MUNICIPAL-DELIVERY GR</v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/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</row>
        <row r="1058">
          <cell r="B1058">
            <v>447000</v>
          </cell>
          <cell r="C1058" t="str">
            <v>NOT USED</v>
          </cell>
          <cell r="D1058" t="str">
            <v>ISO SALES - NMII</v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/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</row>
        <row r="1059">
          <cell r="B1059">
            <v>447006</v>
          </cell>
          <cell r="C1059" t="str">
            <v>NOT USED</v>
          </cell>
          <cell r="D1059" t="str">
            <v>ISO SALES-INSTALLED CAPACITY DELIVERED</v>
          </cell>
          <cell r="E1059" t="str">
            <v/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/>
          </cell>
          <cell r="L1059">
            <v>-3800.0232599999999</v>
          </cell>
          <cell r="M1059">
            <v>-178.67072999999999</v>
          </cell>
          <cell r="N1059">
            <v>-307.29011000000003</v>
          </cell>
          <cell r="O1059">
            <v>-350.94542999999999</v>
          </cell>
          <cell r="P1059">
            <v>-409.92543000000001</v>
          </cell>
          <cell r="Q1059">
            <v>-556.62543000000005</v>
          </cell>
          <cell r="R1059">
            <v>-716.82084999999995</v>
          </cell>
          <cell r="S1059">
            <v>-846.77085</v>
          </cell>
          <cell r="T1059">
            <v>-876.76284999999996</v>
          </cell>
          <cell r="U1059">
            <v>-902.39284999999995</v>
          </cell>
          <cell r="V1059">
            <v>-927.90281000000004</v>
          </cell>
          <cell r="W1059">
            <v>-953.73022000000003</v>
          </cell>
          <cell r="X1059">
            <v>-964.31077000000005</v>
          </cell>
          <cell r="Y1059">
            <v>-784.16704800000002</v>
          </cell>
        </row>
        <row r="1060">
          <cell r="B1060">
            <v>447007</v>
          </cell>
          <cell r="C1060" t="str">
            <v>NOT USED</v>
          </cell>
          <cell r="D1060" t="str">
            <v>ISO SALES-INTERCHANGE POWER DELIVERED</v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/>
          </cell>
          <cell r="L1060">
            <v>-1199.21074</v>
          </cell>
          <cell r="M1060">
            <v>-129.95052000000001</v>
          </cell>
          <cell r="N1060">
            <v>-156.26938000000001</v>
          </cell>
          <cell r="O1060">
            <v>-233.43690000000001</v>
          </cell>
          <cell r="P1060">
            <v>-370.69324999999998</v>
          </cell>
          <cell r="Q1060">
            <v>-505.65681999999998</v>
          </cell>
          <cell r="R1060">
            <v>-672.94902000000002</v>
          </cell>
          <cell r="S1060">
            <v>-771.17092000000002</v>
          </cell>
          <cell r="T1060">
            <v>-805.97292000000004</v>
          </cell>
          <cell r="U1060">
            <v>-811.78251999999998</v>
          </cell>
          <cell r="V1060">
            <v>-811.78251999999998</v>
          </cell>
          <cell r="W1060">
            <v>-811.78251999999998</v>
          </cell>
          <cell r="X1060">
            <v>-847.03012000000001</v>
          </cell>
          <cell r="Y1060">
            <v>-592.04731000000004</v>
          </cell>
        </row>
        <row r="1061">
          <cell r="B1061">
            <v>447010</v>
          </cell>
          <cell r="C1061" t="str">
            <v>NOT USED</v>
          </cell>
          <cell r="D1061" t="str">
            <v>ISO SALES - RUSSELL STATION</v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/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</row>
        <row r="1062">
          <cell r="B1062">
            <v>447020</v>
          </cell>
          <cell r="C1062" t="str">
            <v>NOT USED</v>
          </cell>
          <cell r="D1062" t="str">
            <v>ISO SALES - ALLEGANY</v>
          </cell>
          <cell r="E1062" t="str">
            <v/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/>
          </cell>
          <cell r="L1062">
            <v>-2996.5975199999998</v>
          </cell>
          <cell r="M1062">
            <v>-1.345E-2</v>
          </cell>
          <cell r="N1062">
            <v>-4.5799999999999999E-3</v>
          </cell>
          <cell r="O1062">
            <v>-7.0200000000000002E-3</v>
          </cell>
          <cell r="P1062">
            <v>-1.448E-2</v>
          </cell>
          <cell r="Q1062">
            <v>-2.63E-2</v>
          </cell>
          <cell r="R1062">
            <v>-217.19743</v>
          </cell>
          <cell r="S1062">
            <v>-1299.95624</v>
          </cell>
          <cell r="T1062">
            <v>-1924.3951400000001</v>
          </cell>
          <cell r="U1062">
            <v>-2292.3263900000002</v>
          </cell>
          <cell r="V1062">
            <v>-2788.18408</v>
          </cell>
          <cell r="W1062">
            <v>-3300.9711400000001</v>
          </cell>
          <cell r="X1062">
            <v>-3803.9999600000001</v>
          </cell>
          <cell r="Y1062">
            <v>-1268.6162489999999</v>
          </cell>
        </row>
        <row r="1063">
          <cell r="B1063">
            <v>447030</v>
          </cell>
          <cell r="C1063" t="str">
            <v>NOT USED</v>
          </cell>
          <cell r="D1063" t="str">
            <v>ISO SALES - BEEBEE T13</v>
          </cell>
          <cell r="E1063" t="str">
            <v/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/>
          </cell>
          <cell r="L1063">
            <v>-133.01204000000001</v>
          </cell>
          <cell r="M1063">
            <v>-0.26312999999999998</v>
          </cell>
          <cell r="N1063">
            <v>-0.42544999999999999</v>
          </cell>
          <cell r="O1063">
            <v>-0.67325000000000002</v>
          </cell>
          <cell r="P1063">
            <v>-10.97686</v>
          </cell>
          <cell r="Q1063">
            <v>-60.236420000000003</v>
          </cell>
          <cell r="R1063">
            <v>-105.30547</v>
          </cell>
          <cell r="S1063">
            <v>-95.915819999999997</v>
          </cell>
          <cell r="T1063">
            <v>-95.935760000000002</v>
          </cell>
          <cell r="U1063">
            <v>-95.940389999999994</v>
          </cell>
          <cell r="V1063">
            <v>-96.20129</v>
          </cell>
          <cell r="W1063">
            <v>-96.962050000000005</v>
          </cell>
          <cell r="X1063">
            <v>-96.948499999999996</v>
          </cell>
          <cell r="Y1063">
            <v>-64.484679999999997</v>
          </cell>
        </row>
        <row r="1064">
          <cell r="B1064">
            <v>447040</v>
          </cell>
          <cell r="C1064" t="str">
            <v>NOT USED</v>
          </cell>
          <cell r="D1064" t="str">
            <v>ISO SALES - STATION 9</v>
          </cell>
          <cell r="E1064" t="str">
            <v/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/>
          </cell>
          <cell r="L1064">
            <v>-371.45044999999999</v>
          </cell>
          <cell r="M1064">
            <v>-143.95041000000001</v>
          </cell>
          <cell r="N1064">
            <v>-151.19211999999999</v>
          </cell>
          <cell r="O1064">
            <v>-170.14141000000001</v>
          </cell>
          <cell r="P1064">
            <v>-181.40387999999999</v>
          </cell>
          <cell r="Q1064">
            <v>-190.21364</v>
          </cell>
          <cell r="R1064">
            <v>-233.21521999999999</v>
          </cell>
          <cell r="S1064">
            <v>-311.97422</v>
          </cell>
          <cell r="T1064">
            <v>-332.52537999999998</v>
          </cell>
          <cell r="U1064">
            <v>-367.83238999999998</v>
          </cell>
          <cell r="V1064">
            <v>-392.26580999999999</v>
          </cell>
          <cell r="W1064">
            <v>-424.29435000000001</v>
          </cell>
          <cell r="X1064">
            <v>-442.76058999999998</v>
          </cell>
          <cell r="Y1064">
            <v>-275.50952899999999</v>
          </cell>
        </row>
        <row r="1065">
          <cell r="B1065">
            <v>447050</v>
          </cell>
          <cell r="C1065" t="str">
            <v>NOT USED</v>
          </cell>
          <cell r="D1065" t="str">
            <v>ISO SALES - HYDRO</v>
          </cell>
          <cell r="E1065" t="str">
            <v/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/>
          </cell>
          <cell r="L1065">
            <v>-1726.0057300000001</v>
          </cell>
          <cell r="M1065">
            <v>-61.033000000000001</v>
          </cell>
          <cell r="N1065">
            <v>-105.3925</v>
          </cell>
          <cell r="O1065">
            <v>-225.10663</v>
          </cell>
          <cell r="P1065">
            <v>-472.14431999999999</v>
          </cell>
          <cell r="Q1065">
            <v>-586.55663000000004</v>
          </cell>
          <cell r="R1065">
            <v>-782.05655000000002</v>
          </cell>
          <cell r="S1065">
            <v>-858.14711</v>
          </cell>
          <cell r="T1065">
            <v>-885.26437999999996</v>
          </cell>
          <cell r="U1065">
            <v>-952.25224000000003</v>
          </cell>
          <cell r="V1065">
            <v>-1123.7060200000001</v>
          </cell>
          <cell r="W1065">
            <v>-1234.3085000000001</v>
          </cell>
          <cell r="X1065">
            <v>-1428.91715</v>
          </cell>
          <cell r="Y1065">
            <v>-738.61910999999998</v>
          </cell>
        </row>
        <row r="1066">
          <cell r="B1066">
            <v>447060</v>
          </cell>
          <cell r="C1066" t="str">
            <v>NOT USED</v>
          </cell>
          <cell r="D1066" t="str">
            <v>ISO SALES - GINNA</v>
          </cell>
          <cell r="E1066" t="str">
            <v/>
          </cell>
          <cell r="F1066" t="str">
            <v/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/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</row>
        <row r="1067">
          <cell r="B1067">
            <v>447065</v>
          </cell>
          <cell r="C1067" t="str">
            <v>NOT USED</v>
          </cell>
          <cell r="D1067" t="str">
            <v>ISO SALES-BORDERLINE-DELIVERY</v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/>
          </cell>
          <cell r="L1067">
            <v>-64.167019999999994</v>
          </cell>
          <cell r="M1067">
            <v>-8.9330599999999993</v>
          </cell>
          <cell r="N1067">
            <v>-10.3443</v>
          </cell>
          <cell r="O1067">
            <v>-18.841290000000001</v>
          </cell>
          <cell r="P1067">
            <v>-21.534269999999999</v>
          </cell>
          <cell r="Q1067">
            <v>-31.2425</v>
          </cell>
          <cell r="R1067">
            <v>-33.71217</v>
          </cell>
          <cell r="S1067">
            <v>-39.030790000000003</v>
          </cell>
          <cell r="T1067">
            <v>-42.515889999999999</v>
          </cell>
          <cell r="U1067">
            <v>-50.070700000000002</v>
          </cell>
          <cell r="V1067">
            <v>-51.601979999999998</v>
          </cell>
          <cell r="W1067">
            <v>-58.296660000000003</v>
          </cell>
          <cell r="X1067">
            <v>-60.983530000000002</v>
          </cell>
          <cell r="Y1067">
            <v>-35.724907000000002</v>
          </cell>
        </row>
        <row r="1068">
          <cell r="B1068">
            <v>447066</v>
          </cell>
          <cell r="C1068" t="str">
            <v>NOT USED</v>
          </cell>
          <cell r="D1068" t="str">
            <v>ISO SALES-BORDERLINE-OTHER</v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/>
          </cell>
          <cell r="L1068">
            <v>-113.86675</v>
          </cell>
          <cell r="M1068">
            <v>-11.23634</v>
          </cell>
          <cell r="N1068">
            <v>-12.843030000000001</v>
          </cell>
          <cell r="O1068">
            <v>-22.12659</v>
          </cell>
          <cell r="P1068">
            <v>-24.735859999999999</v>
          </cell>
          <cell r="Q1068">
            <v>-35.093000000000004</v>
          </cell>
          <cell r="R1068">
            <v>-37.648919999999997</v>
          </cell>
          <cell r="S1068">
            <v>-43.100990000000003</v>
          </cell>
          <cell r="T1068">
            <v>-47.407910000000001</v>
          </cell>
          <cell r="U1068">
            <v>-56.750869999999999</v>
          </cell>
          <cell r="V1068">
            <v>-58.183120000000002</v>
          </cell>
          <cell r="W1068">
            <v>-64.932829999999996</v>
          </cell>
          <cell r="X1068">
            <v>-67.751130000000003</v>
          </cell>
          <cell r="Y1068">
            <v>-42.072367</v>
          </cell>
        </row>
        <row r="1069">
          <cell r="B1069">
            <v>447070</v>
          </cell>
          <cell r="C1069" t="str">
            <v>NOT USED</v>
          </cell>
          <cell r="D1069" t="str">
            <v>SALE OF EXCESS PURCHASES - CAPACITY</v>
          </cell>
          <cell r="E1069" t="str">
            <v/>
          </cell>
          <cell r="F1069" t="str">
            <v/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/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</row>
        <row r="1070">
          <cell r="B1070">
            <v>447080</v>
          </cell>
          <cell r="C1070" t="str">
            <v>NOT USED</v>
          </cell>
          <cell r="D1070" t="str">
            <v>SALE OF EXCESS PURCHASES - ENERGY</v>
          </cell>
          <cell r="E1070" t="str">
            <v/>
          </cell>
          <cell r="F1070" t="str">
            <v/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>
            <v>-123329.93919999999</v>
          </cell>
          <cell r="M1070">
            <v>-12899.958860000001</v>
          </cell>
          <cell r="N1070">
            <v>-22947.772219999999</v>
          </cell>
          <cell r="O1070">
            <v>-33785.657339999998</v>
          </cell>
          <cell r="P1070">
            <v>-42683.9836</v>
          </cell>
          <cell r="Q1070">
            <v>-43315.254150000001</v>
          </cell>
          <cell r="R1070">
            <v>-48614.69556</v>
          </cell>
          <cell r="S1070">
            <v>-58059.332410000003</v>
          </cell>
          <cell r="T1070">
            <v>-65605.995519999997</v>
          </cell>
          <cell r="U1070">
            <v>-80067.603610000006</v>
          </cell>
          <cell r="V1070">
            <v>-89935.699420000004</v>
          </cell>
          <cell r="W1070">
            <v>-99755.662190000003</v>
          </cell>
          <cell r="X1070">
            <v>-103528.82341</v>
          </cell>
          <cell r="Y1070">
            <v>-59258.416348999999</v>
          </cell>
        </row>
        <row r="1071">
          <cell r="B1071">
            <v>447100</v>
          </cell>
          <cell r="C1071" t="str">
            <v>NOT USED</v>
          </cell>
          <cell r="D1071" t="str">
            <v>ELEC REV - SALES FOR RESALE-NY STATE</v>
          </cell>
          <cell r="E1071" t="str">
            <v/>
          </cell>
          <cell r="F1071" t="str">
            <v/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/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</row>
        <row r="1072">
          <cell r="B1072">
            <v>447120</v>
          </cell>
          <cell r="C1072" t="str">
            <v>NOT USED</v>
          </cell>
          <cell r="D1072" t="str">
            <v>ELEC REV - SALES FOR RESALE-DELVY-RESIDENTIAL</v>
          </cell>
          <cell r="E1072" t="str">
            <v/>
          </cell>
          <cell r="F1072" t="str">
            <v/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/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</row>
        <row r="1073">
          <cell r="B1073">
            <v>447130</v>
          </cell>
          <cell r="C1073" t="str">
            <v>NOT USED</v>
          </cell>
          <cell r="D1073" t="str">
            <v>ELEC REV - SALES FOR RESALE-DELVY-COMMERCIAL</v>
          </cell>
          <cell r="E1073" t="str">
            <v/>
          </cell>
          <cell r="F1073" t="str">
            <v/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/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B1074">
            <v>447140</v>
          </cell>
          <cell r="C1074" t="str">
            <v>NOT USED</v>
          </cell>
          <cell r="D1074" t="str">
            <v>ELEC REV - SALES FOR RESALE-DELVY-INDUSTRIAL</v>
          </cell>
          <cell r="E1074" t="str">
            <v/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/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</row>
        <row r="1075">
          <cell r="B1075">
            <v>447150</v>
          </cell>
          <cell r="C1075" t="str">
            <v>NOT USED</v>
          </cell>
          <cell r="D1075" t="str">
            <v>ELEC REV - SALES FOR RESALE-DELVY-MUNICIPAL</v>
          </cell>
          <cell r="E1075" t="str">
            <v/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/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</row>
        <row r="1076">
          <cell r="B1076">
            <v>447160</v>
          </cell>
          <cell r="C1076" t="str">
            <v>NOT USED</v>
          </cell>
          <cell r="D1076" t="str">
            <v>ELEC REV - SALES FOR RESALE-COMMODITY-RESID</v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/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</row>
        <row r="1077">
          <cell r="B1077">
            <v>447170</v>
          </cell>
          <cell r="C1077" t="str">
            <v>NOT USED</v>
          </cell>
          <cell r="D1077" t="str">
            <v>ELEC REV - SALES FOR RESALE-COMMODITY-COM</v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/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</row>
        <row r="1078">
          <cell r="B1078">
            <v>447180</v>
          </cell>
          <cell r="C1078" t="str">
            <v>NOT USED</v>
          </cell>
          <cell r="D1078" t="str">
            <v>ELEC REV - SALES FOR RESALE-COMMODITY-IND</v>
          </cell>
          <cell r="E1078" t="str">
            <v/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/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B1079">
            <v>447190</v>
          </cell>
          <cell r="C1079" t="str">
            <v>NOT USED</v>
          </cell>
          <cell r="D1079" t="str">
            <v>ELEC REV - SALES FOR RESALE-COMMODITY-MUN</v>
          </cell>
          <cell r="E1079" t="str">
            <v/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/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B1080">
            <v>447200</v>
          </cell>
          <cell r="C1080" t="str">
            <v>NOT USED</v>
          </cell>
          <cell r="D1080" t="str">
            <v>ELEC REV - MARKETER-SELF USE-DELVY-RES</v>
          </cell>
          <cell r="E1080" t="str">
            <v/>
          </cell>
          <cell r="F1080" t="str">
            <v/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/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</row>
        <row r="1081">
          <cell r="B1081">
            <v>447201</v>
          </cell>
          <cell r="C1081" t="str">
            <v>NOT USED</v>
          </cell>
          <cell r="D1081" t="str">
            <v>ELEC REV - MARKETER-SELF USE-DELVY-COM</v>
          </cell>
          <cell r="E1081" t="str">
            <v/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/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</row>
        <row r="1082">
          <cell r="B1082">
            <v>447202</v>
          </cell>
          <cell r="C1082" t="str">
            <v>NOT USED</v>
          </cell>
          <cell r="D1082" t="str">
            <v>ELEC REV - MARKETER-SELF USE-DELVY-IND</v>
          </cell>
          <cell r="E1082" t="str">
            <v/>
          </cell>
          <cell r="F1082" t="str">
            <v/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/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</row>
        <row r="1083">
          <cell r="B1083">
            <v>447203</v>
          </cell>
          <cell r="C1083" t="str">
            <v>NOT USED</v>
          </cell>
          <cell r="D1083" t="str">
            <v>ELEC REV - MARKETER-SELF USE-DELVY-MUN</v>
          </cell>
          <cell r="E1083" t="str">
            <v/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/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</row>
        <row r="1084">
          <cell r="B1084">
            <v>447204</v>
          </cell>
          <cell r="C1084" t="str">
            <v>NOT USED</v>
          </cell>
          <cell r="D1084" t="str">
            <v>ELEC REV - MARKETER-SELF USE-COMMOD-RES</v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/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</row>
        <row r="1085">
          <cell r="B1085">
            <v>447205</v>
          </cell>
          <cell r="C1085" t="str">
            <v>NOT USED</v>
          </cell>
          <cell r="D1085" t="str">
            <v>ELEC REV - MARKETER-SELF USE-COMMOD-COM</v>
          </cell>
          <cell r="E1085" t="str">
            <v/>
          </cell>
          <cell r="F1085" t="str">
            <v/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/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</row>
        <row r="1086">
          <cell r="B1086">
            <v>447207</v>
          </cell>
          <cell r="C1086" t="str">
            <v>NOT USED</v>
          </cell>
          <cell r="D1086" t="str">
            <v>ELEC REV - MARKETER-SELF USE-COMMOD-MUN</v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B1087">
            <v>447208</v>
          </cell>
          <cell r="C1087" t="str">
            <v>NOT USED</v>
          </cell>
          <cell r="D1087" t="str">
            <v>ELEC REV - MARKETER-SELF USE-SYS BEN-RES</v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/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B1088">
            <v>447209</v>
          </cell>
          <cell r="C1088" t="str">
            <v>NOT USED</v>
          </cell>
          <cell r="D1088" t="str">
            <v>ELEC REV - MARKETER-SELF USE-SYS BEN-COM</v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/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</row>
        <row r="1089">
          <cell r="B1089">
            <v>447210</v>
          </cell>
          <cell r="C1089" t="str">
            <v>NOT USED</v>
          </cell>
          <cell r="D1089" t="str">
            <v>ELEC REV - MARKETER-SELF USE-SYS BEN-IND</v>
          </cell>
          <cell r="E1089" t="str">
            <v/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/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</row>
        <row r="1090">
          <cell r="B1090">
            <v>447211</v>
          </cell>
          <cell r="C1090" t="str">
            <v>NOT USED</v>
          </cell>
          <cell r="D1090" t="str">
            <v>ELEC REV - MARKETER-SELF USE-SYS BEN-MUN</v>
          </cell>
          <cell r="E1090" t="str">
            <v/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/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</row>
        <row r="1091">
          <cell r="B1091">
            <v>447230</v>
          </cell>
          <cell r="C1091" t="str">
            <v>NOT USED</v>
          </cell>
          <cell r="D1091" t="str">
            <v>ELEC REV - SALES FOR RESALE-DEL &amp; ENG END USER-MU</v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/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</row>
        <row r="1092">
          <cell r="B1092">
            <v>447240</v>
          </cell>
          <cell r="C1092" t="str">
            <v>NOT USED</v>
          </cell>
          <cell r="D1092" t="str">
            <v>ELEC MARKETER REV - SYSTEM BENEFITS CHARGE-RES</v>
          </cell>
          <cell r="E1092" t="str">
            <v/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/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</row>
        <row r="1093">
          <cell r="B1093">
            <v>447242</v>
          </cell>
          <cell r="C1093" t="str">
            <v>NOT USED</v>
          </cell>
          <cell r="D1093" t="str">
            <v>ELEC MARKETER REV -RETAIL ACCESS SURCHARGE-RES</v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</row>
        <row r="1094">
          <cell r="B1094">
            <v>447243</v>
          </cell>
          <cell r="C1094" t="str">
            <v>NOT USED</v>
          </cell>
          <cell r="D1094" t="str">
            <v>ELEC MARKETER REV-SUPPLY RECONCILIATION-RESIDENTL</v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/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</row>
        <row r="1095">
          <cell r="B1095">
            <v>447250</v>
          </cell>
          <cell r="C1095" t="str">
            <v>NOT USED</v>
          </cell>
          <cell r="D1095" t="str">
            <v>ELEC MARKETER REV - SYSTEM BENEFITS CHARGE-COM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/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B1096">
            <v>447252</v>
          </cell>
          <cell r="C1096" t="str">
            <v>NOT USED</v>
          </cell>
          <cell r="D1096" t="str">
            <v>ELEC MARKETER REV-RETAIL ACCESS SURCHARGE-COM</v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/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B1097">
            <v>447253</v>
          </cell>
          <cell r="C1097" t="str">
            <v>NOT USED</v>
          </cell>
          <cell r="D1097" t="str">
            <v>ELEC MARKETER REV-SUPPLY RECONCILIATION-COM</v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/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B1098">
            <v>447260</v>
          </cell>
          <cell r="C1098" t="str">
            <v>NOT USED</v>
          </cell>
          <cell r="D1098" t="str">
            <v>ELEC MARKETER REV - SYSTEM BENEFITS CHARGE-IND</v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/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</row>
        <row r="1099">
          <cell r="B1099">
            <v>447262</v>
          </cell>
          <cell r="C1099" t="str">
            <v>NOT USED</v>
          </cell>
          <cell r="D1099" t="str">
            <v>ELEC MARKETER REV-RETAIL ACCESS SURCHARGE-IND</v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/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B1100">
            <v>447263</v>
          </cell>
          <cell r="C1100" t="str">
            <v>NOT USED</v>
          </cell>
          <cell r="D1100" t="str">
            <v>ELEC MARKETER REV-SUPPLY RECONCILIATION-INDUSTRL</v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/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B1101">
            <v>447270</v>
          </cell>
          <cell r="C1101" t="str">
            <v>NOT USED</v>
          </cell>
          <cell r="D1101" t="str">
            <v>ELEC MARKETER REV - SYSTEM BENEFITS CHARGE-MUN</v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/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</row>
        <row r="1102">
          <cell r="B1102">
            <v>447271</v>
          </cell>
          <cell r="C1102" t="str">
            <v>NOT USED</v>
          </cell>
          <cell r="D1102" t="str">
            <v>ELEC MARKETER REV-RETAIL ACCESS SURCHARGE-MUNI</v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/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</row>
        <row r="1103">
          <cell r="B1103">
            <v>447272</v>
          </cell>
          <cell r="C1103" t="str">
            <v>NOT USED</v>
          </cell>
          <cell r="D1103" t="str">
            <v>ELEC MARKETER REV-SUPPLY RECONCILIATION-MUNICIPAL</v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/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</row>
        <row r="1104">
          <cell r="B1104">
            <v>447310</v>
          </cell>
          <cell r="C1104" t="str">
            <v>NOT USED</v>
          </cell>
          <cell r="D1104" t="str">
            <v>I/C REVENUE - RUSSELL</v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/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</row>
        <row r="1105">
          <cell r="B1105">
            <v>447320</v>
          </cell>
          <cell r="C1105" t="str">
            <v>NOT USED</v>
          </cell>
          <cell r="D1105" t="str">
            <v>I/C REVENUE - ALLEGANY</v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/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</row>
        <row r="1106">
          <cell r="B1106">
            <v>447350</v>
          </cell>
          <cell r="C1106" t="str">
            <v>NOT USED</v>
          </cell>
          <cell r="D1106" t="str">
            <v>I/C REVENUE - HYDRO</v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</row>
        <row r="1107">
          <cell r="B1107">
            <v>447360</v>
          </cell>
          <cell r="C1107" t="str">
            <v>NOT USED</v>
          </cell>
          <cell r="D1107" t="str">
            <v>I/C REVENUE - GINNA</v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/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</row>
        <row r="1108">
          <cell r="B1108">
            <v>447370</v>
          </cell>
          <cell r="C1108" t="str">
            <v>NOT USED</v>
          </cell>
          <cell r="D1108" t="str">
            <v>I/C PURCHASES FROM GENERATION</v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/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</row>
        <row r="1109">
          <cell r="B1109">
            <v>447390</v>
          </cell>
          <cell r="C1109" t="str">
            <v>NOT USED</v>
          </cell>
          <cell r="D1109" t="str">
            <v>INSTALLED CAPACITY - RUSSELL</v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/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</row>
        <row r="1110">
          <cell r="B1110">
            <v>447400</v>
          </cell>
          <cell r="C1110" t="str">
            <v>NOT USED</v>
          </cell>
          <cell r="D1110" t="str">
            <v>INSTALLED CAPACITY - ALLEGANY</v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/>
          </cell>
          <cell r="L1110">
            <v>-1268.94</v>
          </cell>
          <cell r="M1110">
            <v>-23.907</v>
          </cell>
          <cell r="N1110">
            <v>-47.814</v>
          </cell>
          <cell r="O1110">
            <v>-71.721000000000004</v>
          </cell>
          <cell r="P1110">
            <v>-95.628</v>
          </cell>
          <cell r="Q1110">
            <v>-123.18300000000001</v>
          </cell>
          <cell r="R1110">
            <v>-150.738</v>
          </cell>
          <cell r="S1110">
            <v>-178.29300000000001</v>
          </cell>
          <cell r="T1110">
            <v>-205.84800000000001</v>
          </cell>
          <cell r="U1110">
            <v>-233.40299999999999</v>
          </cell>
          <cell r="V1110">
            <v>-260.95800000000003</v>
          </cell>
          <cell r="W1110">
            <v>-264.40800000000002</v>
          </cell>
          <cell r="X1110">
            <v>-267.858</v>
          </cell>
          <cell r="Y1110">
            <v>-202.02500000000001</v>
          </cell>
        </row>
        <row r="1111">
          <cell r="B1111">
            <v>447410</v>
          </cell>
          <cell r="C1111" t="str">
            <v>NOT USED</v>
          </cell>
          <cell r="D1111" t="str">
            <v>INSTALLED CAPACITY - BEEBEE T13</v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/>
          </cell>
          <cell r="L1111">
            <v>-333.84800000000001</v>
          </cell>
          <cell r="M1111">
            <v>-7.02</v>
          </cell>
          <cell r="N1111">
            <v>-14.04</v>
          </cell>
          <cell r="O1111">
            <v>-21.06</v>
          </cell>
          <cell r="P1111">
            <v>-28.08</v>
          </cell>
          <cell r="Q1111">
            <v>-34.130000000000003</v>
          </cell>
          <cell r="R1111">
            <v>-40.18</v>
          </cell>
          <cell r="S1111">
            <v>-46.23</v>
          </cell>
          <cell r="T1111">
            <v>-52.28</v>
          </cell>
          <cell r="U1111">
            <v>-58.33</v>
          </cell>
          <cell r="V1111">
            <v>-64.38</v>
          </cell>
          <cell r="W1111">
            <v>-64.38</v>
          </cell>
          <cell r="X1111">
            <v>-64.38</v>
          </cell>
          <cell r="Y1111">
            <v>-52.435333</v>
          </cell>
        </row>
        <row r="1112">
          <cell r="B1112">
            <v>447420</v>
          </cell>
          <cell r="C1112" t="str">
            <v>NOT USED</v>
          </cell>
          <cell r="D1112" t="str">
            <v>INSTALLED CAPACITY - STATION 9</v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/>
          </cell>
          <cell r="L1112">
            <v>-256.57600000000002</v>
          </cell>
          <cell r="M1112">
            <v>-7.3319999999999999</v>
          </cell>
          <cell r="N1112">
            <v>-14.664</v>
          </cell>
          <cell r="O1112">
            <v>-21.995999999999999</v>
          </cell>
          <cell r="P1112">
            <v>-29.327999999999999</v>
          </cell>
          <cell r="Q1112">
            <v>-36.533000000000001</v>
          </cell>
          <cell r="R1112">
            <v>-43.738</v>
          </cell>
          <cell r="S1112">
            <v>-50.942999999999998</v>
          </cell>
          <cell r="T1112">
            <v>-58.148000000000003</v>
          </cell>
          <cell r="U1112">
            <v>-65.352999999999994</v>
          </cell>
          <cell r="V1112">
            <v>-72.558000000000007</v>
          </cell>
          <cell r="W1112">
            <v>-74.957999999999998</v>
          </cell>
          <cell r="X1112">
            <v>-77.358000000000004</v>
          </cell>
          <cell r="Y1112">
            <v>-53.543166999999997</v>
          </cell>
        </row>
        <row r="1113">
          <cell r="B1113">
            <v>447430</v>
          </cell>
          <cell r="C1113" t="str">
            <v>NOT USED</v>
          </cell>
          <cell r="D1113" t="str">
            <v>INSTALLED CAPACITY - HYDRO</v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/>
          </cell>
          <cell r="L1113">
            <v>-257.98399999999998</v>
          </cell>
          <cell r="M1113">
            <v>-6.3179999999999996</v>
          </cell>
          <cell r="N1113">
            <v>-12.635999999999999</v>
          </cell>
          <cell r="O1113">
            <v>-18.954000000000001</v>
          </cell>
          <cell r="P1113">
            <v>-25.271999999999998</v>
          </cell>
          <cell r="Q1113">
            <v>-28.021999999999998</v>
          </cell>
          <cell r="R1113">
            <v>-30.771999999999998</v>
          </cell>
          <cell r="S1113">
            <v>-33.521999999999998</v>
          </cell>
          <cell r="T1113">
            <v>-36.271999999999998</v>
          </cell>
          <cell r="U1113">
            <v>-39.021999999999998</v>
          </cell>
          <cell r="V1113">
            <v>-41.771999999999998</v>
          </cell>
          <cell r="W1113">
            <v>-43.226999999999997</v>
          </cell>
          <cell r="X1113">
            <v>-44.682000000000002</v>
          </cell>
          <cell r="Y1113">
            <v>-38.926833000000002</v>
          </cell>
        </row>
        <row r="1114">
          <cell r="B1114">
            <v>447440</v>
          </cell>
          <cell r="C1114" t="str">
            <v>NOT USED</v>
          </cell>
          <cell r="D1114" t="str">
            <v>INSTALLED CAPACITY - GINNA</v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</row>
        <row r="1115">
          <cell r="B1115">
            <v>447460</v>
          </cell>
          <cell r="C1115" t="str">
            <v>NOT USED</v>
          </cell>
          <cell r="D1115" t="str">
            <v>INSTALLED CAPACITY PURCHASES FROM GEN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/>
          </cell>
          <cell r="L1115">
            <v>2117.348</v>
          </cell>
          <cell r="M1115">
            <v>44.576999999999998</v>
          </cell>
          <cell r="N1115">
            <v>89.153999999999996</v>
          </cell>
          <cell r="O1115">
            <v>133.73099999999999</v>
          </cell>
          <cell r="P1115">
            <v>178.30799999999999</v>
          </cell>
          <cell r="Q1115">
            <v>221.86799999999999</v>
          </cell>
          <cell r="R1115">
            <v>265.428</v>
          </cell>
          <cell r="S1115">
            <v>308.988</v>
          </cell>
          <cell r="T1115">
            <v>352.548</v>
          </cell>
          <cell r="U1115">
            <v>396.108</v>
          </cell>
          <cell r="V1115">
            <v>439.66800000000001</v>
          </cell>
          <cell r="W1115">
            <v>446.97300000000001</v>
          </cell>
          <cell r="X1115">
            <v>454.27800000000002</v>
          </cell>
          <cell r="Y1115">
            <v>346.93033300000002</v>
          </cell>
        </row>
        <row r="1116">
          <cell r="B1116">
            <v>447500</v>
          </cell>
          <cell r="C1116" t="str">
            <v>NOT USED</v>
          </cell>
          <cell r="D1116" t="str">
            <v>ELEC REV - LSE-UNBILLED</v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/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</row>
        <row r="1117">
          <cell r="B1117">
            <v>449100</v>
          </cell>
          <cell r="C1117" t="str">
            <v>NOT USED</v>
          </cell>
          <cell r="D1117" t="str">
            <v>ACCUM PROVISION FOR RATE REFUND</v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</row>
        <row r="1118">
          <cell r="B1118">
            <v>450000</v>
          </cell>
          <cell r="C1118" t="str">
            <v>NOT USED</v>
          </cell>
          <cell r="D1118" t="str">
            <v>LATE PAYMENT REVENUE - ELECTRIC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>
            <v>-1727.26604</v>
          </cell>
          <cell r="M1118">
            <v>-153.83142000000001</v>
          </cell>
          <cell r="N1118">
            <v>-284.24579</v>
          </cell>
          <cell r="O1118">
            <v>-387.52498000000003</v>
          </cell>
          <cell r="P1118">
            <v>-555.87291000000005</v>
          </cell>
          <cell r="Q1118">
            <v>-730.19113000000004</v>
          </cell>
          <cell r="R1118">
            <v>-818.63068999999996</v>
          </cell>
          <cell r="S1118">
            <v>-981.05732</v>
          </cell>
          <cell r="T1118">
            <v>-1158.64002</v>
          </cell>
          <cell r="U1118">
            <v>-1293.42968</v>
          </cell>
          <cell r="V1118">
            <v>-1469.6838600000001</v>
          </cell>
          <cell r="W1118">
            <v>-1629.9960000000001</v>
          </cell>
          <cell r="X1118">
            <v>-1730.3523600000001</v>
          </cell>
          <cell r="Y1118">
            <v>-932.65941699999996</v>
          </cell>
        </row>
        <row r="1119">
          <cell r="B1119">
            <v>451099</v>
          </cell>
          <cell r="C1119" t="str">
            <v>NOT USED</v>
          </cell>
          <cell r="D1119" t="str">
            <v>ELEC REVENUE - MISCELLANEOUS INTERCOMPANY</v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/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</row>
        <row r="1120">
          <cell r="B1120">
            <v>451100</v>
          </cell>
          <cell r="C1120" t="str">
            <v>NOT USED</v>
          </cell>
          <cell r="D1120" t="str">
            <v>ELEC REVENUE - MISCELLANEOUS SERVICE</v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 t="str">
            <v/>
          </cell>
          <cell r="J1120" t="str">
            <v/>
          </cell>
          <cell r="K1120" t="str">
            <v/>
          </cell>
          <cell r="L1120">
            <v>-602.81849</v>
          </cell>
          <cell r="M1120">
            <v>-38.716299999999997</v>
          </cell>
          <cell r="N1120">
            <v>-52.075299999999999</v>
          </cell>
          <cell r="O1120">
            <v>-88.368049999999997</v>
          </cell>
          <cell r="P1120">
            <v>-127.34365</v>
          </cell>
          <cell r="Q1120">
            <v>-154.90065000000001</v>
          </cell>
          <cell r="R1120">
            <v>-169.89415</v>
          </cell>
          <cell r="S1120">
            <v>-198.50715</v>
          </cell>
          <cell r="T1120">
            <v>-240.27717000000001</v>
          </cell>
          <cell r="U1120">
            <v>-267.99817000000002</v>
          </cell>
          <cell r="V1120">
            <v>-321.02566999999999</v>
          </cell>
          <cell r="W1120">
            <v>-334.60176999999999</v>
          </cell>
          <cell r="X1120">
            <v>-352.64560999999998</v>
          </cell>
          <cell r="Y1120">
            <v>-205.95334</v>
          </cell>
        </row>
        <row r="1121">
          <cell r="B1121">
            <v>454000</v>
          </cell>
          <cell r="C1121" t="str">
            <v>NOT USED</v>
          </cell>
          <cell r="D1121" t="str">
            <v>RENT FROM ELECTRIC PROPERTY</v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 t="str">
            <v/>
          </cell>
          <cell r="J1121" t="str">
            <v/>
          </cell>
          <cell r="K1121" t="str">
            <v/>
          </cell>
          <cell r="L1121">
            <v>-1108.1373000000001</v>
          </cell>
          <cell r="M1121">
            <v>-391.19245999999998</v>
          </cell>
          <cell r="N1121">
            <v>-478.83237000000003</v>
          </cell>
          <cell r="O1121">
            <v>-552.30580999999995</v>
          </cell>
          <cell r="P1121">
            <v>-628.54696999999999</v>
          </cell>
          <cell r="Q1121">
            <v>-653.82935999999995</v>
          </cell>
          <cell r="R1121">
            <v>-739.61553000000004</v>
          </cell>
          <cell r="S1121">
            <v>-816.79151999999999</v>
          </cell>
          <cell r="T1121">
            <v>-872.34628999999995</v>
          </cell>
          <cell r="U1121">
            <v>-938.84568000000002</v>
          </cell>
          <cell r="V1121">
            <v>-1007.3931</v>
          </cell>
          <cell r="W1121">
            <v>-1078.7847999999999</v>
          </cell>
          <cell r="X1121">
            <v>-1151.2153599999999</v>
          </cell>
          <cell r="Y1121">
            <v>-774.01335200000005</v>
          </cell>
        </row>
        <row r="1122">
          <cell r="B1122">
            <v>454099</v>
          </cell>
          <cell r="C1122" t="str">
            <v>NOT USED</v>
          </cell>
          <cell r="D1122" t="str">
            <v>INTERCOMPANY RENT REVENUE</v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 t="str">
            <v/>
          </cell>
          <cell r="J1122" t="str">
            <v/>
          </cell>
          <cell r="K1122" t="str">
            <v/>
          </cell>
          <cell r="L1122">
            <v>-367.31196</v>
          </cell>
          <cell r="M1122">
            <v>-30.60933</v>
          </cell>
          <cell r="N1122">
            <v>-61.21866</v>
          </cell>
          <cell r="O1122">
            <v>-91.82799</v>
          </cell>
          <cell r="P1122">
            <v>-122.43732</v>
          </cell>
          <cell r="Q1122">
            <v>-153.04665</v>
          </cell>
          <cell r="R1122">
            <v>-183.65598</v>
          </cell>
          <cell r="S1122">
            <v>-214.26531</v>
          </cell>
          <cell r="T1122">
            <v>-244.87464</v>
          </cell>
          <cell r="U1122">
            <v>-275.48397</v>
          </cell>
          <cell r="V1122">
            <v>-306.0933</v>
          </cell>
          <cell r="W1122">
            <v>-336.70263</v>
          </cell>
          <cell r="X1122">
            <v>-367.31196</v>
          </cell>
          <cell r="Y1122">
            <v>-198.960645</v>
          </cell>
        </row>
        <row r="1123">
          <cell r="B1123">
            <v>454100</v>
          </cell>
          <cell r="C1123" t="str">
            <v>NOT USED</v>
          </cell>
          <cell r="D1123" t="str">
            <v>ELEC REV - RENT FROM PROP POLE ATTACH CATV</v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 t="str">
            <v/>
          </cell>
          <cell r="K1123" t="str">
            <v/>
          </cell>
          <cell r="L1123">
            <v>-241.46007</v>
          </cell>
          <cell r="M1123">
            <v>-13.53895</v>
          </cell>
          <cell r="N1123">
            <v>-27.0779</v>
          </cell>
          <cell r="O1123">
            <v>-40.616849999999999</v>
          </cell>
          <cell r="P1123">
            <v>-54.155799999999999</v>
          </cell>
          <cell r="Q1123">
            <v>-171.61046999999999</v>
          </cell>
          <cell r="R1123">
            <v>-185.14941999999999</v>
          </cell>
          <cell r="S1123">
            <v>-241.50378000000001</v>
          </cell>
          <cell r="T1123">
            <v>-275.25754999999998</v>
          </cell>
          <cell r="U1123">
            <v>-321.91939000000002</v>
          </cell>
          <cell r="V1123">
            <v>-360.37745000000001</v>
          </cell>
          <cell r="W1123">
            <v>-392.36748999999998</v>
          </cell>
          <cell r="X1123">
            <v>-425.13215000000002</v>
          </cell>
          <cell r="Y1123">
            <v>-201.40593000000001</v>
          </cell>
        </row>
        <row r="1124">
          <cell r="B1124">
            <v>454110</v>
          </cell>
          <cell r="C1124" t="str">
            <v>NOT USED</v>
          </cell>
          <cell r="D1124" t="str">
            <v>ELEC REV - RENT FR PROP POLE ATTCH OTH THAN CATV</v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 t="str">
            <v/>
          </cell>
          <cell r="J1124" t="str">
            <v/>
          </cell>
          <cell r="K1124" t="str">
            <v/>
          </cell>
          <cell r="L1124">
            <v>-194.01279</v>
          </cell>
          <cell r="M1124">
            <v>-219.28111999999999</v>
          </cell>
          <cell r="N1124">
            <v>-234.07346999999999</v>
          </cell>
          <cell r="O1124">
            <v>-302.31553000000002</v>
          </cell>
          <cell r="P1124">
            <v>-310.23928999999998</v>
          </cell>
          <cell r="Q1124">
            <v>-318.16005999999999</v>
          </cell>
          <cell r="R1124">
            <v>-337.31164000000001</v>
          </cell>
          <cell r="S1124">
            <v>-345.57684</v>
          </cell>
          <cell r="T1124">
            <v>-354.14254</v>
          </cell>
          <cell r="U1124">
            <v>-361.96847000000002</v>
          </cell>
          <cell r="V1124">
            <v>-370.15379999999999</v>
          </cell>
          <cell r="W1124">
            <v>-378.34312</v>
          </cell>
          <cell r="X1124">
            <v>-386.53143999999998</v>
          </cell>
          <cell r="Y1124">
            <v>-318.48649999999998</v>
          </cell>
        </row>
        <row r="1125">
          <cell r="B1125">
            <v>456030</v>
          </cell>
          <cell r="C1125" t="str">
            <v>NOT USED</v>
          </cell>
          <cell r="D1125" t="str">
            <v>0000456030 ELEC REV - OTH-A/R PURCHASE DISCOUNT- ELECTRIC</v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/>
          </cell>
          <cell r="L1125">
            <v>-547.99172999999996</v>
          </cell>
          <cell r="M1125">
            <v>-175.37903</v>
          </cell>
          <cell r="N1125">
            <v>-321.12526000000003</v>
          </cell>
          <cell r="O1125">
            <v>-478.70285999999999</v>
          </cell>
          <cell r="P1125">
            <v>-606.93601000000001</v>
          </cell>
          <cell r="Q1125">
            <v>-741.42030999999997</v>
          </cell>
          <cell r="R1125">
            <v>-889.57009000000005</v>
          </cell>
          <cell r="S1125">
            <v>-1050.45813</v>
          </cell>
          <cell r="T1125">
            <v>-1239.0994700000001</v>
          </cell>
          <cell r="U1125">
            <v>-1470.5714</v>
          </cell>
          <cell r="V1125">
            <v>-1665.3192899999999</v>
          </cell>
          <cell r="W1125">
            <v>-1842.0424399999999</v>
          </cell>
          <cell r="X1125">
            <v>-2044.10842</v>
          </cell>
          <cell r="Y1125">
            <v>-981.38953000000004</v>
          </cell>
        </row>
        <row r="1126">
          <cell r="B1126">
            <v>456080</v>
          </cell>
          <cell r="C1126" t="str">
            <v>NOT USED</v>
          </cell>
          <cell r="D1126" t="str">
            <v>E REV - AMORT OF DEFERRED ELEC REV DELIVERY</v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 t="str">
            <v/>
          </cell>
          <cell r="J1126" t="str">
            <v/>
          </cell>
          <cell r="K1126" t="str">
            <v/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</row>
        <row r="1127">
          <cell r="B1127">
            <v>456099</v>
          </cell>
          <cell r="C1127" t="str">
            <v>NOT USED</v>
          </cell>
          <cell r="D1127" t="str">
            <v>INTERCOMPANY A/R PURCHASE DISCOUNT - ELECTRIC</v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 t="str">
            <v/>
          </cell>
          <cell r="J1127" t="str">
            <v/>
          </cell>
          <cell r="K1127" t="str">
            <v/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</row>
        <row r="1128">
          <cell r="B1128">
            <v>456150</v>
          </cell>
          <cell r="C1128" t="str">
            <v>NOT USED</v>
          </cell>
          <cell r="D1128" t="str">
            <v>A/R PURCHASE DISCOUNT - ELECTRIC</v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 t="str">
            <v/>
          </cell>
          <cell r="J1128" t="str">
            <v/>
          </cell>
          <cell r="K1128" t="str">
            <v/>
          </cell>
          <cell r="L1128">
            <v>-441.30653000000001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-18.387771999999998</v>
          </cell>
        </row>
        <row r="1129">
          <cell r="B1129">
            <v>456180</v>
          </cell>
          <cell r="C1129" t="str">
            <v>NOT USED</v>
          </cell>
          <cell r="D1129" t="str">
            <v>ELEC REV-TRANS-PFJ TRANS WHEELING</v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 t="str">
            <v/>
          </cell>
          <cell r="J1129" t="str">
            <v/>
          </cell>
          <cell r="K1129" t="str">
            <v/>
          </cell>
          <cell r="L1129">
            <v>-24.075220000000002</v>
          </cell>
          <cell r="M1129">
            <v>-1.8519399999999999</v>
          </cell>
          <cell r="N1129">
            <v>-3.7038799999999998</v>
          </cell>
          <cell r="O1129">
            <v>-5.5558199999999998</v>
          </cell>
          <cell r="P1129">
            <v>-7.4077599999999997</v>
          </cell>
          <cell r="Q1129">
            <v>-9.2597000000000005</v>
          </cell>
          <cell r="R1129">
            <v>-11.11164</v>
          </cell>
          <cell r="S1129">
            <v>-12.96358</v>
          </cell>
          <cell r="T1129">
            <v>-14.815519999999999</v>
          </cell>
          <cell r="U1129">
            <v>-16.667459999999998</v>
          </cell>
          <cell r="V1129">
            <v>-18.519400000000001</v>
          </cell>
          <cell r="W1129">
            <v>-20.37134</v>
          </cell>
          <cell r="X1129">
            <v>-22.223279999999999</v>
          </cell>
          <cell r="Y1129">
            <v>-12.114774000000001</v>
          </cell>
        </row>
        <row r="1130">
          <cell r="B1130">
            <v>456181</v>
          </cell>
          <cell r="C1130" t="str">
            <v>NOT USED</v>
          </cell>
          <cell r="D1130" t="str">
            <v>ELEC REV-TRANS-PFJ-ANCILLARY SERVICES</v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 t="str">
            <v/>
          </cell>
          <cell r="J1130" t="str">
            <v/>
          </cell>
          <cell r="K1130" t="str">
            <v/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</row>
        <row r="1131">
          <cell r="B1131">
            <v>456200</v>
          </cell>
          <cell r="C1131" t="str">
            <v>NOT USED</v>
          </cell>
          <cell r="D1131" t="str">
            <v>ELEC REV - MISCELLANEOUS</v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 t="str">
            <v/>
          </cell>
          <cell r="J1131" t="str">
            <v/>
          </cell>
          <cell r="K1131" t="str">
            <v/>
          </cell>
          <cell r="L1131">
            <v>16429.265220000001</v>
          </cell>
          <cell r="M1131">
            <v>234.32046</v>
          </cell>
          <cell r="N1131">
            <v>1540.7981</v>
          </cell>
          <cell r="O1131">
            <v>1589.16551</v>
          </cell>
          <cell r="P1131">
            <v>2312.0197699999999</v>
          </cell>
          <cell r="Q1131">
            <v>2426.07395</v>
          </cell>
          <cell r="R1131">
            <v>2519.0034999999998</v>
          </cell>
          <cell r="S1131">
            <v>2544.3690200000001</v>
          </cell>
          <cell r="T1131">
            <v>2662.24658</v>
          </cell>
          <cell r="U1131">
            <v>2749.1934700000002</v>
          </cell>
          <cell r="V1131">
            <v>2825.04027</v>
          </cell>
          <cell r="W1131">
            <v>1647.10508</v>
          </cell>
          <cell r="X1131">
            <v>1718.4121500000001</v>
          </cell>
          <cell r="Y1131">
            <v>2676.9312</v>
          </cell>
        </row>
        <row r="1132">
          <cell r="B1132">
            <v>456203</v>
          </cell>
          <cell r="C1132" t="str">
            <v>NOT USED</v>
          </cell>
          <cell r="D1132" t="str">
            <v>OTHER ELECTRIC REVENUE - REG AMORT DEL</v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 t="str">
            <v/>
          </cell>
          <cell r="J1132" t="str">
            <v/>
          </cell>
          <cell r="K1132" t="str">
            <v/>
          </cell>
          <cell r="U1132">
            <v>-16.421299999999999</v>
          </cell>
          <cell r="V1132">
            <v>5926.4039000000002</v>
          </cell>
          <cell r="W1132">
            <v>-6184.0679200000004</v>
          </cell>
          <cell r="X1132">
            <v>-6964.26127</v>
          </cell>
          <cell r="Y1132">
            <v>-313.01799599999998</v>
          </cell>
        </row>
        <row r="1133">
          <cell r="B1133">
            <v>456204</v>
          </cell>
          <cell r="C1133" t="str">
            <v>NOT USED</v>
          </cell>
          <cell r="D1133" t="str">
            <v>OTHER ELECTRIC REVENUE - REGULATORY DEFERRAL</v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 t="str">
            <v/>
          </cell>
          <cell r="J1133" t="str">
            <v/>
          </cell>
          <cell r="K1133" t="str">
            <v/>
          </cell>
          <cell r="L1133">
            <v>-1860.1314600000001</v>
          </cell>
          <cell r="M1133">
            <v>1787.8984399999999</v>
          </cell>
          <cell r="N1133">
            <v>2277.2463200000002</v>
          </cell>
          <cell r="O1133">
            <v>3240.7591200000002</v>
          </cell>
          <cell r="P1133">
            <v>5188.6735699999999</v>
          </cell>
          <cell r="Q1133">
            <v>5324.7128300000004</v>
          </cell>
          <cell r="R1133">
            <v>6357.3999599999997</v>
          </cell>
          <cell r="S1133">
            <v>7992.63663</v>
          </cell>
          <cell r="T1133">
            <v>9126.7275599999994</v>
          </cell>
          <cell r="U1133">
            <v>9423.1162999999997</v>
          </cell>
          <cell r="V1133">
            <v>1239.26151</v>
          </cell>
          <cell r="W1133">
            <v>12625.25131</v>
          </cell>
          <cell r="X1133">
            <v>10397.35908</v>
          </cell>
          <cell r="Y1133">
            <v>5737.6914470000002</v>
          </cell>
        </row>
        <row r="1134">
          <cell r="B1134">
            <v>456205</v>
          </cell>
          <cell r="C1134" t="str">
            <v>NOT USED</v>
          </cell>
          <cell r="D1134" t="str">
            <v>EARNINGS SHARING ELECTRIC COMMODITY</v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 t="str">
            <v/>
          </cell>
          <cell r="J1134" t="str">
            <v/>
          </cell>
          <cell r="K1134" t="str">
            <v/>
          </cell>
          <cell r="L1134">
            <v>181.79443000000001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7.5747679999999997</v>
          </cell>
        </row>
        <row r="1135">
          <cell r="B1135">
            <v>456206</v>
          </cell>
          <cell r="C1135" t="str">
            <v>NOT USED</v>
          </cell>
          <cell r="D1135" t="str">
            <v>EARNINGS SHARING ELECTRIC DELIVERY</v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 t="str">
            <v/>
          </cell>
          <cell r="J1135" t="str">
            <v/>
          </cell>
          <cell r="K1135" t="str">
            <v/>
          </cell>
          <cell r="O1135">
            <v>2650</v>
          </cell>
          <cell r="P1135">
            <v>2650</v>
          </cell>
          <cell r="Q1135">
            <v>2650</v>
          </cell>
          <cell r="R1135">
            <v>2650</v>
          </cell>
          <cell r="S1135">
            <v>3620</v>
          </cell>
          <cell r="T1135">
            <v>3620</v>
          </cell>
          <cell r="U1135">
            <v>3620</v>
          </cell>
          <cell r="V1135">
            <v>7620</v>
          </cell>
          <cell r="W1135">
            <v>7620</v>
          </cell>
          <cell r="X1135">
            <v>8241</v>
          </cell>
          <cell r="Y1135">
            <v>3401.708333</v>
          </cell>
        </row>
        <row r="1136">
          <cell r="B1136">
            <v>456215</v>
          </cell>
          <cell r="C1136" t="str">
            <v>NOT USED</v>
          </cell>
          <cell r="D1136" t="str">
            <v>ELEC REV - SD WMS BILLINGS</v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 t="str">
            <v/>
          </cell>
          <cell r="J1136" t="str">
            <v/>
          </cell>
          <cell r="K1136" t="str">
            <v/>
          </cell>
          <cell r="L1136">
            <v>-1287.2473500000001</v>
          </cell>
          <cell r="M1136">
            <v>-93.286910000000006</v>
          </cell>
          <cell r="N1136">
            <v>-539.44156999999996</v>
          </cell>
          <cell r="O1136">
            <v>-677.63284999999996</v>
          </cell>
          <cell r="P1136">
            <v>-878.73200999999995</v>
          </cell>
          <cell r="Q1136">
            <v>-1138.72974</v>
          </cell>
          <cell r="R1136">
            <v>-1262.0763099999999</v>
          </cell>
          <cell r="S1136">
            <v>-1349.4844000000001</v>
          </cell>
          <cell r="T1136">
            <v>-1434.9563000000001</v>
          </cell>
          <cell r="U1136">
            <v>-1550.0997</v>
          </cell>
          <cell r="V1136">
            <v>-1591.44156</v>
          </cell>
          <cell r="W1136">
            <v>-1695.54656</v>
          </cell>
          <cell r="X1136">
            <v>-1836.8019899999999</v>
          </cell>
          <cell r="Y1136">
            <v>-1147.7877149999999</v>
          </cell>
        </row>
        <row r="1137">
          <cell r="B1137">
            <v>456230</v>
          </cell>
          <cell r="C1137" t="str">
            <v>NOT USED</v>
          </cell>
          <cell r="D1137" t="str">
            <v>ELEC REV - MISC- POWER FOR JOBS</v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 t="str">
            <v/>
          </cell>
          <cell r="J1137" t="str">
            <v/>
          </cell>
          <cell r="K1137" t="str">
            <v/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</row>
        <row r="1138">
          <cell r="B1138">
            <v>456240</v>
          </cell>
          <cell r="C1138" t="str">
            <v>NOT USED</v>
          </cell>
          <cell r="D1138" t="str">
            <v>ELEC REV - GINNA OFFSET COMMODITY</v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 t="str">
            <v/>
          </cell>
          <cell r="J1138" t="str">
            <v/>
          </cell>
          <cell r="K1138" t="str">
            <v/>
          </cell>
          <cell r="L1138">
            <v>-113282.81409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-4720.1172539999998</v>
          </cell>
        </row>
        <row r="1139">
          <cell r="B1139">
            <v>456241</v>
          </cell>
          <cell r="C1139" t="str">
            <v>NOT USED</v>
          </cell>
          <cell r="D1139" t="str">
            <v>ELEC REV - GINNA OFFSET DELIVERY</v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 t="str">
            <v/>
          </cell>
          <cell r="J1139" t="str">
            <v/>
          </cell>
          <cell r="K1139" t="str">
            <v/>
          </cell>
          <cell r="L1139">
            <v>113282.81409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4720.1172539999998</v>
          </cell>
        </row>
        <row r="1140">
          <cell r="B1140">
            <v>456242</v>
          </cell>
          <cell r="C1140" t="str">
            <v>NOT USED</v>
          </cell>
          <cell r="D1140" t="str">
            <v>ELEC REV - FIXED COSTS COMMODITY</v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I1140" t="str">
            <v/>
          </cell>
          <cell r="J1140" t="str">
            <v/>
          </cell>
          <cell r="K1140" t="str">
            <v/>
          </cell>
          <cell r="L1140">
            <v>177077.26058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7378.2191910000001</v>
          </cell>
        </row>
        <row r="1141">
          <cell r="B1141">
            <v>456243</v>
          </cell>
          <cell r="C1141" t="str">
            <v>NOT USED</v>
          </cell>
          <cell r="D1141" t="str">
            <v>ELEC REV - FIXED COSTS DELIVERY</v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I1141" t="str">
            <v/>
          </cell>
          <cell r="J1141" t="str">
            <v/>
          </cell>
          <cell r="K1141" t="str">
            <v/>
          </cell>
          <cell r="L1141">
            <v>-177077.26058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-7378.2191910000001</v>
          </cell>
        </row>
        <row r="1142">
          <cell r="B1142">
            <v>456244</v>
          </cell>
          <cell r="C1142" t="str">
            <v>NOT USED</v>
          </cell>
          <cell r="D1142" t="str">
            <v>ELEC REV - UNCOLLECTIBLES COMMODITY</v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I1142" t="str">
            <v/>
          </cell>
          <cell r="J1142" t="str">
            <v/>
          </cell>
          <cell r="K1142" t="str">
            <v/>
          </cell>
          <cell r="L1142">
            <v>2146.3256000000001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89.430233000000001</v>
          </cell>
        </row>
        <row r="1143">
          <cell r="B1143">
            <v>456245</v>
          </cell>
          <cell r="C1143" t="str">
            <v>NOT USED</v>
          </cell>
          <cell r="D1143" t="str">
            <v>ELEC REV - UNCOLLECTIBLES DELIVERY</v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I1143" t="str">
            <v/>
          </cell>
          <cell r="J1143" t="str">
            <v/>
          </cell>
          <cell r="K1143" t="str">
            <v/>
          </cell>
          <cell r="L1143">
            <v>-2146.3256000000001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-89.430233000000001</v>
          </cell>
        </row>
        <row r="1144">
          <cell r="B1144">
            <v>456246</v>
          </cell>
          <cell r="C1144" t="str">
            <v>NOT USED</v>
          </cell>
          <cell r="D1144" t="str">
            <v>ELEC REV - COMMODITY ASGA DRAW TO OFFSET PPA</v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 t="str">
            <v/>
          </cell>
          <cell r="J1144" t="str">
            <v/>
          </cell>
          <cell r="K1144" t="str">
            <v/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</row>
        <row r="1145">
          <cell r="B1145">
            <v>456299</v>
          </cell>
          <cell r="C1145" t="str">
            <v>NOT USED</v>
          </cell>
          <cell r="D1145" t="str">
            <v>INTERCOMPANY ELECTRIC REVENUE</v>
          </cell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  <cell r="I1145" t="str">
            <v/>
          </cell>
          <cell r="J1145" t="str">
            <v/>
          </cell>
          <cell r="K1145" t="str">
            <v/>
          </cell>
          <cell r="L1145">
            <v>-343.02926000000002</v>
          </cell>
          <cell r="M1145">
            <v>-28.877120000000001</v>
          </cell>
          <cell r="N1145">
            <v>-57.754240000000003</v>
          </cell>
          <cell r="O1145">
            <v>-82.172160000000005</v>
          </cell>
          <cell r="P1145">
            <v>-119.27652999999999</v>
          </cell>
          <cell r="Q1145">
            <v>-195.22119000000001</v>
          </cell>
          <cell r="R1145">
            <v>-143.87358</v>
          </cell>
          <cell r="S1145">
            <v>-168.22014999999999</v>
          </cell>
          <cell r="T1145">
            <v>-192.98947999999999</v>
          </cell>
          <cell r="U1145">
            <v>-212.35308000000001</v>
          </cell>
          <cell r="V1145">
            <v>-236.49486999999999</v>
          </cell>
          <cell r="W1145">
            <v>-260.70371999999998</v>
          </cell>
          <cell r="X1145">
            <v>-284.02501999999998</v>
          </cell>
          <cell r="Y1145">
            <v>-167.621938</v>
          </cell>
        </row>
        <row r="1146">
          <cell r="B1146">
            <v>456425</v>
          </cell>
          <cell r="C1146" t="str">
            <v>NOT USED</v>
          </cell>
          <cell r="D1146" t="str">
            <v>ELEC REV-BILLING &amp; COLLECTION</v>
          </cell>
          <cell r="E1146" t="str">
            <v/>
          </cell>
          <cell r="F1146" t="str">
            <v/>
          </cell>
          <cell r="G1146" t="str">
            <v/>
          </cell>
          <cell r="H1146" t="str">
            <v/>
          </cell>
          <cell r="I1146" t="str">
            <v/>
          </cell>
          <cell r="J1146" t="str">
            <v/>
          </cell>
          <cell r="K1146" t="str">
            <v/>
          </cell>
          <cell r="L1146">
            <v>-498.28061000000002</v>
          </cell>
          <cell r="M1146">
            <v>-178.91093000000001</v>
          </cell>
          <cell r="N1146">
            <v>-357.14303000000001</v>
          </cell>
          <cell r="O1146">
            <v>-533.62044000000003</v>
          </cell>
          <cell r="P1146">
            <v>-709.98222999999996</v>
          </cell>
          <cell r="Q1146">
            <v>-885.01251999999999</v>
          </cell>
          <cell r="R1146">
            <v>-1060.66677</v>
          </cell>
          <cell r="S1146">
            <v>-1236.3605600000001</v>
          </cell>
          <cell r="T1146">
            <v>-1412.1948400000001</v>
          </cell>
          <cell r="U1146">
            <v>-1589.1496299999999</v>
          </cell>
          <cell r="V1146">
            <v>-1767.02414</v>
          </cell>
          <cell r="W1146">
            <v>-1939.8718899999999</v>
          </cell>
          <cell r="X1146">
            <v>-2113.6346699999999</v>
          </cell>
          <cell r="Y1146">
            <v>-1081.324552</v>
          </cell>
        </row>
        <row r="1147">
          <cell r="B1147">
            <v>456426</v>
          </cell>
          <cell r="C1147" t="str">
            <v>NOT USED</v>
          </cell>
          <cell r="D1147" t="str">
            <v>ELEC REV-ESCO FOR BILLING CHARGE</v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I1147" t="str">
            <v/>
          </cell>
          <cell r="J1147" t="str">
            <v/>
          </cell>
          <cell r="K1147" t="str">
            <v/>
          </cell>
          <cell r="L1147">
            <v>-163.26861</v>
          </cell>
          <cell r="M1147">
            <v>-69.546149999999997</v>
          </cell>
          <cell r="N1147">
            <v>-133.28900999999999</v>
          </cell>
          <cell r="O1147">
            <v>-196.11398</v>
          </cell>
          <cell r="P1147">
            <v>-254.75178</v>
          </cell>
          <cell r="Q1147">
            <v>-310.01722999999998</v>
          </cell>
          <cell r="R1147">
            <v>-375.08492999999999</v>
          </cell>
          <cell r="S1147">
            <v>-447.83683000000002</v>
          </cell>
          <cell r="T1147">
            <v>-521.01674000000003</v>
          </cell>
          <cell r="U1147">
            <v>-556.21932000000004</v>
          </cell>
          <cell r="V1147">
            <v>-555.60001999999997</v>
          </cell>
          <cell r="W1147">
            <v>-555.66263000000004</v>
          </cell>
          <cell r="X1147">
            <v>-555.45874000000003</v>
          </cell>
          <cell r="Y1147">
            <v>-361.20852500000001</v>
          </cell>
        </row>
        <row r="1148">
          <cell r="B1148">
            <v>456430</v>
          </cell>
          <cell r="C1148" t="str">
            <v>NOT USED</v>
          </cell>
          <cell r="D1148" t="str">
            <v>ELEC REV-OTH</v>
          </cell>
          <cell r="E1148" t="str">
            <v/>
          </cell>
          <cell r="F1148" t="str">
            <v/>
          </cell>
          <cell r="G1148" t="str">
            <v/>
          </cell>
          <cell r="H1148" t="str">
            <v/>
          </cell>
          <cell r="I1148" t="str">
            <v/>
          </cell>
          <cell r="J1148" t="str">
            <v/>
          </cell>
          <cell r="K1148" t="str">
            <v/>
          </cell>
          <cell r="L1148">
            <v>-1400.64156</v>
          </cell>
          <cell r="M1148">
            <v>-5.3963299999999998</v>
          </cell>
          <cell r="N1148">
            <v>-9.6960899999999999</v>
          </cell>
          <cell r="O1148">
            <v>-13.21411</v>
          </cell>
          <cell r="P1148">
            <v>-18.861370000000001</v>
          </cell>
          <cell r="Q1148">
            <v>-23.032219999999999</v>
          </cell>
          <cell r="R1148">
            <v>-29.117470000000001</v>
          </cell>
          <cell r="S1148">
            <v>-33.311610000000002</v>
          </cell>
          <cell r="T1148">
            <v>-36.445329999999998</v>
          </cell>
          <cell r="U1148">
            <v>-46.800960000000003</v>
          </cell>
          <cell r="V1148">
            <v>-47.663429999999998</v>
          </cell>
          <cell r="W1148">
            <v>-62.709530000000001</v>
          </cell>
          <cell r="X1148">
            <v>-63.292430000000003</v>
          </cell>
          <cell r="Y1148">
            <v>-88.184619999999995</v>
          </cell>
        </row>
        <row r="1149">
          <cell r="B1149">
            <v>456431</v>
          </cell>
          <cell r="C1149" t="str">
            <v>NOT USED</v>
          </cell>
          <cell r="D1149" t="str">
            <v>ELEC REV-OTHER-COMMODITY</v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/>
          </cell>
          <cell r="L1149">
            <v>10174.282440000001</v>
          </cell>
          <cell r="M1149">
            <v>5085.59447</v>
          </cell>
          <cell r="N1149">
            <v>-670.85450000000003</v>
          </cell>
          <cell r="O1149">
            <v>-5223.4221900000002</v>
          </cell>
          <cell r="P1149">
            <v>-6947.7621099999997</v>
          </cell>
          <cell r="Q1149">
            <v>-6056.9582</v>
          </cell>
          <cell r="R1149">
            <v>-6495.0397499999999</v>
          </cell>
          <cell r="S1149">
            <v>-3829.5737600000002</v>
          </cell>
          <cell r="T1149">
            <v>-5624.0458500000004</v>
          </cell>
          <cell r="U1149">
            <v>-5878.5740599999999</v>
          </cell>
          <cell r="V1149">
            <v>-9640.7332900000001</v>
          </cell>
          <cell r="W1149">
            <v>-10812.279189999999</v>
          </cell>
          <cell r="X1149">
            <v>-11586.96348</v>
          </cell>
          <cell r="Y1149">
            <v>-4733.3324130000001</v>
          </cell>
        </row>
        <row r="1150">
          <cell r="B1150">
            <v>456432</v>
          </cell>
          <cell r="C1150" t="str">
            <v>NOT USED</v>
          </cell>
          <cell r="D1150" t="str">
            <v>ELEC REV-OTHER SUPPLY</v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>
            <v>-3216.63805</v>
          </cell>
          <cell r="M1150">
            <v>806.03151000000003</v>
          </cell>
          <cell r="N1150">
            <v>-2340.7463499999999</v>
          </cell>
          <cell r="O1150">
            <v>-1820.2835500000001</v>
          </cell>
          <cell r="P1150">
            <v>-589.97370000000001</v>
          </cell>
          <cell r="Q1150">
            <v>439.60629999999998</v>
          </cell>
          <cell r="R1150">
            <v>1123.29901</v>
          </cell>
          <cell r="S1150">
            <v>-740.46108000000004</v>
          </cell>
          <cell r="T1150">
            <v>-2519.8085799999999</v>
          </cell>
          <cell r="U1150">
            <v>-3260.2352700000001</v>
          </cell>
          <cell r="V1150">
            <v>-756.70564000000002</v>
          </cell>
          <cell r="W1150">
            <v>3159.0161899999998</v>
          </cell>
          <cell r="X1150">
            <v>3598.4083500000002</v>
          </cell>
          <cell r="Y1150">
            <v>-525.78133400000002</v>
          </cell>
        </row>
        <row r="1151">
          <cell r="B1151">
            <v>456654</v>
          </cell>
          <cell r="C1151" t="str">
            <v>NOT USED</v>
          </cell>
          <cell r="D1151" t="str">
            <v>ELEC REV-OTH-EPO</v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/>
          </cell>
          <cell r="L1151">
            <v>-45.912999999999997</v>
          </cell>
          <cell r="M1151">
            <v>-4.0979999999999999</v>
          </cell>
          <cell r="N1151">
            <v>-8</v>
          </cell>
          <cell r="O1151">
            <v>-11.901999999999999</v>
          </cell>
          <cell r="P1151">
            <v>-14.116</v>
          </cell>
          <cell r="Q1151">
            <v>-18.356000000000002</v>
          </cell>
          <cell r="R1151">
            <v>-22.248000000000001</v>
          </cell>
          <cell r="S1151">
            <v>-25.792000000000002</v>
          </cell>
          <cell r="T1151">
            <v>-30.071999999999999</v>
          </cell>
          <cell r="U1151">
            <v>-34.518999999999998</v>
          </cell>
          <cell r="V1151">
            <v>-38.930999999999997</v>
          </cell>
          <cell r="W1151">
            <v>-43.008000000000003</v>
          </cell>
          <cell r="X1151">
            <v>-46.728999999999999</v>
          </cell>
          <cell r="Y1151">
            <v>-24.780249999999999</v>
          </cell>
        </row>
        <row r="1152">
          <cell r="B1152">
            <v>456655</v>
          </cell>
          <cell r="C1152" t="str">
            <v>NOT USED</v>
          </cell>
          <cell r="D1152" t="str">
            <v>ELEC REV-OTH-GREEN POWER PROGRAM</v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</row>
        <row r="1153">
          <cell r="B1153">
            <v>456656</v>
          </cell>
          <cell r="C1153" t="str">
            <v>NOT USED</v>
          </cell>
          <cell r="D1153" t="str">
            <v>ELEC REV-OTH-KYZ PULSES</v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/>
          </cell>
          <cell r="L1153">
            <v>-1.95</v>
          </cell>
          <cell r="M1153">
            <v>-1.3520000000000001</v>
          </cell>
          <cell r="N1153">
            <v>-1.3520000000000001</v>
          </cell>
          <cell r="O1153">
            <v>-2.0539999999999998</v>
          </cell>
          <cell r="P1153">
            <v>-4.6539999999999999</v>
          </cell>
          <cell r="Q1153">
            <v>-4.6539999999999999</v>
          </cell>
          <cell r="R1153">
            <v>-6.0060000000000002</v>
          </cell>
          <cell r="S1153">
            <v>-6.0060000000000002</v>
          </cell>
          <cell r="T1153">
            <v>-6.0060000000000002</v>
          </cell>
          <cell r="U1153">
            <v>-6.0060000000000002</v>
          </cell>
          <cell r="V1153">
            <v>-6.0060000000000002</v>
          </cell>
          <cell r="W1153">
            <v>-6.0060000000000002</v>
          </cell>
          <cell r="X1153">
            <v>-6.0060000000000002</v>
          </cell>
          <cell r="Y1153">
            <v>-4.5066670000000002</v>
          </cell>
        </row>
        <row r="1154">
          <cell r="B1154">
            <v>456662</v>
          </cell>
          <cell r="C1154" t="str">
            <v>NOT USED</v>
          </cell>
          <cell r="D1154" t="str">
            <v>ELEC REV-OTH-ISO-TCC REVENUE</v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/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</row>
        <row r="1155">
          <cell r="B1155">
            <v>456663</v>
          </cell>
          <cell r="C1155" t="str">
            <v>NOT USED</v>
          </cell>
          <cell r="D1155" t="str">
            <v>ELEC REV-OTH-ISO-TCC AUCTION</v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/>
          </cell>
          <cell r="L1155">
            <v>-322.78467999999998</v>
          </cell>
          <cell r="M1155">
            <v>-51.151090000000003</v>
          </cell>
          <cell r="N1155">
            <v>-106.65012</v>
          </cell>
          <cell r="O1155">
            <v>-157.87343000000001</v>
          </cell>
          <cell r="P1155">
            <v>-209.03762</v>
          </cell>
          <cell r="Q1155">
            <v>-230.10991999999999</v>
          </cell>
          <cell r="R1155">
            <v>-250.92313999999999</v>
          </cell>
          <cell r="S1155">
            <v>-271.88803999999999</v>
          </cell>
          <cell r="T1155">
            <v>-292.99925999999999</v>
          </cell>
          <cell r="U1155">
            <v>-313.81247999999999</v>
          </cell>
          <cell r="V1155">
            <v>-337.63771000000003</v>
          </cell>
          <cell r="W1155">
            <v>-344.97847000000002</v>
          </cell>
          <cell r="X1155">
            <v>-351.88083</v>
          </cell>
          <cell r="Y1155">
            <v>-242.032836</v>
          </cell>
        </row>
        <row r="1156">
          <cell r="B1156">
            <v>456664</v>
          </cell>
          <cell r="C1156" t="str">
            <v>NOT USED</v>
          </cell>
          <cell r="D1156" t="str">
            <v>ELEC REV-OTH-ISO CONGESTION BALANCING</v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/>
          </cell>
          <cell r="L1156">
            <v>55.167879999999997</v>
          </cell>
          <cell r="M1156">
            <v>29.204080000000001</v>
          </cell>
          <cell r="N1156">
            <v>43.010060000000003</v>
          </cell>
          <cell r="O1156">
            <v>44.544580000000003</v>
          </cell>
          <cell r="P1156">
            <v>47.407170000000001</v>
          </cell>
          <cell r="Q1156">
            <v>60.445520000000002</v>
          </cell>
          <cell r="R1156">
            <v>59.800249999999998</v>
          </cell>
          <cell r="S1156">
            <v>57.522640000000003</v>
          </cell>
          <cell r="T1156">
            <v>51.040990000000001</v>
          </cell>
          <cell r="U1156">
            <v>52.006369999999997</v>
          </cell>
          <cell r="V1156">
            <v>53.054450000000003</v>
          </cell>
          <cell r="W1156">
            <v>50.51614</v>
          </cell>
          <cell r="X1156">
            <v>53.700920000000004</v>
          </cell>
          <cell r="Y1156">
            <v>50.248888000000001</v>
          </cell>
        </row>
        <row r="1157">
          <cell r="B1157">
            <v>456665</v>
          </cell>
          <cell r="C1157" t="str">
            <v>NOT USED</v>
          </cell>
          <cell r="D1157" t="str">
            <v>ELEC REV-OTH-ISO TSC EXPORT</v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N1157">
            <v>39.242959999999997</v>
          </cell>
          <cell r="O1157">
            <v>39.242959999999997</v>
          </cell>
          <cell r="P1157">
            <v>39.242959999999997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9.8107399999999991</v>
          </cell>
        </row>
        <row r="1158">
          <cell r="B1158">
            <v>456705</v>
          </cell>
          <cell r="C1158" t="str">
            <v>NOT USED</v>
          </cell>
          <cell r="D1158" t="str">
            <v>OTHER ELECTRIC REVENUES -DELIVERY SQPP</v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/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5000</v>
          </cell>
          <cell r="X1158">
            <v>0</v>
          </cell>
          <cell r="Y1158">
            <v>416.66666700000002</v>
          </cell>
        </row>
        <row r="1159">
          <cell r="B1159">
            <v>456709</v>
          </cell>
          <cell r="C1159" t="str">
            <v>NOT USED</v>
          </cell>
          <cell r="D1159" t="str">
            <v>OTHER ELEC REV - ECONOMIC DEVELOPMENT CIAC</v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/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7.5720000000000001</v>
          </cell>
          <cell r="T1159">
            <v>7.5720000000000001</v>
          </cell>
          <cell r="U1159">
            <v>7.5720000000000001</v>
          </cell>
          <cell r="V1159">
            <v>7.5720000000000001</v>
          </cell>
          <cell r="W1159">
            <v>7.5720000000000001</v>
          </cell>
          <cell r="X1159">
            <v>7.5720000000000001</v>
          </cell>
          <cell r="Y1159">
            <v>3.4704999999999999</v>
          </cell>
        </row>
        <row r="1160">
          <cell r="B1160">
            <v>480100</v>
          </cell>
          <cell r="C1160" t="str">
            <v>NOT USED</v>
          </cell>
          <cell r="D1160" t="str">
            <v>GAS REVENUE - RESIDENTIAL-REGULAR</v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</row>
        <row r="1161">
          <cell r="B1161">
            <v>480120</v>
          </cell>
          <cell r="C1161" t="str">
            <v>NOT USED</v>
          </cell>
          <cell r="D1161" t="str">
            <v>GAS REVENUE-BUNDLED-RESIDENTIAL-DELIVERY</v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/>
          </cell>
          <cell r="L1161">
            <v>-73951.918529999995</v>
          </cell>
          <cell r="M1161">
            <v>-9580.6125599999996</v>
          </cell>
          <cell r="N1161">
            <v>-19153.974149999998</v>
          </cell>
          <cell r="O1161">
            <v>-27603.28098</v>
          </cell>
          <cell r="P1161">
            <v>-34922.553950000001</v>
          </cell>
          <cell r="Q1161">
            <v>-40616.948170000003</v>
          </cell>
          <cell r="R1161">
            <v>-45211.763400000003</v>
          </cell>
          <cell r="S1161">
            <v>-49371.243419999999</v>
          </cell>
          <cell r="T1161">
            <v>-53405.478080000001</v>
          </cell>
          <cell r="U1161">
            <v>-57648.16865</v>
          </cell>
          <cell r="V1161">
            <v>-62444.23401</v>
          </cell>
          <cell r="W1161">
            <v>-68545.161269999997</v>
          </cell>
          <cell r="X1161">
            <v>-76000.144249999998</v>
          </cell>
          <cell r="Y1161">
            <v>-45289.954168999997</v>
          </cell>
        </row>
        <row r="1162">
          <cell r="B1162">
            <v>480124</v>
          </cell>
          <cell r="C1162" t="str">
            <v>NOT USED</v>
          </cell>
          <cell r="D1162" t="str">
            <v>GAS REVENUE-BUNDLED-RESIDENTIAL-EEPS</v>
          </cell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/>
          </cell>
          <cell r="L1162">
            <v>-1857.6853900000001</v>
          </cell>
          <cell r="M1162">
            <v>-811.79643999999996</v>
          </cell>
          <cell r="N1162">
            <v>-1519.69875</v>
          </cell>
          <cell r="O1162">
            <v>-2094.14444</v>
          </cell>
          <cell r="P1162">
            <v>-2535.8759799999998</v>
          </cell>
          <cell r="Q1162">
            <v>-2790.7665200000001</v>
          </cell>
          <cell r="R1162">
            <v>-2918.7170500000002</v>
          </cell>
          <cell r="S1162">
            <v>-2997.18804</v>
          </cell>
          <cell r="T1162">
            <v>-3063.1676000000002</v>
          </cell>
          <cell r="U1162">
            <v>-3142.01962</v>
          </cell>
          <cell r="V1162">
            <v>-3268.18694</v>
          </cell>
          <cell r="W1162">
            <v>-3526.3557500000002</v>
          </cell>
          <cell r="X1162">
            <v>-3917.2006799999999</v>
          </cell>
          <cell r="Y1162">
            <v>-2629.613347</v>
          </cell>
        </row>
        <row r="1163">
          <cell r="B1163">
            <v>480125</v>
          </cell>
          <cell r="C1163" t="str">
            <v>NOT USED</v>
          </cell>
          <cell r="D1163" t="str">
            <v>GAS REVENUE-BUNDLED-RESIDENTIAL-UNBILLED DELIVERY</v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>
            <v>-665.52071999999998</v>
          </cell>
          <cell r="M1163">
            <v>-271.02539999999999</v>
          </cell>
          <cell r="N1163">
            <v>448.30462999999997</v>
          </cell>
          <cell r="O1163">
            <v>1146.09157</v>
          </cell>
          <cell r="P1163">
            <v>2511.4691600000001</v>
          </cell>
          <cell r="Q1163">
            <v>3288.72001</v>
          </cell>
          <cell r="R1163">
            <v>4107.8190100000002</v>
          </cell>
          <cell r="S1163">
            <v>4245.3759700000001</v>
          </cell>
          <cell r="T1163">
            <v>3857.3517700000002</v>
          </cell>
          <cell r="U1163">
            <v>3817.9228600000001</v>
          </cell>
          <cell r="V1163">
            <v>2863.2270899999999</v>
          </cell>
          <cell r="W1163">
            <v>2043.28856</v>
          </cell>
          <cell r="X1163">
            <v>753.57438999999999</v>
          </cell>
          <cell r="Y1163">
            <v>2341.8810050000002</v>
          </cell>
        </row>
        <row r="1164">
          <cell r="B1164">
            <v>480126</v>
          </cell>
          <cell r="C1164" t="str">
            <v>NOT USED</v>
          </cell>
          <cell r="D1164" t="str">
            <v>GAS REVENUE-BUNDLED-RESIDENTIAL SURCHARGE</v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>
            <v>-4922.3293599999997</v>
          </cell>
          <cell r="M1164">
            <v>-1027.88966</v>
          </cell>
          <cell r="N1164">
            <v>-2060.2481499999999</v>
          </cell>
          <cell r="O1164">
            <v>-2897.4777800000002</v>
          </cell>
          <cell r="P1164">
            <v>-3541.0488799999998</v>
          </cell>
          <cell r="Q1164">
            <v>-3912.3485700000001</v>
          </cell>
          <cell r="R1164">
            <v>-4240.2716499999997</v>
          </cell>
          <cell r="S1164">
            <v>-4579.2404500000002</v>
          </cell>
          <cell r="T1164">
            <v>-4858.52513</v>
          </cell>
          <cell r="U1164">
            <v>-5185.3978200000001</v>
          </cell>
          <cell r="V1164">
            <v>-5475.8273799999997</v>
          </cell>
          <cell r="W1164">
            <v>-5825.6953100000001</v>
          </cell>
          <cell r="X1164">
            <v>-6341.9618600000003</v>
          </cell>
          <cell r="Y1164">
            <v>-4103.0096990000002</v>
          </cell>
        </row>
        <row r="1165">
          <cell r="B1165">
            <v>480130</v>
          </cell>
          <cell r="C1165" t="str">
            <v>NOT USED</v>
          </cell>
          <cell r="D1165" t="str">
            <v>GAS REVENUE - BUNDLED-RESIDENTIAL-COMMODITY</v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>
            <v>-137166.93534</v>
          </cell>
          <cell r="M1165">
            <v>-25170.652290000002</v>
          </cell>
          <cell r="N1165">
            <v>-49896.78875</v>
          </cell>
          <cell r="O1165">
            <v>-69479.452929999999</v>
          </cell>
          <cell r="P1165">
            <v>-84226.459709999996</v>
          </cell>
          <cell r="Q1165">
            <v>-93005.319109999997</v>
          </cell>
          <cell r="R1165">
            <v>-97471.433359999995</v>
          </cell>
          <cell r="S1165">
            <v>-100110.98797</v>
          </cell>
          <cell r="T1165">
            <v>-102299.52458</v>
          </cell>
          <cell r="U1165">
            <v>-104837.35286</v>
          </cell>
          <cell r="V1165">
            <v>-108741.06359999999</v>
          </cell>
          <cell r="W1165">
            <v>-116753.86261</v>
          </cell>
          <cell r="X1165">
            <v>-129097.28697</v>
          </cell>
          <cell r="Y1165">
            <v>-90427.084077000007</v>
          </cell>
        </row>
        <row r="1166">
          <cell r="B1166">
            <v>480134</v>
          </cell>
          <cell r="C1166" t="str">
            <v>NOT USED</v>
          </cell>
          <cell r="D1166" t="str">
            <v>GAS REVENUE-BUNDLED-RESIDENTIAL-WNA</v>
          </cell>
          <cell r="E1166" t="str">
            <v/>
          </cell>
          <cell r="F1166" t="str">
            <v/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/>
          </cell>
          <cell r="L1166">
            <v>-454.54374000000001</v>
          </cell>
          <cell r="M1166">
            <v>534.26592000000005</v>
          </cell>
          <cell r="N1166">
            <v>918.75160000000005</v>
          </cell>
          <cell r="O1166">
            <v>936.34478999999999</v>
          </cell>
          <cell r="P1166">
            <v>1181.5819300000001</v>
          </cell>
          <cell r="Q1166">
            <v>1340.5246999999999</v>
          </cell>
          <cell r="R1166">
            <v>1135.1792600000001</v>
          </cell>
          <cell r="S1166">
            <v>1137.7634700000001</v>
          </cell>
          <cell r="T1166">
            <v>1138.61824</v>
          </cell>
          <cell r="U1166">
            <v>1138.78505</v>
          </cell>
          <cell r="V1166">
            <v>989.32740999999999</v>
          </cell>
          <cell r="W1166">
            <v>830.85392999999999</v>
          </cell>
          <cell r="X1166">
            <v>153.82998000000001</v>
          </cell>
          <cell r="Y1166">
            <v>927.636618</v>
          </cell>
        </row>
        <row r="1167">
          <cell r="B1167">
            <v>480135</v>
          </cell>
          <cell r="C1167" t="str">
            <v>NOT USED</v>
          </cell>
          <cell r="D1167" t="str">
            <v>GAS REVENUE-BUNDLED-RESIDENTIAL-UNBILLED COMMODIT</v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/>
          </cell>
          <cell r="L1167">
            <v>-1846.25191</v>
          </cell>
          <cell r="M1167">
            <v>-337.64141000000001</v>
          </cell>
          <cell r="N1167">
            <v>2666.6123499999999</v>
          </cell>
          <cell r="O1167">
            <v>4984.1063400000003</v>
          </cell>
          <cell r="P1167">
            <v>9765.9133000000002</v>
          </cell>
          <cell r="Q1167">
            <v>13094.15919</v>
          </cell>
          <cell r="R1167">
            <v>15298.85297</v>
          </cell>
          <cell r="S1167">
            <v>15721.38444</v>
          </cell>
          <cell r="T1167">
            <v>14649.334279999999</v>
          </cell>
          <cell r="U1167">
            <v>14797.78224</v>
          </cell>
          <cell r="V1167">
            <v>12026.203509999999</v>
          </cell>
          <cell r="W1167">
            <v>10636.12048</v>
          </cell>
          <cell r="X1167">
            <v>7113.8043399999997</v>
          </cell>
          <cell r="Y1167">
            <v>9661.3836589999992</v>
          </cell>
        </row>
        <row r="1168">
          <cell r="B1168">
            <v>480140</v>
          </cell>
          <cell r="C1168" t="str">
            <v>NOT USED</v>
          </cell>
          <cell r="D1168" t="str">
            <v>GAS REVENUE-BUNDLED-RESIDENTIAL-MFC</v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>
            <v>-6905.5522199999996</v>
          </cell>
          <cell r="M1168">
            <v>-1868.10302</v>
          </cell>
          <cell r="N1168">
            <v>-3733.6149999999998</v>
          </cell>
          <cell r="O1168">
            <v>-5236.5705399999997</v>
          </cell>
          <cell r="P1168">
            <v>-6384.6088</v>
          </cell>
          <cell r="Q1168">
            <v>-7053.0141700000004</v>
          </cell>
          <cell r="R1168">
            <v>-7389.84717</v>
          </cell>
          <cell r="S1168">
            <v>-7594.0540600000004</v>
          </cell>
          <cell r="T1168">
            <v>-7765.0603499999997</v>
          </cell>
          <cell r="U1168">
            <v>-7955.4321</v>
          </cell>
          <cell r="V1168">
            <v>-8241.4850000000006</v>
          </cell>
          <cell r="W1168">
            <v>-8810.0600699999995</v>
          </cell>
          <cell r="X1168">
            <v>-9647.9741699999995</v>
          </cell>
          <cell r="Y1168">
            <v>-6692.3844559999998</v>
          </cell>
        </row>
        <row r="1169">
          <cell r="B1169">
            <v>480173</v>
          </cell>
          <cell r="C1169" t="str">
            <v>NOT USED</v>
          </cell>
          <cell r="D1169" t="str">
            <v>GAS REVENUE-BUNDLED-RESIDENTIAL-GRT DELIVERY</v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/>
          </cell>
          <cell r="L1169">
            <v>-2382.4746599999999</v>
          </cell>
          <cell r="M1169">
            <v>-318.23397</v>
          </cell>
          <cell r="N1169">
            <v>-639.36261999999999</v>
          </cell>
          <cell r="O1169">
            <v>-927.90427</v>
          </cell>
          <cell r="P1169">
            <v>-1166.71838</v>
          </cell>
          <cell r="Q1169">
            <v>-1346.48804</v>
          </cell>
          <cell r="R1169">
            <v>-1498.9690499999999</v>
          </cell>
          <cell r="S1169">
            <v>-1630.81369</v>
          </cell>
          <cell r="T1169">
            <v>-1757.07402</v>
          </cell>
          <cell r="U1169">
            <v>-1891.6080300000001</v>
          </cell>
          <cell r="V1169">
            <v>-2047.5218299999999</v>
          </cell>
          <cell r="W1169">
            <v>-2247.5069600000002</v>
          </cell>
          <cell r="X1169">
            <v>-2510.6716700000002</v>
          </cell>
          <cell r="Y1169">
            <v>-1493.2311689999999</v>
          </cell>
        </row>
        <row r="1170">
          <cell r="B1170">
            <v>480174</v>
          </cell>
          <cell r="C1170" t="str">
            <v>NOT USED</v>
          </cell>
          <cell r="D1170" t="str">
            <v>GAS REVENUE-BUNDLED-RESIDENTIAL-GRT COMMODITY</v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/>
          </cell>
          <cell r="L1170">
            <v>-1272.19642</v>
          </cell>
          <cell r="M1170">
            <v>-236.36434</v>
          </cell>
          <cell r="N1170">
            <v>-472.74524000000002</v>
          </cell>
          <cell r="O1170">
            <v>-659.81320000000005</v>
          </cell>
          <cell r="P1170">
            <v>-801.64152999999999</v>
          </cell>
          <cell r="Q1170">
            <v>-885.56253000000004</v>
          </cell>
          <cell r="R1170">
            <v>-929.00863000000004</v>
          </cell>
          <cell r="S1170">
            <v>-953.24203999999997</v>
          </cell>
          <cell r="T1170">
            <v>-973.50540999999998</v>
          </cell>
          <cell r="U1170">
            <v>-997.19446000000005</v>
          </cell>
          <cell r="V1170">
            <v>-1034.2634800000001</v>
          </cell>
          <cell r="W1170">
            <v>-1108.06142</v>
          </cell>
          <cell r="X1170">
            <v>-1222.5192099999999</v>
          </cell>
          <cell r="Y1170">
            <v>-858.230008</v>
          </cell>
        </row>
        <row r="1171">
          <cell r="B1171">
            <v>480500</v>
          </cell>
          <cell r="C1171" t="str">
            <v>NOT USED</v>
          </cell>
          <cell r="D1171" t="str">
            <v>GAS REVENUE - RETAIL-UNBILLED</v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/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</row>
        <row r="1172">
          <cell r="B1172">
            <v>481100</v>
          </cell>
          <cell r="C1172" t="str">
            <v>NOT USED</v>
          </cell>
          <cell r="D1172" t="str">
            <v>GAS REVENUE - COMMERCIAL-REGULAR</v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/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</row>
        <row r="1173">
          <cell r="B1173">
            <v>481110</v>
          </cell>
          <cell r="C1173" t="str">
            <v>NOT USED</v>
          </cell>
          <cell r="D1173" t="str">
            <v>GAS REVENUE-BUNDLED-COMMERCIAL-EC DEV CREDITS</v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/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</row>
        <row r="1174">
          <cell r="B1174">
            <v>481120</v>
          </cell>
          <cell r="C1174" t="str">
            <v>NOT USED</v>
          </cell>
          <cell r="D1174" t="str">
            <v>GAS REVENUE-BUNDLED - COMMERCIAL-DELIVERY</v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/>
          </cell>
          <cell r="L1174">
            <v>-6669.1155500000004</v>
          </cell>
          <cell r="M1174">
            <v>-972.81060000000002</v>
          </cell>
          <cell r="N1174">
            <v>-1961.56979</v>
          </cell>
          <cell r="O1174">
            <v>-2827.81158</v>
          </cell>
          <cell r="P1174">
            <v>-3513.58691</v>
          </cell>
          <cell r="Q1174">
            <v>-3995.1216300000001</v>
          </cell>
          <cell r="R1174">
            <v>-4342.5625600000003</v>
          </cell>
          <cell r="S1174">
            <v>-4642.2822299999998</v>
          </cell>
          <cell r="T1174">
            <v>-4929.2613899999997</v>
          </cell>
          <cell r="U1174">
            <v>-5243.7707799999998</v>
          </cell>
          <cell r="V1174">
            <v>-5628.4341400000003</v>
          </cell>
          <cell r="W1174">
            <v>-6171.5395699999999</v>
          </cell>
          <cell r="X1174">
            <v>-6892.6101500000004</v>
          </cell>
          <cell r="Y1174">
            <v>-4250.8011690000003</v>
          </cell>
        </row>
        <row r="1175">
          <cell r="B1175">
            <v>481124</v>
          </cell>
          <cell r="C1175" t="str">
            <v>NOT USED</v>
          </cell>
          <cell r="D1175" t="str">
            <v>GAS REVENUE-BUNDLED - COMMERCIAL-EEPS</v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/>
          </cell>
          <cell r="L1175">
            <v>-273.49322999999998</v>
          </cell>
          <cell r="M1175">
            <v>-121.17949</v>
          </cell>
          <cell r="N1175">
            <v>-230.1551</v>
          </cell>
          <cell r="O1175">
            <v>-319.36538000000002</v>
          </cell>
          <cell r="P1175">
            <v>-382.98115000000001</v>
          </cell>
          <cell r="Q1175">
            <v>-418.2432</v>
          </cell>
          <cell r="R1175">
            <v>-436.96600999999998</v>
          </cell>
          <cell r="S1175">
            <v>-450.26224999999999</v>
          </cell>
          <cell r="T1175">
            <v>-462.12275</v>
          </cell>
          <cell r="U1175">
            <v>-475.78973999999999</v>
          </cell>
          <cell r="V1175">
            <v>-496.14713</v>
          </cell>
          <cell r="W1175">
            <v>-536.19916999999998</v>
          </cell>
          <cell r="X1175">
            <v>-595.74441999999999</v>
          </cell>
          <cell r="Y1175">
            <v>-397.00251600000001</v>
          </cell>
        </row>
        <row r="1176">
          <cell r="B1176">
            <v>481125</v>
          </cell>
          <cell r="C1176" t="str">
            <v>NOT USED</v>
          </cell>
          <cell r="D1176" t="str">
            <v>GAS REVENUE-BUNDLED-COMMERCIAL-UNBILLED DELIVERY</v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/>
          </cell>
          <cell r="L1176">
            <v>-101.94199999999999</v>
          </cell>
          <cell r="M1176">
            <v>-67.688000000000002</v>
          </cell>
          <cell r="N1176">
            <v>-7.1537499999999996</v>
          </cell>
          <cell r="O1176">
            <v>82.698840000000004</v>
          </cell>
          <cell r="P1176">
            <v>231.62626</v>
          </cell>
          <cell r="Q1176">
            <v>269.49488000000002</v>
          </cell>
          <cell r="R1176">
            <v>405.18106999999998</v>
          </cell>
          <cell r="S1176">
            <v>428.31752</v>
          </cell>
          <cell r="T1176">
            <v>375.18058000000002</v>
          </cell>
          <cell r="U1176">
            <v>372.94763999999998</v>
          </cell>
          <cell r="V1176">
            <v>276.90564999999998</v>
          </cell>
          <cell r="W1176">
            <v>136.23518000000001</v>
          </cell>
          <cell r="X1176">
            <v>-23.145009999999999</v>
          </cell>
          <cell r="Y1176">
            <v>203.43352999999999</v>
          </cell>
        </row>
        <row r="1177">
          <cell r="B1177">
            <v>481126</v>
          </cell>
          <cell r="C1177" t="str">
            <v>NOT USED</v>
          </cell>
          <cell r="D1177" t="str">
            <v>GAS REVENUE-BUNDLED-COMMERCIAL-SURCHARGE</v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/>
          </cell>
          <cell r="L1177">
            <v>-754.43840999999998</v>
          </cell>
          <cell r="M1177">
            <v>-155.27269999999999</v>
          </cell>
          <cell r="N1177">
            <v>-314.25547</v>
          </cell>
          <cell r="O1177">
            <v>-444.28654</v>
          </cell>
          <cell r="P1177">
            <v>-536.94939999999997</v>
          </cell>
          <cell r="Q1177">
            <v>-588.32759999999996</v>
          </cell>
          <cell r="R1177">
            <v>-615.63631999999996</v>
          </cell>
          <cell r="S1177">
            <v>-635.01084000000003</v>
          </cell>
          <cell r="T1177">
            <v>-652.29830000000004</v>
          </cell>
          <cell r="U1177">
            <v>-672.26278000000002</v>
          </cell>
          <cell r="V1177">
            <v>-701.89076</v>
          </cell>
          <cell r="W1177">
            <v>-757.12532999999996</v>
          </cell>
          <cell r="X1177">
            <v>-835.29877999999997</v>
          </cell>
          <cell r="Y1177">
            <v>-572.34871999999996</v>
          </cell>
        </row>
        <row r="1178">
          <cell r="B1178">
            <v>481130</v>
          </cell>
          <cell r="C1178" t="str">
            <v>NOT USED</v>
          </cell>
          <cell r="D1178" t="str">
            <v>GAS REVENUE-BUNDLED-COMMERCIAL-COMMODITY</v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/>
          </cell>
          <cell r="L1178">
            <v>-20932.743009999998</v>
          </cell>
          <cell r="M1178">
            <v>-3790.4703599999998</v>
          </cell>
          <cell r="N1178">
            <v>-7598.2959199999996</v>
          </cell>
          <cell r="O1178">
            <v>-10635.42763</v>
          </cell>
          <cell r="P1178">
            <v>-12762.291300000001</v>
          </cell>
          <cell r="Q1178">
            <v>-13979.37119</v>
          </cell>
          <cell r="R1178">
            <v>-14631.020140000001</v>
          </cell>
          <cell r="S1178">
            <v>-15078.490610000001</v>
          </cell>
          <cell r="T1178">
            <v>-15471.54621</v>
          </cell>
          <cell r="U1178">
            <v>-15913.47163</v>
          </cell>
          <cell r="V1178">
            <v>-16543.74955</v>
          </cell>
          <cell r="W1178">
            <v>-17791.068159999999</v>
          </cell>
          <cell r="X1178">
            <v>-19672.521229999998</v>
          </cell>
          <cell r="Y1178">
            <v>-13708.152902</v>
          </cell>
        </row>
        <row r="1179">
          <cell r="B1179">
            <v>481134</v>
          </cell>
          <cell r="C1179" t="str">
            <v>NOT USED</v>
          </cell>
          <cell r="D1179" t="str">
            <v>GAS REVENUE-BUNDLED-COMMERCIAL-WNA</v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 t="str">
            <v/>
          </cell>
          <cell r="J1179" t="str">
            <v/>
          </cell>
          <cell r="K1179" t="str">
            <v/>
          </cell>
          <cell r="L1179">
            <v>-47.250579999999999</v>
          </cell>
          <cell r="M1179">
            <v>57.790019999999998</v>
          </cell>
          <cell r="N1179">
            <v>101.20626</v>
          </cell>
          <cell r="O1179">
            <v>106.02032</v>
          </cell>
          <cell r="P1179">
            <v>131.40955</v>
          </cell>
          <cell r="Q1179">
            <v>144.49297999999999</v>
          </cell>
          <cell r="R1179">
            <v>126.23804</v>
          </cell>
          <cell r="S1179">
            <v>126.99151999999999</v>
          </cell>
          <cell r="T1179">
            <v>127.21979</v>
          </cell>
          <cell r="U1179">
            <v>127.2735</v>
          </cell>
          <cell r="V1179">
            <v>112.35441</v>
          </cell>
          <cell r="W1179">
            <v>94.412210000000002</v>
          </cell>
          <cell r="X1179">
            <v>20.58344</v>
          </cell>
          <cell r="Y1179">
            <v>103.506253</v>
          </cell>
        </row>
        <row r="1180">
          <cell r="B1180">
            <v>481135</v>
          </cell>
          <cell r="C1180" t="str">
            <v>NOT USED</v>
          </cell>
          <cell r="D1180" t="str">
            <v>GAS REVENUE-BUNDLED-COMMERCIAL-UNBILLED COMMODITY</v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 t="str">
            <v/>
          </cell>
          <cell r="J1180" t="str">
            <v/>
          </cell>
          <cell r="K1180" t="str">
            <v/>
          </cell>
          <cell r="L1180">
            <v>-248.35133999999999</v>
          </cell>
          <cell r="M1180">
            <v>-172.17711</v>
          </cell>
          <cell r="N1180">
            <v>173.45384000000001</v>
          </cell>
          <cell r="O1180">
            <v>530.53731000000005</v>
          </cell>
          <cell r="P1180">
            <v>1126.1043199999999</v>
          </cell>
          <cell r="Q1180">
            <v>1376.1016500000001</v>
          </cell>
          <cell r="R1180">
            <v>1758.6062400000001</v>
          </cell>
          <cell r="S1180">
            <v>1833.8967700000001</v>
          </cell>
          <cell r="T1180">
            <v>1651.3400799999999</v>
          </cell>
          <cell r="U1180">
            <v>1679.9857</v>
          </cell>
          <cell r="V1180">
            <v>1390.4211600000001</v>
          </cell>
          <cell r="W1180">
            <v>1046.81197</v>
          </cell>
          <cell r="X1180">
            <v>528.19844000000001</v>
          </cell>
          <cell r="Y1180">
            <v>1044.5837899999999</v>
          </cell>
        </row>
        <row r="1181">
          <cell r="B1181">
            <v>481140</v>
          </cell>
          <cell r="C1181" t="str">
            <v>NOT USED</v>
          </cell>
          <cell r="D1181" t="str">
            <v>GAS REVENUE-BUNDLED-COMMERCIAL-MFC</v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 t="str">
            <v/>
          </cell>
          <cell r="J1181" t="str">
            <v/>
          </cell>
          <cell r="K1181" t="str">
            <v/>
          </cell>
          <cell r="L1181">
            <v>-970.92656999999997</v>
          </cell>
          <cell r="M1181">
            <v>-219.2329</v>
          </cell>
          <cell r="N1181">
            <v>-443.55862999999999</v>
          </cell>
          <cell r="O1181">
            <v>-626.84825999999998</v>
          </cell>
          <cell r="P1181">
            <v>-756.99924999999996</v>
          </cell>
          <cell r="Q1181">
            <v>-829.39170999999999</v>
          </cell>
          <cell r="R1181">
            <v>-867.83507999999995</v>
          </cell>
          <cell r="S1181">
            <v>-895.04927999999995</v>
          </cell>
          <cell r="T1181">
            <v>-919.30051000000003</v>
          </cell>
          <cell r="U1181">
            <v>-945.95708999999999</v>
          </cell>
          <cell r="V1181">
            <v>-983.79079000000002</v>
          </cell>
          <cell r="W1181">
            <v>-1055.3679999999999</v>
          </cell>
          <cell r="X1181">
            <v>-1157.8744899999999</v>
          </cell>
          <cell r="Y1181">
            <v>-800.64433599999995</v>
          </cell>
        </row>
        <row r="1182">
          <cell r="B1182">
            <v>481173</v>
          </cell>
          <cell r="C1182" t="str">
            <v>NOT USED</v>
          </cell>
          <cell r="D1182" t="str">
            <v>GAS REVENUE-BUNDLED-COMMERCIAL-GRT DELIVERY</v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 t="str">
            <v/>
          </cell>
          <cell r="J1182" t="str">
            <v/>
          </cell>
          <cell r="K1182" t="str">
            <v/>
          </cell>
          <cell r="L1182">
            <v>-89.55265</v>
          </cell>
          <cell r="M1182">
            <v>-13.772449999999999</v>
          </cell>
          <cell r="N1182">
            <v>-27.93759</v>
          </cell>
          <cell r="O1182">
            <v>-40.622450000000001</v>
          </cell>
          <cell r="P1182">
            <v>-50.178550000000001</v>
          </cell>
          <cell r="Q1182">
            <v>-56.858530000000002</v>
          </cell>
          <cell r="R1182">
            <v>-61.639279999999999</v>
          </cell>
          <cell r="S1182">
            <v>-65.448520000000002</v>
          </cell>
          <cell r="T1182">
            <v>-69.049779999999998</v>
          </cell>
          <cell r="U1182">
            <v>-73.069699999999997</v>
          </cell>
          <cell r="V1182">
            <v>-78.249719999999996</v>
          </cell>
          <cell r="W1182">
            <v>-86.042320000000004</v>
          </cell>
          <cell r="X1182">
            <v>-97.085210000000004</v>
          </cell>
          <cell r="Y1182">
            <v>-59.682318000000002</v>
          </cell>
        </row>
        <row r="1183">
          <cell r="B1183">
            <v>481174</v>
          </cell>
          <cell r="C1183" t="str">
            <v>NOT USED</v>
          </cell>
          <cell r="D1183" t="str">
            <v>GAS REVENUE-BUNDLED-COMMERCIAL-GRT COMMODITY</v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 t="str">
            <v/>
          </cell>
          <cell r="J1183" t="str">
            <v/>
          </cell>
          <cell r="K1183" t="str">
            <v/>
          </cell>
          <cell r="L1183">
            <v>-246.90103999999999</v>
          </cell>
          <cell r="M1183">
            <v>-45.5184</v>
          </cell>
          <cell r="N1183">
            <v>-91.566969999999998</v>
          </cell>
          <cell r="O1183">
            <v>-128.80676</v>
          </cell>
          <cell r="P1183">
            <v>-155.32937000000001</v>
          </cell>
          <cell r="Q1183">
            <v>-170.99575999999999</v>
          </cell>
          <cell r="R1183">
            <v>-178.60389000000001</v>
          </cell>
          <cell r="S1183">
            <v>-183.68662</v>
          </cell>
          <cell r="T1183">
            <v>-188.07705000000001</v>
          </cell>
          <cell r="U1183">
            <v>-192.96110999999999</v>
          </cell>
          <cell r="V1183">
            <v>-200.00873000000001</v>
          </cell>
          <cell r="W1183">
            <v>-214.96207000000001</v>
          </cell>
          <cell r="X1183">
            <v>-237.83145999999999</v>
          </cell>
          <cell r="Y1183">
            <v>-166.07358199999999</v>
          </cell>
        </row>
        <row r="1184">
          <cell r="B1184">
            <v>481199</v>
          </cell>
          <cell r="C1184" t="str">
            <v>NOT USED</v>
          </cell>
          <cell r="D1184" t="str">
            <v>GAS REVENUE - INTERCOMPANY</v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 t="str">
            <v/>
          </cell>
          <cell r="J1184" t="str">
            <v/>
          </cell>
          <cell r="K1184" t="str">
            <v/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</row>
        <row r="1185">
          <cell r="B1185">
            <v>481300</v>
          </cell>
          <cell r="C1185" t="str">
            <v>NOT USED</v>
          </cell>
          <cell r="D1185" t="str">
            <v>GAS REVENUE - INDUSTRIAL-REGULAR</v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/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</row>
        <row r="1186">
          <cell r="B1186">
            <v>481420</v>
          </cell>
          <cell r="C1186" t="str">
            <v>NOT USED</v>
          </cell>
          <cell r="D1186" t="str">
            <v>GAS REVENUE-BUNDLED-INDUSTRIAL-DELIVERY</v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 t="str">
            <v/>
          </cell>
          <cell r="J1186" t="str">
            <v/>
          </cell>
          <cell r="K1186" t="str">
            <v/>
          </cell>
          <cell r="L1186">
            <v>-349.44531000000001</v>
          </cell>
          <cell r="M1186">
            <v>-68.082210000000003</v>
          </cell>
          <cell r="N1186">
            <v>-115.53740999999999</v>
          </cell>
          <cell r="O1186">
            <v>-172.40995000000001</v>
          </cell>
          <cell r="P1186">
            <v>-217.55267000000001</v>
          </cell>
          <cell r="Q1186">
            <v>-245.51577</v>
          </cell>
          <cell r="R1186">
            <v>-258.86878000000002</v>
          </cell>
          <cell r="S1186">
            <v>-274.10719999999998</v>
          </cell>
          <cell r="T1186">
            <v>-283.67926</v>
          </cell>
          <cell r="U1186">
            <v>-298.08076999999997</v>
          </cell>
          <cell r="V1186">
            <v>-303.35973000000001</v>
          </cell>
          <cell r="W1186">
            <v>-331.64675</v>
          </cell>
          <cell r="X1186">
            <v>-374.91201999999998</v>
          </cell>
          <cell r="Y1186">
            <v>-244.251597</v>
          </cell>
        </row>
        <row r="1187">
          <cell r="B1187">
            <v>481424</v>
          </cell>
          <cell r="C1187" t="str">
            <v>NOT USED</v>
          </cell>
          <cell r="D1187" t="str">
            <v>GAS REVENUE-BUNDLED-INDUSTRIAL-EEPS</v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 t="str">
            <v/>
          </cell>
          <cell r="J1187" t="str">
            <v/>
          </cell>
          <cell r="K1187" t="str">
            <v/>
          </cell>
          <cell r="L1187">
            <v>-19.37229</v>
          </cell>
          <cell r="M1187">
            <v>-13.189780000000001</v>
          </cell>
          <cell r="N1187">
            <v>-23.077950000000001</v>
          </cell>
          <cell r="O1187">
            <v>-32.14255</v>
          </cell>
          <cell r="P1187">
            <v>-39.187109999999997</v>
          </cell>
          <cell r="Q1187">
            <v>-43.267319999999998</v>
          </cell>
          <cell r="R1187">
            <v>-46.066490000000002</v>
          </cell>
          <cell r="S1187">
            <v>-48.148449999999997</v>
          </cell>
          <cell r="T1187">
            <v>-49.597949999999997</v>
          </cell>
          <cell r="U1187">
            <v>-51.450110000000002</v>
          </cell>
          <cell r="V1187">
            <v>-50.994070000000001</v>
          </cell>
          <cell r="W1187">
            <v>-54.529159999999997</v>
          </cell>
          <cell r="X1187">
            <v>-60.270099999999999</v>
          </cell>
          <cell r="Y1187">
            <v>-40.956010999999997</v>
          </cell>
        </row>
        <row r="1188">
          <cell r="B1188">
            <v>481425</v>
          </cell>
          <cell r="C1188" t="str">
            <v>NOT USED</v>
          </cell>
          <cell r="D1188" t="str">
            <v>GAS REVENUE-BUNDLED-INDUSTRIAL-UNBILLED DELIVERY</v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 t="str">
            <v/>
          </cell>
          <cell r="J1188" t="str">
            <v/>
          </cell>
          <cell r="K1188" t="str">
            <v/>
          </cell>
          <cell r="L1188">
            <v>-4.16439</v>
          </cell>
          <cell r="M1188">
            <v>-10.88359</v>
          </cell>
          <cell r="N1188">
            <v>-5.98888</v>
          </cell>
          <cell r="O1188">
            <v>4.48611</v>
          </cell>
          <cell r="P1188">
            <v>13.01801</v>
          </cell>
          <cell r="Q1188">
            <v>15.30401</v>
          </cell>
          <cell r="R1188">
            <v>26.693000000000001</v>
          </cell>
          <cell r="S1188">
            <v>27.799489999999999</v>
          </cell>
          <cell r="T1188">
            <v>25.128039999999999</v>
          </cell>
          <cell r="U1188">
            <v>25.597560000000001</v>
          </cell>
          <cell r="V1188">
            <v>14.85713</v>
          </cell>
          <cell r="W1188">
            <v>7.1842699999999997</v>
          </cell>
          <cell r="X1188">
            <v>-3.7376</v>
          </cell>
          <cell r="Y1188">
            <v>11.603680000000001</v>
          </cell>
        </row>
        <row r="1189">
          <cell r="B1189">
            <v>481426</v>
          </cell>
          <cell r="C1189" t="str">
            <v>NOT USED</v>
          </cell>
          <cell r="D1189" t="str">
            <v>GAS REVENUE-BUNDLED-INDUSTRIAL-SURCHARGE</v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 t="str">
            <v/>
          </cell>
          <cell r="J1189" t="str">
            <v/>
          </cell>
          <cell r="K1189" t="str">
            <v/>
          </cell>
          <cell r="L1189">
            <v>-59.704180000000001</v>
          </cell>
          <cell r="M1189">
            <v>-16.364699999999999</v>
          </cell>
          <cell r="N1189">
            <v>-30.862549999999999</v>
          </cell>
          <cell r="O1189">
            <v>-44.06812</v>
          </cell>
          <cell r="P1189">
            <v>-54.330800000000004</v>
          </cell>
          <cell r="Q1189">
            <v>-60.275280000000002</v>
          </cell>
          <cell r="R1189">
            <v>-64.353089999999995</v>
          </cell>
          <cell r="S1189">
            <v>-67.386070000000004</v>
          </cell>
          <cell r="T1189">
            <v>-69.492329999999995</v>
          </cell>
          <cell r="U1189">
            <v>-72.190539999999999</v>
          </cell>
          <cell r="V1189">
            <v>-71.526129999999995</v>
          </cell>
          <cell r="W1189">
            <v>-76.49042</v>
          </cell>
          <cell r="X1189">
            <v>-84.032219999999995</v>
          </cell>
          <cell r="Y1189">
            <v>-58.267353</v>
          </cell>
        </row>
        <row r="1190">
          <cell r="B1190">
            <v>481430</v>
          </cell>
          <cell r="C1190" t="str">
            <v>NOT USED</v>
          </cell>
          <cell r="D1190" t="str">
            <v>GAS REVENUE-BUNDLED-INDUSTRIAL-COMMODITY</v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 t="str">
            <v/>
          </cell>
          <cell r="J1190" t="str">
            <v/>
          </cell>
          <cell r="K1190" t="str">
            <v/>
          </cell>
          <cell r="L1190">
            <v>-1779.35897</v>
          </cell>
          <cell r="M1190">
            <v>-401.47645</v>
          </cell>
          <cell r="N1190">
            <v>-746.51646000000005</v>
          </cell>
          <cell r="O1190">
            <v>-1057.35042</v>
          </cell>
          <cell r="P1190">
            <v>-1292.1477199999999</v>
          </cell>
          <cell r="Q1190">
            <v>-1431.3673200000001</v>
          </cell>
          <cell r="R1190">
            <v>-1529.19598</v>
          </cell>
          <cell r="S1190">
            <v>-1599.6874800000001</v>
          </cell>
          <cell r="T1190">
            <v>-1647.28512</v>
          </cell>
          <cell r="U1190">
            <v>-1707.3740499999999</v>
          </cell>
          <cell r="V1190">
            <v>-1690.4665299999999</v>
          </cell>
          <cell r="W1190">
            <v>-1800.0772899999999</v>
          </cell>
          <cell r="X1190">
            <v>-1981.14456</v>
          </cell>
          <cell r="Y1190">
            <v>-1398.5997150000001</v>
          </cell>
        </row>
        <row r="1191">
          <cell r="B1191">
            <v>481434</v>
          </cell>
          <cell r="C1191" t="str">
            <v>NOT USED</v>
          </cell>
          <cell r="D1191" t="str">
            <v>GAS REVENUE-BUNDLED-INDUSTRIAL-WNA</v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 t="str">
            <v/>
          </cell>
          <cell r="J1191" t="str">
            <v/>
          </cell>
          <cell r="K1191" t="str">
            <v/>
          </cell>
          <cell r="L1191">
            <v>-3.3502200000000002</v>
          </cell>
          <cell r="M1191">
            <v>4.6314500000000001</v>
          </cell>
          <cell r="N1191">
            <v>8.0615699999999997</v>
          </cell>
          <cell r="O1191">
            <v>8.5529899999999994</v>
          </cell>
          <cell r="P1191">
            <v>10.171060000000001</v>
          </cell>
          <cell r="Q1191">
            <v>11.883279999999999</v>
          </cell>
          <cell r="R1191">
            <v>9.7019800000000007</v>
          </cell>
          <cell r="S1191">
            <v>9.7692300000000003</v>
          </cell>
          <cell r="T1191">
            <v>9.7672500000000007</v>
          </cell>
          <cell r="U1191">
            <v>9.7672500000000007</v>
          </cell>
          <cell r="V1191">
            <v>9.3313799999999993</v>
          </cell>
          <cell r="W1191">
            <v>7.9210599999999998</v>
          </cell>
          <cell r="X1191">
            <v>2.0286499999999998</v>
          </cell>
          <cell r="Y1191">
            <v>8.2414760000000005</v>
          </cell>
        </row>
        <row r="1192">
          <cell r="B1192">
            <v>481435</v>
          </cell>
          <cell r="C1192" t="str">
            <v>NOT USED</v>
          </cell>
          <cell r="D1192" t="str">
            <v>GAS REVENUE-BUNDLED-INDUSTRIAL-UNBILLED COMMODITY</v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 t="str">
            <v/>
          </cell>
          <cell r="J1192" t="str">
            <v/>
          </cell>
          <cell r="K1192" t="str">
            <v/>
          </cell>
          <cell r="L1192">
            <v>12.67122</v>
          </cell>
          <cell r="M1192">
            <v>-49.302959999999999</v>
          </cell>
          <cell r="N1192">
            <v>-22.83098</v>
          </cell>
          <cell r="O1192">
            <v>23.047540000000001</v>
          </cell>
          <cell r="P1192">
            <v>64.241519999999994</v>
          </cell>
          <cell r="Q1192">
            <v>95.065250000000006</v>
          </cell>
          <cell r="R1192">
            <v>130.72306</v>
          </cell>
          <cell r="S1192">
            <v>136.22173000000001</v>
          </cell>
          <cell r="T1192">
            <v>123.5474</v>
          </cell>
          <cell r="U1192">
            <v>128.13722000000001</v>
          </cell>
          <cell r="V1192">
            <v>93.186809999999994</v>
          </cell>
          <cell r="W1192">
            <v>71.075860000000006</v>
          </cell>
          <cell r="X1192">
            <v>29.674499999999998</v>
          </cell>
          <cell r="Y1192">
            <v>67.857108999999994</v>
          </cell>
        </row>
        <row r="1193">
          <cell r="B1193">
            <v>481440</v>
          </cell>
          <cell r="C1193" t="str">
            <v>NOT USED</v>
          </cell>
          <cell r="D1193" t="str">
            <v>GAS REVENUE-BUNDLED-INDUSTRIAL-MFC</v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 t="str">
            <v/>
          </cell>
          <cell r="J1193" t="str">
            <v/>
          </cell>
          <cell r="K1193" t="str">
            <v/>
          </cell>
          <cell r="L1193">
            <v>-81.666640000000001</v>
          </cell>
          <cell r="M1193">
            <v>-23.118690000000001</v>
          </cell>
          <cell r="N1193">
            <v>-43.549799999999998</v>
          </cell>
          <cell r="O1193">
            <v>-62.130920000000003</v>
          </cell>
          <cell r="P1193">
            <v>-76.535619999999994</v>
          </cell>
          <cell r="Q1193">
            <v>-84.899569999999997</v>
          </cell>
          <cell r="R1193">
            <v>-90.648359999999997</v>
          </cell>
          <cell r="S1193">
            <v>-94.911640000000006</v>
          </cell>
          <cell r="T1193">
            <v>-97.868530000000007</v>
          </cell>
          <cell r="U1193">
            <v>-101.51624</v>
          </cell>
          <cell r="V1193">
            <v>-100.43508</v>
          </cell>
          <cell r="W1193">
            <v>-106.83776</v>
          </cell>
          <cell r="X1193">
            <v>-116.72671</v>
          </cell>
          <cell r="Y1193">
            <v>-81.804074</v>
          </cell>
        </row>
        <row r="1194">
          <cell r="B1194">
            <v>481473</v>
          </cell>
          <cell r="C1194" t="str">
            <v>NOT USED</v>
          </cell>
          <cell r="D1194" t="str">
            <v>GAS REVENUE-BUNDLED-INDUSTRIAL-GRT DELIVERY</v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 t="str">
            <v/>
          </cell>
          <cell r="J1194" t="str">
            <v/>
          </cell>
          <cell r="K1194" t="str">
            <v/>
          </cell>
          <cell r="L1194">
            <v>-5.4316199999999997</v>
          </cell>
          <cell r="M1194">
            <v>-1.0329900000000001</v>
          </cell>
          <cell r="N1194">
            <v>-2.1710199999999999</v>
          </cell>
          <cell r="O1194">
            <v>-3.2476799999999999</v>
          </cell>
          <cell r="P1194">
            <v>-4.1674499999999997</v>
          </cell>
          <cell r="Q1194">
            <v>-4.6937499999999996</v>
          </cell>
          <cell r="R1194">
            <v>-5.1055299999999999</v>
          </cell>
          <cell r="S1194">
            <v>-5.4778700000000002</v>
          </cell>
          <cell r="T1194">
            <v>-5.8067799999999998</v>
          </cell>
          <cell r="U1194">
            <v>-6.1919399999999998</v>
          </cell>
          <cell r="V1194">
            <v>-6.0542800000000003</v>
          </cell>
          <cell r="W1194">
            <v>-6.5376300000000001</v>
          </cell>
          <cell r="X1194">
            <v>-7.4146999999999998</v>
          </cell>
          <cell r="Y1194">
            <v>-4.7425069999999998</v>
          </cell>
        </row>
        <row r="1195">
          <cell r="B1195">
            <v>481474</v>
          </cell>
          <cell r="C1195" t="str">
            <v>NOT USED</v>
          </cell>
          <cell r="D1195" t="str">
            <v>GAS REVENUE-BUNDLED-INDUSTRIAL-GRT COMMODITY</v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 t="str">
            <v/>
          </cell>
          <cell r="K1195" t="str">
            <v/>
          </cell>
          <cell r="L1195">
            <v>-22.16985</v>
          </cell>
          <cell r="M1195">
            <v>-4.5661100000000001</v>
          </cell>
          <cell r="N1195">
            <v>-9.5917300000000001</v>
          </cell>
          <cell r="O1195">
            <v>-14.05373</v>
          </cell>
          <cell r="P1195">
            <v>-17.892510000000001</v>
          </cell>
          <cell r="Q1195">
            <v>-20.078099999999999</v>
          </cell>
          <cell r="R1195">
            <v>-21.479620000000001</v>
          </cell>
          <cell r="S1195">
            <v>-22.93149</v>
          </cell>
          <cell r="T1195">
            <v>-24.14432</v>
          </cell>
          <cell r="U1195">
            <v>-25.544519999999999</v>
          </cell>
          <cell r="V1195">
            <v>-24.330829999999999</v>
          </cell>
          <cell r="W1195">
            <v>-25.743130000000001</v>
          </cell>
          <cell r="X1195">
            <v>-28.413270000000001</v>
          </cell>
          <cell r="Y1195">
            <v>-19.637304</v>
          </cell>
        </row>
        <row r="1196">
          <cell r="B1196">
            <v>482100</v>
          </cell>
          <cell r="C1196" t="str">
            <v>NOT USED</v>
          </cell>
          <cell r="D1196" t="str">
            <v>GAS REVENUE - MUNICIPAL-REGULAR</v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 t="str">
            <v/>
          </cell>
          <cell r="J1196" t="str">
            <v/>
          </cell>
          <cell r="K1196" t="str">
            <v/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</row>
        <row r="1197">
          <cell r="B1197">
            <v>482120</v>
          </cell>
          <cell r="C1197" t="str">
            <v>NOT USED</v>
          </cell>
          <cell r="D1197" t="str">
            <v>GAS REVENUE-BUNDLED - MUNICIPAL-DELIVERY</v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 t="str">
            <v/>
          </cell>
          <cell r="J1197" t="str">
            <v/>
          </cell>
          <cell r="K1197" t="str">
            <v/>
          </cell>
          <cell r="L1197">
            <v>-612.75549000000001</v>
          </cell>
          <cell r="M1197">
            <v>-100.03404999999999</v>
          </cell>
          <cell r="N1197">
            <v>-200.26412999999999</v>
          </cell>
          <cell r="O1197">
            <v>-288.08118000000002</v>
          </cell>
          <cell r="P1197">
            <v>-356.83461</v>
          </cell>
          <cell r="Q1197">
            <v>-401.93133</v>
          </cell>
          <cell r="R1197">
            <v>-429.04880000000003</v>
          </cell>
          <cell r="S1197">
            <v>-447.56893000000002</v>
          </cell>
          <cell r="T1197">
            <v>-464.97555</v>
          </cell>
          <cell r="U1197">
            <v>-485.08080000000001</v>
          </cell>
          <cell r="V1197">
            <v>-516.51693</v>
          </cell>
          <cell r="W1197">
            <v>-565.15129999999999</v>
          </cell>
          <cell r="X1197">
            <v>-636.77937999999995</v>
          </cell>
          <cell r="Y1197">
            <v>-406.68792000000002</v>
          </cell>
        </row>
        <row r="1198">
          <cell r="B1198">
            <v>482124</v>
          </cell>
          <cell r="C1198" t="str">
            <v>NOT USED</v>
          </cell>
          <cell r="D1198" t="str">
            <v>GAS REVENUE-BUNDLED - MUNICIPAL-EEPS</v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 t="str">
            <v/>
          </cell>
          <cell r="J1198" t="str">
            <v/>
          </cell>
          <cell r="K1198" t="str">
            <v/>
          </cell>
          <cell r="L1198">
            <v>-37.313180000000003</v>
          </cell>
          <cell r="M1198">
            <v>-17.534829999999999</v>
          </cell>
          <cell r="N1198">
            <v>-32.681019999999997</v>
          </cell>
          <cell r="O1198">
            <v>-45.655500000000004</v>
          </cell>
          <cell r="P1198">
            <v>-55.119109999999999</v>
          </cell>
          <cell r="Q1198">
            <v>-60.636789999999998</v>
          </cell>
          <cell r="R1198">
            <v>-63.354930000000003</v>
          </cell>
          <cell r="S1198">
            <v>-64.872839999999997</v>
          </cell>
          <cell r="T1198">
            <v>-66.284679999999994</v>
          </cell>
          <cell r="U1198">
            <v>-67.892970000000005</v>
          </cell>
          <cell r="V1198">
            <v>-70.73563</v>
          </cell>
          <cell r="W1198">
            <v>-75.887230000000002</v>
          </cell>
          <cell r="X1198">
            <v>-84.404380000000003</v>
          </cell>
          <cell r="Y1198">
            <v>-56.792859</v>
          </cell>
        </row>
        <row r="1199">
          <cell r="B1199">
            <v>482125</v>
          </cell>
          <cell r="C1199" t="str">
            <v>NOT USED</v>
          </cell>
          <cell r="D1199" t="str">
            <v>GAS REVENUE-BUNDLED-MUNICIPAL-UNBILLED-DELIVERY</v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 t="str">
            <v/>
          </cell>
          <cell r="J1199" t="str">
            <v/>
          </cell>
          <cell r="K1199" t="str">
            <v/>
          </cell>
          <cell r="L1199">
            <v>-9.9151000000000007</v>
          </cell>
          <cell r="M1199">
            <v>-11.824439999999999</v>
          </cell>
          <cell r="N1199">
            <v>-3.7270699999999999</v>
          </cell>
          <cell r="O1199">
            <v>4.5444599999999999</v>
          </cell>
          <cell r="P1199">
            <v>23.451589999999999</v>
          </cell>
          <cell r="Q1199">
            <v>28.621200000000002</v>
          </cell>
          <cell r="R1199">
            <v>44.797600000000003</v>
          </cell>
          <cell r="S1199">
            <v>46.599170000000001</v>
          </cell>
          <cell r="T1199">
            <v>43.085909999999998</v>
          </cell>
          <cell r="U1199">
            <v>42.007829999999998</v>
          </cell>
          <cell r="V1199">
            <v>29.018129999999999</v>
          </cell>
          <cell r="W1199">
            <v>10.950089999999999</v>
          </cell>
          <cell r="X1199">
            <v>-6.1731600000000002</v>
          </cell>
          <cell r="Y1199">
            <v>20.790028</v>
          </cell>
        </row>
        <row r="1200">
          <cell r="B1200">
            <v>482126</v>
          </cell>
          <cell r="C1200" t="str">
            <v>NOT USED</v>
          </cell>
          <cell r="D1200" t="str">
            <v>GAS REVENUE-BUNDLED-PUBLIC AUTHORITY SURCHARGE</v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 t="str">
            <v/>
          </cell>
          <cell r="K1200" t="str">
            <v/>
          </cell>
          <cell r="L1200">
            <v>-104.07095</v>
          </cell>
          <cell r="M1200">
            <v>-22.046150000000001</v>
          </cell>
          <cell r="N1200">
            <v>-44.133629999999997</v>
          </cell>
          <cell r="O1200">
            <v>-63.034849999999999</v>
          </cell>
          <cell r="P1200">
            <v>-76.821789999999993</v>
          </cell>
          <cell r="Q1200">
            <v>-84.860010000000003</v>
          </cell>
          <cell r="R1200">
            <v>-88.819839999999999</v>
          </cell>
          <cell r="S1200">
            <v>-91.030820000000006</v>
          </cell>
          <cell r="T1200">
            <v>-93.087569999999999</v>
          </cell>
          <cell r="U1200">
            <v>-95.430729999999997</v>
          </cell>
          <cell r="V1200">
            <v>-99.572010000000006</v>
          </cell>
          <cell r="W1200">
            <v>-106.69185</v>
          </cell>
          <cell r="X1200">
            <v>-117.87809</v>
          </cell>
          <cell r="Y1200">
            <v>-81.375314000000003</v>
          </cell>
        </row>
        <row r="1201">
          <cell r="B1201">
            <v>482130</v>
          </cell>
          <cell r="C1201" t="str">
            <v>NOT USED</v>
          </cell>
          <cell r="D1201" t="str">
            <v>GAS REVENUE-BUNDLED - MUNICIPAL-COMMODITY</v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 t="str">
            <v/>
          </cell>
          <cell r="J1201" t="str">
            <v/>
          </cell>
          <cell r="K1201" t="str">
            <v/>
          </cell>
          <cell r="L1201">
            <v>-2924.5547999999999</v>
          </cell>
          <cell r="M1201">
            <v>-540.48238000000003</v>
          </cell>
          <cell r="N1201">
            <v>-1069.4461699999999</v>
          </cell>
          <cell r="O1201">
            <v>-1511.79312</v>
          </cell>
          <cell r="P1201">
            <v>-1827.8964800000001</v>
          </cell>
          <cell r="Q1201">
            <v>-2017.32629</v>
          </cell>
          <cell r="R1201">
            <v>-2112.2635399999999</v>
          </cell>
          <cell r="S1201">
            <v>-2163.5447800000002</v>
          </cell>
          <cell r="T1201">
            <v>-2210.3983499999999</v>
          </cell>
          <cell r="U1201">
            <v>-2262.63402</v>
          </cell>
          <cell r="V1201">
            <v>-2350.6902100000002</v>
          </cell>
          <cell r="W1201">
            <v>-2510.1736000000001</v>
          </cell>
          <cell r="X1201">
            <v>-2778.9460600000002</v>
          </cell>
          <cell r="Y1201">
            <v>-1952.366614</v>
          </cell>
        </row>
        <row r="1202">
          <cell r="B1202">
            <v>482134</v>
          </cell>
          <cell r="C1202" t="str">
            <v>NOT USED</v>
          </cell>
          <cell r="D1202" t="str">
            <v>GAS REVENUE-BUNDLED-MUNICIPAL-WNA</v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 t="str">
            <v/>
          </cell>
          <cell r="J1202" t="str">
            <v/>
          </cell>
          <cell r="K1202" t="str">
            <v/>
          </cell>
          <cell r="L1202">
            <v>-7.3452700000000002</v>
          </cell>
          <cell r="M1202">
            <v>6.9905499999999998</v>
          </cell>
          <cell r="N1202">
            <v>12.486179999999999</v>
          </cell>
          <cell r="O1202">
            <v>13.44501</v>
          </cell>
          <cell r="P1202">
            <v>16.549399999999999</v>
          </cell>
          <cell r="Q1202">
            <v>18.454339999999998</v>
          </cell>
          <cell r="R1202">
            <v>15.87317</v>
          </cell>
          <cell r="S1202">
            <v>15.91938</v>
          </cell>
          <cell r="T1202">
            <v>15.92554</v>
          </cell>
          <cell r="U1202">
            <v>15.92718</v>
          </cell>
          <cell r="V1202">
            <v>13.96397</v>
          </cell>
          <cell r="W1202">
            <v>11.40085</v>
          </cell>
          <cell r="X1202">
            <v>2.09545</v>
          </cell>
          <cell r="Y1202">
            <v>12.859222000000001</v>
          </cell>
        </row>
        <row r="1203">
          <cell r="B1203">
            <v>482135</v>
          </cell>
          <cell r="C1203" t="str">
            <v>NOT USED</v>
          </cell>
          <cell r="D1203" t="str">
            <v>GAS REVENUE-BUNDLED-MUNICIPAL-UNBILLED-COMMODITY</v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 t="str">
            <v/>
          </cell>
          <cell r="J1203" t="str">
            <v/>
          </cell>
          <cell r="K1203" t="str">
            <v/>
          </cell>
          <cell r="L1203">
            <v>-15.518969999999999</v>
          </cell>
          <cell r="M1203">
            <v>-38.172710000000002</v>
          </cell>
          <cell r="N1203">
            <v>9.4194899999999997</v>
          </cell>
          <cell r="O1203">
            <v>50.146990000000002</v>
          </cell>
          <cell r="P1203">
            <v>131.23562000000001</v>
          </cell>
          <cell r="Q1203">
            <v>171.10812999999999</v>
          </cell>
          <cell r="R1203">
            <v>220.35649000000001</v>
          </cell>
          <cell r="S1203">
            <v>226.87396000000001</v>
          </cell>
          <cell r="T1203">
            <v>213.42417</v>
          </cell>
          <cell r="U1203">
            <v>212.33903000000001</v>
          </cell>
          <cell r="V1203">
            <v>166.45648</v>
          </cell>
          <cell r="W1203">
            <v>115.50717</v>
          </cell>
          <cell r="X1203">
            <v>53.800269999999998</v>
          </cell>
          <cell r="Y1203">
            <v>124.81962300000001</v>
          </cell>
        </row>
        <row r="1204">
          <cell r="B1204">
            <v>482140</v>
          </cell>
          <cell r="C1204" t="str">
            <v>NOT USED</v>
          </cell>
          <cell r="D1204" t="str">
            <v>GAS REVENUE-BUNDLED-MUNICIPAL-MFC</v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 t="str">
            <v/>
          </cell>
          <cell r="J1204" t="str">
            <v/>
          </cell>
          <cell r="K1204" t="str">
            <v/>
          </cell>
          <cell r="L1204">
            <v>-135.87222</v>
          </cell>
          <cell r="M1204">
            <v>-31.153030000000001</v>
          </cell>
          <cell r="N1204">
            <v>-62.298430000000003</v>
          </cell>
          <cell r="O1204">
            <v>-88.882760000000005</v>
          </cell>
          <cell r="P1204">
            <v>-108.23788999999999</v>
          </cell>
          <cell r="Q1204">
            <v>-119.55105</v>
          </cell>
          <cell r="R1204">
            <v>-125.13329</v>
          </cell>
          <cell r="S1204">
            <v>-128.24083999999999</v>
          </cell>
          <cell r="T1204">
            <v>-131.12654000000001</v>
          </cell>
          <cell r="U1204">
            <v>-134.30080000000001</v>
          </cell>
          <cell r="V1204">
            <v>-139.56567999999999</v>
          </cell>
          <cell r="W1204">
            <v>-148.74598</v>
          </cell>
          <cell r="X1204">
            <v>-163.41714999999999</v>
          </cell>
          <cell r="Y1204">
            <v>-113.90674799999999</v>
          </cell>
        </row>
        <row r="1205">
          <cell r="B1205">
            <v>482173</v>
          </cell>
          <cell r="C1205" t="str">
            <v>NOT USED</v>
          </cell>
          <cell r="D1205" t="str">
            <v>GAS REVENUE-BUNDLED-MUNICIPAL-GRT-DELIVERY</v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 t="str">
            <v/>
          </cell>
          <cell r="J1205" t="str">
            <v/>
          </cell>
          <cell r="K1205" t="str">
            <v/>
          </cell>
          <cell r="L1205">
            <v>-10.8833</v>
          </cell>
          <cell r="M1205">
            <v>-1.93363</v>
          </cell>
          <cell r="N1205">
            <v>-3.86036</v>
          </cell>
          <cell r="O1205">
            <v>-5.5712700000000002</v>
          </cell>
          <cell r="P1205">
            <v>-6.9060300000000003</v>
          </cell>
          <cell r="Q1205">
            <v>-7.8132799999999998</v>
          </cell>
          <cell r="R1205">
            <v>-8.3929299999999998</v>
          </cell>
          <cell r="S1205">
            <v>-8.7434200000000004</v>
          </cell>
          <cell r="T1205">
            <v>-9.0840300000000003</v>
          </cell>
          <cell r="U1205">
            <v>-9.4380100000000002</v>
          </cell>
          <cell r="V1205">
            <v>-9.9496000000000002</v>
          </cell>
          <cell r="W1205">
            <v>-10.799860000000001</v>
          </cell>
          <cell r="X1205">
            <v>-12.2689</v>
          </cell>
          <cell r="Y1205">
            <v>-7.8390430000000002</v>
          </cell>
        </row>
        <row r="1206">
          <cell r="B1206">
            <v>482174</v>
          </cell>
          <cell r="C1206" t="str">
            <v>NOT USED</v>
          </cell>
          <cell r="D1206" t="str">
            <v>GAS REVENUE-BUNDLED-MUNICIPAL-GRT-COMMODITY</v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 t="str">
            <v/>
          </cell>
          <cell r="J1206" t="str">
            <v/>
          </cell>
          <cell r="K1206" t="str">
            <v/>
          </cell>
          <cell r="L1206">
            <v>-46.850709999999999</v>
          </cell>
          <cell r="M1206">
            <v>-8.6217500000000005</v>
          </cell>
          <cell r="N1206">
            <v>-17.16405</v>
          </cell>
          <cell r="O1206">
            <v>-24.22259</v>
          </cell>
          <cell r="P1206">
            <v>-29.50752</v>
          </cell>
          <cell r="Q1206">
            <v>-32.997160000000001</v>
          </cell>
          <cell r="R1206">
            <v>-34.87782</v>
          </cell>
          <cell r="S1206">
            <v>-35.958219999999997</v>
          </cell>
          <cell r="T1206">
            <v>-36.999749999999999</v>
          </cell>
          <cell r="U1206">
            <v>-38.012569999999997</v>
          </cell>
          <cell r="V1206">
            <v>-39.301250000000003</v>
          </cell>
          <cell r="W1206">
            <v>-41.633980000000001</v>
          </cell>
          <cell r="X1206">
            <v>-46.015160000000002</v>
          </cell>
          <cell r="Y1206">
            <v>-32.144132999999997</v>
          </cell>
        </row>
        <row r="1207">
          <cell r="B1207">
            <v>483101</v>
          </cell>
          <cell r="C1207" t="str">
            <v>NOT USED</v>
          </cell>
          <cell r="D1207" t="str">
            <v>GAS REV-WHOLESALE-SALES FOR RESALE</v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 t="str">
            <v/>
          </cell>
          <cell r="J1207" t="str">
            <v/>
          </cell>
          <cell r="K1207" t="str">
            <v/>
          </cell>
          <cell r="L1207">
            <v>-2472.6475999999998</v>
          </cell>
          <cell r="M1207">
            <v>-288.65800000000002</v>
          </cell>
          <cell r="N1207">
            <v>-509.72789</v>
          </cell>
          <cell r="O1207">
            <v>-810.92289000000005</v>
          </cell>
          <cell r="P1207">
            <v>-810.92289000000005</v>
          </cell>
          <cell r="Q1207">
            <v>-1219.9987900000001</v>
          </cell>
          <cell r="R1207">
            <v>-1219.9987900000001</v>
          </cell>
          <cell r="S1207">
            <v>-1219.9987900000001</v>
          </cell>
          <cell r="T1207">
            <v>-1219.9987900000001</v>
          </cell>
          <cell r="U1207">
            <v>-1219.9987900000001</v>
          </cell>
          <cell r="V1207">
            <v>-1219.9987900000001</v>
          </cell>
          <cell r="W1207">
            <v>-1236.5487900000001</v>
          </cell>
          <cell r="X1207">
            <v>-1236.5487900000001</v>
          </cell>
          <cell r="Y1207">
            <v>-1069.2809500000001</v>
          </cell>
        </row>
        <row r="1208">
          <cell r="B1208">
            <v>484000</v>
          </cell>
          <cell r="C1208" t="str">
            <v>NOT USED</v>
          </cell>
          <cell r="D1208" t="str">
            <v>GAS REV-SALES OF GAS-INTERDEPARTMENTAL</v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 t="str">
            <v/>
          </cell>
          <cell r="J1208" t="str">
            <v/>
          </cell>
          <cell r="K1208" t="str">
            <v/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</row>
        <row r="1209">
          <cell r="B1209">
            <v>487000</v>
          </cell>
          <cell r="C1209" t="str">
            <v>NOT USED</v>
          </cell>
          <cell r="D1209" t="str">
            <v>GAS REVENUE - LATE PAYMENT CHARGE</v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 t="str">
            <v/>
          </cell>
          <cell r="J1209" t="str">
            <v/>
          </cell>
          <cell r="K1209" t="str">
            <v/>
          </cell>
          <cell r="L1209">
            <v>-1386.0551800000001</v>
          </cell>
          <cell r="M1209">
            <v>-107.9659</v>
          </cell>
          <cell r="N1209">
            <v>-221.00763000000001</v>
          </cell>
          <cell r="O1209">
            <v>-497.6035</v>
          </cell>
          <cell r="P1209">
            <v>-666.22406999999998</v>
          </cell>
          <cell r="Q1209">
            <v>-813.25752999999997</v>
          </cell>
          <cell r="R1209">
            <v>-985.44223</v>
          </cell>
          <cell r="S1209">
            <v>-1065.41866</v>
          </cell>
          <cell r="T1209">
            <v>-1127.76061</v>
          </cell>
          <cell r="U1209">
            <v>-1250.2780499999999</v>
          </cell>
          <cell r="V1209">
            <v>-1306.89615</v>
          </cell>
          <cell r="W1209">
            <v>-1368.1488400000001</v>
          </cell>
          <cell r="X1209">
            <v>-1493.0893699999999</v>
          </cell>
          <cell r="Y1209">
            <v>-904.13128700000004</v>
          </cell>
        </row>
        <row r="1210">
          <cell r="B1210">
            <v>488100</v>
          </cell>
          <cell r="C1210" t="str">
            <v>NOT USED</v>
          </cell>
          <cell r="D1210" t="str">
            <v>GAS REVENUE - MISCELLANEOUS-DOMESTIC</v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 t="str">
            <v/>
          </cell>
          <cell r="J1210" t="str">
            <v/>
          </cell>
          <cell r="K1210" t="str">
            <v/>
          </cell>
          <cell r="L1210">
            <v>-164.27</v>
          </cell>
          <cell r="M1210">
            <v>-7.6079999999999997</v>
          </cell>
          <cell r="N1210">
            <v>-9.98</v>
          </cell>
          <cell r="O1210">
            <v>-19.129000000000001</v>
          </cell>
          <cell r="P1210">
            <v>-33.604999999999997</v>
          </cell>
          <cell r="Q1210">
            <v>-44.073999999999998</v>
          </cell>
          <cell r="R1210">
            <v>-48.07</v>
          </cell>
          <cell r="S1210">
            <v>-56.393999999999998</v>
          </cell>
          <cell r="T1210">
            <v>-68.522000000000006</v>
          </cell>
          <cell r="U1210">
            <v>-76.736000000000004</v>
          </cell>
          <cell r="V1210">
            <v>-91.372</v>
          </cell>
          <cell r="W1210">
            <v>-94.096000000000004</v>
          </cell>
          <cell r="X1210">
            <v>-99.081000000000003</v>
          </cell>
          <cell r="Y1210">
            <v>-56.771791999999998</v>
          </cell>
        </row>
        <row r="1211">
          <cell r="B1211">
            <v>489000</v>
          </cell>
          <cell r="C1211" t="str">
            <v>NOT USED</v>
          </cell>
          <cell r="D1211" t="str">
            <v>GAS REVENUE /TRANSPORTATION / SC3</v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 t="str">
            <v/>
          </cell>
          <cell r="J1211" t="str">
            <v/>
          </cell>
          <cell r="K1211" t="str">
            <v/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</row>
        <row r="1212">
          <cell r="B1212">
            <v>489010</v>
          </cell>
          <cell r="C1212" t="str">
            <v>NOT USED</v>
          </cell>
          <cell r="D1212" t="str">
            <v>T-GAS REVENUES-LARGE -PENALTIES - SC3</v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 t="str">
            <v/>
          </cell>
          <cell r="J1212" t="str">
            <v/>
          </cell>
          <cell r="K1212" t="str">
            <v/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</row>
        <row r="1213">
          <cell r="B1213">
            <v>489020</v>
          </cell>
          <cell r="C1213" t="str">
            <v>NOT USED</v>
          </cell>
          <cell r="D1213" t="str">
            <v>T-GAS REV-LARGE- LOW DAILY $/COMMODITY COST OF GA</v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 t="str">
            <v/>
          </cell>
          <cell r="J1213" t="str">
            <v/>
          </cell>
          <cell r="K1213" t="str">
            <v/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</row>
        <row r="1214">
          <cell r="B1214">
            <v>489040</v>
          </cell>
          <cell r="C1214" t="str">
            <v>NOT USED</v>
          </cell>
          <cell r="D1214" t="str">
            <v>T-GAS STORAGE BALANCING SERVICE CHARGE - SC3</v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 t="str">
            <v/>
          </cell>
          <cell r="J1214" t="str">
            <v/>
          </cell>
          <cell r="K1214" t="str">
            <v/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</row>
        <row r="1215">
          <cell r="B1215">
            <v>489060</v>
          </cell>
          <cell r="C1215" t="str">
            <v>NOT USED</v>
          </cell>
          <cell r="D1215" t="str">
            <v>T-GAS REVENUE-LARGE-SPECIAL METER READ - SC3</v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 t="str">
            <v/>
          </cell>
          <cell r="J1215" t="str">
            <v/>
          </cell>
          <cell r="K1215" t="str">
            <v/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</row>
        <row r="1216">
          <cell r="B1216">
            <v>489220</v>
          </cell>
          <cell r="C1216" t="str">
            <v>NOT USED</v>
          </cell>
          <cell r="D1216" t="str">
            <v>T-GAS REV -LARGE-COMMERCIAL-DELIVERY</v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 t="str">
            <v/>
          </cell>
          <cell r="J1216" t="str">
            <v/>
          </cell>
          <cell r="K1216" t="str">
            <v/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</row>
        <row r="1217">
          <cell r="B1217">
            <v>489221</v>
          </cell>
          <cell r="C1217" t="str">
            <v>NOT USED</v>
          </cell>
          <cell r="D1217" t="str">
            <v>T-GAS REV -LARGE-COMMERCIAL-TRANS RATE ADJUSTMENT</v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 t="str">
            <v/>
          </cell>
          <cell r="J1217" t="str">
            <v/>
          </cell>
          <cell r="K1217" t="str">
            <v/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</row>
        <row r="1218">
          <cell r="B1218">
            <v>489222</v>
          </cell>
          <cell r="C1218" t="str">
            <v>NOT USED</v>
          </cell>
          <cell r="D1218" t="str">
            <v>T-GAS REV -LARGE-COMMERCIAL-BALANCING</v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 t="str">
            <v/>
          </cell>
          <cell r="J1218" t="str">
            <v/>
          </cell>
          <cell r="K1218" t="str">
            <v/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</row>
        <row r="1219">
          <cell r="B1219">
            <v>489225</v>
          </cell>
          <cell r="C1219" t="str">
            <v>NOT USED</v>
          </cell>
          <cell r="D1219" t="str">
            <v>T-GAS REV-LARGE-COMMERCIAL-UNBILLED</v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 t="str">
            <v/>
          </cell>
          <cell r="J1219" t="str">
            <v/>
          </cell>
          <cell r="K1219" t="str">
            <v/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</row>
        <row r="1220">
          <cell r="B1220">
            <v>489234</v>
          </cell>
          <cell r="C1220" t="str">
            <v>NOT USED</v>
          </cell>
          <cell r="D1220" t="str">
            <v>T-GAS REV -LARGE-COMMERCIAL-WNA</v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 t="str">
            <v/>
          </cell>
          <cell r="J1220" t="str">
            <v/>
          </cell>
          <cell r="K1220" t="str">
            <v/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>
            <v>489526</v>
          </cell>
          <cell r="C1221" t="str">
            <v>NOT USED</v>
          </cell>
          <cell r="D1221" t="str">
            <v>T-GAS REVENUE-RESIDENTIAL SURCHARGE</v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 t="str">
            <v/>
          </cell>
          <cell r="J1221" t="str">
            <v/>
          </cell>
          <cell r="K1221" t="str">
            <v/>
          </cell>
          <cell r="L1221">
            <v>-1268.7080699999999</v>
          </cell>
          <cell r="M1221">
            <v>-287.93718999999999</v>
          </cell>
          <cell r="N1221">
            <v>-582.50021000000004</v>
          </cell>
          <cell r="O1221">
            <v>-843.68615</v>
          </cell>
          <cell r="P1221">
            <v>-1041.7280599999999</v>
          </cell>
          <cell r="Q1221">
            <v>-1157.32556</v>
          </cell>
          <cell r="R1221">
            <v>-1257.0066400000001</v>
          </cell>
          <cell r="S1221">
            <v>-1361.7153599999999</v>
          </cell>
          <cell r="T1221">
            <v>-1445.8992699999999</v>
          </cell>
          <cell r="U1221">
            <v>-1544.88321</v>
          </cell>
          <cell r="V1221">
            <v>-1636.1375700000001</v>
          </cell>
          <cell r="W1221">
            <v>-1746.6404</v>
          </cell>
          <cell r="X1221">
            <v>-1912.9746</v>
          </cell>
          <cell r="Y1221">
            <v>-1208.0250799999999</v>
          </cell>
        </row>
        <row r="1222">
          <cell r="B1222">
            <v>489320</v>
          </cell>
          <cell r="C1222" t="str">
            <v>NOT USED</v>
          </cell>
          <cell r="D1222" t="str">
            <v>T-GAS REV -LARGE-INDUSTRIAL-DELIVERY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 t="str">
            <v/>
          </cell>
          <cell r="J1222" t="str">
            <v/>
          </cell>
          <cell r="K1222" t="str">
            <v/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</row>
        <row r="1223">
          <cell r="B1223">
            <v>489321</v>
          </cell>
          <cell r="C1223" t="str">
            <v>NOT USED</v>
          </cell>
          <cell r="D1223" t="str">
            <v>T-GAS REV -LARGE-INDUSTRIAL-TRANS RATE ADJUSTMENT</v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 t="str">
            <v/>
          </cell>
          <cell r="J1223" t="str">
            <v/>
          </cell>
          <cell r="K1223" t="str">
            <v/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</row>
        <row r="1224">
          <cell r="B1224">
            <v>489322</v>
          </cell>
          <cell r="C1224" t="str">
            <v>NOT USED</v>
          </cell>
          <cell r="D1224" t="str">
            <v>T-GAS REV -LARGE-INDUSTRIAL-BALANCING</v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 t="str">
            <v/>
          </cell>
          <cell r="J1224" t="str">
            <v/>
          </cell>
          <cell r="K1224" t="str">
            <v/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</row>
        <row r="1225">
          <cell r="B1225">
            <v>489325</v>
          </cell>
          <cell r="C1225" t="str">
            <v>NOT USED</v>
          </cell>
          <cell r="D1225" t="str">
            <v>T-GAS REVENUE-LARGE-INDUSTRIAL-UNBILLED</v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 t="str">
            <v/>
          </cell>
          <cell r="J1225" t="str">
            <v/>
          </cell>
          <cell r="K1225" t="str">
            <v/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</row>
        <row r="1226">
          <cell r="B1226">
            <v>489334</v>
          </cell>
          <cell r="C1226" t="str">
            <v>NOT USED</v>
          </cell>
          <cell r="D1226" t="str">
            <v>T-GAS REV -LARGE-INDUSTRIAL-WNA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 t="str">
            <v/>
          </cell>
          <cell r="J1226" t="str">
            <v/>
          </cell>
          <cell r="K1226" t="str">
            <v/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B1227">
            <v>489420</v>
          </cell>
          <cell r="C1227" t="str">
            <v>NOT USED</v>
          </cell>
          <cell r="D1227" t="str">
            <v>T-GAS REV -LARGE-MUNICIPAL-DELIVERY</v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 t="str">
            <v/>
          </cell>
          <cell r="J1227" t="str">
            <v/>
          </cell>
          <cell r="K1227" t="str">
            <v/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B1228">
            <v>489421</v>
          </cell>
          <cell r="C1228" t="str">
            <v>NOT USED</v>
          </cell>
          <cell r="D1228" t="str">
            <v>T-GAS REV -LARGE-MUNICIPAL-TRANS RATE ADJUSTMENT</v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 t="str">
            <v/>
          </cell>
          <cell r="J1228" t="str">
            <v/>
          </cell>
          <cell r="K1228" t="str">
            <v/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B1229">
            <v>489422</v>
          </cell>
          <cell r="C1229" t="str">
            <v>NOT USED</v>
          </cell>
          <cell r="D1229" t="str">
            <v>T-GAS REV -LARGE-MUNICIPAL-BALANCING</v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 t="str">
            <v/>
          </cell>
          <cell r="J1229" t="str">
            <v/>
          </cell>
          <cell r="K1229" t="str">
            <v/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B1230">
            <v>489425</v>
          </cell>
          <cell r="C1230" t="str">
            <v>NOT USED</v>
          </cell>
          <cell r="D1230" t="str">
            <v>T-GAS REVENUE-LARGE-MUNICIPAL-UNBILLED</v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 t="str">
            <v/>
          </cell>
          <cell r="J1230" t="str">
            <v/>
          </cell>
          <cell r="K1230" t="str">
            <v/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B1231">
            <v>489434</v>
          </cell>
          <cell r="C1231" t="str">
            <v>NOT USED</v>
          </cell>
          <cell r="D1231" t="str">
            <v>T-GAS REV -LARGE-MUNICIPAL-WNA</v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 t="str">
            <v/>
          </cell>
          <cell r="J1231" t="str">
            <v/>
          </cell>
          <cell r="K1231" t="str">
            <v/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B1232">
            <v>489500</v>
          </cell>
          <cell r="C1232" t="str">
            <v>NOT USED</v>
          </cell>
          <cell r="D1232" t="str">
            <v>GAS REVENUE / TRANSPORTATION - SC5</v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 t="str">
            <v/>
          </cell>
          <cell r="J1232" t="str">
            <v/>
          </cell>
          <cell r="K1232" t="str">
            <v/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B1233">
            <v>489520</v>
          </cell>
          <cell r="C1233" t="str">
            <v>NOT USED</v>
          </cell>
          <cell r="D1233" t="str">
            <v>T-GAS REV -SMALL-RESIDENTIAL-DELIVERY</v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 t="str">
            <v/>
          </cell>
          <cell r="J1233" t="str">
            <v/>
          </cell>
          <cell r="K1233" t="str">
            <v/>
          </cell>
          <cell r="L1233">
            <v>-17432.73055</v>
          </cell>
          <cell r="M1233">
            <v>-2539.0378599999999</v>
          </cell>
          <cell r="N1233">
            <v>-5127.0383700000002</v>
          </cell>
          <cell r="O1233">
            <v>-7601.76991</v>
          </cell>
          <cell r="P1233">
            <v>-9709.8378900000007</v>
          </cell>
          <cell r="Q1233">
            <v>-11359.00952</v>
          </cell>
          <cell r="R1233">
            <v>-12669.780720000001</v>
          </cell>
          <cell r="S1233">
            <v>-13853.73731</v>
          </cell>
          <cell r="T1233">
            <v>-14993.85483</v>
          </cell>
          <cell r="U1233">
            <v>-16194.11411</v>
          </cell>
          <cell r="V1233">
            <v>-17577.034380000001</v>
          </cell>
          <cell r="W1233">
            <v>-19404.07186</v>
          </cell>
          <cell r="X1233">
            <v>-21692.872739999999</v>
          </cell>
          <cell r="Y1233">
            <v>-12549.340700000001</v>
          </cell>
        </row>
        <row r="1234">
          <cell r="B1234">
            <v>489521</v>
          </cell>
          <cell r="C1234" t="str">
            <v>NOT USED</v>
          </cell>
          <cell r="D1234" t="str">
            <v>T-GAS REV -SMALL-RESIDENTIAL-TRANS RATE ADJUSTMEN</v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 t="str">
            <v/>
          </cell>
          <cell r="J1234" t="str">
            <v/>
          </cell>
          <cell r="K1234" t="str">
            <v/>
          </cell>
          <cell r="L1234">
            <v>72.944710000000001</v>
          </cell>
          <cell r="M1234">
            <v>-1.39314</v>
          </cell>
          <cell r="N1234">
            <v>2.8193299999999999</v>
          </cell>
          <cell r="O1234">
            <v>13.125170000000001</v>
          </cell>
          <cell r="P1234">
            <v>-45.29269</v>
          </cell>
          <cell r="Q1234">
            <v>-138.52968000000001</v>
          </cell>
          <cell r="R1234">
            <v>-176.11375000000001</v>
          </cell>
          <cell r="S1234">
            <v>-189.04665</v>
          </cell>
          <cell r="T1234">
            <v>-199.97905</v>
          </cell>
          <cell r="U1234">
            <v>-218.85637</v>
          </cell>
          <cell r="V1234">
            <v>-257.64803999999998</v>
          </cell>
          <cell r="W1234">
            <v>-337.15777000000003</v>
          </cell>
          <cell r="X1234">
            <v>-471.00833999999998</v>
          </cell>
          <cell r="Y1234">
            <v>-145.592038</v>
          </cell>
        </row>
        <row r="1235">
          <cell r="B1235">
            <v>489522</v>
          </cell>
          <cell r="C1235" t="str">
            <v>NOT USED</v>
          </cell>
          <cell r="D1235" t="str">
            <v>T-GAS REV-RESIDENTIAL-BALANCING</v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 t="str">
            <v/>
          </cell>
          <cell r="J1235" t="str">
            <v/>
          </cell>
          <cell r="K1235" t="str">
            <v/>
          </cell>
          <cell r="L1235">
            <v>-4.3299999999999998E-2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-1.804E-3</v>
          </cell>
        </row>
        <row r="1236">
          <cell r="B1236">
            <v>489524</v>
          </cell>
          <cell r="C1236" t="str">
            <v>NOT USED</v>
          </cell>
          <cell r="D1236" t="str">
            <v>T-GAS REV -RESIDENTIAL-EEPS</v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 t="str">
            <v/>
          </cell>
          <cell r="J1236" t="str">
            <v/>
          </cell>
          <cell r="K1236" t="str">
            <v/>
          </cell>
          <cell r="L1236">
            <v>-487.24606</v>
          </cell>
          <cell r="M1236">
            <v>-227.87645000000001</v>
          </cell>
          <cell r="N1236">
            <v>-429.88265000000001</v>
          </cell>
          <cell r="O1236">
            <v>-609.13354000000004</v>
          </cell>
          <cell r="P1236">
            <v>-745.05077000000006</v>
          </cell>
          <cell r="Q1236">
            <v>-824.42196000000001</v>
          </cell>
          <cell r="R1236">
            <v>-863.96438000000001</v>
          </cell>
          <cell r="S1236">
            <v>-888.02844000000005</v>
          </cell>
          <cell r="T1236">
            <v>-907.93159000000003</v>
          </cell>
          <cell r="U1236">
            <v>-931.71268999999995</v>
          </cell>
          <cell r="V1236">
            <v>-970.76969999999994</v>
          </cell>
          <cell r="W1236">
            <v>-1051.87788</v>
          </cell>
          <cell r="X1236">
            <v>-1177.74728</v>
          </cell>
          <cell r="Y1236">
            <v>-773.59555999999998</v>
          </cell>
        </row>
        <row r="1237">
          <cell r="B1237">
            <v>489525</v>
          </cell>
          <cell r="C1237" t="str">
            <v>NOT USED</v>
          </cell>
          <cell r="D1237" t="str">
            <v>T-GAS REVENUE-SMALL-RESIDENTIAL-UNBILLED</v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 t="str">
            <v/>
          </cell>
          <cell r="J1237" t="str">
            <v/>
          </cell>
          <cell r="K1237" t="str">
            <v/>
          </cell>
          <cell r="L1237">
            <v>-388.19675999999998</v>
          </cell>
          <cell r="M1237">
            <v>-176.34390999999999</v>
          </cell>
          <cell r="N1237">
            <v>-4.6361800000000004</v>
          </cell>
          <cell r="O1237">
            <v>154.80294000000001</v>
          </cell>
          <cell r="P1237">
            <v>465.99367000000001</v>
          </cell>
          <cell r="Q1237">
            <v>748.92547000000002</v>
          </cell>
          <cell r="R1237">
            <v>1020.7968499999999</v>
          </cell>
          <cell r="S1237">
            <v>1070.1805899999999</v>
          </cell>
          <cell r="T1237">
            <v>940.9434</v>
          </cell>
          <cell r="U1237">
            <v>914.37179000000003</v>
          </cell>
          <cell r="V1237">
            <v>574.93826000000001</v>
          </cell>
          <cell r="W1237">
            <v>297.44369</v>
          </cell>
          <cell r="X1237">
            <v>-178.23645999999999</v>
          </cell>
          <cell r="Y1237">
            <v>477.01666299999999</v>
          </cell>
        </row>
        <row r="1238">
          <cell r="B1238">
            <v>489534</v>
          </cell>
          <cell r="C1238" t="str">
            <v>NOT USED</v>
          </cell>
          <cell r="D1238" t="str">
            <v>T-GAS REV -SMALL-RESIDENTIAL-WNA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 t="str">
            <v/>
          </cell>
          <cell r="J1238" t="str">
            <v/>
          </cell>
          <cell r="K1238" t="str">
            <v/>
          </cell>
          <cell r="L1238">
            <v>-120.64172000000001</v>
          </cell>
          <cell r="M1238">
            <v>148.50351000000001</v>
          </cell>
          <cell r="N1238">
            <v>258.74592999999999</v>
          </cell>
          <cell r="O1238">
            <v>267.57706000000002</v>
          </cell>
          <cell r="P1238">
            <v>340.47311000000002</v>
          </cell>
          <cell r="Q1238">
            <v>391.01729</v>
          </cell>
          <cell r="R1238">
            <v>326.92669000000001</v>
          </cell>
          <cell r="S1238">
            <v>328.17156</v>
          </cell>
          <cell r="T1238">
            <v>328.58017999999998</v>
          </cell>
          <cell r="U1238">
            <v>328.60372000000001</v>
          </cell>
          <cell r="V1238">
            <v>283.92883999999998</v>
          </cell>
          <cell r="W1238">
            <v>234.34477999999999</v>
          </cell>
          <cell r="X1238">
            <v>18.173660000000002</v>
          </cell>
          <cell r="Y1238">
            <v>265.46988700000003</v>
          </cell>
        </row>
        <row r="1239">
          <cell r="B1239">
            <v>489540</v>
          </cell>
          <cell r="C1239" t="str">
            <v>NOT USED</v>
          </cell>
          <cell r="D1239" t="str">
            <v>T-GAS STORAGE BALANCING SERVICE CHARGE - SC5</v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 t="str">
            <v/>
          </cell>
          <cell r="J1239" t="str">
            <v/>
          </cell>
          <cell r="K1239" t="str">
            <v/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B1240">
            <v>489550</v>
          </cell>
          <cell r="C1240" t="str">
            <v>NOT USED</v>
          </cell>
          <cell r="D1240" t="str">
            <v>T-GAS GAS RATE ADJUSTMENT - SC5</v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 t="str">
            <v/>
          </cell>
          <cell r="J1240" t="str">
            <v/>
          </cell>
          <cell r="K1240" t="str">
            <v/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B1241">
            <v>489560</v>
          </cell>
          <cell r="C1241" t="str">
            <v>NOT USED</v>
          </cell>
          <cell r="D1241" t="str">
            <v>T-GAS UNBILLED - SC5</v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 t="str">
            <v/>
          </cell>
          <cell r="J1241" t="str">
            <v/>
          </cell>
          <cell r="K1241" t="str">
            <v/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B1242">
            <v>489573</v>
          </cell>
          <cell r="C1242" t="str">
            <v>NOT USED</v>
          </cell>
          <cell r="D1242" t="str">
            <v>T-GAS REV -SMALL-RESIDENTIAL-GRT</v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 t="str">
            <v/>
          </cell>
          <cell r="J1242" t="str">
            <v/>
          </cell>
          <cell r="K1242" t="str">
            <v/>
          </cell>
          <cell r="L1242">
            <v>-392.62324000000001</v>
          </cell>
          <cell r="M1242">
            <v>-59.717059999999996</v>
          </cell>
          <cell r="N1242">
            <v>-120.71741</v>
          </cell>
          <cell r="O1242">
            <v>-179.9922</v>
          </cell>
          <cell r="P1242">
            <v>-229.44078999999999</v>
          </cell>
          <cell r="Q1242">
            <v>-267.43597999999997</v>
          </cell>
          <cell r="R1242">
            <v>-298.39675999999997</v>
          </cell>
          <cell r="S1242">
            <v>-324.61637999999999</v>
          </cell>
          <cell r="T1242">
            <v>-349.42462999999998</v>
          </cell>
          <cell r="U1242">
            <v>-376.00261999999998</v>
          </cell>
          <cell r="V1242">
            <v>-407.72523999999999</v>
          </cell>
          <cell r="W1242">
            <v>-450.68142</v>
          </cell>
          <cell r="X1242">
            <v>-509.53919999999999</v>
          </cell>
          <cell r="Y1242">
            <v>-292.93597599999998</v>
          </cell>
        </row>
        <row r="1243">
          <cell r="B1243">
            <v>489620</v>
          </cell>
          <cell r="C1243" t="str">
            <v>NOT USED</v>
          </cell>
          <cell r="D1243" t="str">
            <v>T-GAS REV -SMALL-COMMERCIAL-DELIVERY</v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 t="str">
            <v/>
          </cell>
          <cell r="J1243" t="str">
            <v/>
          </cell>
          <cell r="K1243" t="str">
            <v/>
          </cell>
          <cell r="L1243">
            <v>-10893.664489999999</v>
          </cell>
          <cell r="M1243">
            <v>-1521.1495600000001</v>
          </cell>
          <cell r="N1243">
            <v>-3027.8798700000002</v>
          </cell>
          <cell r="O1243">
            <v>-4383.26674</v>
          </cell>
          <cell r="P1243">
            <v>-5510.8925799999997</v>
          </cell>
          <cell r="Q1243">
            <v>-6353.0965999999999</v>
          </cell>
          <cell r="R1243">
            <v>-7078.4597199999998</v>
          </cell>
          <cell r="S1243">
            <v>-7716.1449300000004</v>
          </cell>
          <cell r="T1243">
            <v>-8342.5114900000008</v>
          </cell>
          <cell r="U1243">
            <v>-9029.3529899999994</v>
          </cell>
          <cell r="V1243">
            <v>-9833.3436099999999</v>
          </cell>
          <cell r="W1243">
            <v>-10858.13312</v>
          </cell>
          <cell r="X1243">
            <v>-12158.9964</v>
          </cell>
          <cell r="Y1243">
            <v>-7098.3801380000004</v>
          </cell>
        </row>
        <row r="1244">
          <cell r="B1244">
            <v>489621</v>
          </cell>
          <cell r="C1244" t="str">
            <v>NOT USED</v>
          </cell>
          <cell r="D1244" t="str">
            <v>T-GAS REV -SMALL-COMMERCIAL-TRANS RATE ADJUSTMENT</v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 t="str">
            <v/>
          </cell>
          <cell r="J1244" t="str">
            <v/>
          </cell>
          <cell r="K1244" t="str">
            <v/>
          </cell>
          <cell r="L1244">
            <v>34.137500000000003</v>
          </cell>
          <cell r="M1244">
            <v>-8.7081999999999997</v>
          </cell>
          <cell r="N1244">
            <v>-12.262460000000001</v>
          </cell>
          <cell r="O1244">
            <v>-12.187239999999999</v>
          </cell>
          <cell r="P1244">
            <v>-63.201030000000003</v>
          </cell>
          <cell r="Q1244">
            <v>-122.3592</v>
          </cell>
          <cell r="R1244">
            <v>-153.57163</v>
          </cell>
          <cell r="S1244">
            <v>-168.69719000000001</v>
          </cell>
          <cell r="T1244">
            <v>-182.97243</v>
          </cell>
          <cell r="U1244">
            <v>-203.67667</v>
          </cell>
          <cell r="V1244">
            <v>-238.81741</v>
          </cell>
          <cell r="W1244">
            <v>-299.91885000000002</v>
          </cell>
          <cell r="X1244">
            <v>-399.89560999999998</v>
          </cell>
          <cell r="Y1244">
            <v>-137.437614</v>
          </cell>
        </row>
        <row r="1245">
          <cell r="B1245">
            <v>489622</v>
          </cell>
          <cell r="C1245" t="str">
            <v>NOT USED</v>
          </cell>
          <cell r="D1245" t="str">
            <v>T-GAS REV -SMALL-COMMERCIAL-STORAGE/BALANCING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 t="str">
            <v/>
          </cell>
          <cell r="J1245" t="str">
            <v/>
          </cell>
          <cell r="K1245" t="str">
            <v/>
          </cell>
          <cell r="L1245">
            <v>-98.888710000000003</v>
          </cell>
          <cell r="M1245">
            <v>-16.981400000000001</v>
          </cell>
          <cell r="N1245">
            <v>-31.468399999999999</v>
          </cell>
          <cell r="O1245">
            <v>-44.55198</v>
          </cell>
          <cell r="P1245">
            <v>-53.20299</v>
          </cell>
          <cell r="Q1245">
            <v>-58.712380000000003</v>
          </cell>
          <cell r="R1245">
            <v>-61.927190000000003</v>
          </cell>
          <cell r="S1245">
            <v>-64.779939999999996</v>
          </cell>
          <cell r="T1245">
            <v>-67.842039999999997</v>
          </cell>
          <cell r="U1245">
            <v>-71.354659999999996</v>
          </cell>
          <cell r="V1245">
            <v>-77.661270000000002</v>
          </cell>
          <cell r="W1245">
            <v>-85.626660000000001</v>
          </cell>
          <cell r="X1245">
            <v>-96.659099999999995</v>
          </cell>
          <cell r="Y1245">
            <v>-60.990234999999998</v>
          </cell>
        </row>
        <row r="1246">
          <cell r="B1246">
            <v>489624</v>
          </cell>
          <cell r="C1246" t="str">
            <v>NOT USED</v>
          </cell>
          <cell r="D1246" t="str">
            <v>T-GAS REV-COMMERCIAL-EEPS</v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 t="str">
            <v/>
          </cell>
          <cell r="J1246" t="str">
            <v/>
          </cell>
          <cell r="K1246" t="str">
            <v/>
          </cell>
          <cell r="L1246">
            <v>-1034.53621</v>
          </cell>
          <cell r="M1246">
            <v>-306.09320000000002</v>
          </cell>
          <cell r="N1246">
            <v>-574.13516000000004</v>
          </cell>
          <cell r="O1246">
            <v>-809.39482999999996</v>
          </cell>
          <cell r="P1246">
            <v>-986.96267999999998</v>
          </cell>
          <cell r="Q1246">
            <v>-1078.44894</v>
          </cell>
          <cell r="R1246">
            <v>-1195.5622599999999</v>
          </cell>
          <cell r="S1246">
            <v>-1285.68408</v>
          </cell>
          <cell r="T1246">
            <v>-1379.09438</v>
          </cell>
          <cell r="U1246">
            <v>-1463.1695999999999</v>
          </cell>
          <cell r="V1246">
            <v>-1573.3082999999999</v>
          </cell>
          <cell r="W1246">
            <v>-1721.4199100000001</v>
          </cell>
          <cell r="X1246">
            <v>-1926.5468000000001</v>
          </cell>
          <cell r="Y1246">
            <v>-1154.4845700000001</v>
          </cell>
        </row>
        <row r="1247">
          <cell r="B1247">
            <v>489625</v>
          </cell>
          <cell r="C1247" t="str">
            <v>NOT USED</v>
          </cell>
          <cell r="D1247" t="str">
            <v>T-GAS REV-SMALL-COMMERCIAL-UNBILLED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 t="str">
            <v/>
          </cell>
          <cell r="L1247">
            <v>-104.46259999999999</v>
          </cell>
          <cell r="M1247">
            <v>-71.296369999999996</v>
          </cell>
          <cell r="N1247">
            <v>-22.412559999999999</v>
          </cell>
          <cell r="O1247">
            <v>51.855820000000001</v>
          </cell>
          <cell r="P1247">
            <v>123.57355</v>
          </cell>
          <cell r="Q1247">
            <v>175.65917999999999</v>
          </cell>
          <cell r="R1247">
            <v>365.83262000000002</v>
          </cell>
          <cell r="S1247">
            <v>399.3503</v>
          </cell>
          <cell r="T1247">
            <v>315.30543999999998</v>
          </cell>
          <cell r="U1247">
            <v>303.77834999999999</v>
          </cell>
          <cell r="V1247">
            <v>185.89186000000001</v>
          </cell>
          <cell r="W1247">
            <v>51.322890000000001</v>
          </cell>
          <cell r="X1247">
            <v>-92.597340000000003</v>
          </cell>
          <cell r="Y1247">
            <v>148.36092600000001</v>
          </cell>
        </row>
        <row r="1248">
          <cell r="B1248">
            <v>489626</v>
          </cell>
          <cell r="C1248" t="str">
            <v>NOT USED</v>
          </cell>
          <cell r="D1248" t="str">
            <v>T-GAS REV-COMMERCIAL SURCHARGE</v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 t="str">
            <v/>
          </cell>
          <cell r="J1248" t="str">
            <v/>
          </cell>
          <cell r="K1248" t="str">
            <v/>
          </cell>
          <cell r="L1248">
            <v>-2390.4706500000002</v>
          </cell>
          <cell r="M1248">
            <v>-397.46114</v>
          </cell>
          <cell r="N1248">
            <v>-767.79232000000002</v>
          </cell>
          <cell r="O1248">
            <v>-1091.78818</v>
          </cell>
          <cell r="P1248">
            <v>-1336.82357</v>
          </cell>
          <cell r="Q1248">
            <v>-1463.86175</v>
          </cell>
          <cell r="R1248">
            <v>-1622.0583099999999</v>
          </cell>
          <cell r="S1248">
            <v>-1743.44299</v>
          </cell>
          <cell r="T1248">
            <v>-1868.8255200000001</v>
          </cell>
          <cell r="U1248">
            <v>-1982.4338499999999</v>
          </cell>
          <cell r="V1248">
            <v>-2131.6516000000001</v>
          </cell>
          <cell r="W1248">
            <v>-2327.2302199999999</v>
          </cell>
          <cell r="X1248">
            <v>-2593.2193200000002</v>
          </cell>
          <cell r="Y1248">
            <v>-1602.1012029999999</v>
          </cell>
        </row>
        <row r="1249">
          <cell r="B1249">
            <v>489634</v>
          </cell>
          <cell r="C1249" t="str">
            <v>NOT USED</v>
          </cell>
          <cell r="D1249" t="str">
            <v>T-GAS REV -SMALL-COMMERCIAL-WNA</v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 t="str">
            <v/>
          </cell>
          <cell r="J1249" t="str">
            <v/>
          </cell>
          <cell r="K1249" t="str">
            <v/>
          </cell>
          <cell r="L1249">
            <v>-107.8844</v>
          </cell>
          <cell r="M1249">
            <v>69.268479999999997</v>
          </cell>
          <cell r="N1249">
            <v>125.78178</v>
          </cell>
          <cell r="O1249">
            <v>136.42841999999999</v>
          </cell>
          <cell r="P1249">
            <v>167.15572</v>
          </cell>
          <cell r="Q1249">
            <v>180.44667000000001</v>
          </cell>
          <cell r="R1249">
            <v>157.15995000000001</v>
          </cell>
          <cell r="S1249">
            <v>158.67537999999999</v>
          </cell>
          <cell r="T1249">
            <v>158.85547</v>
          </cell>
          <cell r="U1249">
            <v>158.92023</v>
          </cell>
          <cell r="V1249">
            <v>133.70737</v>
          </cell>
          <cell r="W1249">
            <v>94.079449999999994</v>
          </cell>
          <cell r="X1249">
            <v>-15.65343</v>
          </cell>
          <cell r="Y1249">
            <v>123.22583400000001</v>
          </cell>
        </row>
        <row r="1250">
          <cell r="B1250">
            <v>489673</v>
          </cell>
          <cell r="C1250" t="str">
            <v>NOT USED</v>
          </cell>
          <cell r="D1250" t="str">
            <v>T-GAS REV -SMALL-COMMERCIAL-GRT</v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 t="str">
            <v/>
          </cell>
          <cell r="J1250" t="str">
            <v/>
          </cell>
          <cell r="K1250" t="str">
            <v/>
          </cell>
          <cell r="L1250">
            <v>-0.29266999999999999</v>
          </cell>
          <cell r="M1250">
            <v>-5.5480000000000002E-2</v>
          </cell>
          <cell r="N1250">
            <v>-0.11199000000000001</v>
          </cell>
          <cell r="O1250">
            <v>-0.15098</v>
          </cell>
          <cell r="P1250">
            <v>-0.18237999999999999</v>
          </cell>
          <cell r="Q1250">
            <v>-0.20272999999999999</v>
          </cell>
          <cell r="R1250">
            <v>-0.21589</v>
          </cell>
          <cell r="S1250">
            <v>-0.22813</v>
          </cell>
          <cell r="T1250">
            <v>-0.24121999999999999</v>
          </cell>
          <cell r="U1250">
            <v>-0.25750000000000001</v>
          </cell>
          <cell r="V1250">
            <v>-0.27696999999999999</v>
          </cell>
          <cell r="W1250">
            <v>-0.32025999999999999</v>
          </cell>
          <cell r="X1250">
            <v>-0.38794000000000001</v>
          </cell>
          <cell r="Y1250">
            <v>-0.21532000000000001</v>
          </cell>
        </row>
        <row r="1251">
          <cell r="B1251">
            <v>489720</v>
          </cell>
          <cell r="C1251" t="str">
            <v>NOT USED</v>
          </cell>
          <cell r="D1251" t="str">
            <v>T-GAS REV -SMALL-INDUSTRIAL-DELIVERY</v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 t="str">
            <v/>
          </cell>
          <cell r="J1251" t="str">
            <v/>
          </cell>
          <cell r="K1251" t="str">
            <v/>
          </cell>
          <cell r="L1251">
            <v>-4182.4059100000004</v>
          </cell>
          <cell r="M1251">
            <v>-436.38797</v>
          </cell>
          <cell r="N1251">
            <v>-844.58276000000001</v>
          </cell>
          <cell r="O1251">
            <v>-1233.5237999999999</v>
          </cell>
          <cell r="P1251">
            <v>-1564.14131</v>
          </cell>
          <cell r="Q1251">
            <v>-1839.1180099999999</v>
          </cell>
          <cell r="R1251">
            <v>-2089.31684</v>
          </cell>
          <cell r="S1251">
            <v>-2318.1914700000002</v>
          </cell>
          <cell r="T1251">
            <v>-2566.1412999999998</v>
          </cell>
          <cell r="U1251">
            <v>-2836.3941500000001</v>
          </cell>
          <cell r="V1251">
            <v>-3139.31286</v>
          </cell>
          <cell r="W1251">
            <v>-3473.0927700000002</v>
          </cell>
          <cell r="X1251">
            <v>-3846.1775299999999</v>
          </cell>
          <cell r="Y1251">
            <v>-2196.2079130000002</v>
          </cell>
        </row>
        <row r="1252">
          <cell r="B1252">
            <v>489721</v>
          </cell>
          <cell r="C1252" t="str">
            <v>NOT USED</v>
          </cell>
          <cell r="D1252" t="str">
            <v>T-GAS REV -SMALL-INDUSTRIAL-TRANS RATE ADJUSTMENT</v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 t="str">
            <v/>
          </cell>
          <cell r="J1252" t="str">
            <v/>
          </cell>
          <cell r="K1252" t="str">
            <v/>
          </cell>
          <cell r="L1252">
            <v>-31.730270000000001</v>
          </cell>
          <cell r="M1252">
            <v>-7.4848400000000002</v>
          </cell>
          <cell r="N1252">
            <v>-13.15255</v>
          </cell>
          <cell r="O1252">
            <v>-17.90091</v>
          </cell>
          <cell r="P1252">
            <v>-28.004270000000002</v>
          </cell>
          <cell r="Q1252">
            <v>-39.989220000000003</v>
          </cell>
          <cell r="R1252">
            <v>-47.382770000000001</v>
          </cell>
          <cell r="S1252">
            <v>-52.325499999999998</v>
          </cell>
          <cell r="T1252">
            <v>-57.733870000000003</v>
          </cell>
          <cell r="U1252">
            <v>-63.583950000000002</v>
          </cell>
          <cell r="V1252">
            <v>-71.919910000000002</v>
          </cell>
          <cell r="W1252">
            <v>-83.500619999999998</v>
          </cell>
          <cell r="X1252">
            <v>-101.31703</v>
          </cell>
          <cell r="Y1252">
            <v>-45.791837999999998</v>
          </cell>
        </row>
        <row r="1253">
          <cell r="B1253">
            <v>489722</v>
          </cell>
          <cell r="C1253" t="str">
            <v>NOT USED</v>
          </cell>
          <cell r="D1253" t="str">
            <v>T-GAS REV -SMALL-INDUSTRIAL-STORAGE/BALANCING</v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 t="str">
            <v/>
          </cell>
          <cell r="J1253" t="str">
            <v/>
          </cell>
          <cell r="K1253" t="str">
            <v/>
          </cell>
          <cell r="L1253">
            <v>-204.22674000000001</v>
          </cell>
          <cell r="M1253">
            <v>-24.839030000000001</v>
          </cell>
          <cell r="N1253">
            <v>-45.663919999999997</v>
          </cell>
          <cell r="O1253">
            <v>-66.318950000000001</v>
          </cell>
          <cell r="P1253">
            <v>-83.400859999999994</v>
          </cell>
          <cell r="Q1253">
            <v>-97.036019999999994</v>
          </cell>
          <cell r="R1253">
            <v>-109.19893</v>
          </cell>
          <cell r="S1253">
            <v>-120.18159</v>
          </cell>
          <cell r="T1253">
            <v>-132.62876</v>
          </cell>
          <cell r="U1253">
            <v>-144.7741</v>
          </cell>
          <cell r="V1253">
            <v>-159.73999000000001</v>
          </cell>
          <cell r="W1253">
            <v>-176.07154</v>
          </cell>
          <cell r="X1253">
            <v>-194.59568999999999</v>
          </cell>
          <cell r="Y1253">
            <v>-113.272075</v>
          </cell>
        </row>
        <row r="1254">
          <cell r="B1254">
            <v>489724</v>
          </cell>
          <cell r="C1254" t="str">
            <v>NOT USED</v>
          </cell>
          <cell r="D1254" t="str">
            <v>T-GAS REV -INDUSTRIAL-EEPS</v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 t="str">
            <v/>
          </cell>
          <cell r="J1254" t="str">
            <v/>
          </cell>
          <cell r="K1254" t="str">
            <v/>
          </cell>
          <cell r="L1254">
            <v>-787.25985000000003</v>
          </cell>
          <cell r="M1254">
            <v>-177.97736</v>
          </cell>
          <cell r="N1254">
            <v>-325.05743000000001</v>
          </cell>
          <cell r="O1254">
            <v>-465.77938999999998</v>
          </cell>
          <cell r="P1254">
            <v>-576.78754000000004</v>
          </cell>
          <cell r="Q1254">
            <v>-663.45163000000002</v>
          </cell>
          <cell r="R1254">
            <v>-740.35704999999996</v>
          </cell>
          <cell r="S1254">
            <v>-808.60302999999999</v>
          </cell>
          <cell r="T1254">
            <v>-888.83005000000003</v>
          </cell>
          <cell r="U1254">
            <v>-968.19881999999996</v>
          </cell>
          <cell r="V1254">
            <v>-1065.5034499999999</v>
          </cell>
          <cell r="W1254">
            <v>-1173.25632</v>
          </cell>
          <cell r="X1254">
            <v>-1295.9276</v>
          </cell>
          <cell r="Y1254">
            <v>-741.28298299999994</v>
          </cell>
        </row>
        <row r="1255">
          <cell r="B1255">
            <v>489725</v>
          </cell>
          <cell r="C1255" t="str">
            <v>NOT USED</v>
          </cell>
          <cell r="D1255" t="str">
            <v>T-GAS REVENUE-SMALL-INDUSTRIAL-UNBILLED</v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 t="str">
            <v/>
          </cell>
          <cell r="J1255" t="str">
            <v/>
          </cell>
          <cell r="K1255" t="str">
            <v/>
          </cell>
          <cell r="L1255">
            <v>-8.5462100000000003</v>
          </cell>
          <cell r="M1255">
            <v>-7.1676599999999997</v>
          </cell>
          <cell r="N1255">
            <v>-3.9999799999999999</v>
          </cell>
          <cell r="O1255">
            <v>4.2042799999999998</v>
          </cell>
          <cell r="P1255">
            <v>19.64799</v>
          </cell>
          <cell r="Q1255">
            <v>26.049389999999999</v>
          </cell>
          <cell r="R1255">
            <v>40.93291</v>
          </cell>
          <cell r="S1255">
            <v>42.854030000000002</v>
          </cell>
          <cell r="T1255">
            <v>38.513930000000002</v>
          </cell>
          <cell r="U1255">
            <v>38.057319999999997</v>
          </cell>
          <cell r="V1255">
            <v>23.876550000000002</v>
          </cell>
          <cell r="W1255">
            <v>7.5103099999999996</v>
          </cell>
          <cell r="X1255">
            <v>-2.5368400000000002</v>
          </cell>
          <cell r="Y1255">
            <v>18.744795</v>
          </cell>
        </row>
        <row r="1256">
          <cell r="B1256">
            <v>489726</v>
          </cell>
          <cell r="C1256" t="str">
            <v>NOT USED</v>
          </cell>
          <cell r="D1256" t="str">
            <v>T-GAS REVENUE-INDUSTRIAL SURCHARGE</v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 t="str">
            <v/>
          </cell>
          <cell r="L1256">
            <v>-1704.98272</v>
          </cell>
          <cell r="M1256">
            <v>-229.31483</v>
          </cell>
          <cell r="N1256">
            <v>-425.82862</v>
          </cell>
          <cell r="O1256">
            <v>-613.13286000000005</v>
          </cell>
          <cell r="P1256">
            <v>-760.69826999999998</v>
          </cell>
          <cell r="Q1256">
            <v>-875.39407000000006</v>
          </cell>
          <cell r="R1256">
            <v>-976.83515</v>
          </cell>
          <cell r="S1256">
            <v>-1066.7914599999999</v>
          </cell>
          <cell r="T1256">
            <v>-1172.47793</v>
          </cell>
          <cell r="U1256">
            <v>-1277.06492</v>
          </cell>
          <cell r="V1256">
            <v>-1405.33519</v>
          </cell>
          <cell r="W1256">
            <v>-1544.3476499999999</v>
          </cell>
          <cell r="X1256">
            <v>-1702.10581</v>
          </cell>
          <cell r="Y1256">
            <v>-1004.2304350000001</v>
          </cell>
        </row>
        <row r="1257">
          <cell r="B1257">
            <v>489734</v>
          </cell>
          <cell r="C1257" t="str">
            <v>NOT USED</v>
          </cell>
          <cell r="D1257" t="str">
            <v>T-GAS REV -SMALL-INDUSTRIAL-WNA</v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 t="str">
            <v/>
          </cell>
          <cell r="J1257" t="str">
            <v/>
          </cell>
          <cell r="K1257" t="str">
            <v/>
          </cell>
          <cell r="L1257">
            <v>-15.220330000000001</v>
          </cell>
          <cell r="M1257">
            <v>11.150729999999999</v>
          </cell>
          <cell r="N1257">
            <v>21.34065</v>
          </cell>
          <cell r="O1257">
            <v>24.22729</v>
          </cell>
          <cell r="P1257">
            <v>28.366299999999999</v>
          </cell>
          <cell r="Q1257">
            <v>29.424109999999999</v>
          </cell>
          <cell r="R1257">
            <v>27.706569999999999</v>
          </cell>
          <cell r="S1257">
            <v>27.706440000000001</v>
          </cell>
          <cell r="T1257">
            <v>27.707100000000001</v>
          </cell>
          <cell r="U1257">
            <v>27.7073</v>
          </cell>
          <cell r="V1257">
            <v>25.075369999999999</v>
          </cell>
          <cell r="W1257">
            <v>17.543150000000001</v>
          </cell>
          <cell r="X1257">
            <v>1.46695</v>
          </cell>
          <cell r="Y1257">
            <v>21.756526999999998</v>
          </cell>
        </row>
        <row r="1258">
          <cell r="B1258">
            <v>489773</v>
          </cell>
          <cell r="C1258" t="str">
            <v>NOT USED</v>
          </cell>
          <cell r="D1258" t="str">
            <v>T-GAS REV -INDUSTRIAL-GRT</v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 t="str">
            <v/>
          </cell>
          <cell r="J1258" t="str">
            <v/>
          </cell>
          <cell r="K1258" t="str">
            <v/>
          </cell>
          <cell r="L1258">
            <v>-3.637E-2</v>
          </cell>
          <cell r="M1258">
            <v>-6.94E-3</v>
          </cell>
          <cell r="N1258">
            <v>-6.94E-3</v>
          </cell>
          <cell r="O1258">
            <v>-6.94E-3</v>
          </cell>
          <cell r="P1258">
            <v>-6.94E-3</v>
          </cell>
          <cell r="Q1258">
            <v>-6.94E-3</v>
          </cell>
          <cell r="R1258">
            <v>-6.94E-3</v>
          </cell>
          <cell r="S1258">
            <v>-6.94E-3</v>
          </cell>
          <cell r="T1258">
            <v>-6.94E-3</v>
          </cell>
          <cell r="U1258">
            <v>-6.94E-3</v>
          </cell>
          <cell r="V1258">
            <v>-6.94E-3</v>
          </cell>
          <cell r="W1258">
            <v>-8.8690000000000005E-2</v>
          </cell>
          <cell r="X1258">
            <v>-0.15689</v>
          </cell>
          <cell r="Y1258">
            <v>-2.1226999999999999E-2</v>
          </cell>
        </row>
        <row r="1259">
          <cell r="B1259">
            <v>489780</v>
          </cell>
          <cell r="C1259" t="str">
            <v>NOT USED</v>
          </cell>
          <cell r="D1259" t="str">
            <v>T-GAS BACKOUT CREDIT - SC6 SUPPLIERS FOR SC5</v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 t="str">
            <v/>
          </cell>
          <cell r="J1259" t="str">
            <v/>
          </cell>
          <cell r="K1259" t="str">
            <v/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B1260">
            <v>489790</v>
          </cell>
          <cell r="C1260" t="str">
            <v>NOT USED</v>
          </cell>
          <cell r="D1260" t="str">
            <v>T-GAS BACKOUT CREDIT - SC6 SUPPLIERS FOR SC5-E!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 t="str">
            <v/>
          </cell>
          <cell r="J1260" t="str">
            <v/>
          </cell>
          <cell r="K1260" t="str">
            <v/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B1261">
            <v>489820</v>
          </cell>
          <cell r="C1261" t="str">
            <v>NOT USED</v>
          </cell>
          <cell r="D1261" t="str">
            <v>T-GAS REV -SMALL-MUNICIPAL-DELIVERY</v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 t="str">
            <v/>
          </cell>
          <cell r="J1261" t="str">
            <v/>
          </cell>
          <cell r="K1261" t="str">
            <v/>
          </cell>
          <cell r="L1261">
            <v>-2868.8928900000001</v>
          </cell>
          <cell r="M1261">
            <v>-404.11450000000002</v>
          </cell>
          <cell r="N1261">
            <v>-789.38099999999997</v>
          </cell>
          <cell r="O1261">
            <v>-1152.9926700000001</v>
          </cell>
          <cell r="P1261">
            <v>-1448.9801</v>
          </cell>
          <cell r="Q1261">
            <v>-1694.0107700000001</v>
          </cell>
          <cell r="R1261">
            <v>-1904.2337399999999</v>
          </cell>
          <cell r="S1261">
            <v>-2098.5385700000002</v>
          </cell>
          <cell r="T1261">
            <v>-2294.3536399999998</v>
          </cell>
          <cell r="U1261">
            <v>-2503.3713600000001</v>
          </cell>
          <cell r="V1261">
            <v>-2760.8831399999999</v>
          </cell>
          <cell r="W1261">
            <v>-3057.1769300000001</v>
          </cell>
          <cell r="X1261">
            <v>-3411.97939</v>
          </cell>
          <cell r="Y1261">
            <v>-1937.372713</v>
          </cell>
        </row>
        <row r="1262">
          <cell r="B1262">
            <v>489821</v>
          </cell>
          <cell r="C1262" t="str">
            <v>NOT USED</v>
          </cell>
          <cell r="D1262" t="str">
            <v>T-GAS REV -SMALL-MUNICIPAL-TRANS RATE ADJUSTMENT</v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K1262" t="str">
            <v/>
          </cell>
          <cell r="L1262">
            <v>-11.86215</v>
          </cell>
          <cell r="M1262">
            <v>-3.5188700000000002</v>
          </cell>
          <cell r="N1262">
            <v>-6.0796000000000001</v>
          </cell>
          <cell r="O1262">
            <v>-7.9313799999999999</v>
          </cell>
          <cell r="P1262">
            <v>-13.951079999999999</v>
          </cell>
          <cell r="Q1262">
            <v>-20.226459999999999</v>
          </cell>
          <cell r="R1262">
            <v>-22.606110000000001</v>
          </cell>
          <cell r="S1262">
            <v>-23.581669999999999</v>
          </cell>
          <cell r="T1262">
            <v>-24.535640000000001</v>
          </cell>
          <cell r="U1262">
            <v>-25.81983</v>
          </cell>
          <cell r="V1262">
            <v>-29.09076</v>
          </cell>
          <cell r="W1262">
            <v>-35.43112</v>
          </cell>
          <cell r="X1262">
            <v>-46.298299999999998</v>
          </cell>
          <cell r="Y1262">
            <v>-20.154395000000001</v>
          </cell>
        </row>
        <row r="1263">
          <cell r="B1263">
            <v>489822</v>
          </cell>
          <cell r="C1263" t="str">
            <v>NOT USED</v>
          </cell>
          <cell r="D1263" t="str">
            <v>T-GAS REV -SMALL-MUNICIPAL-STORAGE/BALANCING</v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 t="str">
            <v/>
          </cell>
          <cell r="J1263" t="str">
            <v/>
          </cell>
          <cell r="K1263" t="str">
            <v/>
          </cell>
          <cell r="L1263">
            <v>-56.80762</v>
          </cell>
          <cell r="M1263">
            <v>-10.7522</v>
          </cell>
          <cell r="N1263">
            <v>-19.649629999999998</v>
          </cell>
          <cell r="O1263">
            <v>-27.724260000000001</v>
          </cell>
          <cell r="P1263">
            <v>-32.707859999999997</v>
          </cell>
          <cell r="Q1263">
            <v>-35.264499999999998</v>
          </cell>
          <cell r="R1263">
            <v>-36.495559999999998</v>
          </cell>
          <cell r="S1263">
            <v>-37.451160000000002</v>
          </cell>
          <cell r="T1263">
            <v>-38.678139999999999</v>
          </cell>
          <cell r="U1263">
            <v>-40.131399999999999</v>
          </cell>
          <cell r="V1263">
            <v>-43.847209999999997</v>
          </cell>
          <cell r="W1263">
            <v>-48.79119</v>
          </cell>
          <cell r="X1263">
            <v>-56.026409999999998</v>
          </cell>
          <cell r="Y1263">
            <v>-35.659177</v>
          </cell>
        </row>
        <row r="1264">
          <cell r="B1264">
            <v>489824</v>
          </cell>
          <cell r="C1264" t="str">
            <v>NOT USED</v>
          </cell>
          <cell r="D1264" t="str">
            <v>T-GAS REV -MUNICIPAL-EEPS</v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 t="str">
            <v/>
          </cell>
          <cell r="J1264" t="str">
            <v/>
          </cell>
          <cell r="K1264" t="str">
            <v/>
          </cell>
          <cell r="L1264">
            <v>-277.79095000000001</v>
          </cell>
          <cell r="M1264">
            <v>-87.225729999999999</v>
          </cell>
          <cell r="N1264">
            <v>-161.66595000000001</v>
          </cell>
          <cell r="O1264">
            <v>-228.92819</v>
          </cell>
          <cell r="P1264">
            <v>-270.77370000000002</v>
          </cell>
          <cell r="Q1264">
            <v>-294.31436000000002</v>
          </cell>
          <cell r="R1264">
            <v>-306.66172999999998</v>
          </cell>
          <cell r="S1264">
            <v>-317.27404000000001</v>
          </cell>
          <cell r="T1264">
            <v>-328.66901999999999</v>
          </cell>
          <cell r="U1264">
            <v>-341.28127999999998</v>
          </cell>
          <cell r="V1264">
            <v>-369.72127</v>
          </cell>
          <cell r="W1264">
            <v>-408.96483000000001</v>
          </cell>
          <cell r="X1264">
            <v>-465.84071999999998</v>
          </cell>
          <cell r="Y1264">
            <v>-290.60799500000002</v>
          </cell>
        </row>
        <row r="1265">
          <cell r="B1265">
            <v>489825</v>
          </cell>
          <cell r="C1265" t="str">
            <v>NOT USED</v>
          </cell>
          <cell r="D1265" t="str">
            <v>T-GAS REVENUE-SMALL-MUNICIPAL-UNBILLED</v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 t="str">
            <v/>
          </cell>
          <cell r="J1265" t="str">
            <v/>
          </cell>
          <cell r="K1265" t="str">
            <v/>
          </cell>
          <cell r="L1265">
            <v>-9.3786199999999997</v>
          </cell>
          <cell r="M1265">
            <v>-7.4084599999999998</v>
          </cell>
          <cell r="N1265">
            <v>-4.0869499999999999</v>
          </cell>
          <cell r="O1265">
            <v>2.0076299999999998</v>
          </cell>
          <cell r="P1265">
            <v>10.714549999999999</v>
          </cell>
          <cell r="Q1265">
            <v>21.725639999999999</v>
          </cell>
          <cell r="R1265">
            <v>39.147930000000002</v>
          </cell>
          <cell r="S1265">
            <v>41.017670000000003</v>
          </cell>
          <cell r="T1265">
            <v>36.988869999999999</v>
          </cell>
          <cell r="U1265">
            <v>34.814140000000002</v>
          </cell>
          <cell r="V1265">
            <v>21.578499999999998</v>
          </cell>
          <cell r="W1265">
            <v>8.0457800000000006</v>
          </cell>
          <cell r="X1265">
            <v>-2.2825299999999999</v>
          </cell>
          <cell r="Y1265">
            <v>16.559560000000001</v>
          </cell>
        </row>
        <row r="1266">
          <cell r="B1266">
            <v>489826</v>
          </cell>
          <cell r="C1266" t="str">
            <v>NOT USED</v>
          </cell>
          <cell r="D1266" t="str">
            <v>T-GAS REVENUE-MUNICIPAL SURCHARGE</v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K1266" t="str">
            <v/>
          </cell>
          <cell r="L1266">
            <v>-612.95381999999995</v>
          </cell>
          <cell r="M1266">
            <v>-113.64762</v>
          </cell>
          <cell r="N1266">
            <v>-213.48623000000001</v>
          </cell>
          <cell r="O1266">
            <v>-303.59336000000002</v>
          </cell>
          <cell r="P1266">
            <v>-359.57684999999998</v>
          </cell>
          <cell r="Q1266">
            <v>-391.10279000000003</v>
          </cell>
          <cell r="R1266">
            <v>-407.56768</v>
          </cell>
          <cell r="S1266">
            <v>-421.59485000000001</v>
          </cell>
          <cell r="T1266">
            <v>-436.64127000000002</v>
          </cell>
          <cell r="U1266">
            <v>-453.29507999999998</v>
          </cell>
          <cell r="V1266">
            <v>-490.90969999999999</v>
          </cell>
          <cell r="W1266">
            <v>-541.71770000000004</v>
          </cell>
          <cell r="X1266">
            <v>-614.94686999999999</v>
          </cell>
          <cell r="Y1266">
            <v>-395.59028999999998</v>
          </cell>
        </row>
        <row r="1267">
          <cell r="B1267">
            <v>489834</v>
          </cell>
          <cell r="C1267" t="str">
            <v>NOT USED</v>
          </cell>
          <cell r="D1267" t="str">
            <v>T-GAS REV -SMALL-MUNICIPAL-WNA</v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 t="str">
            <v/>
          </cell>
          <cell r="J1267" t="str">
            <v/>
          </cell>
          <cell r="K1267" t="str">
            <v/>
          </cell>
          <cell r="L1267">
            <v>-33.185299999999998</v>
          </cell>
          <cell r="M1267">
            <v>13.08074</v>
          </cell>
          <cell r="N1267">
            <v>25.26397</v>
          </cell>
          <cell r="O1267">
            <v>29.305420000000002</v>
          </cell>
          <cell r="P1267">
            <v>34.0139</v>
          </cell>
          <cell r="Q1267">
            <v>34.362769999999998</v>
          </cell>
          <cell r="R1267">
            <v>31.573989999999998</v>
          </cell>
          <cell r="S1267">
            <v>31.612120000000001</v>
          </cell>
          <cell r="T1267">
            <v>31.612120000000001</v>
          </cell>
          <cell r="U1267">
            <v>31.612960000000001</v>
          </cell>
          <cell r="V1267">
            <v>26.4559</v>
          </cell>
          <cell r="W1267">
            <v>13.1768</v>
          </cell>
          <cell r="X1267">
            <v>-8.1880000000000006</v>
          </cell>
          <cell r="Y1267">
            <v>23.44867</v>
          </cell>
        </row>
        <row r="1268">
          <cell r="B1268">
            <v>489873</v>
          </cell>
          <cell r="C1268" t="str">
            <v>NOT USED</v>
          </cell>
          <cell r="D1268" t="str">
            <v>T-GAS REV -SMALL-MUNICIPAL-GRT</v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 t="str">
            <v/>
          </cell>
          <cell r="J1268" t="str">
            <v/>
          </cell>
          <cell r="K1268" t="str">
            <v/>
          </cell>
          <cell r="L1268">
            <v>-4.2599999999999999E-3</v>
          </cell>
          <cell r="M1268">
            <v>0</v>
          </cell>
          <cell r="N1268">
            <v>-2.8999999999999998E-3</v>
          </cell>
          <cell r="O1268">
            <v>-8.7200000000000003E-3</v>
          </cell>
          <cell r="P1268">
            <v>-1.2030000000000001E-2</v>
          </cell>
          <cell r="Q1268">
            <v>-1.469E-2</v>
          </cell>
          <cell r="R1268">
            <v>-1.7100000000000001E-2</v>
          </cell>
          <cell r="S1268">
            <v>-1.7180000000000001E-2</v>
          </cell>
          <cell r="T1268">
            <v>-1.8409999999999999E-2</v>
          </cell>
          <cell r="U1268">
            <v>-1.9290000000000002E-2</v>
          </cell>
          <cell r="V1268">
            <v>-2.0480000000000002E-2</v>
          </cell>
          <cell r="W1268">
            <v>-2.1569999999999999E-2</v>
          </cell>
          <cell r="X1268">
            <v>-2.401E-2</v>
          </cell>
          <cell r="Y1268">
            <v>-1.3875E-2</v>
          </cell>
        </row>
        <row r="1269">
          <cell r="B1269">
            <v>495099</v>
          </cell>
          <cell r="C1269" t="str">
            <v>NOT USED</v>
          </cell>
          <cell r="D1269" t="str">
            <v>OTHER GAS REVENUE - INTERCOMPANY</v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 t="str">
            <v/>
          </cell>
          <cell r="J1269" t="str">
            <v/>
          </cell>
          <cell r="K1269" t="str">
            <v/>
          </cell>
          <cell r="L1269">
            <v>-222.42934</v>
          </cell>
          <cell r="M1269">
            <v>-17.852900000000002</v>
          </cell>
          <cell r="N1269">
            <v>-35.705800000000004</v>
          </cell>
          <cell r="O1269">
            <v>-28.42633</v>
          </cell>
          <cell r="P1269">
            <v>-29.6661</v>
          </cell>
          <cell r="Q1269">
            <v>-74.600480000000005</v>
          </cell>
          <cell r="R1269">
            <v>-87.11694</v>
          </cell>
          <cell r="S1269">
            <v>-101.62217</v>
          </cell>
          <cell r="T1269">
            <v>-116.43165</v>
          </cell>
          <cell r="U1269">
            <v>-128.16025999999999</v>
          </cell>
          <cell r="V1269">
            <v>-142.67982000000001</v>
          </cell>
          <cell r="W1269">
            <v>-157.27007</v>
          </cell>
          <cell r="X1269">
            <v>-171.37119000000001</v>
          </cell>
          <cell r="Y1269">
            <v>-93.036064999999994</v>
          </cell>
        </row>
        <row r="1270">
          <cell r="B1270">
            <v>495100</v>
          </cell>
          <cell r="C1270" t="str">
            <v>NOT USED</v>
          </cell>
          <cell r="D1270" t="str">
            <v>OTHER GAS REV - MISCELLANEOUS</v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 t="str">
            <v/>
          </cell>
          <cell r="J1270" t="str">
            <v/>
          </cell>
          <cell r="K1270" t="str">
            <v/>
          </cell>
          <cell r="L1270">
            <v>-2240.1206299999999</v>
          </cell>
          <cell r="M1270">
            <v>-153.02677</v>
          </cell>
          <cell r="N1270">
            <v>-343.58756</v>
          </cell>
          <cell r="O1270">
            <v>-494.22721000000001</v>
          </cell>
          <cell r="P1270">
            <v>-638.62090999999998</v>
          </cell>
          <cell r="Q1270">
            <v>-789.28787999999997</v>
          </cell>
          <cell r="R1270">
            <v>-962.88216</v>
          </cell>
          <cell r="S1270">
            <v>-1096.1932300000001</v>
          </cell>
          <cell r="T1270">
            <v>-1251.1339</v>
          </cell>
          <cell r="U1270">
            <v>-1428.51413</v>
          </cell>
          <cell r="V1270">
            <v>-1556.6749500000001</v>
          </cell>
          <cell r="W1270">
            <v>-1698.7249200000001</v>
          </cell>
          <cell r="X1270">
            <v>-1852.84572</v>
          </cell>
          <cell r="Y1270">
            <v>-1038.2797330000001</v>
          </cell>
        </row>
        <row r="1271">
          <cell r="B1271">
            <v>495150</v>
          </cell>
          <cell r="C1271" t="str">
            <v>NOT USED</v>
          </cell>
          <cell r="D1271" t="str">
            <v>OTHER GAS REV - A/R PURCHASE DISCOUNT</v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 t="str">
            <v/>
          </cell>
          <cell r="J1271" t="str">
            <v/>
          </cell>
          <cell r="K1271" t="str">
            <v/>
          </cell>
          <cell r="L1271">
            <v>-1610.91183</v>
          </cell>
          <cell r="M1271">
            <v>-320.97385000000003</v>
          </cell>
          <cell r="N1271">
            <v>-618.76286000000005</v>
          </cell>
          <cell r="O1271">
            <v>-931.02407000000005</v>
          </cell>
          <cell r="P1271">
            <v>-1138.2174199999999</v>
          </cell>
          <cell r="Q1271">
            <v>-1283.4412500000001</v>
          </cell>
          <cell r="R1271">
            <v>-1368.8227400000001</v>
          </cell>
          <cell r="S1271">
            <v>-1428.1345699999999</v>
          </cell>
          <cell r="T1271">
            <v>-1486.2593899999999</v>
          </cell>
          <cell r="U1271">
            <v>-1551.11977</v>
          </cell>
          <cell r="V1271">
            <v>-1628.45334</v>
          </cell>
          <cell r="W1271">
            <v>-1753.58332</v>
          </cell>
          <cell r="X1271">
            <v>-1950.54476</v>
          </cell>
          <cell r="Y1271">
            <v>-1274.1267399999999</v>
          </cell>
        </row>
        <row r="1272">
          <cell r="B1272">
            <v>495203</v>
          </cell>
          <cell r="C1272" t="str">
            <v>NOT USED</v>
          </cell>
          <cell r="D1272" t="str">
            <v>OTHER GAS REVENUE - REG AMORT DEL</v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 t="str">
            <v/>
          </cell>
          <cell r="J1272" t="str">
            <v/>
          </cell>
          <cell r="K1272" t="str">
            <v/>
          </cell>
          <cell r="U1272">
            <v>-1.0639700000000001</v>
          </cell>
          <cell r="V1272">
            <v>8126.0240299999996</v>
          </cell>
          <cell r="W1272">
            <v>-2204.80924</v>
          </cell>
          <cell r="X1272">
            <v>-2630.0974799999999</v>
          </cell>
          <cell r="Y1272">
            <v>383.75850700000001</v>
          </cell>
        </row>
        <row r="1273">
          <cell r="B1273">
            <v>495204</v>
          </cell>
          <cell r="C1273" t="str">
            <v>NOT USED</v>
          </cell>
          <cell r="D1273" t="str">
            <v>OTHER GAS REVENUE - REGULATORY DEFERRAL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 t="str">
            <v/>
          </cell>
          <cell r="J1273" t="str">
            <v/>
          </cell>
          <cell r="K1273" t="str">
            <v/>
          </cell>
          <cell r="L1273">
            <v>3702.42794</v>
          </cell>
          <cell r="M1273">
            <v>3429.2991900000002</v>
          </cell>
          <cell r="N1273">
            <v>6121.72901</v>
          </cell>
          <cell r="O1273">
            <v>7998.8350399999999</v>
          </cell>
          <cell r="P1273">
            <v>8545.7479199999998</v>
          </cell>
          <cell r="Q1273">
            <v>7993.5907100000004</v>
          </cell>
          <cell r="R1273">
            <v>7823.4491799999996</v>
          </cell>
          <cell r="S1273">
            <v>7841.2671899999996</v>
          </cell>
          <cell r="T1273">
            <v>6885.4504699999998</v>
          </cell>
          <cell r="U1273">
            <v>6542.9942700000001</v>
          </cell>
          <cell r="V1273">
            <v>-1191.70381</v>
          </cell>
          <cell r="W1273">
            <v>8955.67742</v>
          </cell>
          <cell r="X1273">
            <v>11104.488799999999</v>
          </cell>
          <cell r="Y1273">
            <v>6529.1495800000002</v>
          </cell>
        </row>
        <row r="1274">
          <cell r="B1274">
            <v>495215</v>
          </cell>
          <cell r="C1274" t="str">
            <v>NOT USED</v>
          </cell>
          <cell r="D1274" t="str">
            <v>OTHER GAS REV - SD WMS BILLINGS</v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 t="str">
            <v/>
          </cell>
          <cell r="J1274" t="str">
            <v/>
          </cell>
          <cell r="K1274" t="str">
            <v/>
          </cell>
          <cell r="L1274">
            <v>-234.88762</v>
          </cell>
          <cell r="M1274">
            <v>-5.2376500000000004</v>
          </cell>
          <cell r="N1274">
            <v>-9.8223900000000004</v>
          </cell>
          <cell r="O1274">
            <v>-105.2906</v>
          </cell>
          <cell r="P1274">
            <v>-117.59721999999999</v>
          </cell>
          <cell r="Q1274">
            <v>-155.57455999999999</v>
          </cell>
          <cell r="R1274">
            <v>-182.31011000000001</v>
          </cell>
          <cell r="S1274">
            <v>-204.99775</v>
          </cell>
          <cell r="T1274">
            <v>-228.68138999999999</v>
          </cell>
          <cell r="U1274">
            <v>-290.60583000000003</v>
          </cell>
          <cell r="V1274">
            <v>-313.59339</v>
          </cell>
          <cell r="W1274">
            <v>-338.47676000000001</v>
          </cell>
          <cell r="X1274">
            <v>-612.57209</v>
          </cell>
          <cell r="Y1274">
            <v>-197.99312499999999</v>
          </cell>
        </row>
        <row r="1275">
          <cell r="B1275">
            <v>495426</v>
          </cell>
          <cell r="C1275" t="str">
            <v>NOT USED</v>
          </cell>
          <cell r="D1275" t="str">
            <v>GAS REV-ESCO FOR BILLING CHARGE</v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/>
          </cell>
          <cell r="L1275">
            <v>-108.81501</v>
          </cell>
          <cell r="M1275">
            <v>-86.256439999999998</v>
          </cell>
          <cell r="N1275">
            <v>-173.65195</v>
          </cell>
          <cell r="O1275">
            <v>-249.51224999999999</v>
          </cell>
          <cell r="P1275">
            <v>-307.20465000000002</v>
          </cell>
          <cell r="Q1275">
            <v>-340.88497000000001</v>
          </cell>
          <cell r="R1275">
            <v>-359.12973</v>
          </cell>
          <cell r="S1275">
            <v>-370.88499999999999</v>
          </cell>
          <cell r="T1275">
            <v>-380.96075000000002</v>
          </cell>
          <cell r="U1275">
            <v>-386.18621999999999</v>
          </cell>
          <cell r="V1275">
            <v>-385.67759000000001</v>
          </cell>
          <cell r="W1275">
            <v>-385.56605000000002</v>
          </cell>
          <cell r="X1275">
            <v>-385.47059000000002</v>
          </cell>
          <cell r="Y1275">
            <v>-306.08819999999997</v>
          </cell>
        </row>
        <row r="1276">
          <cell r="B1276">
            <v>495705</v>
          </cell>
          <cell r="C1276" t="str">
            <v>NOT USED</v>
          </cell>
          <cell r="D1276" t="str">
            <v>OTHER GAS REVENUES -DELIVERY SQPP</v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 t="str">
            <v/>
          </cell>
          <cell r="J1276" t="str">
            <v/>
          </cell>
          <cell r="K1276" t="str">
            <v/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</row>
        <row r="1277">
          <cell r="B1277">
            <v>499100</v>
          </cell>
          <cell r="C1277" t="str">
            <v>NOT USED</v>
          </cell>
          <cell r="D1277" t="str">
            <v>GCA REVENUE - CURRENT PERIOD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 t="str">
            <v/>
          </cell>
          <cell r="J1277" t="str">
            <v/>
          </cell>
          <cell r="K1277" t="str">
            <v/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</row>
        <row r="1278">
          <cell r="B1278">
            <v>499110</v>
          </cell>
          <cell r="C1278" t="str">
            <v>NOT USED</v>
          </cell>
          <cell r="D1278" t="str">
            <v>GCA REVENUE - PRIOR PERIOD</v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 t="str">
            <v/>
          </cell>
          <cell r="J1278" t="str">
            <v/>
          </cell>
          <cell r="K1278" t="str">
            <v/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</row>
        <row r="1279">
          <cell r="B1279">
            <v>499120</v>
          </cell>
          <cell r="C1279" t="str">
            <v>NOT USED</v>
          </cell>
          <cell r="D1279" t="str">
            <v>GCA REVENUE - CAPACITY RELEASE SHAREHOLDER</v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 t="str">
            <v/>
          </cell>
          <cell r="J1279" t="str">
            <v/>
          </cell>
          <cell r="K1279" t="str">
            <v/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</row>
        <row r="1280">
          <cell r="B1280">
            <v>499130</v>
          </cell>
          <cell r="C1280" t="str">
            <v>NOT USED</v>
          </cell>
          <cell r="D1280" t="str">
            <v>MERCHANT FUNCTION CHARGE-DEFERRED REVENUES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 t="str">
            <v/>
          </cell>
          <cell r="J1280" t="str">
            <v/>
          </cell>
          <cell r="K1280" t="str">
            <v/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</row>
        <row r="1281">
          <cell r="B1281">
            <v>510100</v>
          </cell>
          <cell r="C1281" t="str">
            <v>NOT USED</v>
          </cell>
          <cell r="D1281" t="str">
            <v>PAYROLL - REGULAR WAGES</v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 t="str">
            <v/>
          </cell>
          <cell r="J1281" t="str">
            <v/>
          </cell>
          <cell r="K1281" t="str">
            <v/>
          </cell>
          <cell r="L1281">
            <v>47378.079570000002</v>
          </cell>
          <cell r="M1281">
            <v>3241.6546400000002</v>
          </cell>
          <cell r="N1281">
            <v>7043.9445900000001</v>
          </cell>
          <cell r="O1281">
            <v>10771.89784</v>
          </cell>
          <cell r="P1281">
            <v>15750.54178</v>
          </cell>
          <cell r="Q1281">
            <v>19547.621599999999</v>
          </cell>
          <cell r="R1281">
            <v>23094.093089999998</v>
          </cell>
          <cell r="S1281">
            <v>26978.44528</v>
          </cell>
          <cell r="T1281">
            <v>30424.740839999999</v>
          </cell>
          <cell r="U1281">
            <v>35362.921679999999</v>
          </cell>
          <cell r="V1281">
            <v>39064.051290000003</v>
          </cell>
          <cell r="W1281">
            <v>42793.004970000002</v>
          </cell>
          <cell r="X1281">
            <v>46398.516109999997</v>
          </cell>
          <cell r="Y1281">
            <v>25080.101287000001</v>
          </cell>
        </row>
        <row r="1282">
          <cell r="B1282">
            <v>510110</v>
          </cell>
          <cell r="C1282" t="str">
            <v>NOT USED</v>
          </cell>
          <cell r="D1282" t="str">
            <v>PAYROLL - OVERTIME WAGES</v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 t="str">
            <v/>
          </cell>
          <cell r="J1282" t="str">
            <v/>
          </cell>
          <cell r="K1282" t="str">
            <v/>
          </cell>
          <cell r="L1282">
            <v>8104.6989999999996</v>
          </cell>
          <cell r="M1282">
            <v>535.76414999999997</v>
          </cell>
          <cell r="N1282">
            <v>1217.6316999999999</v>
          </cell>
          <cell r="O1282">
            <v>1959.9214999999999</v>
          </cell>
          <cell r="P1282">
            <v>2714.79979</v>
          </cell>
          <cell r="Q1282">
            <v>3335.7661800000001</v>
          </cell>
          <cell r="R1282">
            <v>4343.7735000000002</v>
          </cell>
          <cell r="S1282">
            <v>5015.0638799999997</v>
          </cell>
          <cell r="T1282">
            <v>5777.8210399999998</v>
          </cell>
          <cell r="U1282">
            <v>8318.3192099999997</v>
          </cell>
          <cell r="V1282">
            <v>9041.7351600000002</v>
          </cell>
          <cell r="W1282">
            <v>10135.62206</v>
          </cell>
          <cell r="X1282">
            <v>11086.287619999999</v>
          </cell>
          <cell r="Y1282">
            <v>5165.9759569999997</v>
          </cell>
        </row>
        <row r="1283">
          <cell r="B1283">
            <v>510120</v>
          </cell>
          <cell r="C1283" t="str">
            <v>NOT USED</v>
          </cell>
          <cell r="D1283" t="str">
            <v>PAYROLL - INCENTIVES-PPP, ETC</v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 t="str">
            <v/>
          </cell>
          <cell r="J1283" t="str">
            <v/>
          </cell>
          <cell r="K1283" t="str">
            <v/>
          </cell>
          <cell r="L1283">
            <v>1851.5572099999999</v>
          </cell>
          <cell r="M1283">
            <v>118.429</v>
          </cell>
          <cell r="N1283">
            <v>236.858</v>
          </cell>
          <cell r="O1283">
            <v>421.61586</v>
          </cell>
          <cell r="P1283">
            <v>540.04485999999997</v>
          </cell>
          <cell r="Q1283">
            <v>658.47385999999995</v>
          </cell>
          <cell r="R1283">
            <v>776.90286000000003</v>
          </cell>
          <cell r="S1283">
            <v>895.33186000000001</v>
          </cell>
          <cell r="T1283">
            <v>1013.76086</v>
          </cell>
          <cell r="U1283">
            <v>1132.18986</v>
          </cell>
          <cell r="V1283">
            <v>1250.61886</v>
          </cell>
          <cell r="W1283">
            <v>1369.0478599999999</v>
          </cell>
          <cell r="X1283">
            <v>1990.4509700000001</v>
          </cell>
          <cell r="Y1283">
            <v>861.18981900000006</v>
          </cell>
        </row>
        <row r="1284">
          <cell r="B1284">
            <v>510125</v>
          </cell>
          <cell r="C1284" t="str">
            <v>NOT USED</v>
          </cell>
          <cell r="D1284" t="str">
            <v>PAYROLL - EXECUTIVE INCENTIVE PROGRAM</v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 t="str">
            <v/>
          </cell>
          <cell r="J1284" t="str">
            <v/>
          </cell>
          <cell r="K1284" t="str">
            <v/>
          </cell>
          <cell r="L1284">
            <v>405.35728999999998</v>
          </cell>
          <cell r="M1284">
            <v>26.896000000000001</v>
          </cell>
          <cell r="N1284">
            <v>53.792000000000002</v>
          </cell>
          <cell r="O1284">
            <v>-44.761760000000002</v>
          </cell>
          <cell r="P1284">
            <v>-39.665759999999999</v>
          </cell>
          <cell r="Q1284">
            <v>-12.76976</v>
          </cell>
          <cell r="R1284">
            <v>18.063739999999999</v>
          </cell>
          <cell r="S1284">
            <v>44.959739999999996</v>
          </cell>
          <cell r="T1284">
            <v>71.855739999999997</v>
          </cell>
          <cell r="U1284">
            <v>102.68924</v>
          </cell>
          <cell r="V1284">
            <v>129.58524</v>
          </cell>
          <cell r="W1284">
            <v>156.48124000000001</v>
          </cell>
          <cell r="X1284">
            <v>323.98311999999999</v>
          </cell>
          <cell r="Y1284">
            <v>72.649654999999996</v>
          </cell>
        </row>
        <row r="1285">
          <cell r="B1285">
            <v>510130</v>
          </cell>
          <cell r="C1285" t="str">
            <v>NOT USED</v>
          </cell>
          <cell r="D1285" t="str">
            <v>PAYROLL - ACCRUAL PAYMENTS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 t="str">
            <v/>
          </cell>
          <cell r="J1285" t="str">
            <v/>
          </cell>
          <cell r="K1285" t="str">
            <v/>
          </cell>
          <cell r="L1285">
            <v>-7.6556100000000002</v>
          </cell>
          <cell r="M1285">
            <v>364.15528</v>
          </cell>
          <cell r="N1285">
            <v>376.39654000000002</v>
          </cell>
          <cell r="O1285">
            <v>890.08130000000006</v>
          </cell>
          <cell r="P1285">
            <v>-237.60602</v>
          </cell>
          <cell r="Q1285">
            <v>203.78944999999999</v>
          </cell>
          <cell r="R1285">
            <v>569.16764999999998</v>
          </cell>
          <cell r="S1285">
            <v>229.60560000000001</v>
          </cell>
          <cell r="T1285">
            <v>726.26093000000003</v>
          </cell>
          <cell r="U1285">
            <v>-341.82655999999997</v>
          </cell>
          <cell r="V1285">
            <v>29.884119999999999</v>
          </cell>
          <cell r="W1285">
            <v>328.13243999999997</v>
          </cell>
          <cell r="X1285">
            <v>85.206320000000005</v>
          </cell>
          <cell r="Y1285">
            <v>264.73467399999998</v>
          </cell>
        </row>
        <row r="1286">
          <cell r="B1286">
            <v>510140</v>
          </cell>
          <cell r="C1286" t="str">
            <v>NOT USED</v>
          </cell>
          <cell r="D1286" t="str">
            <v>PAYROLL-LOST TIME</v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 t="str">
            <v/>
          </cell>
          <cell r="J1286" t="str">
            <v/>
          </cell>
          <cell r="K1286" t="str">
            <v/>
          </cell>
          <cell r="L1286">
            <v>11649.29376</v>
          </cell>
          <cell r="M1286">
            <v>1102.9963600000001</v>
          </cell>
          <cell r="N1286">
            <v>1624.44856</v>
          </cell>
          <cell r="O1286">
            <v>2243.3712999999998</v>
          </cell>
          <cell r="P1286">
            <v>3034.2444</v>
          </cell>
          <cell r="Q1286">
            <v>3588.2093300000001</v>
          </cell>
          <cell r="R1286">
            <v>4409.1679100000001</v>
          </cell>
          <cell r="S1286">
            <v>5678.12122</v>
          </cell>
          <cell r="T1286">
            <v>6637.8440000000001</v>
          </cell>
          <cell r="U1286">
            <v>7733.4644099999996</v>
          </cell>
          <cell r="V1286">
            <v>8360.9678299999996</v>
          </cell>
          <cell r="W1286">
            <v>9161.19074</v>
          </cell>
          <cell r="X1286">
            <v>10457.748960000001</v>
          </cell>
          <cell r="Y1286">
            <v>5385.628952</v>
          </cell>
        </row>
        <row r="1287">
          <cell r="B1287">
            <v>510145</v>
          </cell>
          <cell r="C1287" t="str">
            <v>NOT USED</v>
          </cell>
          <cell r="D1287" t="str">
            <v>PAYROLL- LONG TERM DISABILITY</v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 t="str">
            <v/>
          </cell>
          <cell r="J1287" t="str">
            <v/>
          </cell>
          <cell r="K1287" t="str">
            <v/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</row>
        <row r="1288">
          <cell r="B1288">
            <v>510150</v>
          </cell>
          <cell r="C1288" t="str">
            <v>NOT USED</v>
          </cell>
          <cell r="D1288" t="str">
            <v>PAYROLL-ADJUSTMENTS</v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 t="str">
            <v/>
          </cell>
          <cell r="J1288" t="str">
            <v/>
          </cell>
          <cell r="K1288" t="str">
            <v/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</row>
        <row r="1289">
          <cell r="B1289">
            <v>510160</v>
          </cell>
          <cell r="C1289" t="str">
            <v>NOT USED</v>
          </cell>
          <cell r="D1289" t="str">
            <v>PAYROLL -ADJUSTMENTS WITHOUT OVERHEADS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 t="str">
            <v/>
          </cell>
          <cell r="J1289" t="str">
            <v/>
          </cell>
          <cell r="K1289" t="str">
            <v/>
          </cell>
          <cell r="L1289">
            <v>677.95465999999999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31.579499999999999</v>
          </cell>
          <cell r="S1289">
            <v>31.579499999999999</v>
          </cell>
          <cell r="T1289">
            <v>78.450500000000005</v>
          </cell>
          <cell r="U1289">
            <v>88.977000000000004</v>
          </cell>
          <cell r="V1289">
            <v>88.977000000000004</v>
          </cell>
          <cell r="W1289">
            <v>88.977000000000004</v>
          </cell>
          <cell r="X1289">
            <v>99.503500000000003</v>
          </cell>
          <cell r="Y1289">
            <v>66.439132000000001</v>
          </cell>
        </row>
        <row r="1290">
          <cell r="B1290">
            <v>510500</v>
          </cell>
          <cell r="C1290" t="str">
            <v>NOT USED</v>
          </cell>
          <cell r="D1290" t="str">
            <v>PAYROLL - PSOP</v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 t="str">
            <v/>
          </cell>
          <cell r="J1290" t="str">
            <v/>
          </cell>
          <cell r="K1290" t="str">
            <v/>
          </cell>
          <cell r="L1290">
            <v>-5.2930599999999997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1.34626</v>
          </cell>
          <cell r="T1290">
            <v>8.3753700000000002</v>
          </cell>
          <cell r="U1290">
            <v>8.3753700000000002</v>
          </cell>
          <cell r="V1290">
            <v>8.3753700000000002</v>
          </cell>
          <cell r="W1290">
            <v>8.3753700000000002</v>
          </cell>
          <cell r="X1290">
            <v>8.3753700000000002</v>
          </cell>
          <cell r="Y1290">
            <v>3.0324080000000002</v>
          </cell>
        </row>
        <row r="1291">
          <cell r="B1291">
            <v>510550</v>
          </cell>
          <cell r="C1291" t="str">
            <v>NOT USED</v>
          </cell>
          <cell r="D1291" t="str">
            <v>PAYROLL-RELOCATION</v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 t="str">
            <v/>
          </cell>
          <cell r="J1291" t="str">
            <v/>
          </cell>
          <cell r="K1291" t="str">
            <v/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19.19782</v>
          </cell>
          <cell r="Y1291">
            <v>0.79990899999999998</v>
          </cell>
        </row>
        <row r="1292">
          <cell r="B1292">
            <v>520100</v>
          </cell>
          <cell r="C1292" t="str">
            <v>NOT USED</v>
          </cell>
          <cell r="D1292" t="str">
            <v>BENEFITS - PENSIONS</v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 t="str">
            <v/>
          </cell>
          <cell r="J1292" t="str">
            <v/>
          </cell>
          <cell r="K1292" t="str">
            <v/>
          </cell>
          <cell r="L1292">
            <v>-10.987740000000001</v>
          </cell>
          <cell r="M1292">
            <v>-3.6625800000000002</v>
          </cell>
          <cell r="N1292">
            <v>-7.3251600000000003</v>
          </cell>
          <cell r="O1292">
            <v>-10.987740000000001</v>
          </cell>
          <cell r="P1292">
            <v>-14.650320000000001</v>
          </cell>
          <cell r="Q1292">
            <v>-18.312899999999999</v>
          </cell>
          <cell r="R1292">
            <v>-21.975480000000001</v>
          </cell>
          <cell r="S1292">
            <v>-25.638059999999999</v>
          </cell>
          <cell r="T1292">
            <v>-37.183059999999998</v>
          </cell>
          <cell r="U1292">
            <v>-41.831060000000001</v>
          </cell>
          <cell r="V1292">
            <v>-46.479059999999997</v>
          </cell>
          <cell r="W1292">
            <v>-51.12706</v>
          </cell>
          <cell r="X1292">
            <v>-55.775060000000003</v>
          </cell>
          <cell r="Y1292">
            <v>-26.046157000000001</v>
          </cell>
        </row>
        <row r="1293">
          <cell r="B1293">
            <v>520110</v>
          </cell>
          <cell r="C1293" t="str">
            <v>NOT USED</v>
          </cell>
          <cell r="D1293" t="str">
            <v>BENEFITS - FEDERAL / STATE UNEMPLOYMENT INSURANCE</v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 t="str">
            <v/>
          </cell>
          <cell r="J1293" t="str">
            <v/>
          </cell>
          <cell r="K1293" t="str">
            <v/>
          </cell>
          <cell r="L1293">
            <v>181.28609</v>
          </cell>
          <cell r="M1293">
            <v>149.51432</v>
          </cell>
          <cell r="N1293">
            <v>155.02837</v>
          </cell>
          <cell r="O1293">
            <v>192.81805</v>
          </cell>
          <cell r="P1293">
            <v>237.04508000000001</v>
          </cell>
          <cell r="Q1293">
            <v>123.58771</v>
          </cell>
          <cell r="R1293">
            <v>123.54767</v>
          </cell>
          <cell r="S1293">
            <v>179.80789999999999</v>
          </cell>
          <cell r="T1293">
            <v>179.90451999999999</v>
          </cell>
          <cell r="U1293">
            <v>179.95698999999999</v>
          </cell>
          <cell r="V1293">
            <v>180.34183999999999</v>
          </cell>
          <cell r="W1293">
            <v>180.79300000000001</v>
          </cell>
          <cell r="X1293">
            <v>181.66673</v>
          </cell>
          <cell r="Y1293">
            <v>171.98515499999999</v>
          </cell>
        </row>
        <row r="1294">
          <cell r="B1294">
            <v>520120</v>
          </cell>
          <cell r="C1294" t="str">
            <v>NOT USED</v>
          </cell>
          <cell r="D1294" t="str">
            <v>BENEFITS - FICA/MEDICARE</v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 t="str">
            <v/>
          </cell>
          <cell r="J1294" t="str">
            <v/>
          </cell>
          <cell r="K1294" t="str">
            <v/>
          </cell>
          <cell r="L1294">
            <v>5028.3247300000003</v>
          </cell>
          <cell r="M1294">
            <v>412.05851000000001</v>
          </cell>
          <cell r="N1294">
            <v>804.94482000000005</v>
          </cell>
          <cell r="O1294">
            <v>1303.3613399999999</v>
          </cell>
          <cell r="P1294">
            <v>1701.35581</v>
          </cell>
          <cell r="Q1294">
            <v>2110.0118000000002</v>
          </cell>
          <cell r="R1294">
            <v>2546.5437400000001</v>
          </cell>
          <cell r="S1294">
            <v>2956.3422700000001</v>
          </cell>
          <cell r="T1294">
            <v>3388.90807</v>
          </cell>
          <cell r="U1294">
            <v>3915.6572799999999</v>
          </cell>
          <cell r="V1294">
            <v>4281.0041600000004</v>
          </cell>
          <cell r="W1294">
            <v>4651.8206499999997</v>
          </cell>
          <cell r="X1294">
            <v>4980.6911700000001</v>
          </cell>
          <cell r="Y1294">
            <v>2756.3763669999998</v>
          </cell>
        </row>
        <row r="1295">
          <cell r="B1295">
            <v>520130</v>
          </cell>
          <cell r="C1295" t="str">
            <v>NOT USED</v>
          </cell>
          <cell r="D1295" t="str">
            <v>BENEFITS - STATE UNEMPLOYMENT INSURANCE</v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 t="str">
            <v/>
          </cell>
          <cell r="J1295" t="str">
            <v/>
          </cell>
          <cell r="K1295" t="str">
            <v/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</row>
        <row r="1296">
          <cell r="B1296">
            <v>520135</v>
          </cell>
          <cell r="C1296" t="str">
            <v>NOT USED</v>
          </cell>
          <cell r="D1296" t="str">
            <v>BENEFITS - MTA PAYROLL TAX</v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 t="str">
            <v/>
          </cell>
          <cell r="J1296" t="str">
            <v/>
          </cell>
          <cell r="K1296" t="str">
            <v/>
          </cell>
          <cell r="L1296">
            <v>0.30669000000000002</v>
          </cell>
          <cell r="M1296">
            <v>2.6069999999999999E-2</v>
          </cell>
          <cell r="N1296">
            <v>5.1279999999999999E-2</v>
          </cell>
          <cell r="O1296">
            <v>5.1279999999999999E-2</v>
          </cell>
          <cell r="P1296">
            <v>5.1279999999999999E-2</v>
          </cell>
          <cell r="Q1296">
            <v>5.1279999999999999E-2</v>
          </cell>
          <cell r="R1296">
            <v>5.1279999999999999E-2</v>
          </cell>
          <cell r="S1296">
            <v>5.1279999999999999E-2</v>
          </cell>
          <cell r="T1296">
            <v>5.1279999999999999E-2</v>
          </cell>
          <cell r="U1296">
            <v>5.1279999999999999E-2</v>
          </cell>
          <cell r="V1296">
            <v>5.1279999999999999E-2</v>
          </cell>
          <cell r="W1296">
            <v>5.1279999999999999E-2</v>
          </cell>
          <cell r="X1296">
            <v>5.1279999999999999E-2</v>
          </cell>
          <cell r="Y1296">
            <v>5.9820999999999999E-2</v>
          </cell>
        </row>
        <row r="1297">
          <cell r="B1297">
            <v>520140</v>
          </cell>
          <cell r="C1297" t="str">
            <v>NOT USED</v>
          </cell>
          <cell r="D1297" t="str">
            <v>BENEFITS - SERP</v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 t="str">
            <v/>
          </cell>
          <cell r="J1297" t="str">
            <v/>
          </cell>
          <cell r="K1297" t="str">
            <v/>
          </cell>
          <cell r="L1297">
            <v>1376.2990400000001</v>
          </cell>
          <cell r="M1297">
            <v>131.63433000000001</v>
          </cell>
          <cell r="N1297">
            <v>263.26866000000001</v>
          </cell>
          <cell r="O1297">
            <v>382.82938999999999</v>
          </cell>
          <cell r="P1297">
            <v>514.46371999999997</v>
          </cell>
          <cell r="Q1297">
            <v>681.06431999999995</v>
          </cell>
          <cell r="R1297">
            <v>742.30688999999995</v>
          </cell>
          <cell r="S1297">
            <v>880.93447000000003</v>
          </cell>
          <cell r="T1297">
            <v>1019.56205</v>
          </cell>
          <cell r="U1297">
            <v>1107.73368</v>
          </cell>
          <cell r="V1297">
            <v>1246.3612599999999</v>
          </cell>
          <cell r="W1297">
            <v>1384.98884</v>
          </cell>
          <cell r="X1297">
            <v>1352.21569</v>
          </cell>
          <cell r="Y1297">
            <v>809.95041500000002</v>
          </cell>
        </row>
        <row r="1298">
          <cell r="B1298">
            <v>520142</v>
          </cell>
          <cell r="C1298" t="str">
            <v>NOT USED</v>
          </cell>
          <cell r="D1298" t="str">
            <v>BENEFITS - SERP - INTEREST</v>
          </cell>
          <cell r="E1298">
            <v>0</v>
          </cell>
        </row>
        <row r="1299">
          <cell r="B1299">
            <v>520144</v>
          </cell>
          <cell r="C1299" t="str">
            <v>NOT USED</v>
          </cell>
          <cell r="D1299" t="str">
            <v>BENEFITS - SERP - AMORTIZATION GAIN/LOSS</v>
          </cell>
          <cell r="E1299">
            <v>0</v>
          </cell>
        </row>
        <row r="1300">
          <cell r="B1300">
            <v>520150</v>
          </cell>
          <cell r="C1300" t="str">
            <v>NOT USED</v>
          </cell>
          <cell r="D1300" t="str">
            <v>BENEFITS - GROUP LIFE INSURANCE-ACTIVE</v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 t="str">
            <v/>
          </cell>
          <cell r="J1300" t="str">
            <v/>
          </cell>
          <cell r="K1300" t="str">
            <v/>
          </cell>
          <cell r="L1300">
            <v>847.52673000000004</v>
          </cell>
          <cell r="M1300">
            <v>-24.287479999999999</v>
          </cell>
          <cell r="N1300">
            <v>36.946809999999999</v>
          </cell>
          <cell r="O1300">
            <v>98.196489999999997</v>
          </cell>
          <cell r="P1300">
            <v>151.43258</v>
          </cell>
          <cell r="Q1300">
            <v>212.85565</v>
          </cell>
          <cell r="R1300">
            <v>274.15917000000002</v>
          </cell>
          <cell r="S1300">
            <v>330.78456999999997</v>
          </cell>
          <cell r="T1300">
            <v>479.05363999999997</v>
          </cell>
          <cell r="U1300">
            <v>446.9932</v>
          </cell>
          <cell r="V1300">
            <v>593.52211</v>
          </cell>
          <cell r="W1300">
            <v>654.85056999999995</v>
          </cell>
          <cell r="X1300">
            <v>709.37473</v>
          </cell>
          <cell r="Y1300">
            <v>336.079837</v>
          </cell>
        </row>
        <row r="1301">
          <cell r="B1301">
            <v>520151</v>
          </cell>
          <cell r="C1301" t="str">
            <v>NOT USED</v>
          </cell>
          <cell r="D1301" t="str">
            <v>BENEFITS - GROUP LIFE INSURANCE-RETIREE</v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 t="str">
            <v/>
          </cell>
          <cell r="J1301" t="str">
            <v/>
          </cell>
          <cell r="K1301" t="str">
            <v/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>
            <v>520155</v>
          </cell>
          <cell r="C1302" t="str">
            <v>NOT USED</v>
          </cell>
          <cell r="D1302" t="str">
            <v>BENEFITS - ORDINARY LIFE INSURANCE</v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 t="str">
            <v/>
          </cell>
          <cell r="J1302" t="str">
            <v/>
          </cell>
          <cell r="K1302" t="str">
            <v/>
          </cell>
          <cell r="L1302">
            <v>15.421340000000001</v>
          </cell>
          <cell r="M1302">
            <v>0</v>
          </cell>
          <cell r="N1302">
            <v>2.7595499999999999</v>
          </cell>
          <cell r="O1302">
            <v>9.0061</v>
          </cell>
          <cell r="P1302">
            <v>9.0061</v>
          </cell>
          <cell r="Q1302">
            <v>11.17864</v>
          </cell>
          <cell r="R1302">
            <v>11.17864</v>
          </cell>
          <cell r="S1302">
            <v>10.888479999999999</v>
          </cell>
          <cell r="T1302">
            <v>7.3085599999999999</v>
          </cell>
          <cell r="U1302">
            <v>9.7063000000000006</v>
          </cell>
          <cell r="V1302">
            <v>9.7063000000000006</v>
          </cell>
          <cell r="W1302">
            <v>10.887</v>
          </cell>
          <cell r="X1302">
            <v>14.11528</v>
          </cell>
          <cell r="Y1302">
            <v>8.8661650000000005</v>
          </cell>
        </row>
        <row r="1303">
          <cell r="B1303">
            <v>520160</v>
          </cell>
          <cell r="C1303" t="str">
            <v>NOT USED</v>
          </cell>
          <cell r="D1303" t="str">
            <v>BENEFITS - DENTAL</v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 t="str">
            <v/>
          </cell>
          <cell r="J1303" t="str">
            <v/>
          </cell>
          <cell r="K1303" t="str">
            <v/>
          </cell>
          <cell r="L1303">
            <v>398.49281000000002</v>
          </cell>
          <cell r="M1303">
            <v>26.94398</v>
          </cell>
          <cell r="N1303">
            <v>73.250640000000004</v>
          </cell>
          <cell r="O1303">
            <v>106.26237</v>
          </cell>
          <cell r="P1303">
            <v>145.59291999999999</v>
          </cell>
          <cell r="Q1303">
            <v>160.02575999999999</v>
          </cell>
          <cell r="R1303">
            <v>189.44382999999999</v>
          </cell>
          <cell r="S1303">
            <v>218.58823000000001</v>
          </cell>
          <cell r="T1303">
            <v>246.33430000000001</v>
          </cell>
          <cell r="U1303">
            <v>282.01341000000002</v>
          </cell>
          <cell r="V1303">
            <v>318.29378000000003</v>
          </cell>
          <cell r="W1303">
            <v>333.76020999999997</v>
          </cell>
          <cell r="X1303">
            <v>355.79396000000003</v>
          </cell>
          <cell r="Y1303">
            <v>206.471068</v>
          </cell>
        </row>
        <row r="1304">
          <cell r="B1304">
            <v>520170</v>
          </cell>
          <cell r="C1304" t="str">
            <v>NOT USED</v>
          </cell>
          <cell r="D1304" t="str">
            <v>BENEFITS - WORKMEN'S COMPENSATION</v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 t="str">
            <v/>
          </cell>
          <cell r="J1304" t="str">
            <v/>
          </cell>
          <cell r="K1304" t="str">
            <v/>
          </cell>
          <cell r="L1304">
            <v>1590.7994699999999</v>
          </cell>
          <cell r="M1304">
            <v>35.029919999999997</v>
          </cell>
          <cell r="N1304">
            <v>139.70707999999999</v>
          </cell>
          <cell r="O1304">
            <v>431.17840000000001</v>
          </cell>
          <cell r="P1304">
            <v>466.20832000000001</v>
          </cell>
          <cell r="Q1304">
            <v>633.20854999999995</v>
          </cell>
          <cell r="R1304">
            <v>668.97855000000004</v>
          </cell>
          <cell r="S1304">
            <v>944.94613000000004</v>
          </cell>
          <cell r="T1304">
            <v>1052.21578</v>
          </cell>
          <cell r="U1304">
            <v>2731.5895</v>
          </cell>
          <cell r="V1304">
            <v>2828.1863600000001</v>
          </cell>
          <cell r="W1304">
            <v>2866.48477</v>
          </cell>
          <cell r="X1304">
            <v>3678.10034</v>
          </cell>
          <cell r="Y1304">
            <v>1286.0152720000001</v>
          </cell>
        </row>
        <row r="1305">
          <cell r="B1305">
            <v>520171</v>
          </cell>
          <cell r="C1305" t="str">
            <v>NOT USED</v>
          </cell>
          <cell r="D1305" t="str">
            <v>BENEFITS - WORKMEN'S COMPENSATION-ACCRUAL</v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 t="str">
            <v/>
          </cell>
          <cell r="J1305" t="str">
            <v/>
          </cell>
          <cell r="K1305" t="str">
            <v/>
          </cell>
          <cell r="U1305">
            <v>-568.60589000000004</v>
          </cell>
          <cell r="V1305">
            <v>-532.82906000000003</v>
          </cell>
          <cell r="W1305">
            <v>-497.0317</v>
          </cell>
          <cell r="X1305">
            <v>-1090.7946999999999</v>
          </cell>
          <cell r="Y1305">
            <v>-178.65533300000001</v>
          </cell>
        </row>
        <row r="1306">
          <cell r="B1306">
            <v>520180</v>
          </cell>
          <cell r="C1306" t="str">
            <v>NOT USED</v>
          </cell>
          <cell r="D1306" t="str">
            <v>BENEFITS - 401K</v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 t="str">
            <v/>
          </cell>
          <cell r="J1306" t="str">
            <v/>
          </cell>
          <cell r="K1306" t="str">
            <v/>
          </cell>
          <cell r="L1306">
            <v>1552.4385500000001</v>
          </cell>
          <cell r="M1306">
            <v>114.57015</v>
          </cell>
          <cell r="N1306">
            <v>229.08656999999999</v>
          </cell>
          <cell r="O1306">
            <v>352.26447999999999</v>
          </cell>
          <cell r="P1306">
            <v>505.38270999999997</v>
          </cell>
          <cell r="Q1306">
            <v>620.80759999999998</v>
          </cell>
          <cell r="R1306">
            <v>735.60702000000003</v>
          </cell>
          <cell r="S1306">
            <v>869.97667999999999</v>
          </cell>
          <cell r="T1306">
            <v>982.61315000000002</v>
          </cell>
          <cell r="U1306">
            <v>1127.6885299999999</v>
          </cell>
          <cell r="V1306">
            <v>1232.9508599999999</v>
          </cell>
          <cell r="W1306">
            <v>1333.6244899999999</v>
          </cell>
          <cell r="X1306">
            <v>1543.59331</v>
          </cell>
          <cell r="Y1306">
            <v>804.38234799999998</v>
          </cell>
        </row>
        <row r="1307">
          <cell r="B1307">
            <v>520190</v>
          </cell>
          <cell r="C1307" t="str">
            <v>NOT USED</v>
          </cell>
          <cell r="D1307" t="str">
            <v>BENEFITS - OPEB</v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/>
          </cell>
          <cell r="L1307">
            <v>-15.5305</v>
          </cell>
          <cell r="M1307">
            <v>-4.29183</v>
          </cell>
          <cell r="N1307">
            <v>-8.5836600000000001</v>
          </cell>
          <cell r="O1307">
            <v>-12.875489999999999</v>
          </cell>
          <cell r="P1307">
            <v>-17.16732</v>
          </cell>
          <cell r="Q1307">
            <v>-21.459150000000001</v>
          </cell>
          <cell r="R1307">
            <v>-25.750979999999998</v>
          </cell>
          <cell r="S1307">
            <v>-30.042809999999999</v>
          </cell>
          <cell r="T1307">
            <v>-37.59281</v>
          </cell>
          <cell r="U1307">
            <v>-42.291809999999998</v>
          </cell>
          <cell r="V1307">
            <v>-46.990810000000003</v>
          </cell>
          <cell r="W1307">
            <v>-51.689810000000001</v>
          </cell>
          <cell r="X1307">
            <v>-56.388809999999999</v>
          </cell>
          <cell r="Y1307">
            <v>-27.891345000000001</v>
          </cell>
        </row>
        <row r="1308">
          <cell r="B1308">
            <v>520195</v>
          </cell>
          <cell r="C1308" t="str">
            <v>NOT USED</v>
          </cell>
          <cell r="D1308" t="str">
            <v>BENEFITS - FAS 112</v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 t="str">
            <v/>
          </cell>
          <cell r="J1308" t="str">
            <v/>
          </cell>
          <cell r="K1308" t="str">
            <v/>
          </cell>
          <cell r="L1308">
            <v>-1238.0857699999999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478.66665999999998</v>
          </cell>
          <cell r="U1308">
            <v>538.49999000000003</v>
          </cell>
          <cell r="V1308">
            <v>598.33331999999996</v>
          </cell>
          <cell r="W1308">
            <v>658.16665</v>
          </cell>
          <cell r="X1308">
            <v>-151.74786</v>
          </cell>
          <cell r="Y1308">
            <v>131.56248400000001</v>
          </cell>
        </row>
        <row r="1309">
          <cell r="B1309">
            <v>520200</v>
          </cell>
          <cell r="C1309" t="str">
            <v>NOT USED</v>
          </cell>
          <cell r="D1309" t="str">
            <v>BENEFITS - LONG TERM DISABILITIES (LTD)</v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 t="str">
            <v/>
          </cell>
          <cell r="J1309" t="str">
            <v/>
          </cell>
          <cell r="K1309" t="str">
            <v/>
          </cell>
          <cell r="L1309">
            <v>261.96359000000001</v>
          </cell>
          <cell r="M1309">
            <v>15.43704</v>
          </cell>
          <cell r="N1309">
            <v>18.250579999999999</v>
          </cell>
          <cell r="O1309">
            <v>108.70742</v>
          </cell>
          <cell r="P1309">
            <v>128.17418000000001</v>
          </cell>
          <cell r="Q1309">
            <v>136.03354999999999</v>
          </cell>
          <cell r="R1309">
            <v>162.90468999999999</v>
          </cell>
          <cell r="S1309">
            <v>184.31432000000001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73.733631000000003</v>
          </cell>
        </row>
        <row r="1310">
          <cell r="B1310">
            <v>520210</v>
          </cell>
          <cell r="C1310" t="str">
            <v>NOT USED</v>
          </cell>
          <cell r="D1310" t="str">
            <v>BENEFITS - MAJOR MEDICAL</v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 t="str">
            <v/>
          </cell>
          <cell r="J1310" t="str">
            <v/>
          </cell>
          <cell r="K1310" t="str">
            <v/>
          </cell>
          <cell r="L1310">
            <v>4033.20271</v>
          </cell>
          <cell r="M1310">
            <v>330.51346999999998</v>
          </cell>
          <cell r="N1310">
            <v>763.51932999999997</v>
          </cell>
          <cell r="O1310">
            <v>1640.43867</v>
          </cell>
          <cell r="P1310">
            <v>2001.88885</v>
          </cell>
          <cell r="Q1310">
            <v>2542.6137600000002</v>
          </cell>
          <cell r="R1310">
            <v>2956.0117700000001</v>
          </cell>
          <cell r="S1310">
            <v>3583.34906</v>
          </cell>
          <cell r="T1310">
            <v>3744.2031699999998</v>
          </cell>
          <cell r="U1310">
            <v>5071.0387899999996</v>
          </cell>
          <cell r="V1310">
            <v>4398.9811900000004</v>
          </cell>
          <cell r="W1310">
            <v>4853.6158699999996</v>
          </cell>
          <cell r="X1310">
            <v>5550.6193199999998</v>
          </cell>
          <cell r="Y1310">
            <v>3056.507079</v>
          </cell>
        </row>
        <row r="1311">
          <cell r="B1311">
            <v>520215</v>
          </cell>
          <cell r="C1311" t="str">
            <v>NOT USED</v>
          </cell>
          <cell r="D1311" t="str">
            <v>BENEFITS - RETIREE MEDICAL</v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 t="str">
            <v/>
          </cell>
          <cell r="J1311" t="str">
            <v/>
          </cell>
          <cell r="K1311" t="str">
            <v/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</row>
        <row r="1312">
          <cell r="B1312">
            <v>520220</v>
          </cell>
          <cell r="C1312" t="str">
            <v>NOT USED</v>
          </cell>
          <cell r="D1312" t="str">
            <v>BENEFITS - REGULAR EDUCATION PLAN</v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 t="str">
            <v/>
          </cell>
          <cell r="J1312" t="str">
            <v/>
          </cell>
          <cell r="K1312" t="str">
            <v/>
          </cell>
          <cell r="L1312">
            <v>185.33559</v>
          </cell>
          <cell r="M1312">
            <v>34.654000000000003</v>
          </cell>
          <cell r="N1312">
            <v>41.998249999999999</v>
          </cell>
          <cell r="O1312">
            <v>56.083500000000001</v>
          </cell>
          <cell r="P1312">
            <v>60.984999999999999</v>
          </cell>
          <cell r="Q1312">
            <v>92.261499999999998</v>
          </cell>
          <cell r="R1312">
            <v>95.386499999999998</v>
          </cell>
          <cell r="S1312">
            <v>102.8595</v>
          </cell>
          <cell r="T1312">
            <v>130.93350000000001</v>
          </cell>
          <cell r="U1312">
            <v>163.61349999999999</v>
          </cell>
          <cell r="V1312">
            <v>173.77350000000001</v>
          </cell>
          <cell r="W1312">
            <v>190.65049999999999</v>
          </cell>
          <cell r="X1312">
            <v>196.31649999999999</v>
          </cell>
          <cell r="Y1312">
            <v>111.168775</v>
          </cell>
        </row>
        <row r="1313">
          <cell r="B1313">
            <v>520225</v>
          </cell>
          <cell r="C1313" t="str">
            <v>NOT USED</v>
          </cell>
          <cell r="D1313" t="str">
            <v>BENEFITS - EXECUTIVE EDUCATION PLAN</v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 t="str">
            <v/>
          </cell>
          <cell r="J1313" t="str">
            <v/>
          </cell>
          <cell r="K1313" t="str">
            <v/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520230</v>
          </cell>
          <cell r="C1314" t="str">
            <v>NOT USED</v>
          </cell>
          <cell r="D1314" t="str">
            <v>BENEFITS - VISION PLAN</v>
          </cell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 t="str">
            <v/>
          </cell>
          <cell r="J1314" t="str">
            <v/>
          </cell>
          <cell r="K1314" t="str">
            <v/>
          </cell>
          <cell r="L1314">
            <v>65.011849999999995</v>
          </cell>
          <cell r="M1314">
            <v>4.4403199999999998</v>
          </cell>
          <cell r="N1314">
            <v>9.8513900000000003</v>
          </cell>
          <cell r="O1314">
            <v>12.87895</v>
          </cell>
          <cell r="P1314">
            <v>17.763190000000002</v>
          </cell>
          <cell r="Q1314">
            <v>20.6617</v>
          </cell>
          <cell r="R1314">
            <v>24.575430000000001</v>
          </cell>
          <cell r="S1314">
            <v>27.403089999999999</v>
          </cell>
          <cell r="T1314">
            <v>31.26003</v>
          </cell>
          <cell r="U1314">
            <v>35.516460000000002</v>
          </cell>
          <cell r="V1314">
            <v>39.746949999999998</v>
          </cell>
          <cell r="W1314">
            <v>43.405439999999999</v>
          </cell>
          <cell r="X1314">
            <v>45.437609999999999</v>
          </cell>
          <cell r="Y1314">
            <v>26.893972999999999</v>
          </cell>
        </row>
        <row r="1315">
          <cell r="B1315">
            <v>520240</v>
          </cell>
          <cell r="C1315" t="str">
            <v>NOT USED</v>
          </cell>
          <cell r="D1315" t="str">
            <v>BENEFITS - REWARD &amp; RECOGNITION (R&amp;R)</v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 t="str">
            <v/>
          </cell>
          <cell r="J1315" t="str">
            <v/>
          </cell>
          <cell r="K1315" t="str">
            <v/>
          </cell>
          <cell r="L1315">
            <v>404.54223999999999</v>
          </cell>
          <cell r="M1315">
            <v>0</v>
          </cell>
          <cell r="N1315">
            <v>7.5</v>
          </cell>
          <cell r="O1315">
            <v>28.96912</v>
          </cell>
          <cell r="P1315">
            <v>134.05170000000001</v>
          </cell>
          <cell r="Q1315">
            <v>134.05170000000001</v>
          </cell>
          <cell r="R1315">
            <v>163.37405000000001</v>
          </cell>
          <cell r="S1315">
            <v>163.37405000000001</v>
          </cell>
          <cell r="T1315">
            <v>164.87405000000001</v>
          </cell>
          <cell r="U1315">
            <v>187.31474</v>
          </cell>
          <cell r="V1315">
            <v>182.82973999999999</v>
          </cell>
          <cell r="W1315">
            <v>183.12974</v>
          </cell>
          <cell r="X1315">
            <v>194.42974000000001</v>
          </cell>
          <cell r="Y1315">
            <v>137.41290699999999</v>
          </cell>
        </row>
        <row r="1316">
          <cell r="B1316">
            <v>520245</v>
          </cell>
          <cell r="C1316" t="str">
            <v>NOT USED</v>
          </cell>
          <cell r="D1316" t="str">
            <v>BENEFITS - REWARD &amp; RECOGNITION (R&amp;R) NON CASH</v>
          </cell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 t="str">
            <v/>
          </cell>
          <cell r="J1316" t="str">
            <v/>
          </cell>
          <cell r="K1316" t="str">
            <v/>
          </cell>
          <cell r="L1316">
            <v>17.862459999999999</v>
          </cell>
          <cell r="M1316">
            <v>2.7755999999999998</v>
          </cell>
          <cell r="N1316">
            <v>3.3415599999999999</v>
          </cell>
          <cell r="O1316">
            <v>3.35012</v>
          </cell>
          <cell r="P1316">
            <v>3.8618899999999998</v>
          </cell>
          <cell r="Q1316">
            <v>4.1118899999999998</v>
          </cell>
          <cell r="R1316">
            <v>4.9756999999999998</v>
          </cell>
          <cell r="S1316">
            <v>5.84009</v>
          </cell>
          <cell r="T1316">
            <v>5.84009</v>
          </cell>
          <cell r="U1316">
            <v>6.1775700000000002</v>
          </cell>
          <cell r="V1316">
            <v>7.8853499999999999</v>
          </cell>
          <cell r="W1316">
            <v>11.571809999999999</v>
          </cell>
          <cell r="X1316">
            <v>19.697379999999999</v>
          </cell>
          <cell r="Y1316">
            <v>6.5426330000000004</v>
          </cell>
        </row>
        <row r="1317">
          <cell r="B1317">
            <v>520250</v>
          </cell>
          <cell r="C1317" t="str">
            <v>NOT USED</v>
          </cell>
          <cell r="D1317" t="str">
            <v>BENEFITS - SAFETY</v>
          </cell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 t="str">
            <v/>
          </cell>
          <cell r="J1317" t="str">
            <v/>
          </cell>
          <cell r="K1317" t="str">
            <v/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520260</v>
          </cell>
          <cell r="C1318" t="str">
            <v>NOT USED</v>
          </cell>
          <cell r="D1318" t="str">
            <v>BENEFITS - FLEX CREDITS</v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 t="str">
            <v/>
          </cell>
          <cell r="J1318" t="str">
            <v/>
          </cell>
          <cell r="K1318" t="str">
            <v/>
          </cell>
          <cell r="L1318">
            <v>3.848E-2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1.603E-3</v>
          </cell>
        </row>
        <row r="1319">
          <cell r="B1319">
            <v>520270</v>
          </cell>
          <cell r="C1319" t="str">
            <v>NOT USED</v>
          </cell>
          <cell r="D1319" t="str">
            <v>BENEFITS - PLAN ADMINISTRATION</v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 t="str">
            <v/>
          </cell>
          <cell r="J1319" t="str">
            <v/>
          </cell>
          <cell r="K1319" t="str">
            <v/>
          </cell>
          <cell r="L1319">
            <v>-57.899380000000001</v>
          </cell>
          <cell r="M1319">
            <v>3.3490799999999998</v>
          </cell>
          <cell r="N1319">
            <v>4.5322300000000002</v>
          </cell>
          <cell r="O1319">
            <v>15.672180000000001</v>
          </cell>
          <cell r="P1319">
            <v>9.7980300000000007</v>
          </cell>
          <cell r="Q1319">
            <v>12.47237</v>
          </cell>
          <cell r="R1319">
            <v>14.489750000000001</v>
          </cell>
          <cell r="S1319">
            <v>16.59093</v>
          </cell>
          <cell r="T1319">
            <v>18.499359999999999</v>
          </cell>
          <cell r="U1319">
            <v>21.18421</v>
          </cell>
          <cell r="V1319">
            <v>23.036960000000001</v>
          </cell>
          <cell r="W1319">
            <v>24.320589999999999</v>
          </cell>
          <cell r="X1319">
            <v>27.29222</v>
          </cell>
          <cell r="Y1319">
            <v>12.386843000000001</v>
          </cell>
        </row>
        <row r="1320">
          <cell r="B1320">
            <v>520280</v>
          </cell>
          <cell r="C1320" t="str">
            <v>NOT USED</v>
          </cell>
          <cell r="D1320" t="str">
            <v>BENEFITS - FINANCIAL PLANNING</v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 t="str">
            <v/>
          </cell>
          <cell r="J1320" t="str">
            <v/>
          </cell>
          <cell r="K1320" t="str">
            <v/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520300</v>
          </cell>
          <cell r="C1321" t="str">
            <v>NOT USED</v>
          </cell>
          <cell r="D1321" t="str">
            <v>BENEFITS - PERSONAL DAYS-FASB 112</v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 t="str">
            <v/>
          </cell>
          <cell r="J1321" t="str">
            <v/>
          </cell>
          <cell r="K1321" t="str">
            <v/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520301</v>
          </cell>
          <cell r="C1322" t="str">
            <v>NOT USED</v>
          </cell>
          <cell r="D1322" t="str">
            <v>BENEFITS - EEMC HC ALLOCATION-RGE</v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 t="str">
            <v/>
          </cell>
          <cell r="J1322" t="str">
            <v/>
          </cell>
          <cell r="K1322" t="str">
            <v/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520400</v>
          </cell>
          <cell r="C1323" t="str">
            <v>NOT USED</v>
          </cell>
          <cell r="D1323" t="str">
            <v>BENEFITS-PENSIONS-SERVICES</v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 t="str">
            <v/>
          </cell>
          <cell r="J1323" t="str">
            <v/>
          </cell>
          <cell r="K1323" t="str">
            <v/>
          </cell>
          <cell r="L1323">
            <v>9516.33</v>
          </cell>
          <cell r="M1323">
            <v>339.09307999999999</v>
          </cell>
          <cell r="N1323">
            <v>678.18615999999997</v>
          </cell>
          <cell r="O1323">
            <v>1017.27924</v>
          </cell>
          <cell r="P1323">
            <v>1356.3723199999999</v>
          </cell>
          <cell r="Q1323">
            <v>1607.13913</v>
          </cell>
          <cell r="R1323">
            <v>1928.5669800000001</v>
          </cell>
          <cell r="S1323">
            <v>2249.9948100000001</v>
          </cell>
          <cell r="T1323">
            <v>2571.4226399999998</v>
          </cell>
          <cell r="U1323">
            <v>2906.5200300000001</v>
          </cell>
          <cell r="V1323">
            <v>4429.4666900000002</v>
          </cell>
          <cell r="W1323">
            <v>4752.4133499999998</v>
          </cell>
          <cell r="X1323">
            <v>5310.5330100000001</v>
          </cell>
          <cell r="Y1323">
            <v>2604.1571610000001</v>
          </cell>
        </row>
        <row r="1324">
          <cell r="B1324">
            <v>520401</v>
          </cell>
          <cell r="C1324" t="str">
            <v>NOT USED</v>
          </cell>
          <cell r="D1324" t="str">
            <v>BENEFITS-PENSIONS-INTEREST</v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 t="str">
            <v/>
          </cell>
          <cell r="J1324" t="str">
            <v/>
          </cell>
          <cell r="K1324" t="str">
            <v/>
          </cell>
          <cell r="L1324">
            <v>24540.553049999999</v>
          </cell>
          <cell r="M1324">
            <v>1841.6666700000001</v>
          </cell>
          <cell r="N1324">
            <v>3683.3333400000001</v>
          </cell>
          <cell r="O1324">
            <v>5525.0000099999997</v>
          </cell>
          <cell r="P1324">
            <v>7366.6666800000003</v>
          </cell>
          <cell r="Q1324">
            <v>9041.39</v>
          </cell>
          <cell r="R1324">
            <v>10849.668</v>
          </cell>
          <cell r="S1324">
            <v>12657.946</v>
          </cell>
          <cell r="T1324">
            <v>14466.224</v>
          </cell>
          <cell r="U1324">
            <v>16274.502</v>
          </cell>
          <cell r="V1324">
            <v>18082.78</v>
          </cell>
          <cell r="W1324">
            <v>19891.058000000001</v>
          </cell>
          <cell r="X1324">
            <v>21699.335999999999</v>
          </cell>
          <cell r="Y1324">
            <v>11900.014934999999</v>
          </cell>
        </row>
        <row r="1325">
          <cell r="B1325">
            <v>520402</v>
          </cell>
          <cell r="C1325" t="str">
            <v>NOT USED</v>
          </cell>
          <cell r="D1325" t="str">
            <v>BENEFITS-PENSIONS-RETURN ON ASSETS-ROA</v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 t="str">
            <v/>
          </cell>
          <cell r="J1325" t="str">
            <v/>
          </cell>
          <cell r="K1325" t="str">
            <v/>
          </cell>
          <cell r="L1325">
            <v>-36183.452039999996</v>
          </cell>
          <cell r="M1325">
            <v>-2691.6666700000001</v>
          </cell>
          <cell r="N1325">
            <v>-5383.3333400000001</v>
          </cell>
          <cell r="O1325">
            <v>-8075.0000099999997</v>
          </cell>
          <cell r="P1325">
            <v>-10766.66668</v>
          </cell>
          <cell r="Q1325">
            <v>-14901.559579999999</v>
          </cell>
          <cell r="R1325">
            <v>-17881.871500000001</v>
          </cell>
          <cell r="S1325">
            <v>-20862.183420000001</v>
          </cell>
          <cell r="T1325">
            <v>-23842.495340000001</v>
          </cell>
          <cell r="U1325">
            <v>-26822.807260000001</v>
          </cell>
          <cell r="V1325">
            <v>-29803.119180000002</v>
          </cell>
          <cell r="W1325">
            <v>-32783.431100000002</v>
          </cell>
          <cell r="X1325">
            <v>-35763.743020000002</v>
          </cell>
          <cell r="Y1325">
            <v>-19148.977633999999</v>
          </cell>
        </row>
        <row r="1326">
          <cell r="B1326">
            <v>520403</v>
          </cell>
          <cell r="C1326" t="str">
            <v>NOT USED</v>
          </cell>
          <cell r="D1326" t="str">
            <v>BENEFITS-OPEB-SERVICE</v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 t="str">
            <v/>
          </cell>
          <cell r="J1326" t="str">
            <v/>
          </cell>
          <cell r="K1326" t="str">
            <v/>
          </cell>
          <cell r="L1326">
            <v>563.92692999999997</v>
          </cell>
          <cell r="M1326">
            <v>58.083329999999997</v>
          </cell>
          <cell r="N1326">
            <v>116.16665999999999</v>
          </cell>
          <cell r="O1326">
            <v>174.24999</v>
          </cell>
          <cell r="P1326">
            <v>232.33331999999999</v>
          </cell>
          <cell r="Q1326">
            <v>253.32832999999999</v>
          </cell>
          <cell r="R1326">
            <v>303.99400000000003</v>
          </cell>
          <cell r="S1326">
            <v>354.65967000000001</v>
          </cell>
          <cell r="T1326">
            <v>405.32533999999998</v>
          </cell>
          <cell r="U1326">
            <v>455.99101000000002</v>
          </cell>
          <cell r="V1326">
            <v>506.65667999999999</v>
          </cell>
          <cell r="W1326">
            <v>557.32235000000003</v>
          </cell>
          <cell r="X1326">
            <v>607.98802000000001</v>
          </cell>
          <cell r="Y1326">
            <v>333.672346</v>
          </cell>
        </row>
        <row r="1327">
          <cell r="B1327">
            <v>520404</v>
          </cell>
          <cell r="C1327" t="str">
            <v>NOT USED</v>
          </cell>
          <cell r="D1327" t="str">
            <v>BENEFITS-OPEB-INTEREST</v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 t="str">
            <v/>
          </cell>
          <cell r="J1327" t="str">
            <v/>
          </cell>
          <cell r="K1327" t="str">
            <v/>
          </cell>
          <cell r="L1327">
            <v>4613.2980900000002</v>
          </cell>
          <cell r="M1327">
            <v>351.91667000000001</v>
          </cell>
          <cell r="N1327">
            <v>703.83334000000002</v>
          </cell>
          <cell r="O1327">
            <v>1055.75001</v>
          </cell>
          <cell r="P1327">
            <v>1407.66668</v>
          </cell>
          <cell r="Q1327">
            <v>1761.6587500000001</v>
          </cell>
          <cell r="R1327">
            <v>2113.9904999999999</v>
          </cell>
          <cell r="S1327">
            <v>2466.3222500000002</v>
          </cell>
          <cell r="T1327">
            <v>2818.654</v>
          </cell>
          <cell r="U1327">
            <v>3170.9857499999998</v>
          </cell>
          <cell r="V1327">
            <v>3523.3175000000001</v>
          </cell>
          <cell r="W1327">
            <v>3875.6492499999999</v>
          </cell>
          <cell r="X1327">
            <v>4227.9809999999998</v>
          </cell>
          <cell r="Y1327">
            <v>2305.865354</v>
          </cell>
        </row>
        <row r="1328">
          <cell r="B1328">
            <v>520406</v>
          </cell>
          <cell r="C1328" t="str">
            <v>NOT USED</v>
          </cell>
          <cell r="D1328" t="str">
            <v>BENEFITS-PENSIONS-AMORTIZATION GAIN/LOSS</v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 t="str">
            <v/>
          </cell>
          <cell r="J1328" t="str">
            <v/>
          </cell>
          <cell r="K1328" t="str">
            <v/>
          </cell>
          <cell r="L1328">
            <v>8761.0298700000003</v>
          </cell>
          <cell r="M1328">
            <v>958.33333000000005</v>
          </cell>
          <cell r="N1328">
            <v>1916.6666600000001</v>
          </cell>
          <cell r="O1328">
            <v>2874.9999899999998</v>
          </cell>
          <cell r="P1328">
            <v>3833.3333200000002</v>
          </cell>
          <cell r="Q1328">
            <v>4458.3720800000001</v>
          </cell>
          <cell r="R1328">
            <v>5350.0465000000004</v>
          </cell>
          <cell r="S1328">
            <v>6241.7209199999998</v>
          </cell>
          <cell r="T1328">
            <v>7133.39534</v>
          </cell>
          <cell r="U1328">
            <v>8025.0697600000003</v>
          </cell>
          <cell r="V1328">
            <v>8916.7441799999997</v>
          </cell>
          <cell r="W1328">
            <v>9808.4186000000009</v>
          </cell>
          <cell r="X1328">
            <v>10700.09302</v>
          </cell>
          <cell r="Y1328">
            <v>5770.6385099999998</v>
          </cell>
        </row>
        <row r="1329">
          <cell r="B1329">
            <v>520407</v>
          </cell>
          <cell r="C1329" t="str">
            <v>NOT USED</v>
          </cell>
          <cell r="D1329" t="str">
            <v>BENEFITS-OPEB-AMORTIZATION GAIN/LOSS</v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 t="str">
            <v/>
          </cell>
          <cell r="J1329" t="str">
            <v/>
          </cell>
          <cell r="K1329" t="str">
            <v/>
          </cell>
          <cell r="L1329">
            <v>601.19899999999996</v>
          </cell>
          <cell r="M1329">
            <v>104.75</v>
          </cell>
          <cell r="N1329">
            <v>209.5</v>
          </cell>
          <cell r="O1329">
            <v>314.25</v>
          </cell>
          <cell r="P1329">
            <v>419</v>
          </cell>
          <cell r="Q1329">
            <v>423.79374999999999</v>
          </cell>
          <cell r="R1329">
            <v>508.55250000000001</v>
          </cell>
          <cell r="S1329">
            <v>593.31124999999997</v>
          </cell>
          <cell r="T1329">
            <v>678.07</v>
          </cell>
          <cell r="U1329">
            <v>762.82875000000001</v>
          </cell>
          <cell r="V1329">
            <v>847.58749999999998</v>
          </cell>
          <cell r="W1329">
            <v>932.34625000000005</v>
          </cell>
          <cell r="X1329">
            <v>1017.105</v>
          </cell>
          <cell r="Y1329">
            <v>550.26183300000002</v>
          </cell>
        </row>
        <row r="1330">
          <cell r="B1330">
            <v>530100</v>
          </cell>
          <cell r="C1330" t="str">
            <v>NOT USED</v>
          </cell>
          <cell r="D1330" t="str">
            <v>MATERIALS EXPENSES - STOCK</v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 t="str">
            <v/>
          </cell>
          <cell r="J1330" t="str">
            <v/>
          </cell>
          <cell r="K1330" t="str">
            <v/>
          </cell>
          <cell r="L1330">
            <v>17136.85385</v>
          </cell>
          <cell r="M1330">
            <v>874.52557000000002</v>
          </cell>
          <cell r="N1330">
            <v>2612.6136499999998</v>
          </cell>
          <cell r="O1330">
            <v>3452.4269599999998</v>
          </cell>
          <cell r="P1330">
            <v>4245.4100099999996</v>
          </cell>
          <cell r="Q1330">
            <v>5144.69841</v>
          </cell>
          <cell r="R1330">
            <v>6257.32629</v>
          </cell>
          <cell r="S1330">
            <v>8095.6770800000004</v>
          </cell>
          <cell r="T1330">
            <v>9692.5803099999994</v>
          </cell>
          <cell r="U1330">
            <v>10646.87708</v>
          </cell>
          <cell r="V1330">
            <v>11913.92815</v>
          </cell>
          <cell r="W1330">
            <v>13269.3905</v>
          </cell>
          <cell r="X1330">
            <v>17735.618549999999</v>
          </cell>
          <cell r="Y1330">
            <v>7803.4741839999997</v>
          </cell>
        </row>
        <row r="1331">
          <cell r="B1331">
            <v>530101</v>
          </cell>
          <cell r="C1331" t="str">
            <v>NOT USED</v>
          </cell>
          <cell r="D1331" t="str">
            <v>FUEL - STOCK</v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 t="str">
            <v/>
          </cell>
          <cell r="J1331" t="str">
            <v/>
          </cell>
          <cell r="K1331" t="str">
            <v/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530110</v>
          </cell>
          <cell r="C1332" t="str">
            <v>NOT USED</v>
          </cell>
          <cell r="D1332" t="str">
            <v>MATERIALS EXPENSES - NON-STOCK</v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 t="str">
            <v/>
          </cell>
          <cell r="J1332" t="str">
            <v/>
          </cell>
          <cell r="K1332" t="str">
            <v/>
          </cell>
          <cell r="L1332">
            <v>26189.421600000001</v>
          </cell>
          <cell r="M1332">
            <v>-1211.03918</v>
          </cell>
          <cell r="N1332">
            <v>-620.05625999999995</v>
          </cell>
          <cell r="O1332">
            <v>-107.88733000000001</v>
          </cell>
          <cell r="P1332">
            <v>361.29266999999999</v>
          </cell>
          <cell r="Q1332">
            <v>860.80448000000001</v>
          </cell>
          <cell r="R1332">
            <v>1737.9147599999999</v>
          </cell>
          <cell r="S1332">
            <v>2298.9771900000001</v>
          </cell>
          <cell r="T1332">
            <v>5614.5692499999996</v>
          </cell>
          <cell r="U1332">
            <v>9746.3286700000008</v>
          </cell>
          <cell r="V1332">
            <v>10797.802309999999</v>
          </cell>
          <cell r="W1332">
            <v>14411.35636</v>
          </cell>
          <cell r="X1332">
            <v>28460.245699999999</v>
          </cell>
          <cell r="Y1332">
            <v>5934.5747140000003</v>
          </cell>
        </row>
        <row r="1333">
          <cell r="B1333">
            <v>530111</v>
          </cell>
          <cell r="C1333" t="str">
            <v>NOT USED</v>
          </cell>
          <cell r="D1333" t="str">
            <v>MATERIALS EXPENSES - TRANSFORMER/REG/METER STOCK</v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 t="str">
            <v/>
          </cell>
          <cell r="J1333" t="str">
            <v/>
          </cell>
          <cell r="K1333" t="str">
            <v/>
          </cell>
          <cell r="L1333">
            <v>5369.3757800000003</v>
          </cell>
          <cell r="M1333">
            <v>281.00567000000001</v>
          </cell>
          <cell r="N1333">
            <v>531.01306999999997</v>
          </cell>
          <cell r="O1333">
            <v>740.31655000000001</v>
          </cell>
          <cell r="P1333">
            <v>1085.62156</v>
          </cell>
          <cell r="Q1333">
            <v>1458.61824</v>
          </cell>
          <cell r="R1333">
            <v>1699.40662</v>
          </cell>
          <cell r="S1333">
            <v>2073.4837200000002</v>
          </cell>
          <cell r="T1333">
            <v>2310.0588400000001</v>
          </cell>
          <cell r="U1333">
            <v>2674.52666</v>
          </cell>
          <cell r="V1333">
            <v>3072.0272799999998</v>
          </cell>
          <cell r="W1333">
            <v>3695.4074000000001</v>
          </cell>
          <cell r="X1333">
            <v>4444.5500400000001</v>
          </cell>
          <cell r="Y1333">
            <v>2044.0373770000001</v>
          </cell>
        </row>
        <row r="1334">
          <cell r="B1334">
            <v>530115</v>
          </cell>
          <cell r="C1334" t="str">
            <v>NOT USED</v>
          </cell>
          <cell r="D1334" t="str">
            <v>MATERIALS EXPENSES - NON-STOCK PLANT TRANSFERS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 t="str">
            <v/>
          </cell>
          <cell r="J1334" t="str">
            <v/>
          </cell>
          <cell r="K1334" t="str">
            <v/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530120</v>
          </cell>
          <cell r="C1335" t="str">
            <v>NOT USED</v>
          </cell>
          <cell r="D1335" t="str">
            <v>MATERIALS EXPENSES - SCRAP/OBSOLETE</v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 t="str">
            <v/>
          </cell>
          <cell r="J1335" t="str">
            <v/>
          </cell>
          <cell r="K1335" t="str">
            <v/>
          </cell>
          <cell r="L1335">
            <v>17.815259999999999</v>
          </cell>
          <cell r="M1335">
            <v>1.08484</v>
          </cell>
          <cell r="N1335">
            <v>1.08484</v>
          </cell>
          <cell r="O1335">
            <v>1.08484</v>
          </cell>
          <cell r="P1335">
            <v>1.08484</v>
          </cell>
          <cell r="Q1335">
            <v>1.08484</v>
          </cell>
          <cell r="R1335">
            <v>1.08484</v>
          </cell>
          <cell r="S1335">
            <v>1.08484</v>
          </cell>
          <cell r="T1335">
            <v>1.08484</v>
          </cell>
          <cell r="U1335">
            <v>1.08484</v>
          </cell>
          <cell r="V1335">
            <v>1.5971</v>
          </cell>
          <cell r="W1335">
            <v>1.5971</v>
          </cell>
          <cell r="X1335">
            <v>3.1952199999999999</v>
          </cell>
          <cell r="Y1335">
            <v>1.9552499999999999</v>
          </cell>
        </row>
        <row r="1336">
          <cell r="B1336">
            <v>530125</v>
          </cell>
          <cell r="C1336" t="str">
            <v>NOT USED</v>
          </cell>
          <cell r="D1336" t="str">
            <v>MATERIALS EXPENSES - OBSOLETE</v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 t="str">
            <v/>
          </cell>
          <cell r="J1336" t="str">
            <v/>
          </cell>
          <cell r="K1336" t="str">
            <v/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530200</v>
          </cell>
          <cell r="C1337" t="str">
            <v>NOT USED</v>
          </cell>
          <cell r="D1337" t="str">
            <v>MATERIALS - AUP DIFFERCE (SAP RECON ACCOUNT)</v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 t="str">
            <v/>
          </cell>
          <cell r="J1337" t="str">
            <v/>
          </cell>
          <cell r="K1337" t="str">
            <v/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530210</v>
          </cell>
          <cell r="C1338" t="str">
            <v>NOT USED</v>
          </cell>
          <cell r="D1338" t="str">
            <v>MATERIALS - FREIGHT CHARGES</v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 t="str">
            <v/>
          </cell>
          <cell r="J1338" t="str">
            <v/>
          </cell>
          <cell r="K1338" t="str">
            <v/>
          </cell>
          <cell r="L1338">
            <v>68.790409999999994</v>
          </cell>
          <cell r="M1338">
            <v>8.3567</v>
          </cell>
          <cell r="N1338">
            <v>11.171200000000001</v>
          </cell>
          <cell r="O1338">
            <v>17.110749999999999</v>
          </cell>
          <cell r="P1338">
            <v>19.791499999999999</v>
          </cell>
          <cell r="Q1338">
            <v>25.832000000000001</v>
          </cell>
          <cell r="R1338">
            <v>28.340250000000001</v>
          </cell>
          <cell r="S1338">
            <v>30.635750000000002</v>
          </cell>
          <cell r="T1338">
            <v>33.173999999999999</v>
          </cell>
          <cell r="U1338">
            <v>34.246749999999999</v>
          </cell>
          <cell r="V1338">
            <v>35.947249999999997</v>
          </cell>
          <cell r="W1338">
            <v>36.840000000000003</v>
          </cell>
          <cell r="X1338">
            <v>37.69905</v>
          </cell>
          <cell r="Y1338">
            <v>27.890906999999999</v>
          </cell>
        </row>
        <row r="1339">
          <cell r="B1339">
            <v>530220</v>
          </cell>
          <cell r="C1339" t="str">
            <v>NOT USED</v>
          </cell>
          <cell r="D1339" t="str">
            <v>MATERIALS - INVENTORY ADJUSTMENTS</v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 t="str">
            <v/>
          </cell>
          <cell r="J1339" t="str">
            <v/>
          </cell>
          <cell r="K1339" t="str">
            <v/>
          </cell>
          <cell r="L1339">
            <v>38.559379999999997</v>
          </cell>
          <cell r="M1339">
            <v>0.84577000000000002</v>
          </cell>
          <cell r="N1339">
            <v>1.57054</v>
          </cell>
          <cell r="O1339">
            <v>3.8233700000000002</v>
          </cell>
          <cell r="P1339">
            <v>4.3681099999999997</v>
          </cell>
          <cell r="Q1339">
            <v>5.1796899999999999</v>
          </cell>
          <cell r="R1339">
            <v>150.16284999999999</v>
          </cell>
          <cell r="S1339">
            <v>152.59110000000001</v>
          </cell>
          <cell r="T1339">
            <v>153.33716999999999</v>
          </cell>
          <cell r="U1339">
            <v>159.36445000000001</v>
          </cell>
          <cell r="V1339">
            <v>160.47519</v>
          </cell>
          <cell r="W1339">
            <v>160.41184000000001</v>
          </cell>
          <cell r="X1339">
            <v>153.80081000000001</v>
          </cell>
          <cell r="Y1339">
            <v>87.359181000000007</v>
          </cell>
        </row>
        <row r="1340">
          <cell r="B1340">
            <v>530230</v>
          </cell>
          <cell r="C1340" t="str">
            <v>NOT USED</v>
          </cell>
          <cell r="D1340" t="str">
            <v>MATERIALS - SAP DISCOUNTS</v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/>
          </cell>
          <cell r="L1340">
            <v>-1.58E-3</v>
          </cell>
          <cell r="M1340">
            <v>0</v>
          </cell>
          <cell r="N1340">
            <v>0</v>
          </cell>
          <cell r="O1340">
            <v>0</v>
          </cell>
          <cell r="P1340">
            <v>-2.7369999999999998E-2</v>
          </cell>
          <cell r="Q1340">
            <v>-2.7369999999999998E-2</v>
          </cell>
          <cell r="R1340">
            <v>4.8300000000000001E-3</v>
          </cell>
          <cell r="S1340">
            <v>-0.10417999999999999</v>
          </cell>
          <cell r="T1340">
            <v>-0.10417999999999999</v>
          </cell>
          <cell r="U1340">
            <v>-0.10417999999999999</v>
          </cell>
          <cell r="V1340">
            <v>-0.10417999999999999</v>
          </cell>
          <cell r="W1340">
            <v>-0.10417999999999999</v>
          </cell>
          <cell r="X1340">
            <v>-0.10417999999999999</v>
          </cell>
          <cell r="Y1340">
            <v>-5.1973999999999999E-2</v>
          </cell>
        </row>
        <row r="1341">
          <cell r="B1341">
            <v>530240</v>
          </cell>
          <cell r="C1341" t="str">
            <v>NOT USED</v>
          </cell>
          <cell r="D1341" t="str">
            <v>MATERIALS - REVALUATION</v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/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530999</v>
          </cell>
          <cell r="C1342" t="str">
            <v>NOT USED</v>
          </cell>
          <cell r="D1342" t="str">
            <v>MATERIALS RECLASSIFICATION - CO</v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/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540010</v>
          </cell>
          <cell r="C1343" t="str">
            <v>NOT USED</v>
          </cell>
          <cell r="D1343" t="str">
            <v>PURCHASED GAS-CITY GATE PURCHASES</v>
          </cell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/>
          </cell>
          <cell r="L1343">
            <v>197.28164000000001</v>
          </cell>
          <cell r="M1343">
            <v>16.21782</v>
          </cell>
          <cell r="N1343">
            <v>29.651479999999999</v>
          </cell>
          <cell r="O1343">
            <v>43.771419999999999</v>
          </cell>
          <cell r="P1343">
            <v>62.268259999999998</v>
          </cell>
          <cell r="Q1343">
            <v>78.749369999999999</v>
          </cell>
          <cell r="R1343">
            <v>94.777389999999997</v>
          </cell>
          <cell r="S1343">
            <v>115.34477</v>
          </cell>
          <cell r="T1343">
            <v>130.94752</v>
          </cell>
          <cell r="U1343">
            <v>146.15350000000001</v>
          </cell>
          <cell r="V1343">
            <v>160.5204</v>
          </cell>
          <cell r="W1343">
            <v>173.09181000000001</v>
          </cell>
          <cell r="X1343">
            <v>187.62477999999999</v>
          </cell>
          <cell r="Y1343">
            <v>103.662246</v>
          </cell>
        </row>
        <row r="1344">
          <cell r="B1344">
            <v>540020</v>
          </cell>
          <cell r="C1344" t="str">
            <v>NOT USED</v>
          </cell>
          <cell r="D1344" t="str">
            <v>PURCHASED GAS-DEFERRED</v>
          </cell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>
            <v>4028.9185299999999</v>
          </cell>
          <cell r="M1344">
            <v>2693.2982499999998</v>
          </cell>
          <cell r="N1344">
            <v>5488.1398200000003</v>
          </cell>
          <cell r="O1344">
            <v>6117.4109099999996</v>
          </cell>
          <cell r="P1344">
            <v>6047.9615700000004</v>
          </cell>
          <cell r="Q1344">
            <v>5717.4210400000002</v>
          </cell>
          <cell r="R1344">
            <v>3509.5763900000002</v>
          </cell>
          <cell r="S1344">
            <v>1324.7045499999999</v>
          </cell>
          <cell r="T1344">
            <v>493.16248000000002</v>
          </cell>
          <cell r="U1344">
            <v>-1262.83053</v>
          </cell>
          <cell r="V1344">
            <v>-2130.0233400000002</v>
          </cell>
          <cell r="W1344">
            <v>-2195.5716200000002</v>
          </cell>
          <cell r="X1344">
            <v>-1027.9169899999999</v>
          </cell>
          <cell r="Y1344">
            <v>2275.3125239999999</v>
          </cell>
        </row>
        <row r="1345">
          <cell r="B1345">
            <v>540030</v>
          </cell>
          <cell r="C1345" t="str">
            <v>NOT USED</v>
          </cell>
          <cell r="D1345" t="str">
            <v>PURCHASED GAS-WHOLESALE</v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>
            <v>2394.3153499999999</v>
          </cell>
          <cell r="M1345">
            <v>284.16422</v>
          </cell>
          <cell r="N1345">
            <v>497.31927000000002</v>
          </cell>
          <cell r="O1345">
            <v>795.67151999999999</v>
          </cell>
          <cell r="P1345">
            <v>795.67151000000001</v>
          </cell>
          <cell r="Q1345">
            <v>1201.92705</v>
          </cell>
          <cell r="R1345">
            <v>1201.92705</v>
          </cell>
          <cell r="S1345">
            <v>1201.92705</v>
          </cell>
          <cell r="T1345">
            <v>1201.92705</v>
          </cell>
          <cell r="U1345">
            <v>1201.92705</v>
          </cell>
          <cell r="V1345">
            <v>1201.92705</v>
          </cell>
          <cell r="W1345">
            <v>1218.1619599999999</v>
          </cell>
          <cell r="X1345">
            <v>1218.1619599999999</v>
          </cell>
          <cell r="Y1345">
            <v>1050.7324530000001</v>
          </cell>
        </row>
        <row r="1346">
          <cell r="B1346">
            <v>540100</v>
          </cell>
          <cell r="C1346" t="str">
            <v>NOT USED</v>
          </cell>
          <cell r="D1346" t="str">
            <v>PURCHASED GAS - FLOWING SUPPLY COSTS</v>
          </cell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/>
          </cell>
          <cell r="L1346">
            <v>90594.69627</v>
          </cell>
          <cell r="M1346">
            <v>14958.8706</v>
          </cell>
          <cell r="N1346">
            <v>27288.59533</v>
          </cell>
          <cell r="O1346">
            <v>38441.645640000002</v>
          </cell>
          <cell r="P1346">
            <v>48960.832439999998</v>
          </cell>
          <cell r="Q1346">
            <v>53841.888140000003</v>
          </cell>
          <cell r="R1346">
            <v>56265.721490000004</v>
          </cell>
          <cell r="S1346">
            <v>58157.473429999998</v>
          </cell>
          <cell r="T1346">
            <v>60111.921880000002</v>
          </cell>
          <cell r="U1346">
            <v>62052.728900000002</v>
          </cell>
          <cell r="V1346">
            <v>67494.18462</v>
          </cell>
          <cell r="W1346">
            <v>72714.23504</v>
          </cell>
          <cell r="X1346">
            <v>78940.490040000004</v>
          </cell>
          <cell r="Y1346">
            <v>53754.640889000002</v>
          </cell>
        </row>
        <row r="1347">
          <cell r="B1347">
            <v>540110</v>
          </cell>
          <cell r="C1347" t="str">
            <v>NOT USED</v>
          </cell>
          <cell r="D1347" t="str">
            <v>PURCHASED GAS - PIPELINE TRANSPORTATION COSTS</v>
          </cell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/>
          </cell>
          <cell r="L1347">
            <v>34458.643680000001</v>
          </cell>
          <cell r="M1347">
            <v>3334.7026300000002</v>
          </cell>
          <cell r="N1347">
            <v>6635.45579</v>
          </cell>
          <cell r="O1347">
            <v>10385.27619</v>
          </cell>
          <cell r="P1347">
            <v>13437.632460000001</v>
          </cell>
          <cell r="Q1347">
            <v>16434.476040000001</v>
          </cell>
          <cell r="R1347">
            <v>19433.794160000001</v>
          </cell>
          <cell r="S1347">
            <v>22456.74036</v>
          </cell>
          <cell r="T1347">
            <v>25385.627120000001</v>
          </cell>
          <cell r="U1347">
            <v>28232.743160000002</v>
          </cell>
          <cell r="V1347">
            <v>31290.954580000001</v>
          </cell>
          <cell r="W1347">
            <v>34825.760840000003</v>
          </cell>
          <cell r="X1347">
            <v>38426.60916</v>
          </cell>
          <cell r="Y1347">
            <v>20691.315813000001</v>
          </cell>
        </row>
        <row r="1348">
          <cell r="B1348">
            <v>540120</v>
          </cell>
          <cell r="C1348" t="str">
            <v>NOT USED</v>
          </cell>
          <cell r="D1348" t="str">
            <v>PURCHASED GAS - PIPELINE STORAGE DEMAND COSTS</v>
          </cell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/>
          </cell>
          <cell r="L1348">
            <v>8622.6236100000006</v>
          </cell>
          <cell r="M1348">
            <v>708.84412999999995</v>
          </cell>
          <cell r="N1348">
            <v>1417.6882599999999</v>
          </cell>
          <cell r="O1348">
            <v>2126.5323899999999</v>
          </cell>
          <cell r="P1348">
            <v>2835.3765199999998</v>
          </cell>
          <cell r="Q1348">
            <v>3544.2206500000002</v>
          </cell>
          <cell r="R1348">
            <v>4253.0647799999997</v>
          </cell>
          <cell r="S1348">
            <v>4961.9089100000001</v>
          </cell>
          <cell r="T1348">
            <v>5670.7530399999996</v>
          </cell>
          <cell r="U1348">
            <v>6379.59717</v>
          </cell>
          <cell r="V1348">
            <v>7088.4413000000004</v>
          </cell>
          <cell r="W1348">
            <v>7795.9958299999998</v>
          </cell>
          <cell r="X1348">
            <v>8503.5503599999993</v>
          </cell>
          <cell r="Y1348">
            <v>4612.12583</v>
          </cell>
        </row>
        <row r="1349">
          <cell r="B1349">
            <v>540130</v>
          </cell>
          <cell r="C1349" t="str">
            <v>NOT USED</v>
          </cell>
          <cell r="D1349" t="str">
            <v>PURCHASED GAS - CAPACITY RELEASE</v>
          </cell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/>
          </cell>
          <cell r="L1349">
            <v>-11876.610500000001</v>
          </cell>
          <cell r="M1349">
            <v>-1135.7488699999999</v>
          </cell>
          <cell r="N1349">
            <v>-2286.0109600000001</v>
          </cell>
          <cell r="O1349">
            <v>-3555.7180400000002</v>
          </cell>
          <cell r="P1349">
            <v>-4381.9321099999997</v>
          </cell>
          <cell r="Q1349">
            <v>-5214.4677000000001</v>
          </cell>
          <cell r="R1349">
            <v>-6041.20496</v>
          </cell>
          <cell r="S1349">
            <v>-6876.1420699999999</v>
          </cell>
          <cell r="T1349">
            <v>-7702.11816</v>
          </cell>
          <cell r="U1349">
            <v>-8503.5815700000003</v>
          </cell>
          <cell r="V1349">
            <v>-9325.4002799999998</v>
          </cell>
          <cell r="W1349">
            <v>-10283.21212</v>
          </cell>
          <cell r="X1349">
            <v>-11254.149310000001</v>
          </cell>
          <cell r="Y1349">
            <v>-6405.909729</v>
          </cell>
        </row>
        <row r="1350">
          <cell r="B1350">
            <v>540140</v>
          </cell>
          <cell r="C1350" t="str">
            <v>NOT USED</v>
          </cell>
          <cell r="D1350" t="str">
            <v>PURCHASED GAS - SUPPLIER REFUND</v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/>
          </cell>
          <cell r="L1350">
            <v>-818.05669999999998</v>
          </cell>
          <cell r="M1350">
            <v>-57.756189999999997</v>
          </cell>
          <cell r="N1350">
            <v>-181.12381999999999</v>
          </cell>
          <cell r="O1350">
            <v>-282.94112000000001</v>
          </cell>
          <cell r="P1350">
            <v>-342.94182999999998</v>
          </cell>
          <cell r="Q1350">
            <v>-375.88348000000002</v>
          </cell>
          <cell r="R1350">
            <v>-459.21946000000003</v>
          </cell>
          <cell r="S1350">
            <v>-543.50508000000002</v>
          </cell>
          <cell r="T1350">
            <v>-664.82132999999999</v>
          </cell>
          <cell r="U1350">
            <v>-700.22681999999998</v>
          </cell>
          <cell r="V1350">
            <v>-779.17726000000005</v>
          </cell>
          <cell r="W1350">
            <v>-904.40421000000003</v>
          </cell>
          <cell r="X1350">
            <v>-976.47113000000002</v>
          </cell>
          <cell r="Y1350">
            <v>-515.77204300000005</v>
          </cell>
        </row>
        <row r="1351">
          <cell r="B1351">
            <v>540199</v>
          </cell>
          <cell r="C1351" t="str">
            <v>NOT USED</v>
          </cell>
          <cell r="D1351" t="str">
            <v>NATURAL GAS PURCHASES - INTERCOMPANY</v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/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540200</v>
          </cell>
          <cell r="C1352" t="str">
            <v>NOT USED</v>
          </cell>
          <cell r="D1352" t="str">
            <v>PURCHASED GAS FOR STORAGE - COMMODITY</v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/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540210</v>
          </cell>
          <cell r="C1353" t="str">
            <v>NOT USED</v>
          </cell>
          <cell r="D1353" t="str">
            <v>GAS DELIVERED TO STORAGE - COMMODITY</v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/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540300</v>
          </cell>
          <cell r="C1354" t="str">
            <v>NOT USED</v>
          </cell>
          <cell r="D1354" t="str">
            <v>GAS WITHDRAWN FROM STORAGE - COMMODITY</v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/>
          </cell>
          <cell r="L1354">
            <v>36580.951410000001</v>
          </cell>
          <cell r="M1354">
            <v>9992.7225799999997</v>
          </cell>
          <cell r="N1354">
            <v>18802.161980000001</v>
          </cell>
          <cell r="O1354">
            <v>24564.8282</v>
          </cell>
          <cell r="P1354">
            <v>24794.316480000001</v>
          </cell>
          <cell r="Q1354">
            <v>25008.847819999999</v>
          </cell>
          <cell r="R1354">
            <v>25008.847819999999</v>
          </cell>
          <cell r="S1354">
            <v>25008.847819999999</v>
          </cell>
          <cell r="T1354">
            <v>25008.847819999999</v>
          </cell>
          <cell r="U1354">
            <v>25008.847819999999</v>
          </cell>
          <cell r="V1354">
            <v>25387.164369999999</v>
          </cell>
          <cell r="W1354">
            <v>28314.9401</v>
          </cell>
          <cell r="X1354">
            <v>35662.658470000002</v>
          </cell>
          <cell r="Y1354">
            <v>24418.514813000002</v>
          </cell>
        </row>
        <row r="1355">
          <cell r="B1355">
            <v>540400</v>
          </cell>
          <cell r="C1355" t="str">
            <v>NOT USED</v>
          </cell>
          <cell r="D1355" t="str">
            <v>PURCHASED GAS - SC3 CASH OUTS</v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/>
          </cell>
          <cell r="L1355">
            <v>-32.80254</v>
          </cell>
          <cell r="M1355">
            <v>135.36183</v>
          </cell>
          <cell r="N1355">
            <v>-15.602639999999999</v>
          </cell>
          <cell r="O1355">
            <v>5.4052899999999999</v>
          </cell>
          <cell r="P1355">
            <v>-41.248950000000001</v>
          </cell>
          <cell r="Q1355">
            <v>-64.703050000000005</v>
          </cell>
          <cell r="R1355">
            <v>-55.572040000000001</v>
          </cell>
          <cell r="S1355">
            <v>-94.930710000000005</v>
          </cell>
          <cell r="T1355">
            <v>-115.74079</v>
          </cell>
          <cell r="U1355">
            <v>-128.44839999999999</v>
          </cell>
          <cell r="V1355">
            <v>-230.43257</v>
          </cell>
          <cell r="W1355">
            <v>-268.60874999999999</v>
          </cell>
          <cell r="X1355">
            <v>-160.88583</v>
          </cell>
          <cell r="Y1355">
            <v>-80.94708</v>
          </cell>
        </row>
        <row r="1356">
          <cell r="B1356">
            <v>540410</v>
          </cell>
          <cell r="C1356" t="str">
            <v>NOT USED</v>
          </cell>
          <cell r="D1356" t="str">
            <v>PURCHASED GAS-EXP</v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540420</v>
          </cell>
          <cell r="C1357" t="str">
            <v>NOT USED</v>
          </cell>
          <cell r="D1357" t="str">
            <v>PURCHASED GAS-MISC</v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>
            <v>2.5</v>
          </cell>
          <cell r="M1357">
            <v>1.09006</v>
          </cell>
          <cell r="N1357">
            <v>2.6179299999999999</v>
          </cell>
          <cell r="O1357">
            <v>3.1742400000000002</v>
          </cell>
          <cell r="P1357">
            <v>19.298410000000001</v>
          </cell>
          <cell r="Q1357">
            <v>20.35472</v>
          </cell>
          <cell r="R1357">
            <v>20.91103</v>
          </cell>
          <cell r="S1357">
            <v>21.71734</v>
          </cell>
          <cell r="T1357">
            <v>22.27365</v>
          </cell>
          <cell r="U1357">
            <v>22.82996</v>
          </cell>
          <cell r="V1357">
            <v>23.38627</v>
          </cell>
          <cell r="W1357">
            <v>23.94258</v>
          </cell>
          <cell r="X1357">
            <v>24.498889999999999</v>
          </cell>
          <cell r="Y1357">
            <v>16.25797</v>
          </cell>
        </row>
        <row r="1358">
          <cell r="B1358">
            <v>540450</v>
          </cell>
          <cell r="C1358" t="str">
            <v>NOT USED</v>
          </cell>
          <cell r="D1358" t="str">
            <v>PURCHASED GAS - SC5 CASH OUTS</v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/>
          </cell>
          <cell r="L1358">
            <v>1818.24539</v>
          </cell>
          <cell r="M1358">
            <v>-158.59546</v>
          </cell>
          <cell r="N1358">
            <v>-440.63940000000002</v>
          </cell>
          <cell r="O1358">
            <v>-299.88767000000001</v>
          </cell>
          <cell r="P1358">
            <v>-1211.9975300000001</v>
          </cell>
          <cell r="Q1358">
            <v>-1737.28882</v>
          </cell>
          <cell r="R1358">
            <v>-1857.24396</v>
          </cell>
          <cell r="S1358">
            <v>-1637.0359699999999</v>
          </cell>
          <cell r="T1358">
            <v>-1568.96585</v>
          </cell>
          <cell r="U1358">
            <v>-1462.02775</v>
          </cell>
          <cell r="V1358">
            <v>-1614.0630900000001</v>
          </cell>
          <cell r="W1358">
            <v>-1191.13976</v>
          </cell>
          <cell r="X1358">
            <v>-1224.6761899999999</v>
          </cell>
          <cell r="Y1358">
            <v>-1073.508388</v>
          </cell>
        </row>
        <row r="1359">
          <cell r="B1359">
            <v>540460</v>
          </cell>
          <cell r="C1359" t="str">
            <v>NOT USED</v>
          </cell>
          <cell r="D1359" t="str">
            <v>PURCHASED GAS - SC5 INFIELD TRANSFERS</v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/>
          </cell>
          <cell r="L1359">
            <v>187.79365999999999</v>
          </cell>
          <cell r="M1359">
            <v>-2.9847199999999998</v>
          </cell>
          <cell r="N1359">
            <v>46.97437</v>
          </cell>
          <cell r="O1359">
            <v>61.854730000000004</v>
          </cell>
          <cell r="P1359">
            <v>50.788890000000002</v>
          </cell>
          <cell r="Q1359">
            <v>94.383409999999998</v>
          </cell>
          <cell r="R1359">
            <v>83.318809999999999</v>
          </cell>
          <cell r="S1359">
            <v>50.007620000000003</v>
          </cell>
          <cell r="T1359">
            <v>75.239170000000001</v>
          </cell>
          <cell r="U1359">
            <v>52.892339999999997</v>
          </cell>
          <cell r="V1359">
            <v>96.055800000000005</v>
          </cell>
          <cell r="W1359">
            <v>-131.24222</v>
          </cell>
          <cell r="X1359">
            <v>-158.73142000000001</v>
          </cell>
          <cell r="Y1359">
            <v>40.984943000000001</v>
          </cell>
        </row>
        <row r="1360">
          <cell r="B1360">
            <v>540470</v>
          </cell>
          <cell r="C1360" t="str">
            <v>NOT USED</v>
          </cell>
          <cell r="D1360" t="str">
            <v>PURCHASED GAS - COMPANY USE CREDITS</v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/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550100</v>
          </cell>
          <cell r="C1361" t="str">
            <v>NOT USED</v>
          </cell>
          <cell r="D1361" t="str">
            <v>FUEL - COAL (FUEL EXP CHARGES ONLY)</v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/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550110</v>
          </cell>
          <cell r="C1362" t="str">
            <v>NOT USED</v>
          </cell>
          <cell r="D1362" t="str">
            <v>FUEL HANDLING - COAL (NON-FUEL EXP CHG)</v>
          </cell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/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3">
          <cell r="B1363">
            <v>550199</v>
          </cell>
          <cell r="C1363" t="str">
            <v>NOT USED</v>
          </cell>
          <cell r="D1363" t="str">
            <v>PURCHASED GAS FOR GENERATION - INTERCOMPANY</v>
          </cell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/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</row>
        <row r="1364">
          <cell r="B1364">
            <v>550200</v>
          </cell>
          <cell r="C1364" t="str">
            <v>NOT USED</v>
          </cell>
          <cell r="D1364" t="str">
            <v>FUEL - OIL.</v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</row>
        <row r="1365">
          <cell r="B1365">
            <v>550230</v>
          </cell>
          <cell r="C1365" t="str">
            <v>NOT USED</v>
          </cell>
          <cell r="D1365" t="str">
            <v>FUEL-#2 FUEL USED FOR GENERATION-STEAM STATION</v>
          </cell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/>
          </cell>
          <cell r="L1365">
            <v>67.927629999999994</v>
          </cell>
          <cell r="M1365">
            <v>0</v>
          </cell>
          <cell r="N1365">
            <v>0.83774999999999999</v>
          </cell>
          <cell r="O1365">
            <v>0.83774999999999999</v>
          </cell>
          <cell r="P1365">
            <v>8.2657699999999998</v>
          </cell>
          <cell r="Q1365">
            <v>46.489069999999998</v>
          </cell>
          <cell r="R1365">
            <v>85.299549999999996</v>
          </cell>
          <cell r="S1365">
            <v>113.79107999999999</v>
          </cell>
          <cell r="T1365">
            <v>113.79107999999999</v>
          </cell>
          <cell r="U1365">
            <v>129.17843999999999</v>
          </cell>
          <cell r="V1365">
            <v>130.08816999999999</v>
          </cell>
          <cell r="W1365">
            <v>130.08816999999999</v>
          </cell>
          <cell r="X1365">
            <v>128.71603999999999</v>
          </cell>
          <cell r="Y1365">
            <v>71.415722000000002</v>
          </cell>
        </row>
        <row r="1366">
          <cell r="B1366">
            <v>550235</v>
          </cell>
          <cell r="C1366" t="str">
            <v>NOT USED</v>
          </cell>
          <cell r="D1366" t="str">
            <v>FUEL-NATURAL GAS USED FOR GENERATION-STEAM STATIO</v>
          </cell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/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</row>
        <row r="1367">
          <cell r="B1367">
            <v>550240</v>
          </cell>
          <cell r="C1367" t="str">
            <v>NOT USED</v>
          </cell>
          <cell r="D1367" t="str">
            <v>FUEL-DIESEL USED FOR GENERATION-INTERNL COMBUSTIO</v>
          </cell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/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550245</v>
          </cell>
          <cell r="C1368" t="str">
            <v>NOT USED</v>
          </cell>
          <cell r="D1368" t="str">
            <v>FUEL-NATGAS USED FOR GENERATION-INTERNL COMBUSTIO</v>
          </cell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/>
          </cell>
          <cell r="L1368">
            <v>2297.6760100000001</v>
          </cell>
          <cell r="M1368">
            <v>55.97025</v>
          </cell>
          <cell r="N1368">
            <v>64.022210000000001</v>
          </cell>
          <cell r="O1368">
            <v>79.613950000000003</v>
          </cell>
          <cell r="P1368">
            <v>89.477930000000001</v>
          </cell>
          <cell r="Q1368">
            <v>102.02078</v>
          </cell>
          <cell r="R1368">
            <v>374.62094999999999</v>
          </cell>
          <cell r="S1368">
            <v>1158.3267800000001</v>
          </cell>
          <cell r="T1368">
            <v>1616.3786600000001</v>
          </cell>
          <cell r="U1368">
            <v>2047.7470000000001</v>
          </cell>
          <cell r="V1368">
            <v>2453.2306800000001</v>
          </cell>
          <cell r="W1368">
            <v>2922.4375700000001</v>
          </cell>
          <cell r="X1368">
            <v>3288.2053099999998</v>
          </cell>
          <cell r="Y1368">
            <v>1146.398952</v>
          </cell>
        </row>
        <row r="1369">
          <cell r="B1369">
            <v>550250</v>
          </cell>
          <cell r="C1369" t="str">
            <v>NOT USED</v>
          </cell>
          <cell r="D1369" t="str">
            <v>FUEL-PROPANE FOR GENERATION</v>
          </cell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0">
          <cell r="B1370">
            <v>550300</v>
          </cell>
          <cell r="C1370" t="str">
            <v>NOT USED</v>
          </cell>
          <cell r="D1370" t="str">
            <v>FUEL - NUCLEAR - AMORTIZATION</v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/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</row>
        <row r="1371">
          <cell r="B1371">
            <v>550305</v>
          </cell>
          <cell r="C1371" t="str">
            <v>NOT USED</v>
          </cell>
          <cell r="D1371" t="str">
            <v>FUEL - NUCLEAR - DISPOSAL FEES</v>
          </cell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/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550310</v>
          </cell>
          <cell r="C1372" t="str">
            <v>NOT USED</v>
          </cell>
          <cell r="D1372" t="str">
            <v>FUEL - NUCLEAR - DECOMMISSIONING</v>
          </cell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/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550400</v>
          </cell>
          <cell r="C1373" t="str">
            <v>NOT USED</v>
          </cell>
          <cell r="D1373" t="str">
            <v>FUEL - GAS</v>
          </cell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/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550500</v>
          </cell>
          <cell r="C1374" t="str">
            <v>NOT USED</v>
          </cell>
          <cell r="D1374" t="str">
            <v>FUEL - NOX ALLOWANCES - FEDERAL</v>
          </cell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/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5">
          <cell r="B1375">
            <v>550502</v>
          </cell>
          <cell r="C1375" t="str">
            <v>NOT USED</v>
          </cell>
          <cell r="D1375" t="str">
            <v>FUEL - NOX ALLOWANCES - NY STATE</v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/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</row>
        <row r="1376">
          <cell r="B1376">
            <v>550510</v>
          </cell>
          <cell r="C1376" t="str">
            <v>NOT USED</v>
          </cell>
          <cell r="D1376" t="str">
            <v>FUEL - SO2 ALLOWANCES - FEDERAL</v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/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550512</v>
          </cell>
          <cell r="C1377" t="str">
            <v>NOT USED</v>
          </cell>
          <cell r="D1377" t="str">
            <v>FUEL - SO2 ALLOWANCES - NY STATE</v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/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8">
          <cell r="B1378">
            <v>550513</v>
          </cell>
          <cell r="C1378" t="str">
            <v>NOT USED</v>
          </cell>
          <cell r="D1378" t="str">
            <v>FUEL - CO2 ALLOWANCES - RGGI</v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>
            <v>47.235390000000002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5.5361599999999997</v>
          </cell>
          <cell r="S1378">
            <v>23.915990000000001</v>
          </cell>
          <cell r="T1378">
            <v>36.221530000000001</v>
          </cell>
          <cell r="U1378">
            <v>40.552329999999998</v>
          </cell>
          <cell r="V1378">
            <v>50.148609999999998</v>
          </cell>
          <cell r="W1378">
            <v>62.805520000000001</v>
          </cell>
          <cell r="X1378">
            <v>73.507069999999999</v>
          </cell>
          <cell r="Y1378">
            <v>23.295947999999999</v>
          </cell>
        </row>
        <row r="1379">
          <cell r="B1379">
            <v>550515</v>
          </cell>
          <cell r="C1379" t="str">
            <v>NOT USED</v>
          </cell>
          <cell r="D1379" t="str">
            <v>FUEL - UREA</v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/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</row>
        <row r="1380">
          <cell r="B1380">
            <v>550517</v>
          </cell>
          <cell r="C1380" t="str">
            <v>NOT USED</v>
          </cell>
          <cell r="D1380" t="str">
            <v>FUEL - SO3</v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/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</row>
        <row r="1381">
          <cell r="B1381">
            <v>550520</v>
          </cell>
          <cell r="C1381" t="str">
            <v>NOT USED</v>
          </cell>
          <cell r="D1381" t="str">
            <v>FUEL - GASOLINE FOR VEHICLES</v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/>
          </cell>
          <cell r="L1381">
            <v>1143.66788</v>
          </cell>
          <cell r="M1381">
            <v>103.42908</v>
          </cell>
          <cell r="N1381">
            <v>213.93439000000001</v>
          </cell>
          <cell r="O1381">
            <v>320.09204</v>
          </cell>
          <cell r="P1381">
            <v>443.57094999999998</v>
          </cell>
          <cell r="Q1381">
            <v>555.51406999999995</v>
          </cell>
          <cell r="R1381">
            <v>679.79727000000003</v>
          </cell>
          <cell r="S1381">
            <v>796.65072999999995</v>
          </cell>
          <cell r="T1381">
            <v>894.84664999999995</v>
          </cell>
          <cell r="U1381">
            <v>1022.5877</v>
          </cell>
          <cell r="V1381">
            <v>1155.64002</v>
          </cell>
          <cell r="W1381">
            <v>1272.2536</v>
          </cell>
          <cell r="X1381">
            <v>1378.4738</v>
          </cell>
          <cell r="Y1381">
            <v>726.61561200000006</v>
          </cell>
        </row>
        <row r="1382">
          <cell r="B1382">
            <v>550521</v>
          </cell>
          <cell r="C1382" t="str">
            <v>NOT USED</v>
          </cell>
          <cell r="D1382" t="str">
            <v>FUEL - DIESEL COSTS TO OPERATE VEHICLES</v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/>
          </cell>
          <cell r="L1382">
            <v>624.78868</v>
          </cell>
          <cell r="M1382">
            <v>49.690480000000001</v>
          </cell>
          <cell r="N1382">
            <v>99.599990000000005</v>
          </cell>
          <cell r="O1382">
            <v>151.56461999999999</v>
          </cell>
          <cell r="P1382">
            <v>217.21028999999999</v>
          </cell>
          <cell r="Q1382">
            <v>277.90285999999998</v>
          </cell>
          <cell r="R1382">
            <v>342.33884</v>
          </cell>
          <cell r="S1382">
            <v>409.50321000000002</v>
          </cell>
          <cell r="T1382">
            <v>464.56254999999999</v>
          </cell>
          <cell r="U1382">
            <v>538.82234000000005</v>
          </cell>
          <cell r="V1382">
            <v>609.45890999999995</v>
          </cell>
          <cell r="W1382">
            <v>667.78858000000002</v>
          </cell>
          <cell r="X1382">
            <v>725.95817</v>
          </cell>
          <cell r="Y1382">
            <v>375.31800800000002</v>
          </cell>
        </row>
        <row r="1383">
          <cell r="B1383">
            <v>550540</v>
          </cell>
          <cell r="C1383" t="str">
            <v>NOT USED</v>
          </cell>
          <cell r="D1383" t="str">
            <v>FUEL - OTHER</v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/>
          </cell>
          <cell r="L1383">
            <v>0.25013999999999997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0.83835000000000004</v>
          </cell>
          <cell r="S1383">
            <v>0.83835000000000004</v>
          </cell>
          <cell r="T1383">
            <v>0.83835000000000004</v>
          </cell>
          <cell r="U1383">
            <v>0.83835000000000004</v>
          </cell>
          <cell r="V1383">
            <v>0.83835000000000004</v>
          </cell>
          <cell r="W1383">
            <v>0.91335</v>
          </cell>
          <cell r="X1383">
            <v>1.1085499999999999</v>
          </cell>
          <cell r="Y1383">
            <v>0.48203699999999999</v>
          </cell>
        </row>
        <row r="1384">
          <cell r="B1384">
            <v>550541</v>
          </cell>
          <cell r="C1384" t="str">
            <v>NOT USED</v>
          </cell>
          <cell r="D1384" t="str">
            <v>GENERAL - FUEL OIL FOR HEATING</v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>
            <v>1.5312699999999999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6.3802999999999999E-2</v>
          </cell>
        </row>
        <row r="1385">
          <cell r="B1385">
            <v>550543</v>
          </cell>
          <cell r="C1385" t="str">
            <v>NOT USED</v>
          </cell>
          <cell r="D1385" t="str">
            <v>GENERAL - PROPANE FOR HEATING</v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/>
          </cell>
          <cell r="L1385">
            <v>0.41517999999999999</v>
          </cell>
          <cell r="M1385">
            <v>4.5339999999999998E-2</v>
          </cell>
          <cell r="N1385">
            <v>4.5339999999999998E-2</v>
          </cell>
          <cell r="O1385">
            <v>0.33428999999999998</v>
          </cell>
          <cell r="P1385">
            <v>0.33428999999999998</v>
          </cell>
          <cell r="Q1385">
            <v>0.27133000000000002</v>
          </cell>
          <cell r="R1385">
            <v>0.27133000000000002</v>
          </cell>
          <cell r="S1385">
            <v>0.27133000000000002</v>
          </cell>
          <cell r="T1385">
            <v>0.27133000000000002</v>
          </cell>
          <cell r="U1385">
            <v>0.27133000000000002</v>
          </cell>
          <cell r="V1385">
            <v>0.27133000000000002</v>
          </cell>
          <cell r="W1385">
            <v>0.27133000000000002</v>
          </cell>
          <cell r="X1385">
            <v>0.27133000000000002</v>
          </cell>
          <cell r="Y1385">
            <v>0.25015199999999999</v>
          </cell>
        </row>
        <row r="1386">
          <cell r="B1386">
            <v>550557</v>
          </cell>
          <cell r="C1386" t="str">
            <v>NOT USED</v>
          </cell>
          <cell r="D1386" t="str">
            <v>OTHER POWER SUPPLY EXPENSES - OTHER</v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>
            <v>3.5609000000000002</v>
          </cell>
          <cell r="M1386">
            <v>0.71855000000000002</v>
          </cell>
          <cell r="N1386">
            <v>1.6372599999999999</v>
          </cell>
          <cell r="O1386">
            <v>3.2542200000000001</v>
          </cell>
          <cell r="P1386">
            <v>16.59347</v>
          </cell>
          <cell r="Q1386">
            <v>18.012180000000001</v>
          </cell>
          <cell r="R1386">
            <v>18.930890000000002</v>
          </cell>
          <cell r="S1386">
            <v>20.099599999999999</v>
          </cell>
          <cell r="T1386">
            <v>21.01831</v>
          </cell>
          <cell r="U1386">
            <v>21.93702</v>
          </cell>
          <cell r="V1386">
            <v>22.855730000000001</v>
          </cell>
          <cell r="W1386">
            <v>23.630590000000002</v>
          </cell>
          <cell r="X1386">
            <v>24.693149999999999</v>
          </cell>
          <cell r="Y1386">
            <v>15.23457</v>
          </cell>
        </row>
        <row r="1387">
          <cell r="B1387">
            <v>550600</v>
          </cell>
          <cell r="C1387" t="str">
            <v>NOT USED</v>
          </cell>
          <cell r="D1387" t="str">
            <v>PURCHASED POWER - ENERGY</v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/>
          </cell>
          <cell r="L1387">
            <v>250852.94321999999</v>
          </cell>
          <cell r="M1387">
            <v>21998.692569999999</v>
          </cell>
          <cell r="N1387">
            <v>42632.374839999997</v>
          </cell>
          <cell r="O1387">
            <v>62899.751850000001</v>
          </cell>
          <cell r="P1387">
            <v>78922.805179999996</v>
          </cell>
          <cell r="Q1387">
            <v>86754.415380000006</v>
          </cell>
          <cell r="R1387">
            <v>103125.83515</v>
          </cell>
          <cell r="S1387">
            <v>128370.68442999999</v>
          </cell>
          <cell r="T1387">
            <v>152195.03023999999</v>
          </cell>
          <cell r="U1387">
            <v>176163.78234000001</v>
          </cell>
          <cell r="V1387">
            <v>192417.75628999999</v>
          </cell>
          <cell r="W1387">
            <v>207591.99846999999</v>
          </cell>
          <cell r="X1387">
            <v>221296.62421000001</v>
          </cell>
          <cell r="Y1387">
            <v>124095.659205</v>
          </cell>
        </row>
        <row r="1388">
          <cell r="B1388">
            <v>550605</v>
          </cell>
          <cell r="C1388" t="str">
            <v>NOT USED</v>
          </cell>
          <cell r="D1388" t="str">
            <v>PURCHASED POWER - CAPACITY/DEMAND</v>
          </cell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/>
          </cell>
          <cell r="L1388">
            <v>18756.054189999999</v>
          </cell>
          <cell r="M1388">
            <v>1344.9833100000001</v>
          </cell>
          <cell r="N1388">
            <v>2692.4613199999999</v>
          </cell>
          <cell r="O1388">
            <v>4013.48081</v>
          </cell>
          <cell r="P1388">
            <v>5319.4411700000001</v>
          </cell>
          <cell r="Q1388">
            <v>7037.1027199999999</v>
          </cell>
          <cell r="R1388">
            <v>8740.0943299999999</v>
          </cell>
          <cell r="S1388">
            <v>10415.63761</v>
          </cell>
          <cell r="T1388">
            <v>11815.041429999999</v>
          </cell>
          <cell r="U1388">
            <v>13217.088030000001</v>
          </cell>
          <cell r="V1388">
            <v>14627.68187</v>
          </cell>
          <cell r="W1388">
            <v>15676.33064</v>
          </cell>
          <cell r="X1388">
            <v>16748.067019999999</v>
          </cell>
          <cell r="Y1388">
            <v>9387.6169869999994</v>
          </cell>
        </row>
        <row r="1389">
          <cell r="B1389">
            <v>550620</v>
          </cell>
          <cell r="C1389" t="str">
            <v>NOT USED</v>
          </cell>
          <cell r="D1389" t="str">
            <v>TRANSMISSION CONTRACTS</v>
          </cell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/>
          </cell>
          <cell r="L1389">
            <v>319.89600000000002</v>
          </cell>
          <cell r="M1389">
            <v>26.658000000000001</v>
          </cell>
          <cell r="N1389">
            <v>53.316000000000003</v>
          </cell>
          <cell r="O1389">
            <v>79.974000000000004</v>
          </cell>
          <cell r="P1389">
            <v>106.63200000000001</v>
          </cell>
          <cell r="Q1389">
            <v>133.29</v>
          </cell>
          <cell r="R1389">
            <v>159.94800000000001</v>
          </cell>
          <cell r="S1389">
            <v>186.60599999999999</v>
          </cell>
          <cell r="T1389">
            <v>213.26400000000001</v>
          </cell>
          <cell r="U1389">
            <v>239.922</v>
          </cell>
          <cell r="V1389">
            <v>266.58</v>
          </cell>
          <cell r="W1389">
            <v>293.238</v>
          </cell>
          <cell r="X1389">
            <v>319.89600000000002</v>
          </cell>
          <cell r="Y1389">
            <v>173.27699999999999</v>
          </cell>
        </row>
        <row r="1390">
          <cell r="B1390">
            <v>550621</v>
          </cell>
          <cell r="C1390" t="str">
            <v>NOT USED</v>
          </cell>
          <cell r="D1390" t="str">
            <v>TRANSMISSION CONTRACTS-NYPA (NBC)</v>
          </cell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>
            <v>104.65046</v>
          </cell>
          <cell r="M1390">
            <v>9.9171700000000005</v>
          </cell>
          <cell r="N1390">
            <v>14.39565</v>
          </cell>
          <cell r="O1390">
            <v>29.97015</v>
          </cell>
          <cell r="P1390">
            <v>40.042169999999999</v>
          </cell>
          <cell r="Q1390">
            <v>46.952309999999997</v>
          </cell>
          <cell r="R1390">
            <v>60.054639999999999</v>
          </cell>
          <cell r="S1390">
            <v>66.714449999999999</v>
          </cell>
          <cell r="T1390">
            <v>69.170749999999998</v>
          </cell>
          <cell r="U1390">
            <v>69.820030000000003</v>
          </cell>
          <cell r="V1390">
            <v>69.820030000000003</v>
          </cell>
          <cell r="W1390">
            <v>69.820030000000003</v>
          </cell>
          <cell r="X1390">
            <v>73.227220000000003</v>
          </cell>
          <cell r="Y1390">
            <v>52.968018000000001</v>
          </cell>
        </row>
        <row r="1391">
          <cell r="B1391">
            <v>550625</v>
          </cell>
          <cell r="C1391" t="str">
            <v>NOT USED</v>
          </cell>
          <cell r="D1391" t="str">
            <v>ISO TRANSMISSION EXPENSES</v>
          </cell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/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B1392">
            <v>550699</v>
          </cell>
          <cell r="C1392" t="str">
            <v>NOT USED</v>
          </cell>
          <cell r="D1392" t="str">
            <v>TRANSMISSION WHEELING-INTERCOMPANY</v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/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B1393">
            <v>550700</v>
          </cell>
          <cell r="C1393" t="str">
            <v>NOT USED</v>
          </cell>
          <cell r="D1393" t="str">
            <v>ISO PURCHASES - NM2</v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/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B1394">
            <v>550710</v>
          </cell>
          <cell r="C1394" t="str">
            <v>NOT USED</v>
          </cell>
          <cell r="D1394" t="str">
            <v>ISO PURCHASES - RUSSELL STATION</v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/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B1395">
            <v>550720</v>
          </cell>
          <cell r="C1395" t="str">
            <v>NOT USED</v>
          </cell>
          <cell r="D1395" t="str">
            <v>ISO PURCHASES - ALLEGANY</v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/>
          </cell>
          <cell r="L1395">
            <v>383.56698999999998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0.72275</v>
          </cell>
          <cell r="S1395">
            <v>113.1437</v>
          </cell>
          <cell r="T1395">
            <v>202.20371</v>
          </cell>
          <cell r="U1395">
            <v>243.62711999999999</v>
          </cell>
          <cell r="V1395">
            <v>318.66367000000002</v>
          </cell>
          <cell r="W1395">
            <v>344.37434000000002</v>
          </cell>
          <cell r="X1395">
            <v>457.18711000000002</v>
          </cell>
          <cell r="Y1395">
            <v>136.926028</v>
          </cell>
        </row>
        <row r="1396">
          <cell r="B1396">
            <v>550730</v>
          </cell>
          <cell r="C1396" t="str">
            <v>NOT USED</v>
          </cell>
          <cell r="D1396" t="str">
            <v>ISO PURCHASES - BEEBEE T13</v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/>
          </cell>
          <cell r="L1396">
            <v>1.0031399999999999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4.1798000000000002E-2</v>
          </cell>
        </row>
        <row r="1397">
          <cell r="B1397">
            <v>550740</v>
          </cell>
          <cell r="C1397" t="str">
            <v>NOT USED</v>
          </cell>
          <cell r="D1397" t="str">
            <v>ISO PURCHASES - STATION 9</v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/>
          </cell>
          <cell r="L1397">
            <v>19.71041</v>
          </cell>
          <cell r="M1397">
            <v>33.382150000000003</v>
          </cell>
          <cell r="N1397">
            <v>33.382150000000003</v>
          </cell>
          <cell r="O1397">
            <v>33.382150000000003</v>
          </cell>
          <cell r="P1397">
            <v>33.382150000000003</v>
          </cell>
          <cell r="Q1397">
            <v>33.382150000000003</v>
          </cell>
          <cell r="R1397">
            <v>33.382150000000003</v>
          </cell>
          <cell r="S1397">
            <v>42.814680000000003</v>
          </cell>
          <cell r="T1397">
            <v>42.874589999999998</v>
          </cell>
          <cell r="U1397">
            <v>57.561419999999998</v>
          </cell>
          <cell r="V1397">
            <v>57.561419999999998</v>
          </cell>
          <cell r="W1397">
            <v>57.561419999999998</v>
          </cell>
          <cell r="X1397">
            <v>57.561419999999998</v>
          </cell>
          <cell r="Y1397">
            <v>41.441862</v>
          </cell>
        </row>
        <row r="1398">
          <cell r="B1398">
            <v>550750</v>
          </cell>
          <cell r="C1398" t="str">
            <v>NOT USED</v>
          </cell>
          <cell r="D1398" t="str">
            <v>ISO PURCHASES - HYDRO</v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/>
          </cell>
          <cell r="L1398">
            <v>356.93597999999997</v>
          </cell>
          <cell r="M1398">
            <v>7.5722100000000001</v>
          </cell>
          <cell r="N1398">
            <v>22.392849999999999</v>
          </cell>
          <cell r="O1398">
            <v>35.509390000000003</v>
          </cell>
          <cell r="P1398">
            <v>71.686319999999995</v>
          </cell>
          <cell r="Q1398">
            <v>107.20244</v>
          </cell>
          <cell r="R1398">
            <v>118.38928</v>
          </cell>
          <cell r="S1398">
            <v>165.82391000000001</v>
          </cell>
          <cell r="T1398">
            <v>177.67581000000001</v>
          </cell>
          <cell r="U1398">
            <v>204.4128</v>
          </cell>
          <cell r="V1398">
            <v>217.43206000000001</v>
          </cell>
          <cell r="W1398">
            <v>235.41719000000001</v>
          </cell>
          <cell r="X1398">
            <v>235.82687999999999</v>
          </cell>
          <cell r="Y1398">
            <v>138.32464100000001</v>
          </cell>
        </row>
        <row r="1399">
          <cell r="B1399">
            <v>550760</v>
          </cell>
          <cell r="C1399" t="str">
            <v>NOT USED</v>
          </cell>
          <cell r="D1399" t="str">
            <v>ISO PURCHASES - GINNA</v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/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</row>
        <row r="1400">
          <cell r="B1400">
            <v>555099</v>
          </cell>
          <cell r="C1400" t="str">
            <v>NOT USED</v>
          </cell>
          <cell r="D1400" t="str">
            <v>PURCHASED POWER - INTERCOMPANY</v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/>
          </cell>
          <cell r="L1400">
            <v>21.468050000000002</v>
          </cell>
          <cell r="M1400">
            <v>2.5360200000000002</v>
          </cell>
          <cell r="N1400">
            <v>2.8489900000000001</v>
          </cell>
          <cell r="O1400">
            <v>3.00135</v>
          </cell>
          <cell r="P1400">
            <v>4.4626599999999996</v>
          </cell>
          <cell r="Q1400">
            <v>6.1969700000000003</v>
          </cell>
          <cell r="R1400">
            <v>9.9974500000000006</v>
          </cell>
          <cell r="S1400">
            <v>12.080299999999999</v>
          </cell>
          <cell r="T1400">
            <v>12.608650000000001</v>
          </cell>
          <cell r="U1400">
            <v>12.75168</v>
          </cell>
          <cell r="V1400">
            <v>12.75168</v>
          </cell>
          <cell r="W1400">
            <v>12.75168</v>
          </cell>
          <cell r="X1400">
            <v>13.970700000000001</v>
          </cell>
          <cell r="Y1400">
            <v>9.1422340000000002</v>
          </cell>
        </row>
        <row r="1401">
          <cell r="B1401">
            <v>560100</v>
          </cell>
          <cell r="C1401" t="str">
            <v>NOT USED</v>
          </cell>
          <cell r="D1401" t="str">
            <v>CONTRACTORS - CONSULTANTS</v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/>
          </cell>
          <cell r="L1401">
            <v>2040.9677899999999</v>
          </cell>
          <cell r="M1401">
            <v>8.8456799999999998</v>
          </cell>
          <cell r="N1401">
            <v>82.814899999999994</v>
          </cell>
          <cell r="O1401">
            <v>28.96857</v>
          </cell>
          <cell r="P1401">
            <v>45.991370000000003</v>
          </cell>
          <cell r="Q1401">
            <v>109.18424</v>
          </cell>
          <cell r="R1401">
            <v>134.66772</v>
          </cell>
          <cell r="S1401">
            <v>25.021529999999998</v>
          </cell>
          <cell r="T1401">
            <v>125.51051</v>
          </cell>
          <cell r="U1401">
            <v>22.44003</v>
          </cell>
          <cell r="V1401">
            <v>30.65925</v>
          </cell>
          <cell r="W1401">
            <v>50.051839999999999</v>
          </cell>
          <cell r="X1401">
            <v>123.65186</v>
          </cell>
          <cell r="Y1401">
            <v>145.53878900000001</v>
          </cell>
        </row>
        <row r="1402">
          <cell r="B1402">
            <v>560101</v>
          </cell>
          <cell r="C1402" t="str">
            <v>NOT USED</v>
          </cell>
          <cell r="D1402" t="str">
            <v>CONTRACTORS - CONSULTANTS-EEMC HC ALLOCATION-RGE</v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560105</v>
          </cell>
          <cell r="C1403" t="str">
            <v>NOT USED</v>
          </cell>
          <cell r="D1403" t="str">
            <v>CONTRACTORS - NORTHBRIDGE COMMODITY FEES</v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/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560106</v>
          </cell>
          <cell r="C1404" t="str">
            <v>NOT USED</v>
          </cell>
          <cell r="D1404" t="str">
            <v>CONTRACTORS - COAL LABS / ASH DISPOSAL</v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560110</v>
          </cell>
          <cell r="C1405" t="str">
            <v>NOT USED</v>
          </cell>
          <cell r="D1405" t="str">
            <v>CONTRACTORS - CONSULTANTS-LEGAL</v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/>
          </cell>
          <cell r="L1405">
            <v>2778.74487</v>
          </cell>
          <cell r="M1405">
            <v>40.164949999999997</v>
          </cell>
          <cell r="N1405">
            <v>164.81998999999999</v>
          </cell>
          <cell r="O1405">
            <v>333.28852999999998</v>
          </cell>
          <cell r="P1405">
            <v>474.98433999999997</v>
          </cell>
          <cell r="Q1405">
            <v>588.31835999999998</v>
          </cell>
          <cell r="R1405">
            <v>700.04553999999996</v>
          </cell>
          <cell r="S1405">
            <v>788.29123000000004</v>
          </cell>
          <cell r="T1405">
            <v>1047.7872299999999</v>
          </cell>
          <cell r="U1405">
            <v>1087.2720400000001</v>
          </cell>
          <cell r="V1405">
            <v>1180.9542799999999</v>
          </cell>
          <cell r="W1405">
            <v>1269.2799399999999</v>
          </cell>
          <cell r="X1405">
            <v>1659.7229</v>
          </cell>
          <cell r="Y1405">
            <v>824.53669300000001</v>
          </cell>
        </row>
        <row r="1406">
          <cell r="B1406">
            <v>560111</v>
          </cell>
          <cell r="C1406" t="str">
            <v>NOT USED</v>
          </cell>
          <cell r="D1406" t="str">
            <v>EEPS-CONTRACTORS - CONSULTANTS-LEGAL</v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>
            <v>0</v>
          </cell>
          <cell r="M1406">
            <v>1.2</v>
          </cell>
          <cell r="N1406">
            <v>10.199999999999999</v>
          </cell>
          <cell r="O1406">
            <v>10.20318</v>
          </cell>
          <cell r="P1406">
            <v>12.803179999999999</v>
          </cell>
          <cell r="Q1406">
            <v>7.2031799999999997</v>
          </cell>
          <cell r="R1406">
            <v>11.023680000000001</v>
          </cell>
          <cell r="S1406">
            <v>13.279159999999999</v>
          </cell>
          <cell r="T1406">
            <v>14.72118</v>
          </cell>
          <cell r="U1406">
            <v>14.72118</v>
          </cell>
          <cell r="V1406">
            <v>1.0800700000000001</v>
          </cell>
          <cell r="W1406">
            <v>1.8935200000000001</v>
          </cell>
          <cell r="X1406">
            <v>3.07056</v>
          </cell>
          <cell r="Y1406">
            <v>8.321968</v>
          </cell>
        </row>
        <row r="1407">
          <cell r="B1407">
            <v>560115</v>
          </cell>
          <cell r="C1407" t="str">
            <v>NOT USED</v>
          </cell>
          <cell r="D1407" t="str">
            <v>CONTRACTORS-ACCOUNTING/FINANCIAL SERVICES</v>
          </cell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/>
          </cell>
          <cell r="L1407">
            <v>31.150749999999999</v>
          </cell>
          <cell r="M1407">
            <v>-5</v>
          </cell>
          <cell r="N1407">
            <v>-5</v>
          </cell>
          <cell r="O1407">
            <v>-5</v>
          </cell>
          <cell r="P1407">
            <v>-5</v>
          </cell>
          <cell r="Q1407">
            <v>-5</v>
          </cell>
          <cell r="R1407">
            <v>-4.2437500000000004</v>
          </cell>
          <cell r="S1407">
            <v>-2.4562499999999998</v>
          </cell>
          <cell r="T1407">
            <v>-2.4562499999999998</v>
          </cell>
          <cell r="U1407">
            <v>-1.35625</v>
          </cell>
          <cell r="V1407">
            <v>-1.35625</v>
          </cell>
          <cell r="W1407">
            <v>-1.35625</v>
          </cell>
          <cell r="X1407">
            <v>-1.35625</v>
          </cell>
          <cell r="Y1407">
            <v>-1.9439789999999999</v>
          </cell>
        </row>
        <row r="1408">
          <cell r="B1408">
            <v>560120</v>
          </cell>
          <cell r="C1408" t="str">
            <v>NOT USED</v>
          </cell>
          <cell r="D1408" t="str">
            <v>CONTRACTORS-AFFILIATED LABOR</v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560121</v>
          </cell>
          <cell r="C1409" t="str">
            <v>NOT USED</v>
          </cell>
          <cell r="D1409" t="str">
            <v>CONTRACTORS - ENERGY EFFICIENCY PROGRAMS</v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/>
          </cell>
          <cell r="L1409">
            <v>1153.30332</v>
          </cell>
          <cell r="M1409">
            <v>61.131540000000001</v>
          </cell>
          <cell r="N1409">
            <v>217.73025999999999</v>
          </cell>
          <cell r="O1409">
            <v>371.49015000000003</v>
          </cell>
          <cell r="P1409">
            <v>495.23500000000001</v>
          </cell>
          <cell r="Q1409">
            <v>639.80868999999996</v>
          </cell>
          <cell r="R1409">
            <v>716.20853</v>
          </cell>
          <cell r="S1409">
            <v>849.18841999999995</v>
          </cell>
          <cell r="T1409">
            <v>957.37103999999999</v>
          </cell>
          <cell r="U1409">
            <v>1122.0281</v>
          </cell>
          <cell r="V1409">
            <v>1297.48064</v>
          </cell>
          <cell r="W1409">
            <v>1502.78973</v>
          </cell>
          <cell r="X1409">
            <v>1641.22101</v>
          </cell>
          <cell r="Y1409">
            <v>802.31035499999996</v>
          </cell>
        </row>
        <row r="1410">
          <cell r="B1410">
            <v>560125</v>
          </cell>
          <cell r="C1410" t="str">
            <v>NOT USED</v>
          </cell>
          <cell r="D1410" t="str">
            <v>CONTRACTORS-AUDIT SERVICES</v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/>
          </cell>
          <cell r="L1410">
            <v>251.50415000000001</v>
          </cell>
          <cell r="M1410">
            <v>57.012999999999998</v>
          </cell>
          <cell r="N1410">
            <v>96.845200000000006</v>
          </cell>
          <cell r="O1410">
            <v>100.32933</v>
          </cell>
          <cell r="P1410">
            <v>101.07812</v>
          </cell>
          <cell r="Q1410">
            <v>101.07812</v>
          </cell>
          <cell r="R1410">
            <v>101.07812</v>
          </cell>
          <cell r="S1410">
            <v>126.96093999999999</v>
          </cell>
          <cell r="T1410">
            <v>126.96093999999999</v>
          </cell>
          <cell r="U1410">
            <v>126.96093999999999</v>
          </cell>
          <cell r="V1410">
            <v>145.34036</v>
          </cell>
          <cell r="W1410">
            <v>150.27511000000001</v>
          </cell>
          <cell r="X1410">
            <v>219.84036</v>
          </cell>
          <cell r="Y1410">
            <v>122.466036</v>
          </cell>
        </row>
        <row r="1411">
          <cell r="B1411">
            <v>560130</v>
          </cell>
          <cell r="C1411" t="str">
            <v>NOT USED</v>
          </cell>
          <cell r="D1411" t="str">
            <v>CONTRACTORS-LINE CLEARANCE SERVICES</v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>
            <v>6310.1023699999996</v>
          </cell>
          <cell r="M1411">
            <v>128.37819999999999</v>
          </cell>
          <cell r="N1411">
            <v>664.98455000000001</v>
          </cell>
          <cell r="O1411">
            <v>640.13575000000003</v>
          </cell>
          <cell r="P1411">
            <v>451.47638999999998</v>
          </cell>
          <cell r="Q1411">
            <v>1357.97703</v>
          </cell>
          <cell r="R1411">
            <v>1860.75927</v>
          </cell>
          <cell r="S1411">
            <v>2854.1889299999998</v>
          </cell>
          <cell r="T1411">
            <v>4172.5291999999999</v>
          </cell>
          <cell r="U1411">
            <v>5599.6956700000001</v>
          </cell>
          <cell r="V1411">
            <v>7575.4876400000003</v>
          </cell>
          <cell r="W1411">
            <v>9381.1390200000005</v>
          </cell>
          <cell r="X1411">
            <v>12552.43866</v>
          </cell>
          <cell r="Y1411">
            <v>3676.501847</v>
          </cell>
        </row>
        <row r="1412">
          <cell r="B1412">
            <v>560132</v>
          </cell>
          <cell r="C1412" t="str">
            <v>NOT USED</v>
          </cell>
          <cell r="D1412" t="str">
            <v>CONTRACTORS-LOCATING SERVICES</v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/>
          </cell>
          <cell r="L1412">
            <v>3231.7655</v>
          </cell>
          <cell r="M1412">
            <v>-95.870729999999995</v>
          </cell>
          <cell r="N1412">
            <v>-28.276710000000001</v>
          </cell>
          <cell r="O1412">
            <v>46.480789999999999</v>
          </cell>
          <cell r="P1412">
            <v>64.383210000000005</v>
          </cell>
          <cell r="Q1412">
            <v>116.77734</v>
          </cell>
          <cell r="R1412">
            <v>208.40404000000001</v>
          </cell>
          <cell r="S1412">
            <v>303.71548999999999</v>
          </cell>
          <cell r="T1412">
            <v>445.44689</v>
          </cell>
          <cell r="U1412">
            <v>596.21987999999999</v>
          </cell>
          <cell r="V1412">
            <v>766.70363999999995</v>
          </cell>
          <cell r="W1412">
            <v>827.76517999999999</v>
          </cell>
          <cell r="X1412">
            <v>866.54877999999997</v>
          </cell>
          <cell r="Y1412">
            <v>441.74218000000002</v>
          </cell>
        </row>
        <row r="1413">
          <cell r="B1413">
            <v>560135</v>
          </cell>
          <cell r="C1413" t="str">
            <v>NOT USED</v>
          </cell>
          <cell r="D1413" t="str">
            <v>CONTRACTORS-ENGINEERING</v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>
            <v>6296.1837699999996</v>
          </cell>
          <cell r="M1413">
            <v>-468.36860999999999</v>
          </cell>
          <cell r="N1413">
            <v>1251.02127</v>
          </cell>
          <cell r="O1413">
            <v>2297.63825</v>
          </cell>
          <cell r="P1413">
            <v>2908.9863599999999</v>
          </cell>
          <cell r="Q1413">
            <v>4610.6930400000001</v>
          </cell>
          <cell r="R1413">
            <v>5696.4846200000002</v>
          </cell>
          <cell r="S1413">
            <v>7976.7610000000004</v>
          </cell>
          <cell r="T1413">
            <v>9678.3413999999993</v>
          </cell>
          <cell r="U1413">
            <v>11431.229359999999</v>
          </cell>
          <cell r="V1413">
            <v>14068.55179</v>
          </cell>
          <cell r="W1413">
            <v>16374.584559999999</v>
          </cell>
          <cell r="X1413">
            <v>19950.79146</v>
          </cell>
          <cell r="Y1413">
            <v>7412.4508880000003</v>
          </cell>
        </row>
        <row r="1414">
          <cell r="B1414">
            <v>560140</v>
          </cell>
          <cell r="C1414" t="str">
            <v>NOT USED</v>
          </cell>
          <cell r="D1414" t="str">
            <v>CONTRACTORS-ENVIRONMENTAL SERVICES</v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>
            <v>4541.2473399999999</v>
          </cell>
          <cell r="M1414">
            <v>589.68284000000006</v>
          </cell>
          <cell r="N1414">
            <v>1378.51893</v>
          </cell>
          <cell r="O1414">
            <v>2450.6949199999999</v>
          </cell>
          <cell r="P1414">
            <v>3950.99008</v>
          </cell>
          <cell r="Q1414">
            <v>4659.0661899999996</v>
          </cell>
          <cell r="R1414">
            <v>5113.01494</v>
          </cell>
          <cell r="S1414">
            <v>5585.1502300000002</v>
          </cell>
          <cell r="T1414">
            <v>6349.1832199999999</v>
          </cell>
          <cell r="U1414">
            <v>6793.5716000000002</v>
          </cell>
          <cell r="V1414">
            <v>7534.1867199999997</v>
          </cell>
          <cell r="W1414">
            <v>7978.1534000000001</v>
          </cell>
          <cell r="X1414">
            <v>8584.0522500000006</v>
          </cell>
          <cell r="Y1414">
            <v>4912.0719049999998</v>
          </cell>
        </row>
        <row r="1415">
          <cell r="B1415">
            <v>560145</v>
          </cell>
          <cell r="C1415" t="str">
            <v>NOT USED</v>
          </cell>
          <cell r="D1415" t="str">
            <v>CONTRACTORS-ELECTRIC CONSTRUCTION SERVICES</v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/>
          </cell>
          <cell r="L1415">
            <v>12454.282149999999</v>
          </cell>
          <cell r="M1415">
            <v>1178.15148</v>
          </cell>
          <cell r="N1415">
            <v>1466.3610900000001</v>
          </cell>
          <cell r="O1415">
            <v>4796.7988999999998</v>
          </cell>
          <cell r="P1415">
            <v>8134.6898099999999</v>
          </cell>
          <cell r="Q1415">
            <v>10228.17535</v>
          </cell>
          <cell r="R1415">
            <v>13623.86139</v>
          </cell>
          <cell r="S1415">
            <v>15421.800450000001</v>
          </cell>
          <cell r="T1415">
            <v>20274.386310000002</v>
          </cell>
          <cell r="U1415">
            <v>22274.997100000001</v>
          </cell>
          <cell r="V1415">
            <v>25567.38594</v>
          </cell>
          <cell r="W1415">
            <v>28324.659370000001</v>
          </cell>
          <cell r="X1415">
            <v>39601.460500000001</v>
          </cell>
          <cell r="Y1415">
            <v>14776.594875999999</v>
          </cell>
        </row>
        <row r="1416">
          <cell r="B1416">
            <v>560146</v>
          </cell>
          <cell r="C1416" t="str">
            <v>NOT USED</v>
          </cell>
          <cell r="D1416" t="str">
            <v>CONTRACTORS-FLAGGING</v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>
            <v>170.27135999999999</v>
          </cell>
          <cell r="M1416">
            <v>-1.9962</v>
          </cell>
          <cell r="N1416">
            <v>26.39949</v>
          </cell>
          <cell r="O1416">
            <v>38.906849999999999</v>
          </cell>
          <cell r="P1416">
            <v>66.615030000000004</v>
          </cell>
          <cell r="Q1416">
            <v>97.310940000000002</v>
          </cell>
          <cell r="R1416">
            <v>112.11060999999999</v>
          </cell>
          <cell r="S1416">
            <v>125.63697999999999</v>
          </cell>
          <cell r="T1416">
            <v>131.49732</v>
          </cell>
          <cell r="U1416">
            <v>147.59249</v>
          </cell>
          <cell r="V1416">
            <v>175.6198</v>
          </cell>
          <cell r="W1416">
            <v>197.36369999999999</v>
          </cell>
          <cell r="X1416">
            <v>224.80957000000001</v>
          </cell>
          <cell r="Y1416">
            <v>109.54979</v>
          </cell>
        </row>
        <row r="1417">
          <cell r="B1417">
            <v>560147</v>
          </cell>
          <cell r="C1417" t="str">
            <v>NOT USED</v>
          </cell>
          <cell r="D1417" t="str">
            <v>CONTRACTORS-OTHER</v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/>
          </cell>
          <cell r="L1417">
            <v>26644.72508</v>
          </cell>
          <cell r="M1417">
            <v>-3484.4608699999999</v>
          </cell>
          <cell r="N1417">
            <v>2441.7659800000001</v>
          </cell>
          <cell r="O1417">
            <v>4598.8821099999996</v>
          </cell>
          <cell r="P1417">
            <v>4021.0559199999998</v>
          </cell>
          <cell r="Q1417">
            <v>6954.27394</v>
          </cell>
          <cell r="R1417">
            <v>9588.4785200000006</v>
          </cell>
          <cell r="S1417">
            <v>12135.79696</v>
          </cell>
          <cell r="T1417">
            <v>14990.29638</v>
          </cell>
          <cell r="U1417">
            <v>17864.469590000001</v>
          </cell>
          <cell r="V1417">
            <v>25200.359680000001</v>
          </cell>
          <cell r="W1417">
            <v>30555.462060000002</v>
          </cell>
          <cell r="X1417">
            <v>37272.522570000001</v>
          </cell>
          <cell r="Y1417">
            <v>13068.750341000001</v>
          </cell>
        </row>
        <row r="1418">
          <cell r="B1418">
            <v>560150</v>
          </cell>
          <cell r="C1418" t="str">
            <v>NOT USED</v>
          </cell>
          <cell r="D1418" t="str">
            <v>CONTRACTORS-FACILITY SERVICES</v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/>
          </cell>
          <cell r="L1418">
            <v>3666.0423700000001</v>
          </cell>
          <cell r="M1418">
            <v>581.02354000000003</v>
          </cell>
          <cell r="N1418">
            <v>830.88888999999995</v>
          </cell>
          <cell r="O1418">
            <v>1173.72793</v>
          </cell>
          <cell r="P1418">
            <v>1312.05663</v>
          </cell>
          <cell r="Q1418">
            <v>1473.35617</v>
          </cell>
          <cell r="R1418">
            <v>1607.8487700000001</v>
          </cell>
          <cell r="S1418">
            <v>1822.16821</v>
          </cell>
          <cell r="T1418">
            <v>1981.7609299999999</v>
          </cell>
          <cell r="U1418">
            <v>2424.2302599999998</v>
          </cell>
          <cell r="V1418">
            <v>2666.0705499999999</v>
          </cell>
          <cell r="W1418">
            <v>3557.6666100000002</v>
          </cell>
          <cell r="X1418">
            <v>6694.4468500000003</v>
          </cell>
          <cell r="Y1418">
            <v>2050.9202580000001</v>
          </cell>
        </row>
        <row r="1419">
          <cell r="B1419">
            <v>560151</v>
          </cell>
          <cell r="C1419" t="str">
            <v>NOT USED</v>
          </cell>
          <cell r="D1419" t="str">
            <v>CONTRACTORS-GAS CONSTRUCTION SERVICES</v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>
            <v>0.38030999999999998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0.40910000000000002</v>
          </cell>
          <cell r="R1419">
            <v>0.48165999999999998</v>
          </cell>
          <cell r="S1419">
            <v>0.45135999999999998</v>
          </cell>
          <cell r="T1419">
            <v>1.2488999999999999</v>
          </cell>
          <cell r="U1419">
            <v>1.89506</v>
          </cell>
          <cell r="V1419">
            <v>2.0884399999999999</v>
          </cell>
          <cell r="W1419">
            <v>3.6120299999999999</v>
          </cell>
          <cell r="X1419">
            <v>9.5869900000000001</v>
          </cell>
          <cell r="Y1419">
            <v>1.2641830000000001</v>
          </cell>
        </row>
        <row r="1420">
          <cell r="B1420">
            <v>560155</v>
          </cell>
          <cell r="C1420" t="str">
            <v>NOT USED</v>
          </cell>
          <cell r="D1420" t="str">
            <v>CONTRACTORS-GAS CONSTRUCTION SERVICES</v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/>
          </cell>
          <cell r="L1420">
            <v>12833.554</v>
          </cell>
          <cell r="M1420">
            <v>299.74335000000002</v>
          </cell>
          <cell r="N1420">
            <v>944.17016999999998</v>
          </cell>
          <cell r="O1420">
            <v>2004.0102899999999</v>
          </cell>
          <cell r="P1420">
            <v>2970.67976</v>
          </cell>
          <cell r="Q1420">
            <v>4326.3621899999998</v>
          </cell>
          <cell r="R1420">
            <v>6261.7935600000001</v>
          </cell>
          <cell r="S1420">
            <v>7683.2587899999999</v>
          </cell>
          <cell r="T1420">
            <v>9903.1838299999999</v>
          </cell>
          <cell r="U1420">
            <v>11753.774020000001</v>
          </cell>
          <cell r="V1420">
            <v>14176.858410000001</v>
          </cell>
          <cell r="W1420">
            <v>15762.92683</v>
          </cell>
          <cell r="X1420">
            <v>19588.221079999999</v>
          </cell>
          <cell r="Y1420">
            <v>7691.4707280000002</v>
          </cell>
        </row>
        <row r="1421">
          <cell r="B1421">
            <v>560160</v>
          </cell>
          <cell r="C1421" t="str">
            <v>NOT USED</v>
          </cell>
          <cell r="D1421" t="str">
            <v>CONTRACTORS-IT CONTRACTORS</v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/>
          </cell>
          <cell r="L1421">
            <v>108.89394</v>
          </cell>
          <cell r="M1421">
            <v>-12.379960000000001</v>
          </cell>
          <cell r="N1421">
            <v>67.244100000000003</v>
          </cell>
          <cell r="O1421">
            <v>84.27946</v>
          </cell>
          <cell r="P1421">
            <v>105.05261</v>
          </cell>
          <cell r="Q1421">
            <v>141.48484999999999</v>
          </cell>
          <cell r="R1421">
            <v>154.53784999999999</v>
          </cell>
          <cell r="S1421">
            <v>165.38865000000001</v>
          </cell>
          <cell r="T1421">
            <v>209.22130000000001</v>
          </cell>
          <cell r="U1421">
            <v>286.98962</v>
          </cell>
          <cell r="V1421">
            <v>322.12761999999998</v>
          </cell>
          <cell r="W1421">
            <v>367.45006999999998</v>
          </cell>
          <cell r="X1421">
            <v>844.30762000000004</v>
          </cell>
          <cell r="Y1421">
            <v>197.333079</v>
          </cell>
        </row>
        <row r="1422">
          <cell r="B1422">
            <v>560165</v>
          </cell>
          <cell r="C1422" t="str">
            <v>NOT USED</v>
          </cell>
          <cell r="D1422" t="str">
            <v>CONTRACTORS-TEMPORARY LABOR SERVICES</v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/>
          </cell>
          <cell r="L1422">
            <v>437.99547000000001</v>
          </cell>
          <cell r="M1422">
            <v>70.508650000000003</v>
          </cell>
          <cell r="N1422">
            <v>179.00854000000001</v>
          </cell>
          <cell r="O1422">
            <v>323.97829000000002</v>
          </cell>
          <cell r="P1422">
            <v>407.37574999999998</v>
          </cell>
          <cell r="Q1422">
            <v>474.59778</v>
          </cell>
          <cell r="R1422">
            <v>668.54423999999995</v>
          </cell>
          <cell r="S1422">
            <v>790.37932000000001</v>
          </cell>
          <cell r="T1422">
            <v>1085.5046199999999</v>
          </cell>
          <cell r="U1422">
            <v>1213.70919</v>
          </cell>
          <cell r="V1422">
            <v>1358.5697</v>
          </cell>
          <cell r="W1422">
            <v>1496.6741999999999</v>
          </cell>
          <cell r="X1422">
            <v>1646.44328</v>
          </cell>
          <cell r="Y1422">
            <v>759.25580500000001</v>
          </cell>
        </row>
        <row r="1423">
          <cell r="B1423">
            <v>560170</v>
          </cell>
          <cell r="C1423" t="str">
            <v>NOT USED</v>
          </cell>
          <cell r="D1423" t="str">
            <v>CONTRACTORS-SECURITY</v>
          </cell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/>
          </cell>
          <cell r="L1423">
            <v>1862.77423</v>
          </cell>
          <cell r="M1423">
            <v>178.70821000000001</v>
          </cell>
          <cell r="N1423">
            <v>335.41485</v>
          </cell>
          <cell r="O1423">
            <v>407.95713000000001</v>
          </cell>
          <cell r="P1423">
            <v>541.61374000000001</v>
          </cell>
          <cell r="Q1423">
            <v>801.43574000000001</v>
          </cell>
          <cell r="R1423">
            <v>1012.8774</v>
          </cell>
          <cell r="S1423">
            <v>1119.5785800000001</v>
          </cell>
          <cell r="T1423">
            <v>1117.3662200000001</v>
          </cell>
          <cell r="U1423">
            <v>1162.85383</v>
          </cell>
          <cell r="V1423">
            <v>1499.3884800000001</v>
          </cell>
          <cell r="W1423">
            <v>1684.60186</v>
          </cell>
          <cell r="X1423">
            <v>1683.95046</v>
          </cell>
          <cell r="Y1423">
            <v>969.59653200000002</v>
          </cell>
        </row>
        <row r="1424">
          <cell r="B1424">
            <v>560175</v>
          </cell>
          <cell r="C1424" t="str">
            <v>NOT USED</v>
          </cell>
          <cell r="D1424" t="str">
            <v>CONTRACTORS-LOBBYIST</v>
          </cell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/>
          </cell>
          <cell r="L1424">
            <v>30</v>
          </cell>
          <cell r="M1424">
            <v>10</v>
          </cell>
          <cell r="N1424">
            <v>10</v>
          </cell>
          <cell r="O1424">
            <v>15</v>
          </cell>
          <cell r="P1424">
            <v>20</v>
          </cell>
          <cell r="Q1424">
            <v>25</v>
          </cell>
          <cell r="R1424">
            <v>30</v>
          </cell>
          <cell r="S1424">
            <v>35</v>
          </cell>
          <cell r="T1424">
            <v>40</v>
          </cell>
          <cell r="U1424">
            <v>45</v>
          </cell>
          <cell r="V1424">
            <v>50</v>
          </cell>
          <cell r="W1424">
            <v>55</v>
          </cell>
          <cell r="X1424">
            <v>60</v>
          </cell>
          <cell r="Y1424">
            <v>31.666667</v>
          </cell>
        </row>
        <row r="1425">
          <cell r="B1425">
            <v>560180</v>
          </cell>
          <cell r="C1425" t="str">
            <v>NOT USED</v>
          </cell>
          <cell r="D1425" t="str">
            <v>CONTRACTORS-DISASTER RECOVERY</v>
          </cell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/>
          </cell>
          <cell r="L1425">
            <v>16.783619999999999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0.699318</v>
          </cell>
        </row>
        <row r="1426">
          <cell r="B1426">
            <v>570100</v>
          </cell>
          <cell r="C1426" t="str">
            <v>NOT USED</v>
          </cell>
          <cell r="D1426" t="str">
            <v>GENERAL RENTS - BUILDINGS</v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570101</v>
          </cell>
          <cell r="C1427" t="str">
            <v>NOT USED</v>
          </cell>
          <cell r="D1427" t="str">
            <v>GENERAL RENTS - EEMC HC ALLOCATION-RGE</v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/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570110</v>
          </cell>
          <cell r="C1428" t="str">
            <v>NOT USED</v>
          </cell>
          <cell r="D1428" t="str">
            <v>GENERAL RENTS - OTHER</v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/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570120</v>
          </cell>
          <cell r="C1429" t="str">
            <v>NOT USED</v>
          </cell>
          <cell r="D1429" t="str">
            <v>POLE ATTACHMENT EXP</v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570199</v>
          </cell>
          <cell r="C1430" t="str">
            <v>NOT USED</v>
          </cell>
          <cell r="D1430" t="str">
            <v>RENT EXPENSE - EQUIPMENT  INTERCOMPANY</v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/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570200</v>
          </cell>
          <cell r="C1431" t="str">
            <v>NOT USED</v>
          </cell>
          <cell r="D1431" t="str">
            <v>LEASES - BUILDINGS</v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/>
          </cell>
          <cell r="L1431">
            <v>3465.1965599999999</v>
          </cell>
          <cell r="M1431">
            <v>289.13207999999997</v>
          </cell>
          <cell r="N1431">
            <v>576.77233999999999</v>
          </cell>
          <cell r="O1431">
            <v>869.04624000000001</v>
          </cell>
          <cell r="P1431">
            <v>1158.4520500000001</v>
          </cell>
          <cell r="Q1431">
            <v>1447.8118899999999</v>
          </cell>
          <cell r="R1431">
            <v>1739.5863099999999</v>
          </cell>
          <cell r="S1431">
            <v>2035.21604</v>
          </cell>
          <cell r="T1431">
            <v>2324.6765999999998</v>
          </cell>
          <cell r="U1431">
            <v>2638.6921600000001</v>
          </cell>
          <cell r="V1431">
            <v>2976.4682699999998</v>
          </cell>
          <cell r="W1431">
            <v>3307.07683</v>
          </cell>
          <cell r="X1431">
            <v>3606.4180500000002</v>
          </cell>
          <cell r="Y1431">
            <v>1908.2281760000001</v>
          </cell>
        </row>
        <row r="1432">
          <cell r="B1432">
            <v>570210</v>
          </cell>
          <cell r="C1432" t="str">
            <v>NOT USED</v>
          </cell>
          <cell r="D1432" t="str">
            <v>LEASES - OTHER</v>
          </cell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/>
          </cell>
          <cell r="L1432">
            <v>2233.6166600000001</v>
          </cell>
          <cell r="M1432">
            <v>41.32367</v>
          </cell>
          <cell r="N1432">
            <v>168.8049</v>
          </cell>
          <cell r="O1432">
            <v>803.31691999999998</v>
          </cell>
          <cell r="P1432">
            <v>788.30321000000004</v>
          </cell>
          <cell r="Q1432">
            <v>901.42714000000001</v>
          </cell>
          <cell r="R1432">
            <v>980.96631000000002</v>
          </cell>
          <cell r="S1432">
            <v>1044.9553000000001</v>
          </cell>
          <cell r="T1432">
            <v>1124.17473</v>
          </cell>
          <cell r="U1432">
            <v>1152.6845000000001</v>
          </cell>
          <cell r="V1432">
            <v>1225.4657299999999</v>
          </cell>
          <cell r="W1432">
            <v>1264.4345599999999</v>
          </cell>
          <cell r="X1432">
            <v>2069.0294699999999</v>
          </cell>
          <cell r="Y1432">
            <v>970.59833600000002</v>
          </cell>
        </row>
        <row r="1433">
          <cell r="B1433">
            <v>570300</v>
          </cell>
          <cell r="C1433" t="str">
            <v>NOT USED</v>
          </cell>
          <cell r="D1433" t="str">
            <v>INSURANCE - EXCLUDE NUCLEAR</v>
          </cell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/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570310</v>
          </cell>
          <cell r="C1434" t="str">
            <v>NOT USED</v>
          </cell>
          <cell r="D1434" t="str">
            <v>INSURANCE - NUCLEAR</v>
          </cell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/>
          </cell>
          <cell r="L1434">
            <v>-161.20427000000001</v>
          </cell>
          <cell r="M1434">
            <v>0</v>
          </cell>
          <cell r="N1434">
            <v>36.980969999999999</v>
          </cell>
          <cell r="O1434">
            <v>-1397.39903</v>
          </cell>
          <cell r="P1434">
            <v>-1412.1153400000001</v>
          </cell>
          <cell r="Q1434">
            <v>-1426.8316500000001</v>
          </cell>
          <cell r="R1434">
            <v>-1412.1153400000001</v>
          </cell>
          <cell r="S1434">
            <v>-1412.1153400000001</v>
          </cell>
          <cell r="T1434">
            <v>-1583.36474</v>
          </cell>
          <cell r="U1434">
            <v>-1609.51522</v>
          </cell>
          <cell r="V1434">
            <v>-1609.51522</v>
          </cell>
          <cell r="W1434">
            <v>-1609.51522</v>
          </cell>
          <cell r="X1434">
            <v>-1609.51522</v>
          </cell>
          <cell r="Y1434">
            <v>-1193.4054900000001</v>
          </cell>
        </row>
        <row r="1435">
          <cell r="B1435">
            <v>570400</v>
          </cell>
          <cell r="C1435" t="str">
            <v>NOT USED</v>
          </cell>
          <cell r="D1435" t="str">
            <v>INJURY &amp; DAMAGES</v>
          </cell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>
            <v>227.16698</v>
          </cell>
          <cell r="M1435">
            <v>-1.49183</v>
          </cell>
          <cell r="N1435">
            <v>48.792969999999997</v>
          </cell>
          <cell r="O1435">
            <v>54.894730000000003</v>
          </cell>
          <cell r="P1435">
            <v>77.883049999999997</v>
          </cell>
          <cell r="Q1435">
            <v>96.554760000000002</v>
          </cell>
          <cell r="R1435">
            <v>185.93397999999999</v>
          </cell>
          <cell r="S1435">
            <v>193.05342999999999</v>
          </cell>
          <cell r="T1435">
            <v>357.30962</v>
          </cell>
          <cell r="U1435">
            <v>370.23581000000001</v>
          </cell>
          <cell r="V1435">
            <v>385.37849</v>
          </cell>
          <cell r="W1435">
            <v>433.19549999999998</v>
          </cell>
          <cell r="X1435">
            <v>547.66827000000001</v>
          </cell>
          <cell r="Y1435">
            <v>215.76317800000001</v>
          </cell>
        </row>
        <row r="1436">
          <cell r="B1436">
            <v>570401</v>
          </cell>
          <cell r="C1436" t="str">
            <v>NOT USED</v>
          </cell>
          <cell r="D1436" t="str">
            <v>INJURY &amp; DAMAGES - EEMC HC ALLOCATION-RGE</v>
          </cell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/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570402</v>
          </cell>
          <cell r="C1437" t="str">
            <v>NOT USED</v>
          </cell>
          <cell r="D1437" t="str">
            <v>INJURY &amp; DAMAGES - RESERVE</v>
          </cell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/>
          </cell>
          <cell r="L1437">
            <v>200</v>
          </cell>
          <cell r="M1437">
            <v>0</v>
          </cell>
          <cell r="N1437">
            <v>0</v>
          </cell>
          <cell r="O1437">
            <v>0</v>
          </cell>
          <cell r="P1437">
            <v>-650</v>
          </cell>
          <cell r="Q1437">
            <v>-650</v>
          </cell>
          <cell r="R1437">
            <v>-650</v>
          </cell>
          <cell r="S1437">
            <v>-450</v>
          </cell>
          <cell r="T1437">
            <v>-600</v>
          </cell>
          <cell r="U1437">
            <v>-600</v>
          </cell>
          <cell r="V1437">
            <v>-600</v>
          </cell>
          <cell r="W1437">
            <v>-600</v>
          </cell>
          <cell r="X1437">
            <v>-800</v>
          </cell>
          <cell r="Y1437">
            <v>-425</v>
          </cell>
        </row>
        <row r="1438">
          <cell r="B1438">
            <v>570500</v>
          </cell>
          <cell r="C1438" t="str">
            <v>NOT USED</v>
          </cell>
          <cell r="D1438" t="str">
            <v>INSURANCE - PROPERTY</v>
          </cell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/>
          </cell>
          <cell r="L1438">
            <v>567.02895999999998</v>
          </cell>
          <cell r="M1438">
            <v>48.577860000000001</v>
          </cell>
          <cell r="N1438">
            <v>97.155720000000002</v>
          </cell>
          <cell r="O1438">
            <v>145.70354</v>
          </cell>
          <cell r="P1438">
            <v>194.28139999999999</v>
          </cell>
          <cell r="Q1438">
            <v>242.85926000000001</v>
          </cell>
          <cell r="R1438">
            <v>291.63404000000003</v>
          </cell>
          <cell r="S1438">
            <v>324.83873999999997</v>
          </cell>
          <cell r="T1438">
            <v>365.82848999999999</v>
          </cell>
          <cell r="U1438">
            <v>406.81823000000003</v>
          </cell>
          <cell r="V1438">
            <v>447.80797999999999</v>
          </cell>
          <cell r="W1438">
            <v>488.79773</v>
          </cell>
          <cell r="X1438">
            <v>529.78747999999996</v>
          </cell>
          <cell r="Y1438">
            <v>300.225934</v>
          </cell>
        </row>
        <row r="1439">
          <cell r="B1439">
            <v>570510</v>
          </cell>
          <cell r="C1439" t="str">
            <v>NOT USED</v>
          </cell>
          <cell r="D1439" t="str">
            <v>INSURANCE - NON-PROPERTY</v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>
            <v>1141.3885399999999</v>
          </cell>
          <cell r="M1439">
            <v>101.70738</v>
          </cell>
          <cell r="N1439">
            <v>203.41476</v>
          </cell>
          <cell r="O1439">
            <v>305.12209000000001</v>
          </cell>
          <cell r="P1439">
            <v>417.99547999999999</v>
          </cell>
          <cell r="Q1439">
            <v>516.73068000000001</v>
          </cell>
          <cell r="R1439">
            <v>617.91815999999994</v>
          </cell>
          <cell r="S1439">
            <v>725.91048999999998</v>
          </cell>
          <cell r="T1439">
            <v>841.20653000000004</v>
          </cell>
          <cell r="U1439">
            <v>944.22256000000004</v>
          </cell>
          <cell r="V1439">
            <v>999.60756000000003</v>
          </cell>
          <cell r="W1439">
            <v>1093.33412</v>
          </cell>
          <cell r="X1439">
            <v>1241.1722600000001</v>
          </cell>
          <cell r="Y1439">
            <v>663.20418400000005</v>
          </cell>
        </row>
        <row r="1440">
          <cell r="B1440">
            <v>580102</v>
          </cell>
          <cell r="C1440" t="str">
            <v>NOT USED</v>
          </cell>
          <cell r="D1440" t="str">
            <v>AMORT-REG ASSET (DEBIT)-EL OP EXP(COST TO ACHIEVE</v>
          </cell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/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580104</v>
          </cell>
          <cell r="C1441" t="str">
            <v>NOT USED</v>
          </cell>
          <cell r="D1441" t="str">
            <v>AMORT-REG ASSET (DEBIT)-ELECTRIC PURCHASED POWER</v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/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580106</v>
          </cell>
          <cell r="C1442" t="str">
            <v>NOT USED</v>
          </cell>
          <cell r="D1442" t="str">
            <v>AMORT-REG LIAB (CR)-FERC 407.4 (GAAP REVENUE)-ELE</v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/>
          </cell>
          <cell r="L1442">
            <v>-1139.8578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-47.494075000000002</v>
          </cell>
        </row>
        <row r="1443">
          <cell r="B1443">
            <v>580107</v>
          </cell>
          <cell r="C1443" t="str">
            <v>NOT USED</v>
          </cell>
          <cell r="D1443" t="str">
            <v>AMORT-REG LIAB (CREDIT)-ELECTRIC PBA</v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/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-3333.3333200000002</v>
          </cell>
          <cell r="Q1443">
            <v>-4166.6666500000001</v>
          </cell>
          <cell r="R1443">
            <v>-4999.9999799999996</v>
          </cell>
          <cell r="S1443">
            <v>-5833.33331</v>
          </cell>
          <cell r="T1443">
            <v>-6666.6666400000004</v>
          </cell>
          <cell r="U1443">
            <v>-7083.33331</v>
          </cell>
          <cell r="V1443">
            <v>-7499.9999799999996</v>
          </cell>
          <cell r="W1443">
            <v>-7916.6666500000001</v>
          </cell>
          <cell r="X1443">
            <v>-8333.3333199999997</v>
          </cell>
          <cell r="Y1443">
            <v>-4305.5555420000001</v>
          </cell>
        </row>
        <row r="1444">
          <cell r="B1444">
            <v>580108</v>
          </cell>
          <cell r="C1444" t="str">
            <v>NOT USED</v>
          </cell>
          <cell r="D1444" t="str">
            <v>AMORT-REG LIAB (CREDIT)-ELECTRIC OPERATING EXPENS</v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>
            <v>-28842.133419999998</v>
          </cell>
          <cell r="M1444">
            <v>-960.53332999999998</v>
          </cell>
          <cell r="N1444">
            <v>-1921.06666</v>
          </cell>
          <cell r="O1444">
            <v>-2881.5999900000002</v>
          </cell>
          <cell r="P1444">
            <v>-508.8</v>
          </cell>
          <cell r="Q1444">
            <v>-636</v>
          </cell>
          <cell r="R1444">
            <v>-763.2</v>
          </cell>
          <cell r="S1444">
            <v>-890.4</v>
          </cell>
          <cell r="T1444">
            <v>-1017.6</v>
          </cell>
          <cell r="U1444">
            <v>-1144.8</v>
          </cell>
          <cell r="V1444">
            <v>-1272</v>
          </cell>
          <cell r="W1444">
            <v>-1399.2</v>
          </cell>
          <cell r="X1444">
            <v>-1526.4</v>
          </cell>
          <cell r="Y1444">
            <v>-2381.6222240000002</v>
          </cell>
        </row>
        <row r="1445">
          <cell r="B1445">
            <v>580110</v>
          </cell>
          <cell r="C1445" t="str">
            <v>NOT USED</v>
          </cell>
          <cell r="D1445" t="str">
            <v>AMORT - ICE STORM</v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>
            <v>20710.56655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862.94027300000005</v>
          </cell>
        </row>
        <row r="1446">
          <cell r="B1446">
            <v>580112</v>
          </cell>
          <cell r="C1446" t="str">
            <v>NOT USED</v>
          </cell>
          <cell r="D1446" t="str">
            <v>AMORT-REG ASSET (DEBIT)-GS OP EXP(COST TO ACHIEVE</v>
          </cell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/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580116</v>
          </cell>
          <cell r="C1447" t="str">
            <v>NOT USED</v>
          </cell>
          <cell r="D1447" t="str">
            <v>AMORT-REG LIAB (CREDIT)-GAS OPERATING REVENUE</v>
          </cell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>
            <v>-809.40548999999999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-33.725228999999999</v>
          </cell>
        </row>
        <row r="1448">
          <cell r="B1448">
            <v>580117</v>
          </cell>
          <cell r="C1448" t="str">
            <v>NOT USED</v>
          </cell>
          <cell r="D1448" t="str">
            <v>AMORT-REG LIAB (CREDIT)-GAS PBA</v>
          </cell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/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-5666.6666800000003</v>
          </cell>
          <cell r="Q1448">
            <v>-7083.3333499999999</v>
          </cell>
          <cell r="R1448">
            <v>-8500.0000199999995</v>
          </cell>
          <cell r="S1448">
            <v>-9916.66669</v>
          </cell>
          <cell r="T1448">
            <v>-11333.333360000001</v>
          </cell>
          <cell r="U1448">
            <v>-12195.833360000001</v>
          </cell>
          <cell r="V1448">
            <v>-13058.333360000001</v>
          </cell>
          <cell r="W1448">
            <v>-13920.833360000001</v>
          </cell>
          <cell r="X1448">
            <v>-14783.333360000001</v>
          </cell>
          <cell r="Y1448">
            <v>-7422.2222380000003</v>
          </cell>
        </row>
        <row r="1449">
          <cell r="B1449">
            <v>580118</v>
          </cell>
          <cell r="C1449" t="str">
            <v>NOT USED</v>
          </cell>
          <cell r="D1449" t="str">
            <v>AMORT-REG LIAB (CREDIT)-GAS OPERATING EXPENSE</v>
          </cell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>
            <v>-5885.7454799999996</v>
          </cell>
          <cell r="M1449">
            <v>-1471.4363699999999</v>
          </cell>
          <cell r="N1449">
            <v>-2942.8727399999998</v>
          </cell>
          <cell r="O1449">
            <v>-4414.3091100000001</v>
          </cell>
          <cell r="P1449">
            <v>-219.0788</v>
          </cell>
          <cell r="Q1449">
            <v>-273.8485</v>
          </cell>
          <cell r="R1449">
            <v>-328.6182</v>
          </cell>
          <cell r="S1449">
            <v>-383.3879</v>
          </cell>
          <cell r="T1449">
            <v>-438.1576</v>
          </cell>
          <cell r="U1449">
            <v>-492.9273</v>
          </cell>
          <cell r="V1449">
            <v>-547.697</v>
          </cell>
          <cell r="W1449">
            <v>-602.46669999999995</v>
          </cell>
          <cell r="X1449">
            <v>-657.2364</v>
          </cell>
          <cell r="Y1449">
            <v>-1282.19093</v>
          </cell>
        </row>
        <row r="1450">
          <cell r="B1450">
            <v>580122</v>
          </cell>
          <cell r="C1450" t="str">
            <v>NOT USED</v>
          </cell>
          <cell r="D1450" t="str">
            <v>AMORT-ELEC PURCHASED POWER AMORTIZATION</v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>
            <v>10068.737719999999</v>
          </cell>
          <cell r="M1450">
            <v>980.18443000000002</v>
          </cell>
          <cell r="N1450">
            <v>1960.36886</v>
          </cell>
          <cell r="O1450">
            <v>2940.5532899999998</v>
          </cell>
          <cell r="P1450">
            <v>3920.7377200000001</v>
          </cell>
          <cell r="Q1450">
            <v>4900.9221500000003</v>
          </cell>
          <cell r="R1450">
            <v>5881.1065799999997</v>
          </cell>
          <cell r="S1450">
            <v>6861.2910099999999</v>
          </cell>
          <cell r="T1450">
            <v>7841.4754400000002</v>
          </cell>
          <cell r="U1450">
            <v>8821.6598699999995</v>
          </cell>
          <cell r="V1450">
            <v>9801.8443000000007</v>
          </cell>
          <cell r="W1450">
            <v>10782.02873</v>
          </cell>
          <cell r="X1450">
            <v>11762.213159999999</v>
          </cell>
          <cell r="Y1450">
            <v>6300.6373180000001</v>
          </cell>
        </row>
        <row r="1451">
          <cell r="B1451">
            <v>580123</v>
          </cell>
          <cell r="C1451" t="str">
            <v>NOT USED</v>
          </cell>
          <cell r="D1451" t="str">
            <v>AMORT-ELECTRIC O&amp;M AMORTIZATION</v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>
            <v>488.50380000000001</v>
          </cell>
          <cell r="M1451">
            <v>105.57595000000001</v>
          </cell>
          <cell r="N1451">
            <v>211.15190000000001</v>
          </cell>
          <cell r="O1451">
            <v>316.72784999999999</v>
          </cell>
          <cell r="P1451">
            <v>422.30380000000002</v>
          </cell>
          <cell r="Q1451">
            <v>527.87974999999994</v>
          </cell>
          <cell r="R1451">
            <v>633.45569999999998</v>
          </cell>
          <cell r="S1451">
            <v>739.03165000000001</v>
          </cell>
          <cell r="T1451">
            <v>844.60760000000005</v>
          </cell>
          <cell r="U1451">
            <v>950.18354999999997</v>
          </cell>
          <cell r="V1451">
            <v>1055.7594999999999</v>
          </cell>
          <cell r="W1451">
            <v>1161.33545</v>
          </cell>
          <cell r="X1451">
            <v>1266.9114</v>
          </cell>
          <cell r="Y1451">
            <v>653.810025</v>
          </cell>
        </row>
        <row r="1452">
          <cell r="B1452">
            <v>580126</v>
          </cell>
          <cell r="C1452" t="str">
            <v>NOT USED</v>
          </cell>
          <cell r="D1452" t="str">
            <v>AMORT-GAS O&amp;M AMORTIZATION</v>
          </cell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/>
          </cell>
          <cell r="L1452">
            <v>246.11160000000001</v>
          </cell>
          <cell r="M1452">
            <v>54.5779</v>
          </cell>
          <cell r="N1452">
            <v>109.1558</v>
          </cell>
          <cell r="O1452">
            <v>163.7337</v>
          </cell>
          <cell r="P1452">
            <v>218.3116</v>
          </cell>
          <cell r="Q1452">
            <v>272.8895</v>
          </cell>
          <cell r="R1452">
            <v>327.4674</v>
          </cell>
          <cell r="S1452">
            <v>382.0453</v>
          </cell>
          <cell r="T1452">
            <v>436.6232</v>
          </cell>
          <cell r="U1452">
            <v>491.2011</v>
          </cell>
          <cell r="V1452">
            <v>545.779</v>
          </cell>
          <cell r="W1452">
            <v>600.3569</v>
          </cell>
          <cell r="X1452">
            <v>654.9348</v>
          </cell>
          <cell r="Y1452">
            <v>337.72205000000002</v>
          </cell>
        </row>
        <row r="1453">
          <cell r="B1453">
            <v>580128</v>
          </cell>
          <cell r="C1453" t="str">
            <v>NOT USED</v>
          </cell>
          <cell r="D1453" t="str">
            <v>AMORTIZATION-ELECTRIC LABOR</v>
          </cell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>
            <v>471</v>
          </cell>
          <cell r="M1453">
            <v>117.75</v>
          </cell>
          <cell r="N1453">
            <v>235.5</v>
          </cell>
          <cell r="O1453">
            <v>353.25</v>
          </cell>
          <cell r="P1453">
            <v>471</v>
          </cell>
          <cell r="Q1453">
            <v>588.75</v>
          </cell>
          <cell r="R1453">
            <v>706.5</v>
          </cell>
          <cell r="S1453">
            <v>824.25</v>
          </cell>
          <cell r="T1453">
            <v>942</v>
          </cell>
          <cell r="U1453">
            <v>1059.75</v>
          </cell>
          <cell r="V1453">
            <v>1177.5</v>
          </cell>
          <cell r="W1453">
            <v>1295.25</v>
          </cell>
          <cell r="X1453">
            <v>1413</v>
          </cell>
          <cell r="Y1453">
            <v>726.125</v>
          </cell>
        </row>
        <row r="1454">
          <cell r="B1454">
            <v>580129</v>
          </cell>
          <cell r="C1454" t="str">
            <v>NOT USED</v>
          </cell>
          <cell r="D1454" t="str">
            <v>AMORTIZATION-GAS LABOR</v>
          </cell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/>
          </cell>
          <cell r="L1454">
            <v>211</v>
          </cell>
          <cell r="M1454">
            <v>52.75</v>
          </cell>
          <cell r="N1454">
            <v>105.5</v>
          </cell>
          <cell r="O1454">
            <v>158.25</v>
          </cell>
          <cell r="P1454">
            <v>211</v>
          </cell>
          <cell r="Q1454">
            <v>263.75</v>
          </cell>
          <cell r="R1454">
            <v>316.5</v>
          </cell>
          <cell r="S1454">
            <v>369.25</v>
          </cell>
          <cell r="T1454">
            <v>422</v>
          </cell>
          <cell r="U1454">
            <v>474.75</v>
          </cell>
          <cell r="V1454">
            <v>527.5</v>
          </cell>
          <cell r="W1454">
            <v>580.25</v>
          </cell>
          <cell r="X1454">
            <v>633</v>
          </cell>
          <cell r="Y1454">
            <v>325.29166700000002</v>
          </cell>
        </row>
        <row r="1455">
          <cell r="B1455">
            <v>580135</v>
          </cell>
          <cell r="C1455" t="str">
            <v>NOT USED</v>
          </cell>
          <cell r="D1455" t="str">
            <v>AMORT - OSWEGO 6</v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/>
          </cell>
          <cell r="L1455">
            <v>6132.2991599999996</v>
          </cell>
          <cell r="M1455">
            <v>453.74144999999999</v>
          </cell>
          <cell r="N1455">
            <v>907.48289999999997</v>
          </cell>
          <cell r="O1455">
            <v>1361.22435</v>
          </cell>
          <cell r="P1455">
            <v>1814.9657999999999</v>
          </cell>
          <cell r="Q1455">
            <v>2268.7072499999999</v>
          </cell>
          <cell r="R1455">
            <v>2722.4486999999999</v>
          </cell>
          <cell r="S1455">
            <v>3176.1901499999999</v>
          </cell>
          <cell r="T1455">
            <v>3629.9315999999999</v>
          </cell>
          <cell r="U1455">
            <v>4083.6730499999999</v>
          </cell>
          <cell r="V1455">
            <v>4537.4144999999999</v>
          </cell>
          <cell r="W1455">
            <v>4991.1559500000003</v>
          </cell>
          <cell r="X1455">
            <v>5444.8973999999998</v>
          </cell>
          <cell r="Y1455">
            <v>2977.9611650000002</v>
          </cell>
        </row>
        <row r="1456">
          <cell r="B1456">
            <v>580150</v>
          </cell>
          <cell r="C1456" t="str">
            <v>NOT USED</v>
          </cell>
          <cell r="D1456" t="str">
            <v>AMORT - NUCLEAR FUEL STORAGE COSTS</v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580160</v>
          </cell>
          <cell r="C1457" t="str">
            <v>NOT USED</v>
          </cell>
          <cell r="D1457" t="str">
            <v>AMORT - CONTRACTOR SETTLEMENT - ELECTRIC</v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/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580175</v>
          </cell>
          <cell r="C1458" t="str">
            <v>NOT USED</v>
          </cell>
          <cell r="D1458" t="str">
            <v>AMORT - KAMINE CONTRACT BUYOUT</v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/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59">
          <cell r="B1459">
            <v>580180</v>
          </cell>
          <cell r="C1459" t="str">
            <v>NOT USED</v>
          </cell>
          <cell r="D1459" t="str">
            <v>AMORT - NINE MILE 2 SALE</v>
          </cell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/>
          </cell>
          <cell r="L1459">
            <v>24702.02564</v>
          </cell>
          <cell r="M1459">
            <v>1397.17309</v>
          </cell>
          <cell r="N1459">
            <v>2794.34618</v>
          </cell>
          <cell r="O1459">
            <v>4191.5192699999998</v>
          </cell>
          <cell r="P1459">
            <v>5588.69236</v>
          </cell>
          <cell r="Q1459">
            <v>6985.8654500000002</v>
          </cell>
          <cell r="R1459">
            <v>8383.0385399999996</v>
          </cell>
          <cell r="S1459">
            <v>9780.2116299999998</v>
          </cell>
          <cell r="T1459">
            <v>11177.38472</v>
          </cell>
          <cell r="U1459">
            <v>12574.55781</v>
          </cell>
          <cell r="V1459">
            <v>13971.7309</v>
          </cell>
          <cell r="W1459">
            <v>15368.903990000001</v>
          </cell>
          <cell r="X1459">
            <v>16766.077079999999</v>
          </cell>
          <cell r="Y1459">
            <v>9412.2896079999991</v>
          </cell>
        </row>
        <row r="1460">
          <cell r="B1460">
            <v>580186</v>
          </cell>
          <cell r="C1460" t="str">
            <v>NOT USED</v>
          </cell>
          <cell r="D1460" t="str">
            <v>AMORT-MISC</v>
          </cell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/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580190</v>
          </cell>
          <cell r="C1461" t="str">
            <v>NOT USED</v>
          </cell>
          <cell r="D1461" t="str">
            <v>AMORT - WATER RIGHTS</v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580193</v>
          </cell>
          <cell r="C1462" t="str">
            <v>NOT USED</v>
          </cell>
          <cell r="D1462" t="str">
            <v>AMORTIZATION - MERGER SYNERGIES - ELECTRIC</v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/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580194</v>
          </cell>
          <cell r="C1463" t="str">
            <v>NOT USED</v>
          </cell>
          <cell r="D1463" t="str">
            <v>AMORTIZATION - MERGER SYNERGIES - GAS</v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/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4">
          <cell r="B1464">
            <v>580200</v>
          </cell>
          <cell r="C1464" t="str">
            <v>NOT USED</v>
          </cell>
          <cell r="D1464" t="str">
            <v>DEPRECIATION EXPENSE - ELECTRIC</v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/>
          </cell>
          <cell r="L1464">
            <v>34979.186829999999</v>
          </cell>
          <cell r="M1464">
            <v>2464.07251</v>
          </cell>
          <cell r="N1464">
            <v>4932.1823700000004</v>
          </cell>
          <cell r="O1464">
            <v>7412.4551099999999</v>
          </cell>
          <cell r="P1464">
            <v>9895.7039499999992</v>
          </cell>
          <cell r="Q1464">
            <v>12374.74475</v>
          </cell>
          <cell r="R1464">
            <v>14864.30364</v>
          </cell>
          <cell r="S1464">
            <v>17368.370859999999</v>
          </cell>
          <cell r="T1464">
            <v>19896.916369999999</v>
          </cell>
          <cell r="U1464">
            <v>22430.73488</v>
          </cell>
          <cell r="V1464">
            <v>24976.397860000001</v>
          </cell>
          <cell r="W1464">
            <v>27533.70204</v>
          </cell>
          <cell r="X1464">
            <v>30109.406340000001</v>
          </cell>
          <cell r="Y1464">
            <v>16391.156744</v>
          </cell>
        </row>
        <row r="1465">
          <cell r="B1465">
            <v>580205</v>
          </cell>
          <cell r="C1465" t="str">
            <v>NOT USED</v>
          </cell>
          <cell r="D1465" t="str">
            <v>DEPRECIATION EXPENSE - ELECTRIC</v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580210</v>
          </cell>
          <cell r="C1466" t="str">
            <v>NOT USED</v>
          </cell>
          <cell r="D1466" t="str">
            <v>DEPRECIATION EXPENSE - GAS</v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/>
          </cell>
          <cell r="L1466">
            <v>15345.144969999999</v>
          </cell>
          <cell r="M1466">
            <v>1358.7408499999999</v>
          </cell>
          <cell r="N1466">
            <v>2714.9684600000001</v>
          </cell>
          <cell r="O1466">
            <v>4076.65445</v>
          </cell>
          <cell r="P1466">
            <v>5440.7655299999997</v>
          </cell>
          <cell r="Q1466">
            <v>6805.4452899999997</v>
          </cell>
          <cell r="R1466">
            <v>8177.1277600000003</v>
          </cell>
          <cell r="S1466">
            <v>9549.5017100000005</v>
          </cell>
          <cell r="T1466">
            <v>10922.645420000001</v>
          </cell>
          <cell r="U1466">
            <v>12303.17088</v>
          </cell>
          <cell r="V1466">
            <v>13687.47443</v>
          </cell>
          <cell r="W1466">
            <v>15079.592259999999</v>
          </cell>
          <cell r="X1466">
            <v>16472.775099999999</v>
          </cell>
          <cell r="Y1466">
            <v>8835.4205899999997</v>
          </cell>
        </row>
        <row r="1467">
          <cell r="B1467">
            <v>580211</v>
          </cell>
          <cell r="C1467" t="str">
            <v>NOT USED</v>
          </cell>
          <cell r="D1467" t="str">
            <v>DEPRECIATION EXPENSE - EEMC HC ALLOCATION-RGE</v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/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</row>
        <row r="1468">
          <cell r="B1468">
            <v>580215</v>
          </cell>
          <cell r="C1468" t="str">
            <v>NOT USED</v>
          </cell>
          <cell r="D1468" t="str">
            <v>DEPRECIATION EXPENSE - COMMON</v>
          </cell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/>
          </cell>
          <cell r="L1468">
            <v>4061.4597199999998</v>
          </cell>
          <cell r="M1468">
            <v>334.53649999999999</v>
          </cell>
          <cell r="N1468">
            <v>667.50404000000003</v>
          </cell>
          <cell r="O1468">
            <v>1020.64547</v>
          </cell>
          <cell r="P1468">
            <v>1373.7566099999999</v>
          </cell>
          <cell r="Q1468">
            <v>1763.81511</v>
          </cell>
          <cell r="R1468">
            <v>2122.3045200000001</v>
          </cell>
          <cell r="S1468">
            <v>2480.9427700000001</v>
          </cell>
          <cell r="T1468">
            <v>2839.99163</v>
          </cell>
          <cell r="U1468">
            <v>3199.9954400000001</v>
          </cell>
          <cell r="V1468">
            <v>3559.8253199999999</v>
          </cell>
          <cell r="W1468">
            <v>3914.3258999999998</v>
          </cell>
          <cell r="X1468">
            <v>4260.4888000000001</v>
          </cell>
          <cell r="Y1468">
            <v>2286.5514640000001</v>
          </cell>
        </row>
        <row r="1469">
          <cell r="B1469">
            <v>580220</v>
          </cell>
          <cell r="C1469" t="str">
            <v>NOT USED</v>
          </cell>
          <cell r="D1469" t="str">
            <v>DEPRECIATION EXPENSE - DECOMM-GINNA</v>
          </cell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/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</row>
        <row r="1470">
          <cell r="B1470">
            <v>580225</v>
          </cell>
          <cell r="C1470" t="str">
            <v>NOT USED</v>
          </cell>
          <cell r="D1470" t="str">
            <v>DEPRECIATION EXPENSE-DECOMMISSIONING-BEEBEE</v>
          </cell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/>
          </cell>
          <cell r="L1470">
            <v>1333.3333600000001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55.555557</v>
          </cell>
        </row>
        <row r="1471">
          <cell r="B1471">
            <v>580226</v>
          </cell>
          <cell r="C1471" t="str">
            <v>NOT USED</v>
          </cell>
          <cell r="D1471" t="str">
            <v>DEPRECIATION EXPENSE-DECOMMISSIONING-RUSSELL</v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580240</v>
          </cell>
          <cell r="C1472" t="str">
            <v>NOT USED</v>
          </cell>
          <cell r="D1472" t="str">
            <v>DEPRECIATION EXPENSE - VEHICLES - ELEC</v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/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580242</v>
          </cell>
          <cell r="C1473" t="str">
            <v>NOT USED</v>
          </cell>
          <cell r="D1473" t="str">
            <v>DEPR EXP-VEHICLES-COMMON</v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/>
          </cell>
          <cell r="L1473">
            <v>2457.0098200000002</v>
          </cell>
          <cell r="M1473">
            <v>244.12483</v>
          </cell>
          <cell r="N1473">
            <v>443.78541000000001</v>
          </cell>
          <cell r="O1473">
            <v>679.76715000000002</v>
          </cell>
          <cell r="P1473">
            <v>919.26146000000006</v>
          </cell>
          <cell r="Q1473">
            <v>1145.38471</v>
          </cell>
          <cell r="R1473">
            <v>1458.68075</v>
          </cell>
          <cell r="S1473">
            <v>1685.5911599999999</v>
          </cell>
          <cell r="T1473">
            <v>1912.1460999999999</v>
          </cell>
          <cell r="U1473">
            <v>2135.6818499999999</v>
          </cell>
          <cell r="V1473">
            <v>2360.7294200000001</v>
          </cell>
          <cell r="W1473">
            <v>2579.2693599999998</v>
          </cell>
          <cell r="X1473">
            <v>2543.3991900000001</v>
          </cell>
          <cell r="Y1473">
            <v>1505.3855590000001</v>
          </cell>
        </row>
        <row r="1474">
          <cell r="B1474">
            <v>580243</v>
          </cell>
          <cell r="C1474" t="str">
            <v>NOT USED</v>
          </cell>
          <cell r="D1474" t="str">
            <v>DEPR EXPENSE-VEHICLES ADJUSTMENT-ELECTRIC</v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>
            <v>1023.832</v>
          </cell>
          <cell r="M1474">
            <v>108.91</v>
          </cell>
          <cell r="N1474">
            <v>200.43199999999999</v>
          </cell>
          <cell r="O1474">
            <v>299.79300000000001</v>
          </cell>
          <cell r="P1474">
            <v>410.161</v>
          </cell>
          <cell r="Q1474">
            <v>519.73800000000006</v>
          </cell>
          <cell r="R1474">
            <v>674.09500000000003</v>
          </cell>
          <cell r="S1474">
            <v>787.04300000000001</v>
          </cell>
          <cell r="T1474">
            <v>831.28800000000001</v>
          </cell>
          <cell r="U1474">
            <v>916.61</v>
          </cell>
          <cell r="V1474">
            <v>1016.276</v>
          </cell>
          <cell r="W1474">
            <v>1120.8109999999999</v>
          </cell>
          <cell r="X1474">
            <v>1092.4780000000001</v>
          </cell>
          <cell r="Y1474">
            <v>661.94266700000003</v>
          </cell>
        </row>
        <row r="1475">
          <cell r="B1475">
            <v>580244</v>
          </cell>
          <cell r="C1475" t="str">
            <v>NOT USED</v>
          </cell>
          <cell r="D1475" t="str">
            <v>DEPR EXPENSE-VEHICLES ADJUSTMENT-GAS</v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/>
          </cell>
          <cell r="L1475">
            <v>675.60699999999997</v>
          </cell>
          <cell r="M1475">
            <v>71.085999999999999</v>
          </cell>
          <cell r="N1475">
            <v>127.66200000000001</v>
          </cell>
          <cell r="O1475">
            <v>189.01900000000001</v>
          </cell>
          <cell r="P1475">
            <v>256.053</v>
          </cell>
          <cell r="Q1475">
            <v>320.202</v>
          </cell>
          <cell r="R1475">
            <v>411.93900000000002</v>
          </cell>
          <cell r="S1475">
            <v>479.55900000000003</v>
          </cell>
          <cell r="T1475">
            <v>513.24900000000002</v>
          </cell>
          <cell r="U1475">
            <v>563.86</v>
          </cell>
          <cell r="V1475">
            <v>619.846</v>
          </cell>
          <cell r="W1475">
            <v>676.74400000000003</v>
          </cell>
          <cell r="X1475">
            <v>662.43499999999995</v>
          </cell>
          <cell r="Y1475">
            <v>408.186667</v>
          </cell>
        </row>
        <row r="1476">
          <cell r="B1476">
            <v>580251</v>
          </cell>
          <cell r="C1476" t="str">
            <v>NOT USED</v>
          </cell>
          <cell r="D1476" t="str">
            <v>AMORT EXP-INTANGIBLES-GAS</v>
          </cell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/>
          </cell>
          <cell r="L1476">
            <v>171.27117000000001</v>
          </cell>
          <cell r="M1476">
            <v>14.272600000000001</v>
          </cell>
          <cell r="N1476">
            <v>28.545190000000002</v>
          </cell>
          <cell r="O1476">
            <v>42.817790000000002</v>
          </cell>
          <cell r="P1476">
            <v>57.090380000000003</v>
          </cell>
          <cell r="Q1476">
            <v>71.362979999999993</v>
          </cell>
          <cell r="R1476">
            <v>85.635570000000001</v>
          </cell>
          <cell r="S1476">
            <v>99.908169999999998</v>
          </cell>
          <cell r="T1476">
            <v>114.18077</v>
          </cell>
          <cell r="U1476">
            <v>128.45336</v>
          </cell>
          <cell r="V1476">
            <v>142.72595999999999</v>
          </cell>
          <cell r="W1476">
            <v>156.99854999999999</v>
          </cell>
          <cell r="X1476">
            <v>171.27115000000001</v>
          </cell>
          <cell r="Y1476">
            <v>92.771872999999999</v>
          </cell>
        </row>
        <row r="1477">
          <cell r="B1477">
            <v>580252</v>
          </cell>
          <cell r="C1477" t="str">
            <v>NOT USED</v>
          </cell>
          <cell r="D1477" t="str">
            <v>AMORT EXP-INTANGIBLES-COMMON</v>
          </cell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/>
          </cell>
          <cell r="L1477">
            <v>14006.784180000001</v>
          </cell>
          <cell r="M1477">
            <v>283.51886000000002</v>
          </cell>
          <cell r="N1477">
            <v>567.03773000000001</v>
          </cell>
          <cell r="O1477">
            <v>866.07376999999997</v>
          </cell>
          <cell r="P1477">
            <v>1165.3339900000001</v>
          </cell>
          <cell r="Q1477">
            <v>1464.8444099999999</v>
          </cell>
          <cell r="R1477">
            <v>1764.3996</v>
          </cell>
          <cell r="S1477">
            <v>2066.15852</v>
          </cell>
          <cell r="T1477">
            <v>2355.6752700000002</v>
          </cell>
          <cell r="U1477">
            <v>2646.3160200000002</v>
          </cell>
          <cell r="V1477">
            <v>2937.7497899999998</v>
          </cell>
          <cell r="W1477">
            <v>3229.8782099999999</v>
          </cell>
          <cell r="X1477">
            <v>3522.5790999999999</v>
          </cell>
          <cell r="Y1477">
            <v>2342.6389840000002</v>
          </cell>
        </row>
        <row r="1478">
          <cell r="B1478">
            <v>580253</v>
          </cell>
          <cell r="C1478" t="str">
            <v>NOT USED</v>
          </cell>
          <cell r="D1478" t="str">
            <v>AMORT EXP-INTANGIBLES-ELEC</v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/>
          </cell>
          <cell r="L1478">
            <v>198.15291999999999</v>
          </cell>
          <cell r="M1478">
            <v>7.8549300000000004</v>
          </cell>
          <cell r="N1478">
            <v>15.709860000000001</v>
          </cell>
          <cell r="O1478">
            <v>23.564789999999999</v>
          </cell>
          <cell r="P1478">
            <v>31.419709999999998</v>
          </cell>
          <cell r="Q1478">
            <v>39.274639999999998</v>
          </cell>
          <cell r="R1478">
            <v>47.129570000000001</v>
          </cell>
          <cell r="S1478">
            <v>54.984490000000001</v>
          </cell>
          <cell r="T1478">
            <v>62.839410000000001</v>
          </cell>
          <cell r="U1478">
            <v>70.694339999999997</v>
          </cell>
          <cell r="V1478">
            <v>78.549270000000007</v>
          </cell>
          <cell r="W1478">
            <v>86.404200000000003</v>
          </cell>
          <cell r="X1478">
            <v>94.259129999999999</v>
          </cell>
          <cell r="Y1478">
            <v>55.385936000000001</v>
          </cell>
        </row>
        <row r="1479">
          <cell r="B1479">
            <v>580300</v>
          </cell>
          <cell r="C1479" t="str">
            <v>CAP</v>
          </cell>
          <cell r="D1479" t="str">
            <v>INTEREST EXPENSE - LONG TERM DEBT</v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>
            <v>580300</v>
          </cell>
          <cell r="L1479">
            <v>48928.086759999998</v>
          </cell>
          <cell r="M1479">
            <v>3577.77918</v>
          </cell>
          <cell r="N1479">
            <v>7905.1986200000001</v>
          </cell>
          <cell r="O1479">
            <v>11342.309719999999</v>
          </cell>
          <cell r="P1479">
            <v>14564.719429999999</v>
          </cell>
          <cell r="Q1479">
            <v>17783.35138</v>
          </cell>
          <cell r="R1479">
            <v>21001.03888</v>
          </cell>
          <cell r="S1479">
            <v>24237.943050000002</v>
          </cell>
          <cell r="T1479">
            <v>27880.636109999999</v>
          </cell>
          <cell r="U1479">
            <v>31525.406950000001</v>
          </cell>
          <cell r="V1479">
            <v>35168.477789999997</v>
          </cell>
          <cell r="W1479">
            <v>38807.58195</v>
          </cell>
          <cell r="X1479">
            <v>42447.441659999997</v>
          </cell>
          <cell r="Y1479">
            <v>23290.183938999999</v>
          </cell>
        </row>
        <row r="1480">
          <cell r="B1480">
            <v>580310</v>
          </cell>
          <cell r="C1480" t="str">
            <v>CAP</v>
          </cell>
          <cell r="D1480" t="str">
            <v>INTEREST EXPENSE - SHORT TERM DEBT</v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>
            <v>580310</v>
          </cell>
          <cell r="L1480">
            <v>7.6870000000000003</v>
          </cell>
          <cell r="M1480">
            <v>0</v>
          </cell>
          <cell r="N1480">
            <v>1.4461200000000001</v>
          </cell>
          <cell r="O1480">
            <v>4.6686399999999999</v>
          </cell>
          <cell r="P1480">
            <v>4.6686399999999999</v>
          </cell>
          <cell r="Q1480">
            <v>4.6686399999999999</v>
          </cell>
          <cell r="R1480">
            <v>5.3245300000000002</v>
          </cell>
          <cell r="S1480">
            <v>5.3245300000000002</v>
          </cell>
          <cell r="T1480">
            <v>5.3245300000000002</v>
          </cell>
          <cell r="U1480">
            <v>5.3245300000000002</v>
          </cell>
          <cell r="V1480">
            <v>5.3245300000000002</v>
          </cell>
          <cell r="W1480">
            <v>5.3245300000000002</v>
          </cell>
          <cell r="X1480">
            <v>5.3245300000000002</v>
          </cell>
          <cell r="Y1480">
            <v>4.4920819999999999</v>
          </cell>
        </row>
        <row r="1481">
          <cell r="B1481">
            <v>580320</v>
          </cell>
          <cell r="C1481" t="str">
            <v>CAP</v>
          </cell>
          <cell r="D1481" t="str">
            <v>INTEREST EXPENSE - CUSTOMER DEPOSITS</v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>
            <v>580320</v>
          </cell>
          <cell r="L1481">
            <v>147.71643</v>
          </cell>
          <cell r="M1481">
            <v>9.0750200000000003</v>
          </cell>
          <cell r="N1481">
            <v>17.707100000000001</v>
          </cell>
          <cell r="O1481">
            <v>26.516200000000001</v>
          </cell>
          <cell r="P1481">
            <v>35.311419999999998</v>
          </cell>
          <cell r="Q1481">
            <v>44.381659999999997</v>
          </cell>
          <cell r="R1481">
            <v>53.1723</v>
          </cell>
          <cell r="S1481">
            <v>61.953539999999997</v>
          </cell>
          <cell r="T1481">
            <v>70.987799999999993</v>
          </cell>
          <cell r="U1481">
            <v>80.008089999999996</v>
          </cell>
          <cell r="V1481">
            <v>80.322190000000006</v>
          </cell>
          <cell r="W1481">
            <v>88.230559999999997</v>
          </cell>
          <cell r="X1481">
            <v>96.177599999999998</v>
          </cell>
          <cell r="Y1481">
            <v>57.467740999999997</v>
          </cell>
        </row>
        <row r="1482">
          <cell r="B1482">
            <v>580330</v>
          </cell>
          <cell r="C1482" t="str">
            <v>CAP</v>
          </cell>
          <cell r="D1482" t="str">
            <v>INTEREST EXPENSE - MISCELLANEOUS</v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>
            <v>580330</v>
          </cell>
          <cell r="L1482">
            <v>564.64823000000001</v>
          </cell>
          <cell r="M1482">
            <v>71.971760000000003</v>
          </cell>
          <cell r="N1482">
            <v>105.32415</v>
          </cell>
          <cell r="O1482">
            <v>209.31541999999999</v>
          </cell>
          <cell r="P1482">
            <v>209.53086999999999</v>
          </cell>
          <cell r="Q1482">
            <v>210.60106999999999</v>
          </cell>
          <cell r="R1482">
            <v>212.57597999999999</v>
          </cell>
          <cell r="S1482">
            <v>212.61598000000001</v>
          </cell>
          <cell r="T1482">
            <v>222.80157</v>
          </cell>
          <cell r="U1482">
            <v>224.24170000000001</v>
          </cell>
          <cell r="V1482">
            <v>224.21422000000001</v>
          </cell>
          <cell r="W1482">
            <v>224.21422000000001</v>
          </cell>
          <cell r="X1482">
            <v>234.21344999999999</v>
          </cell>
          <cell r="Y1482">
            <v>210.56981500000001</v>
          </cell>
        </row>
        <row r="1483">
          <cell r="B1483">
            <v>580331</v>
          </cell>
          <cell r="C1483" t="str">
            <v>CAP</v>
          </cell>
          <cell r="D1483" t="str">
            <v>INTEREST EXPENSE - OTHER-EEMC HC ALLOCATION-RGE</v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>
            <v>580331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580332</v>
          </cell>
          <cell r="C1484" t="str">
            <v>CAP</v>
          </cell>
          <cell r="D1484" t="str">
            <v>INTEREST EXPENSE - ASSOC CO-EEMC HC ALLOCATION</v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>
            <v>580332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580334</v>
          </cell>
          <cell r="C1485" t="str">
            <v>CAP</v>
          </cell>
          <cell r="D1485" t="str">
            <v>INT EXP-POLLUTION CONTROL</v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>
            <v>580334</v>
          </cell>
          <cell r="L1485">
            <v>37.208889999999997</v>
          </cell>
          <cell r="M1485">
            <v>4.3729300000000002</v>
          </cell>
          <cell r="N1485">
            <v>12.42919</v>
          </cell>
          <cell r="O1485">
            <v>16.802119999999999</v>
          </cell>
          <cell r="P1485">
            <v>23.347270000000002</v>
          </cell>
          <cell r="Q1485">
            <v>33.575749999999999</v>
          </cell>
          <cell r="R1485">
            <v>43.332009999999997</v>
          </cell>
          <cell r="S1485">
            <v>65.271590000000003</v>
          </cell>
          <cell r="T1485">
            <v>78.522289999999998</v>
          </cell>
          <cell r="U1485">
            <v>89.789659999999998</v>
          </cell>
          <cell r="V1485">
            <v>102.66258000000001</v>
          </cell>
          <cell r="W1485">
            <v>119.59662</v>
          </cell>
          <cell r="X1485">
            <v>135.68065999999999</v>
          </cell>
          <cell r="Y1485">
            <v>56.345565000000001</v>
          </cell>
        </row>
        <row r="1486">
          <cell r="B1486">
            <v>580336</v>
          </cell>
          <cell r="C1486" t="str">
            <v>CAP</v>
          </cell>
          <cell r="D1486" t="str">
            <v>INT EXP- REVOLVER - FEES</v>
          </cell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>
            <v>580336</v>
          </cell>
          <cell r="L1486">
            <v>916.66182000000003</v>
          </cell>
          <cell r="M1486">
            <v>66.408869999999993</v>
          </cell>
          <cell r="N1486">
            <v>123.43441</v>
          </cell>
          <cell r="O1486">
            <v>230.73213000000001</v>
          </cell>
          <cell r="P1486">
            <v>287.79239000000001</v>
          </cell>
          <cell r="Q1486">
            <v>348.18597999999997</v>
          </cell>
          <cell r="R1486">
            <v>447.68975999999998</v>
          </cell>
          <cell r="S1486">
            <v>510.56356</v>
          </cell>
          <cell r="T1486">
            <v>581.82051000000001</v>
          </cell>
          <cell r="U1486">
            <v>704.35464000000002</v>
          </cell>
          <cell r="V1486">
            <v>774.04908999999998</v>
          </cell>
          <cell r="W1486">
            <v>852.68195000000003</v>
          </cell>
          <cell r="X1486">
            <v>930.31782999999996</v>
          </cell>
          <cell r="Y1486">
            <v>487.60025999999999</v>
          </cell>
        </row>
        <row r="1487">
          <cell r="B1487">
            <v>580338</v>
          </cell>
          <cell r="C1487" t="str">
            <v>NOT USED</v>
          </cell>
          <cell r="D1487" t="str">
            <v>INT EXP-WEEKLY AUCTION PERCENT FEES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/>
          </cell>
          <cell r="L1487">
            <v>33.055599999999998</v>
          </cell>
          <cell r="M1487">
            <v>3.3055599999999998</v>
          </cell>
          <cell r="N1487">
            <v>6.6111199999999997</v>
          </cell>
          <cell r="O1487">
            <v>9.9166799999999995</v>
          </cell>
          <cell r="P1487">
            <v>13.222239999999999</v>
          </cell>
          <cell r="Q1487">
            <v>13.222239999999999</v>
          </cell>
          <cell r="R1487">
            <v>16.527799999999999</v>
          </cell>
          <cell r="S1487">
            <v>19.833359999999999</v>
          </cell>
          <cell r="T1487">
            <v>23.138919999999999</v>
          </cell>
          <cell r="U1487">
            <v>26.444479999999999</v>
          </cell>
          <cell r="V1487">
            <v>29.750039999999998</v>
          </cell>
          <cell r="W1487">
            <v>33.055599999999998</v>
          </cell>
          <cell r="X1487">
            <v>36.361159999999998</v>
          </cell>
          <cell r="Y1487">
            <v>19.144701999999999</v>
          </cell>
        </row>
        <row r="1488">
          <cell r="B1488">
            <v>580339</v>
          </cell>
          <cell r="C1488" t="str">
            <v>NOT USED</v>
          </cell>
          <cell r="D1488" t="str">
            <v>INTEREST EXPENSE - LONG TERM DEBT FEES</v>
          </cell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/>
          </cell>
          <cell r="L1488">
            <v>4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3.38</v>
          </cell>
          <cell r="S1488">
            <v>24.57</v>
          </cell>
          <cell r="T1488">
            <v>24.57</v>
          </cell>
          <cell r="U1488">
            <v>27.95</v>
          </cell>
          <cell r="V1488">
            <v>27.95</v>
          </cell>
          <cell r="W1488">
            <v>27.95</v>
          </cell>
          <cell r="X1488">
            <v>27.95</v>
          </cell>
          <cell r="Y1488">
            <v>12.695417000000001</v>
          </cell>
        </row>
        <row r="1489">
          <cell r="B1489">
            <v>580350</v>
          </cell>
          <cell r="C1489" t="str">
            <v>NOT USED</v>
          </cell>
          <cell r="D1489" t="str">
            <v>INTEREST - ALLCE FOR FUNDS USED DURING CONSTR-PRO</v>
          </cell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>
            <v>3052.97633</v>
          </cell>
          <cell r="M1489">
            <v>396.65321</v>
          </cell>
          <cell r="N1489">
            <v>797.20163000000002</v>
          </cell>
          <cell r="O1489">
            <v>1218.12319</v>
          </cell>
          <cell r="P1489">
            <v>1643.3843899999999</v>
          </cell>
          <cell r="Q1489">
            <v>2007.8115</v>
          </cell>
          <cell r="R1489">
            <v>2634.3486699999999</v>
          </cell>
          <cell r="S1489">
            <v>3255.7144400000002</v>
          </cell>
          <cell r="T1489">
            <v>3877.1581999999999</v>
          </cell>
          <cell r="U1489">
            <v>7154.2962200000002</v>
          </cell>
          <cell r="V1489">
            <v>8185.8189300000004</v>
          </cell>
          <cell r="W1489">
            <v>9289.1376099999998</v>
          </cell>
          <cell r="X1489">
            <v>10602.33987</v>
          </cell>
          <cell r="Y1489">
            <v>3940.6088410000002</v>
          </cell>
        </row>
        <row r="1490">
          <cell r="B1490">
            <v>580370</v>
          </cell>
          <cell r="C1490" t="str">
            <v>NOT USED</v>
          </cell>
          <cell r="D1490" t="str">
            <v>INTEREST EXP-CARRYING COST - ELECTRIC</v>
          </cell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/>
          </cell>
          <cell r="L1490">
            <v>5807.5115800000003</v>
          </cell>
          <cell r="M1490">
            <v>125.64934</v>
          </cell>
          <cell r="N1490">
            <v>361.01618999999999</v>
          </cell>
          <cell r="O1490">
            <v>568.66785000000004</v>
          </cell>
          <cell r="P1490">
            <v>789.99348999999995</v>
          </cell>
          <cell r="Q1490">
            <v>1056.6479300000001</v>
          </cell>
          <cell r="R1490">
            <v>1352.2786100000001</v>
          </cell>
          <cell r="S1490">
            <v>1677.9619700000001</v>
          </cell>
          <cell r="T1490">
            <v>2033.2942599999999</v>
          </cell>
          <cell r="U1490">
            <v>3107.53</v>
          </cell>
          <cell r="V1490">
            <v>3717.8238500000002</v>
          </cell>
          <cell r="W1490">
            <v>14367.14863</v>
          </cell>
          <cell r="X1490">
            <v>15061.106379999999</v>
          </cell>
          <cell r="Y1490">
            <v>3299.3600919999999</v>
          </cell>
        </row>
        <row r="1491">
          <cell r="B1491">
            <v>580371</v>
          </cell>
          <cell r="C1491" t="str">
            <v>NOT USED</v>
          </cell>
          <cell r="D1491" t="str">
            <v>INTEREST EXP-CARRYING COST - GAS</v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/>
          </cell>
          <cell r="L1491">
            <v>2082.44994</v>
          </cell>
          <cell r="M1491">
            <v>15.19735</v>
          </cell>
          <cell r="N1491">
            <v>135.92500000000001</v>
          </cell>
          <cell r="O1491">
            <v>217.62172000000001</v>
          </cell>
          <cell r="P1491">
            <v>308.46548000000001</v>
          </cell>
          <cell r="Q1491">
            <v>409.93137000000002</v>
          </cell>
          <cell r="R1491">
            <v>520.69785999999999</v>
          </cell>
          <cell r="S1491">
            <v>641.19316000000003</v>
          </cell>
          <cell r="T1491">
            <v>774.41654000000005</v>
          </cell>
          <cell r="U1491">
            <v>688.33937000000003</v>
          </cell>
          <cell r="V1491">
            <v>805.74298999999996</v>
          </cell>
          <cell r="W1491">
            <v>928.21150999999998</v>
          </cell>
          <cell r="X1491">
            <v>1052.53602</v>
          </cell>
          <cell r="Y1491">
            <v>584.43627800000002</v>
          </cell>
        </row>
        <row r="1492">
          <cell r="B1492">
            <v>580372</v>
          </cell>
          <cell r="C1492" t="str">
            <v>NOT USED</v>
          </cell>
          <cell r="D1492" t="str">
            <v>INTEREST EXP-CARRYING COST - ELECTRIC COMMODITY</v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/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580400</v>
          </cell>
          <cell r="C1493" t="str">
            <v>CAP</v>
          </cell>
          <cell r="D1493" t="str">
            <v>AMORTIZATION DEBT EXPENSES</v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>
            <v>580400</v>
          </cell>
          <cell r="L1493">
            <v>1097.6013600000001</v>
          </cell>
          <cell r="M1493">
            <v>67.927040000000005</v>
          </cell>
          <cell r="N1493">
            <v>135.85408000000001</v>
          </cell>
          <cell r="O1493">
            <v>203.78111999999999</v>
          </cell>
          <cell r="P1493">
            <v>271.70816000000002</v>
          </cell>
          <cell r="Q1493">
            <v>339.6352</v>
          </cell>
          <cell r="R1493">
            <v>407.56223999999997</v>
          </cell>
          <cell r="S1493">
            <v>475.48928000000001</v>
          </cell>
          <cell r="T1493">
            <v>561.68883000000005</v>
          </cell>
          <cell r="U1493">
            <v>647.88837999999998</v>
          </cell>
          <cell r="V1493">
            <v>734.18966999999998</v>
          </cell>
          <cell r="W1493">
            <v>820.44084999999995</v>
          </cell>
          <cell r="X1493">
            <v>907.12040999999999</v>
          </cell>
          <cell r="Y1493">
            <v>472.37714499999998</v>
          </cell>
        </row>
        <row r="1494">
          <cell r="B1494">
            <v>580410</v>
          </cell>
          <cell r="C1494" t="str">
            <v>CAP</v>
          </cell>
          <cell r="D1494" t="str">
            <v>AMORTIZATION OF DEBT PREMIUM</v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>
            <v>580410</v>
          </cell>
          <cell r="L1494">
            <v>5767.6399199999996</v>
          </cell>
          <cell r="M1494">
            <v>480.63666000000001</v>
          </cell>
          <cell r="N1494">
            <v>961.27332000000001</v>
          </cell>
          <cell r="O1494">
            <v>1441.9099799999999</v>
          </cell>
          <cell r="P1494">
            <v>1922.54664</v>
          </cell>
          <cell r="Q1494">
            <v>2403.1833000000001</v>
          </cell>
          <cell r="R1494">
            <v>2883.8199599999998</v>
          </cell>
          <cell r="S1494">
            <v>3364.4566199999999</v>
          </cell>
          <cell r="T1494">
            <v>3845.09328</v>
          </cell>
          <cell r="U1494">
            <v>4325.7299400000002</v>
          </cell>
          <cell r="V1494">
            <v>4806.3666000000003</v>
          </cell>
          <cell r="W1494">
            <v>5287.0032600000004</v>
          </cell>
          <cell r="X1494">
            <v>5767.6399199999996</v>
          </cell>
          <cell r="Y1494">
            <v>3124.1382899999999</v>
          </cell>
        </row>
        <row r="1495">
          <cell r="B1495">
            <v>580411</v>
          </cell>
          <cell r="C1495" t="str">
            <v>CAP</v>
          </cell>
          <cell r="D1495" t="str">
            <v>AMORTIZATION PREMIUM ON REQUIRED PREFERRED STOCK</v>
          </cell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>
            <v>580411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580420</v>
          </cell>
          <cell r="C1496" t="str">
            <v>CAP</v>
          </cell>
          <cell r="D1496" t="str">
            <v>AMORTIZATION DEBT DISCOUNT</v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>
            <v>580420</v>
          </cell>
          <cell r="L1496">
            <v>51.469679999999997</v>
          </cell>
          <cell r="M1496">
            <v>4.3881399999999999</v>
          </cell>
          <cell r="N1496">
            <v>8.7762799999999999</v>
          </cell>
          <cell r="O1496">
            <v>13.16442</v>
          </cell>
          <cell r="P1496">
            <v>17.55256</v>
          </cell>
          <cell r="Q1496">
            <v>21.9407</v>
          </cell>
          <cell r="R1496">
            <v>26.32884</v>
          </cell>
          <cell r="S1496">
            <v>30.71698</v>
          </cell>
          <cell r="T1496">
            <v>35.105119999999999</v>
          </cell>
          <cell r="U1496">
            <v>39.493259999999999</v>
          </cell>
          <cell r="V1496">
            <v>43.881399999999999</v>
          </cell>
          <cell r="W1496">
            <v>48.269539999999999</v>
          </cell>
          <cell r="X1496">
            <v>52.657679999999999</v>
          </cell>
          <cell r="Y1496">
            <v>28.473410000000001</v>
          </cell>
        </row>
        <row r="1497">
          <cell r="B1497">
            <v>580430</v>
          </cell>
          <cell r="C1497" t="str">
            <v>CAP</v>
          </cell>
          <cell r="D1497" t="str">
            <v>AMORT LOSS REACQ DEBT</v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>
            <v>580430</v>
          </cell>
          <cell r="L1497">
            <v>1565.10025</v>
          </cell>
          <cell r="M1497">
            <v>695.84902</v>
          </cell>
          <cell r="N1497">
            <v>1450.0716500000001</v>
          </cell>
          <cell r="O1497">
            <v>2507.8374600000002</v>
          </cell>
          <cell r="P1497">
            <v>2587.4835800000001</v>
          </cell>
          <cell r="Q1497">
            <v>2667.1297</v>
          </cell>
          <cell r="R1497">
            <v>2746.7758199999998</v>
          </cell>
          <cell r="S1497">
            <v>2821.4229399999999</v>
          </cell>
          <cell r="T1497">
            <v>2898.5585599999999</v>
          </cell>
          <cell r="U1497">
            <v>2975.69418</v>
          </cell>
          <cell r="V1497">
            <v>3052.8298</v>
          </cell>
          <cell r="W1497">
            <v>3129.96542</v>
          </cell>
          <cell r="X1497">
            <v>3207.10104</v>
          </cell>
          <cell r="Y1497">
            <v>2493.309898</v>
          </cell>
        </row>
        <row r="1498">
          <cell r="B1498">
            <v>580500</v>
          </cell>
          <cell r="C1498" t="str">
            <v>NOT USED</v>
          </cell>
          <cell r="D1498" t="str">
            <v>DIVIDENDS - COMMON STOCK</v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580505</v>
          </cell>
          <cell r="C1499" t="str">
            <v>CAP</v>
          </cell>
          <cell r="D1499" t="str">
            <v>DIVIDENDS - PREFERRED STOCK-SERIES F</v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>
            <v>580505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580510</v>
          </cell>
          <cell r="C1500" t="str">
            <v>CAP</v>
          </cell>
          <cell r="D1500" t="str">
            <v>DIVIDENDS - PREFERRED STOCK-SERIES H</v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>
            <v>580510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580515</v>
          </cell>
          <cell r="C1501" t="str">
            <v>CAP</v>
          </cell>
          <cell r="D1501" t="str">
            <v>DIVIDENDS - PREFERRED STOCK-SERIES I</v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>
            <v>580515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580520</v>
          </cell>
          <cell r="C1502" t="str">
            <v>CAP</v>
          </cell>
          <cell r="D1502" t="str">
            <v>DIVIDENDS - PREFERRED STOCK-SERIES J</v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>
            <v>580520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580525</v>
          </cell>
          <cell r="C1503" t="str">
            <v>CAP</v>
          </cell>
          <cell r="D1503" t="str">
            <v>DIVIDENDS - PREFERRED STOCK-SERIES K</v>
          </cell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>
            <v>580525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580530</v>
          </cell>
          <cell r="C1504" t="str">
            <v>CAP</v>
          </cell>
          <cell r="D1504" t="str">
            <v>DIVIDENDS - PREFERRED STOCK-SERIES M</v>
          </cell>
          <cell r="E1504" t="str">
            <v/>
          </cell>
          <cell r="F1504" t="str">
            <v/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>
            <v>580530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580535</v>
          </cell>
          <cell r="C1505" t="str">
            <v>CAP</v>
          </cell>
          <cell r="D1505" t="str">
            <v>DIVIDENDS - PREFERRED STOCK-SERIES V</v>
          </cell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>
            <v>580535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590100</v>
          </cell>
          <cell r="C1506" t="str">
            <v>NOT USED</v>
          </cell>
          <cell r="D1506" t="str">
            <v>TRAVEL EXPENSES EXCLUDE MEALS AND ENTERTAINMENT</v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/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590101</v>
          </cell>
          <cell r="C1507" t="str">
            <v>NOT USED</v>
          </cell>
          <cell r="D1507" t="str">
            <v>"OFFICER TRAVEL EXP, EXCLUDING MEALS&amp;ENTERTAIN"</v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/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590110</v>
          </cell>
          <cell r="C1508" t="str">
            <v>NOT USED</v>
          </cell>
          <cell r="D1508" t="str">
            <v>TRAVEL - TRANSPORTATION</v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/>
          </cell>
          <cell r="L1508">
            <v>126.67074</v>
          </cell>
          <cell r="M1508">
            <v>2.2806099999999998</v>
          </cell>
          <cell r="N1508">
            <v>4.9466000000000001</v>
          </cell>
          <cell r="O1508">
            <v>12.456619999999999</v>
          </cell>
          <cell r="P1508">
            <v>19.00656</v>
          </cell>
          <cell r="Q1508">
            <v>26.800560000000001</v>
          </cell>
          <cell r="R1508">
            <v>36.948360000000001</v>
          </cell>
          <cell r="S1508">
            <v>45.073790000000002</v>
          </cell>
          <cell r="T1508">
            <v>51.050109999999997</v>
          </cell>
          <cell r="U1508">
            <v>59.077100000000002</v>
          </cell>
          <cell r="V1508">
            <v>76.273539999999997</v>
          </cell>
          <cell r="W1508">
            <v>86.294060000000002</v>
          </cell>
          <cell r="X1508">
            <v>75.41198</v>
          </cell>
          <cell r="Y1508">
            <v>43.437438999999998</v>
          </cell>
        </row>
        <row r="1509">
          <cell r="B1509">
            <v>590111</v>
          </cell>
          <cell r="C1509" t="str">
            <v>NOT USED</v>
          </cell>
          <cell r="D1509" t="str">
            <v>EEPS-EMPLOYEE TRANSPORTATION</v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/>
          </cell>
          <cell r="O1509">
            <v>4.4000000000000003E-3</v>
          </cell>
          <cell r="P1509">
            <v>1.056E-2</v>
          </cell>
          <cell r="Q1509">
            <v>0.20449999999999999</v>
          </cell>
          <cell r="R1509">
            <v>0.98501000000000005</v>
          </cell>
          <cell r="S1509">
            <v>1.07805</v>
          </cell>
          <cell r="T1509">
            <v>1.0894900000000001</v>
          </cell>
          <cell r="U1509">
            <v>1.0894900000000001</v>
          </cell>
          <cell r="V1509">
            <v>1.12117</v>
          </cell>
          <cell r="W1509">
            <v>0.96089999999999998</v>
          </cell>
          <cell r="X1509">
            <v>1.2533799999999999</v>
          </cell>
          <cell r="Y1509">
            <v>0.597522</v>
          </cell>
        </row>
        <row r="1510">
          <cell r="B1510">
            <v>590120</v>
          </cell>
          <cell r="C1510" t="str">
            <v>NOT USED</v>
          </cell>
          <cell r="D1510" t="str">
            <v>TRAVEL - MEALS AND ENTERTAINMENT</v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/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590121</v>
          </cell>
          <cell r="C1511" t="str">
            <v>NOT USED</v>
          </cell>
          <cell r="D1511" t="str">
            <v>OFFICER TRAVEL-MEALS&amp;ENTERTAIN (NON-TAX)</v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/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590130</v>
          </cell>
          <cell r="C1512" t="str">
            <v>NOT USED</v>
          </cell>
          <cell r="D1512" t="str">
            <v>TRAVEL - MILEAGE</v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/>
          </cell>
          <cell r="L1512">
            <v>302.36342000000002</v>
          </cell>
          <cell r="M1512">
            <v>13.829879999999999</v>
          </cell>
          <cell r="N1512">
            <v>38.424079999999996</v>
          </cell>
          <cell r="O1512">
            <v>58.660530000000001</v>
          </cell>
          <cell r="P1512">
            <v>91.633179999999996</v>
          </cell>
          <cell r="Q1512">
            <v>117.82763</v>
          </cell>
          <cell r="R1512">
            <v>144.26644999999999</v>
          </cell>
          <cell r="S1512">
            <v>169.99806000000001</v>
          </cell>
          <cell r="T1512">
            <v>195.24879999999999</v>
          </cell>
          <cell r="U1512">
            <v>235.39534</v>
          </cell>
          <cell r="V1512">
            <v>263.69096999999999</v>
          </cell>
          <cell r="W1512">
            <v>290.30376999999999</v>
          </cell>
          <cell r="X1512">
            <v>313.43781000000001</v>
          </cell>
          <cell r="Y1512">
            <v>160.598275</v>
          </cell>
        </row>
        <row r="1513">
          <cell r="B1513">
            <v>590200</v>
          </cell>
          <cell r="C1513" t="str">
            <v>NOT USED</v>
          </cell>
          <cell r="D1513" t="str">
            <v>TRAINING - REGISTRATION FEES</v>
          </cell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/>
          </cell>
          <cell r="L1513">
            <v>10.668329999999999</v>
          </cell>
          <cell r="M1513">
            <v>1.7444599999999999</v>
          </cell>
          <cell r="N1513">
            <v>1.9094599999999999</v>
          </cell>
          <cell r="O1513">
            <v>2.7914599999999998</v>
          </cell>
          <cell r="P1513">
            <v>5.3850600000000002</v>
          </cell>
          <cell r="Q1513">
            <v>11.55016</v>
          </cell>
          <cell r="R1513">
            <v>17.071660000000001</v>
          </cell>
          <cell r="S1513">
            <v>18.669409999999999</v>
          </cell>
          <cell r="T1513">
            <v>23.44641</v>
          </cell>
          <cell r="U1513">
            <v>23.738409999999998</v>
          </cell>
          <cell r="V1513">
            <v>30.096810000000001</v>
          </cell>
          <cell r="W1513">
            <v>40.806310000000003</v>
          </cell>
          <cell r="X1513">
            <v>54.87988</v>
          </cell>
          <cell r="Y1513">
            <v>17.498643000000001</v>
          </cell>
        </row>
        <row r="1514">
          <cell r="B1514">
            <v>590202</v>
          </cell>
          <cell r="C1514" t="str">
            <v>NOT USED</v>
          </cell>
          <cell r="D1514" t="str">
            <v>TRAINING - MANAGEMENT AND PROFESSIONAL DEVELOPMEN</v>
          </cell>
          <cell r="E1514" t="str">
            <v/>
          </cell>
          <cell r="F1514" t="str">
            <v/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/>
          </cell>
          <cell r="V1514">
            <v>1.09795</v>
          </cell>
          <cell r="W1514">
            <v>1.12696</v>
          </cell>
          <cell r="X1514">
            <v>1.9517500000000001</v>
          </cell>
          <cell r="Y1514">
            <v>0.26673200000000002</v>
          </cell>
        </row>
        <row r="1515">
          <cell r="B1515">
            <v>590205</v>
          </cell>
          <cell r="C1515" t="str">
            <v>NOT USED</v>
          </cell>
          <cell r="D1515" t="str">
            <v>TRAINING - MANAGEMENT AND PROFESSIONAL DEVELOPMEN</v>
          </cell>
          <cell r="E1515" t="str">
            <v/>
          </cell>
          <cell r="F1515" t="str">
            <v/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/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590210</v>
          </cell>
          <cell r="C1516" t="str">
            <v>NOT USED</v>
          </cell>
          <cell r="D1516" t="str">
            <v>TRAINING - MATERIALS AND OTHER</v>
          </cell>
          <cell r="E1516" t="str">
            <v/>
          </cell>
          <cell r="F1516" t="str">
            <v/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/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590225</v>
          </cell>
          <cell r="C1517" t="str">
            <v>NOT USED</v>
          </cell>
          <cell r="D1517" t="str">
            <v>EMPLOYEE - MEALS</v>
          </cell>
          <cell r="E1517" t="str">
            <v/>
          </cell>
          <cell r="F1517" t="str">
            <v/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/>
          </cell>
          <cell r="L1517">
            <v>95.034040000000005</v>
          </cell>
          <cell r="M1517">
            <v>6.2148199999999996</v>
          </cell>
          <cell r="N1517">
            <v>8.7655999999999992</v>
          </cell>
          <cell r="O1517">
            <v>13.32166</v>
          </cell>
          <cell r="P1517">
            <v>20.87312</v>
          </cell>
          <cell r="Q1517">
            <v>28.582460000000001</v>
          </cell>
          <cell r="R1517">
            <v>37.149529999999999</v>
          </cell>
          <cell r="S1517">
            <v>44.622459999999997</v>
          </cell>
          <cell r="T1517">
            <v>53.30592</v>
          </cell>
          <cell r="U1517">
            <v>59.596420000000002</v>
          </cell>
          <cell r="V1517">
            <v>72.637339999999995</v>
          </cell>
          <cell r="W1517">
            <v>81.372590000000002</v>
          </cell>
          <cell r="X1517">
            <v>106.59914000000001</v>
          </cell>
          <cell r="Y1517">
            <v>43.938209000000001</v>
          </cell>
        </row>
        <row r="1518">
          <cell r="B1518">
            <v>590226</v>
          </cell>
          <cell r="C1518" t="str">
            <v>NOT USED</v>
          </cell>
          <cell r="D1518" t="str">
            <v>MEAL ENTITLEMENT</v>
          </cell>
          <cell r="E1518" t="str">
            <v/>
          </cell>
          <cell r="F1518" t="str">
            <v/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/>
          </cell>
          <cell r="L1518">
            <v>1.7999999999999999E-2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-1.25</v>
          </cell>
          <cell r="U1518">
            <v>-1.25</v>
          </cell>
          <cell r="V1518">
            <v>-1.25</v>
          </cell>
          <cell r="W1518">
            <v>-1.25</v>
          </cell>
          <cell r="X1518">
            <v>-1.25</v>
          </cell>
          <cell r="Y1518">
            <v>-0.46800000000000003</v>
          </cell>
        </row>
        <row r="1519">
          <cell r="B1519">
            <v>590227</v>
          </cell>
          <cell r="C1519" t="str">
            <v>NOT USED</v>
          </cell>
          <cell r="D1519" t="str">
            <v>EEPS-EMPLOYEE - MEALS</v>
          </cell>
          <cell r="E1519" t="str">
            <v/>
          </cell>
          <cell r="F1519" t="str">
            <v/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/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0.11501</v>
          </cell>
          <cell r="Q1519">
            <v>0.22153</v>
          </cell>
          <cell r="R1519">
            <v>0.36057</v>
          </cell>
          <cell r="S1519">
            <v>0.46615000000000001</v>
          </cell>
          <cell r="T1519">
            <v>0.59665999999999997</v>
          </cell>
          <cell r="U1519">
            <v>0.63246000000000002</v>
          </cell>
          <cell r="V1519">
            <v>0.65890000000000004</v>
          </cell>
          <cell r="W1519">
            <v>0.68067</v>
          </cell>
          <cell r="X1519">
            <v>1.1653</v>
          </cell>
          <cell r="Y1519">
            <v>0.35954999999999998</v>
          </cell>
        </row>
        <row r="1520">
          <cell r="B1520">
            <v>590230</v>
          </cell>
          <cell r="C1520" t="str">
            <v>NOT USED</v>
          </cell>
          <cell r="D1520" t="str">
            <v>EMPLOYEE - MEALS - NON-TAXABLE TO EMPLOYEE</v>
          </cell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1">
          <cell r="B1521">
            <v>590235</v>
          </cell>
          <cell r="C1521" t="str">
            <v>NOT USED</v>
          </cell>
          <cell r="D1521" t="str">
            <v>EMPLOYEE - MEALS - TAXABLE TO EMPLOYEE</v>
          </cell>
          <cell r="E1521" t="str">
            <v/>
          </cell>
          <cell r="F1521" t="str">
            <v/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/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</row>
        <row r="1522">
          <cell r="B1522">
            <v>590240</v>
          </cell>
          <cell r="C1522" t="str">
            <v>NOT USED</v>
          </cell>
          <cell r="D1522" t="str">
            <v>EMPLOYEE - MEALS - COMPANY SPONSORED EVENTS</v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/>
          </cell>
          <cell r="L1522">
            <v>0.29315999999999998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1.2215E-2</v>
          </cell>
        </row>
        <row r="1523">
          <cell r="B1523">
            <v>590245</v>
          </cell>
          <cell r="C1523" t="str">
            <v>NOT USED</v>
          </cell>
          <cell r="D1523" t="str">
            <v>EMPLOYEE - LODGING</v>
          </cell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/>
          </cell>
          <cell r="L1523">
            <v>147.90096</v>
          </cell>
          <cell r="M1523">
            <v>2.2122299999999999</v>
          </cell>
          <cell r="N1523">
            <v>7.1151200000000001</v>
          </cell>
          <cell r="O1523">
            <v>20.320589999999999</v>
          </cell>
          <cell r="P1523">
            <v>30.11928</v>
          </cell>
          <cell r="Q1523">
            <v>39.828040000000001</v>
          </cell>
          <cell r="R1523">
            <v>64.631990000000002</v>
          </cell>
          <cell r="S1523">
            <v>76.773210000000006</v>
          </cell>
          <cell r="T1523">
            <v>90.334220000000002</v>
          </cell>
          <cell r="U1523">
            <v>97.470529999999997</v>
          </cell>
          <cell r="V1523">
            <v>113.93068</v>
          </cell>
          <cell r="W1523">
            <v>134.90701000000001</v>
          </cell>
          <cell r="X1523">
            <v>161.93594999999999</v>
          </cell>
          <cell r="Y1523">
            <v>69.380112999999994</v>
          </cell>
        </row>
        <row r="1524">
          <cell r="B1524">
            <v>590246</v>
          </cell>
          <cell r="C1524" t="str">
            <v>NOT USED</v>
          </cell>
          <cell r="D1524" t="str">
            <v>EEPS-EMPLOYEE - LODGING</v>
          </cell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/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0.41208</v>
          </cell>
          <cell r="Q1524">
            <v>0.70998000000000006</v>
          </cell>
          <cell r="R1524">
            <v>0.70998000000000006</v>
          </cell>
          <cell r="S1524">
            <v>1.3972599999999999</v>
          </cell>
          <cell r="T1524">
            <v>1.3972599999999999</v>
          </cell>
          <cell r="U1524">
            <v>1.58849</v>
          </cell>
          <cell r="V1524">
            <v>1.8346</v>
          </cell>
          <cell r="W1524">
            <v>2.6238600000000001</v>
          </cell>
          <cell r="X1524">
            <v>3.8289399999999998</v>
          </cell>
          <cell r="Y1524">
            <v>1.0489980000000001</v>
          </cell>
        </row>
        <row r="1525">
          <cell r="B1525">
            <v>590250</v>
          </cell>
          <cell r="C1525" t="str">
            <v>NOT USED</v>
          </cell>
          <cell r="D1525" t="str">
            <v>EMPLOYEE - MEMBERSHIP DUES</v>
          </cell>
          <cell r="E1525" t="str">
            <v/>
          </cell>
          <cell r="F1525" t="str">
            <v/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/>
          </cell>
          <cell r="L1525">
            <v>13.10009</v>
          </cell>
          <cell r="M1525">
            <v>9.1499999999999998E-2</v>
          </cell>
          <cell r="N1525">
            <v>0.86899999999999999</v>
          </cell>
          <cell r="O1525">
            <v>0.86899999999999999</v>
          </cell>
          <cell r="P1525">
            <v>2.2768600000000001</v>
          </cell>
          <cell r="Q1525">
            <v>4.5116399999999999</v>
          </cell>
          <cell r="R1525">
            <v>4.7563199999999997</v>
          </cell>
          <cell r="S1525">
            <v>5.4509999999999996</v>
          </cell>
          <cell r="T1525">
            <v>6.2510000000000003</v>
          </cell>
          <cell r="U1525">
            <v>6.4260000000000002</v>
          </cell>
          <cell r="V1525">
            <v>7.1414999999999997</v>
          </cell>
          <cell r="W1525">
            <v>13.9415</v>
          </cell>
          <cell r="X1525">
            <v>15.554500000000001</v>
          </cell>
          <cell r="Y1525">
            <v>5.5760509999999996</v>
          </cell>
        </row>
        <row r="1526">
          <cell r="B1526">
            <v>590251</v>
          </cell>
          <cell r="C1526" t="str">
            <v>NOT USED</v>
          </cell>
          <cell r="D1526" t="str">
            <v>EEPS-EMPLOYEE - MEMBERSHIP DUES</v>
          </cell>
          <cell r="E1526" t="str">
            <v/>
          </cell>
          <cell r="F1526" t="str">
            <v/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/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2.2000000000000002</v>
          </cell>
          <cell r="U1526">
            <v>2.2000000000000002</v>
          </cell>
          <cell r="V1526">
            <v>2.2000000000000002</v>
          </cell>
          <cell r="W1526">
            <v>2.2000000000000002</v>
          </cell>
          <cell r="X1526">
            <v>2.2000000000000002</v>
          </cell>
          <cell r="Y1526">
            <v>0.82499999999999996</v>
          </cell>
        </row>
        <row r="1527">
          <cell r="B1527">
            <v>590255</v>
          </cell>
          <cell r="C1527" t="str">
            <v>NOT USED</v>
          </cell>
          <cell r="D1527" t="str">
            <v>EMPLOYEE - ENTERTAINMENT EXPENSES</v>
          </cell>
          <cell r="E1527" t="str">
            <v/>
          </cell>
          <cell r="F1527" t="str">
            <v/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/>
          </cell>
          <cell r="L1527">
            <v>0.11912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0.27789000000000003</v>
          </cell>
          <cell r="W1527">
            <v>0.30288999999999999</v>
          </cell>
          <cell r="X1527">
            <v>0.30288999999999999</v>
          </cell>
          <cell r="Y1527">
            <v>6.5981999999999999E-2</v>
          </cell>
        </row>
        <row r="1528">
          <cell r="B1528">
            <v>590260</v>
          </cell>
          <cell r="C1528" t="str">
            <v>NOT USED</v>
          </cell>
          <cell r="D1528" t="str">
            <v>EMPLOYEE (OFFICERS) - CLUB DUES</v>
          </cell>
          <cell r="E1528" t="str">
            <v/>
          </cell>
          <cell r="F1528" t="str">
            <v/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/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</row>
        <row r="1529">
          <cell r="B1529">
            <v>590300</v>
          </cell>
          <cell r="C1529" t="str">
            <v>NOT USED</v>
          </cell>
          <cell r="D1529" t="str">
            <v>MEMBERSHIPS &amp; SUBSCRIPTIONS</v>
          </cell>
          <cell r="E1529" t="str">
            <v/>
          </cell>
          <cell r="F1529" t="str">
            <v/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/>
          </cell>
          <cell r="L1529">
            <v>48.969540000000002</v>
          </cell>
          <cell r="M1529">
            <v>8.65</v>
          </cell>
          <cell r="N1529">
            <v>9.8696999999999999</v>
          </cell>
          <cell r="O1529">
            <v>28.25197</v>
          </cell>
          <cell r="P1529">
            <v>31.328880000000002</v>
          </cell>
          <cell r="Q1529">
            <v>32.667589999999997</v>
          </cell>
          <cell r="R1529">
            <v>47.20429</v>
          </cell>
          <cell r="S1529">
            <v>50.258020000000002</v>
          </cell>
          <cell r="T1529">
            <v>50.43676</v>
          </cell>
          <cell r="U1529">
            <v>65.11206</v>
          </cell>
          <cell r="V1529">
            <v>68.643349999999998</v>
          </cell>
          <cell r="W1529">
            <v>70.148420000000002</v>
          </cell>
          <cell r="X1529">
            <v>71.96208</v>
          </cell>
          <cell r="Y1529">
            <v>43.586404000000002</v>
          </cell>
        </row>
        <row r="1530">
          <cell r="B1530">
            <v>590301</v>
          </cell>
          <cell r="C1530" t="str">
            <v>NOT USED</v>
          </cell>
          <cell r="D1530" t="str">
            <v>CORPORATE DUES&amp;MEMBERSHIPS FEES</v>
          </cell>
          <cell r="E1530" t="str">
            <v/>
          </cell>
          <cell r="F1530" t="str">
            <v/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/>
          </cell>
          <cell r="L1530">
            <v>61.662500000000001</v>
          </cell>
          <cell r="M1530">
            <v>0</v>
          </cell>
          <cell r="N1530">
            <v>0.125</v>
          </cell>
          <cell r="O1530">
            <v>0.55000000000000004</v>
          </cell>
          <cell r="P1530">
            <v>98.510279999999995</v>
          </cell>
          <cell r="Q1530">
            <v>101.51027999999999</v>
          </cell>
          <cell r="R1530">
            <v>98.510279999999995</v>
          </cell>
          <cell r="S1530">
            <v>98.956280000000007</v>
          </cell>
          <cell r="T1530">
            <v>98.956280000000007</v>
          </cell>
          <cell r="U1530">
            <v>99.301280000000006</v>
          </cell>
          <cell r="V1530">
            <v>99.301280000000006</v>
          </cell>
          <cell r="W1530">
            <v>102.04628</v>
          </cell>
          <cell r="X1530">
            <v>151.36870999999999</v>
          </cell>
          <cell r="Y1530">
            <v>75.356904</v>
          </cell>
        </row>
        <row r="1531">
          <cell r="B1531">
            <v>590390</v>
          </cell>
          <cell r="C1531" t="str">
            <v>NOT USED</v>
          </cell>
          <cell r="D1531" t="str">
            <v>GENERAL - CARRY FORWARD BALANCE TRANSFERS</v>
          </cell>
          <cell r="E1531" t="str">
            <v/>
          </cell>
          <cell r="F1531" t="str">
            <v/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/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590400</v>
          </cell>
          <cell r="C1532" t="str">
            <v>NOT USED</v>
          </cell>
          <cell r="D1532" t="str">
            <v>GENERAL - CIAC-TAXABLE</v>
          </cell>
          <cell r="E1532" t="str">
            <v/>
          </cell>
          <cell r="F1532" t="str">
            <v/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/>
          </cell>
          <cell r="L1532">
            <v>-3480.93768</v>
          </cell>
          <cell r="M1532">
            <v>-68.197270000000003</v>
          </cell>
          <cell r="N1532">
            <v>-143.45756</v>
          </cell>
          <cell r="O1532">
            <v>-312.25202000000002</v>
          </cell>
          <cell r="P1532">
            <v>-453.47773999999998</v>
          </cell>
          <cell r="Q1532">
            <v>-624.69091000000003</v>
          </cell>
          <cell r="R1532">
            <v>-1001.56697</v>
          </cell>
          <cell r="S1532">
            <v>-1530.1476</v>
          </cell>
          <cell r="T1532">
            <v>-1689.2198000000001</v>
          </cell>
          <cell r="U1532">
            <v>-1778.55466</v>
          </cell>
          <cell r="V1532">
            <v>-2061.9007200000001</v>
          </cell>
          <cell r="W1532">
            <v>-2217.16131</v>
          </cell>
          <cell r="X1532">
            <v>-2350.1587300000001</v>
          </cell>
          <cell r="Y1532">
            <v>-1233.0145640000001</v>
          </cell>
        </row>
        <row r="1533">
          <cell r="B1533">
            <v>590405</v>
          </cell>
          <cell r="C1533" t="str">
            <v>NOT USED</v>
          </cell>
          <cell r="D1533" t="str">
            <v>GENERAL - CIAC-NONTAXABLE</v>
          </cell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/>
          </cell>
          <cell r="L1533">
            <v>-786.65275999999994</v>
          </cell>
          <cell r="M1533">
            <v>13.629189999999999</v>
          </cell>
          <cell r="N1533">
            <v>-18.792259999999999</v>
          </cell>
          <cell r="O1533">
            <v>-61.498109999999997</v>
          </cell>
          <cell r="P1533">
            <v>-127.45605999999999</v>
          </cell>
          <cell r="Q1533">
            <v>-146.10162</v>
          </cell>
          <cell r="R1533">
            <v>-168.45567</v>
          </cell>
          <cell r="S1533">
            <v>-154.46065999999999</v>
          </cell>
          <cell r="T1533">
            <v>-150.52741</v>
          </cell>
          <cell r="U1533">
            <v>-144.27622</v>
          </cell>
          <cell r="V1533">
            <v>-184.55080000000001</v>
          </cell>
          <cell r="W1533">
            <v>-463.52656999999999</v>
          </cell>
          <cell r="X1533">
            <v>-627.82286999999997</v>
          </cell>
          <cell r="Y1533">
            <v>-192.77116699999999</v>
          </cell>
        </row>
        <row r="1534">
          <cell r="B1534">
            <v>590406</v>
          </cell>
          <cell r="C1534" t="str">
            <v>NOT USED</v>
          </cell>
          <cell r="D1534" t="str">
            <v>GENERAL - GRANTS - CREDIT TO CAPITAL</v>
          </cell>
          <cell r="E1534" t="str">
            <v/>
          </cell>
          <cell r="F1534" t="str">
            <v/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/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-5.7502399999999998</v>
          </cell>
          <cell r="S1534">
            <v>-7.68187</v>
          </cell>
          <cell r="T1534">
            <v>-7.68187</v>
          </cell>
          <cell r="U1534">
            <v>-7.68187</v>
          </cell>
          <cell r="V1534">
            <v>-7.68187</v>
          </cell>
          <cell r="W1534">
            <v>-31.622990000000001</v>
          </cell>
          <cell r="X1534">
            <v>-623.15261999999996</v>
          </cell>
          <cell r="Y1534">
            <v>-31.639752000000001</v>
          </cell>
        </row>
        <row r="1535">
          <cell r="B1535">
            <v>590408</v>
          </cell>
          <cell r="C1535" t="str">
            <v>NOT USED</v>
          </cell>
          <cell r="D1535" t="str">
            <v>GENERAL-JOINT OWNED ELECTRIC PROPERTY PURCHASES</v>
          </cell>
          <cell r="E1535" t="str">
            <v/>
          </cell>
          <cell r="F1535" t="str">
            <v/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/>
          </cell>
          <cell r="L1535">
            <v>13.893000000000001</v>
          </cell>
          <cell r="M1535">
            <v>8.3000000000000004E-2</v>
          </cell>
          <cell r="N1535">
            <v>0.16600000000000001</v>
          </cell>
          <cell r="O1535">
            <v>2.6379999999999999</v>
          </cell>
          <cell r="P1535">
            <v>2.6379999999999999</v>
          </cell>
          <cell r="Q1535">
            <v>22.263000000000002</v>
          </cell>
          <cell r="R1535">
            <v>31.067</v>
          </cell>
          <cell r="S1535">
            <v>34.137999999999998</v>
          </cell>
          <cell r="T1535">
            <v>36.927</v>
          </cell>
          <cell r="U1535">
            <v>40.027999999999999</v>
          </cell>
          <cell r="V1535">
            <v>40.027999999999999</v>
          </cell>
          <cell r="W1535">
            <v>53.423000000000002</v>
          </cell>
          <cell r="X1535">
            <v>53.423000000000002</v>
          </cell>
          <cell r="Y1535">
            <v>24.754750000000001</v>
          </cell>
        </row>
        <row r="1536">
          <cell r="B1536">
            <v>590409</v>
          </cell>
          <cell r="C1536" t="str">
            <v>NOT USED</v>
          </cell>
          <cell r="D1536" t="str">
            <v>JOINT OWNED ELECTRIC PROPERTY SALES</v>
          </cell>
          <cell r="E1536" t="str">
            <v/>
          </cell>
          <cell r="F1536" t="str">
            <v/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/>
          </cell>
          <cell r="L1536">
            <v>-558.77350000000001</v>
          </cell>
          <cell r="M1536">
            <v>-69.357740000000007</v>
          </cell>
          <cell r="N1536">
            <v>-107.27464000000001</v>
          </cell>
          <cell r="O1536">
            <v>-139.49163999999999</v>
          </cell>
          <cell r="P1536">
            <v>-152.69408999999999</v>
          </cell>
          <cell r="Q1536">
            <v>-146.26209</v>
          </cell>
          <cell r="R1536">
            <v>-207.06009</v>
          </cell>
          <cell r="S1536">
            <v>-229.64909</v>
          </cell>
          <cell r="T1536">
            <v>-236.42309</v>
          </cell>
          <cell r="U1536">
            <v>-247.62409</v>
          </cell>
          <cell r="V1536">
            <v>-307.57909000000001</v>
          </cell>
          <cell r="W1536">
            <v>-316.38709</v>
          </cell>
          <cell r="X1536">
            <v>-315.61509000000001</v>
          </cell>
          <cell r="Y1536">
            <v>-216.41641999999999</v>
          </cell>
        </row>
        <row r="1537">
          <cell r="B1537">
            <v>590410</v>
          </cell>
          <cell r="C1537" t="str">
            <v>NOT USED</v>
          </cell>
          <cell r="D1537" t="str">
            <v>GENERAL - MISCELLANEOUS BILLING EXPENSES</v>
          </cell>
          <cell r="E1537" t="str">
            <v/>
          </cell>
          <cell r="F1537" t="str">
            <v/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/>
          </cell>
          <cell r="L1537">
            <v>41.736229999999999</v>
          </cell>
          <cell r="M1537">
            <v>0</v>
          </cell>
          <cell r="N1537">
            <v>3.44699</v>
          </cell>
          <cell r="O1537">
            <v>15.87406</v>
          </cell>
          <cell r="P1537">
            <v>16.908180000000002</v>
          </cell>
          <cell r="Q1537">
            <v>16.908180000000002</v>
          </cell>
          <cell r="R1537">
            <v>18.903829999999999</v>
          </cell>
          <cell r="S1537">
            <v>18.903829999999999</v>
          </cell>
          <cell r="T1537">
            <v>20.74653</v>
          </cell>
          <cell r="U1537">
            <v>24.075089999999999</v>
          </cell>
          <cell r="V1537">
            <v>26.491689999999998</v>
          </cell>
          <cell r="W1537">
            <v>30.5747</v>
          </cell>
          <cell r="X1537">
            <v>30.5747</v>
          </cell>
          <cell r="Y1537">
            <v>19.082379</v>
          </cell>
        </row>
        <row r="1538">
          <cell r="B1538">
            <v>590411</v>
          </cell>
          <cell r="C1538" t="str">
            <v>NOT USED</v>
          </cell>
          <cell r="D1538" t="str">
            <v>GENERAL - LOW INCOME PROGRAM</v>
          </cell>
          <cell r="E1538" t="str">
            <v/>
          </cell>
          <cell r="F1538" t="str">
            <v/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/>
          </cell>
          <cell r="L1538">
            <v>816.96972000000005</v>
          </cell>
          <cell r="M1538">
            <v>377.15994000000001</v>
          </cell>
          <cell r="N1538">
            <v>762.56669999999997</v>
          </cell>
          <cell r="O1538">
            <v>1170.0538799999999</v>
          </cell>
          <cell r="P1538">
            <v>1590.12328</v>
          </cell>
          <cell r="Q1538">
            <v>2021.57996</v>
          </cell>
          <cell r="R1538">
            <v>2459.39113</v>
          </cell>
          <cell r="S1538">
            <v>2896.94668</v>
          </cell>
          <cell r="T1538">
            <v>3337.4482899999998</v>
          </cell>
          <cell r="U1538">
            <v>3770.9750800000002</v>
          </cell>
          <cell r="V1538">
            <v>4202.0535600000003</v>
          </cell>
          <cell r="W1538">
            <v>4624.6392400000004</v>
          </cell>
          <cell r="X1538">
            <v>5103.9306699999997</v>
          </cell>
          <cell r="Y1538">
            <v>2514.4489950000002</v>
          </cell>
        </row>
        <row r="1539">
          <cell r="B1539">
            <v>590415</v>
          </cell>
          <cell r="C1539" t="str">
            <v>NOT USED</v>
          </cell>
          <cell r="D1539" t="str">
            <v>GENERAL - CASH SUNDRIES</v>
          </cell>
          <cell r="E1539" t="str">
            <v/>
          </cell>
          <cell r="F1539" t="str">
            <v/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/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>
            <v>590420</v>
          </cell>
          <cell r="C1540" t="str">
            <v>NOT USED</v>
          </cell>
          <cell r="D1540" t="str">
            <v>GENERAL - OVERHEAD LOADING-PLANNING</v>
          </cell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/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>
            <v>590422</v>
          </cell>
          <cell r="C1541" t="str">
            <v>NOT USED</v>
          </cell>
          <cell r="D1541" t="str">
            <v>GENERAL - BANK SERVICE FEES</v>
          </cell>
          <cell r="E1541" t="str">
            <v/>
          </cell>
          <cell r="F1541" t="str">
            <v/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/>
          </cell>
          <cell r="L1541">
            <v>352.23662000000002</v>
          </cell>
          <cell r="M1541">
            <v>62.38599</v>
          </cell>
          <cell r="N1541">
            <v>68.504720000000006</v>
          </cell>
          <cell r="O1541">
            <v>74.262200000000007</v>
          </cell>
          <cell r="P1541">
            <v>83.528279999999995</v>
          </cell>
          <cell r="Q1541">
            <v>93.541780000000003</v>
          </cell>
          <cell r="R1541">
            <v>97.468270000000004</v>
          </cell>
          <cell r="S1541">
            <v>149.32965999999999</v>
          </cell>
          <cell r="T1541">
            <v>153.01465999999999</v>
          </cell>
          <cell r="U1541">
            <v>144.06128000000001</v>
          </cell>
          <cell r="V1541">
            <v>149.85954000000001</v>
          </cell>
          <cell r="W1541">
            <v>153.43755999999999</v>
          </cell>
          <cell r="X1541">
            <v>438.77053000000001</v>
          </cell>
          <cell r="Y1541">
            <v>135.40812600000001</v>
          </cell>
        </row>
        <row r="1542">
          <cell r="B1542">
            <v>590423</v>
          </cell>
          <cell r="C1542" t="str">
            <v>NOT USED</v>
          </cell>
          <cell r="D1542" t="str">
            <v>GENERAL - RATING AGENCY FEES</v>
          </cell>
          <cell r="E1542" t="str">
            <v/>
          </cell>
          <cell r="F1542" t="str">
            <v/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/>
          </cell>
          <cell r="L1542">
            <v>36.393410000000003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60.570070000000001</v>
          </cell>
          <cell r="W1542">
            <v>60.570070000000001</v>
          </cell>
          <cell r="X1542">
            <v>76.157070000000004</v>
          </cell>
          <cell r="Y1542">
            <v>14.784615000000001</v>
          </cell>
        </row>
        <row r="1543">
          <cell r="B1543">
            <v>590425</v>
          </cell>
          <cell r="C1543" t="str">
            <v>NOT USED</v>
          </cell>
          <cell r="D1543" t="str">
            <v>GENERAL - PURCHASE OF PROPERTY</v>
          </cell>
          <cell r="E1543" t="str">
            <v/>
          </cell>
          <cell r="F1543" t="str">
            <v/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/>
          </cell>
          <cell r="L1543">
            <v>19.605</v>
          </cell>
          <cell r="M1543">
            <v>0</v>
          </cell>
          <cell r="N1543">
            <v>1</v>
          </cell>
          <cell r="O1543">
            <v>1</v>
          </cell>
          <cell r="P1543">
            <v>1</v>
          </cell>
          <cell r="Q1543">
            <v>7.5</v>
          </cell>
          <cell r="R1543">
            <v>16.004999999999999</v>
          </cell>
          <cell r="S1543">
            <v>16.004999999999999</v>
          </cell>
          <cell r="T1543">
            <v>19.254999999999999</v>
          </cell>
          <cell r="U1543">
            <v>19.254999999999999</v>
          </cell>
          <cell r="V1543">
            <v>19.254999999999999</v>
          </cell>
          <cell r="W1543">
            <v>19.254999999999999</v>
          </cell>
          <cell r="X1543">
            <v>19.483000000000001</v>
          </cell>
          <cell r="Y1543">
            <v>11.589499999999999</v>
          </cell>
        </row>
        <row r="1544">
          <cell r="B1544">
            <v>590430</v>
          </cell>
          <cell r="C1544" t="str">
            <v>NOT USED</v>
          </cell>
          <cell r="D1544" t="str">
            <v>GENERAL - COLLECTIONS - ELECTRIC</v>
          </cell>
          <cell r="E1544" t="str">
            <v/>
          </cell>
          <cell r="F1544" t="str">
            <v/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/>
          </cell>
          <cell r="L1544">
            <v>1523.1238800000001</v>
          </cell>
          <cell r="M1544">
            <v>23.447469999999999</v>
          </cell>
          <cell r="N1544">
            <v>221.64525</v>
          </cell>
          <cell r="O1544">
            <v>460.88889999999998</v>
          </cell>
          <cell r="P1544">
            <v>607.41859999999997</v>
          </cell>
          <cell r="Q1544">
            <v>716.47388000000001</v>
          </cell>
          <cell r="R1544">
            <v>833.17773999999997</v>
          </cell>
          <cell r="S1544">
            <v>943.03799000000004</v>
          </cell>
          <cell r="T1544">
            <v>992.04521</v>
          </cell>
          <cell r="U1544">
            <v>1087.3731700000001</v>
          </cell>
          <cell r="V1544">
            <v>1111.53801</v>
          </cell>
          <cell r="W1544">
            <v>1175.49504</v>
          </cell>
          <cell r="X1544">
            <v>1531.7369900000001</v>
          </cell>
          <cell r="Y1544">
            <v>808.33097499999997</v>
          </cell>
        </row>
        <row r="1545">
          <cell r="B1545">
            <v>590431</v>
          </cell>
          <cell r="C1545" t="str">
            <v>NOT USED</v>
          </cell>
          <cell r="D1545" t="str">
            <v>GENERAL - COLLECTIONS -GAS</v>
          </cell>
          <cell r="E1545" t="str">
            <v/>
          </cell>
          <cell r="F1545" t="str">
            <v/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/>
          </cell>
          <cell r="L1545">
            <v>185.33454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7.7222730000000004</v>
          </cell>
        </row>
        <row r="1546">
          <cell r="B1546">
            <v>590432</v>
          </cell>
          <cell r="C1546" t="str">
            <v>NOT USED</v>
          </cell>
          <cell r="D1546" t="str">
            <v>GENERAL-CCS-OVER/SHORT POSTINGS</v>
          </cell>
          <cell r="E1546" t="str">
            <v/>
          </cell>
          <cell r="F1546" t="str">
            <v/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/>
          </cell>
          <cell r="L1546">
            <v>1.74024</v>
          </cell>
          <cell r="M1546">
            <v>4.5700000000000003E-3</v>
          </cell>
          <cell r="N1546">
            <v>0.27482000000000001</v>
          </cell>
          <cell r="O1546">
            <v>0.59621000000000002</v>
          </cell>
          <cell r="P1546">
            <v>0.75719999999999998</v>
          </cell>
          <cell r="Q1546">
            <v>1.08216</v>
          </cell>
          <cell r="R1546">
            <v>1.4841</v>
          </cell>
          <cell r="S1546">
            <v>2.3762799999999999</v>
          </cell>
          <cell r="T1546">
            <v>2.7868300000000001</v>
          </cell>
          <cell r="U1546">
            <v>2.9102299999999999</v>
          </cell>
          <cell r="V1546">
            <v>3.2548699999999999</v>
          </cell>
          <cell r="W1546">
            <v>3.48732</v>
          </cell>
          <cell r="X1546">
            <v>3.4209000000000001</v>
          </cell>
          <cell r="Y1546">
            <v>1.7995969999999999</v>
          </cell>
        </row>
        <row r="1547">
          <cell r="B1547">
            <v>590433</v>
          </cell>
          <cell r="C1547" t="str">
            <v>NOT USED</v>
          </cell>
          <cell r="D1547" t="str">
            <v>GENERAL-MISCELLANEOUS CUSTOMER ADJUSTMENTS (CCS)</v>
          </cell>
          <cell r="E1547" t="str">
            <v/>
          </cell>
          <cell r="F1547" t="str">
            <v/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/>
          </cell>
          <cell r="L1547">
            <v>4.5849799999999998</v>
          </cell>
          <cell r="M1547">
            <v>1.1715599999999999</v>
          </cell>
          <cell r="N1547">
            <v>1.30331</v>
          </cell>
          <cell r="O1547">
            <v>1.4292499999999999</v>
          </cell>
          <cell r="P1547">
            <v>1.57369</v>
          </cell>
          <cell r="Q1547">
            <v>1.76478</v>
          </cell>
          <cell r="R1547">
            <v>2.0821900000000002</v>
          </cell>
          <cell r="S1547">
            <v>2.4701599999999999</v>
          </cell>
          <cell r="T1547">
            <v>2.5207299999999999</v>
          </cell>
          <cell r="U1547">
            <v>2.7265100000000002</v>
          </cell>
          <cell r="V1547">
            <v>3.1349200000000002</v>
          </cell>
          <cell r="W1547">
            <v>3.2794699999999999</v>
          </cell>
          <cell r="X1547">
            <v>3.4911799999999999</v>
          </cell>
          <cell r="Y1547">
            <v>2.2912210000000002</v>
          </cell>
        </row>
        <row r="1548">
          <cell r="B1548">
            <v>590434</v>
          </cell>
          <cell r="C1548" t="str">
            <v>NOT USED</v>
          </cell>
          <cell r="D1548" t="str">
            <v>GENERAL-CUSTOMER ADJUSTMENTS-OVER/SHORT POSTINGS</v>
          </cell>
          <cell r="E1548" t="str">
            <v/>
          </cell>
          <cell r="F1548" t="str">
            <v/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/>
          </cell>
          <cell r="L1548">
            <v>-2.0899999999999998E-3</v>
          </cell>
          <cell r="M1548">
            <v>8.7000000000000001E-4</v>
          </cell>
          <cell r="N1548">
            <v>1.2700000000000001E-3</v>
          </cell>
          <cell r="O1548">
            <v>9.3500000000000007E-3</v>
          </cell>
          <cell r="P1548">
            <v>8.5000000000000006E-3</v>
          </cell>
          <cell r="Q1548">
            <v>1.065E-2</v>
          </cell>
          <cell r="R1548">
            <v>1.6539999999999999E-2</v>
          </cell>
          <cell r="S1548">
            <v>2.3609999999999999E-2</v>
          </cell>
          <cell r="T1548">
            <v>1.461E-2</v>
          </cell>
          <cell r="U1548">
            <v>1.5980000000000001E-2</v>
          </cell>
          <cell r="V1548">
            <v>1.806E-2</v>
          </cell>
          <cell r="W1548">
            <v>2.043E-2</v>
          </cell>
          <cell r="X1548">
            <v>1.6580000000000001E-2</v>
          </cell>
          <cell r="Y1548">
            <v>1.226E-2</v>
          </cell>
        </row>
        <row r="1549">
          <cell r="B1549">
            <v>590435</v>
          </cell>
          <cell r="C1549" t="str">
            <v>NOT USED</v>
          </cell>
          <cell r="D1549" t="str">
            <v>GENERAL - UNCOLLECTIBLES - ELECTRIC</v>
          </cell>
          <cell r="E1549" t="str">
            <v/>
          </cell>
          <cell r="F1549" t="str">
            <v/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/>
          </cell>
          <cell r="L1549">
            <v>7743.0209999999997</v>
          </cell>
          <cell r="M1549">
            <v>190.71831</v>
          </cell>
          <cell r="N1549">
            <v>247.29638</v>
          </cell>
          <cell r="O1549">
            <v>341.11736000000002</v>
          </cell>
          <cell r="P1549">
            <v>415.7978</v>
          </cell>
          <cell r="Q1549">
            <v>731.06487000000004</v>
          </cell>
          <cell r="R1549">
            <v>1244.08673</v>
          </cell>
          <cell r="S1549">
            <v>1678.7209499999999</v>
          </cell>
          <cell r="T1549">
            <v>3583.7092899999998</v>
          </cell>
          <cell r="U1549">
            <v>4419.2745299999997</v>
          </cell>
          <cell r="V1549">
            <v>5381.6934899999997</v>
          </cell>
          <cell r="W1549">
            <v>6205.7712000000001</v>
          </cell>
          <cell r="X1549">
            <v>6786.8236299999999</v>
          </cell>
          <cell r="Y1549">
            <v>2642.014435</v>
          </cell>
        </row>
        <row r="1550">
          <cell r="B1550">
            <v>590436</v>
          </cell>
          <cell r="C1550" t="str">
            <v>NOT USED</v>
          </cell>
          <cell r="D1550" t="str">
            <v>GENERAL - UNCOLLECTIBLES - GAS</v>
          </cell>
          <cell r="E1550" t="str">
            <v/>
          </cell>
          <cell r="F1550" t="str">
            <v/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/>
          </cell>
          <cell r="L1550">
            <v>6767.2595199999996</v>
          </cell>
          <cell r="M1550">
            <v>78.018659999999997</v>
          </cell>
          <cell r="N1550">
            <v>-9.7774000000000001</v>
          </cell>
          <cell r="O1550">
            <v>72.581100000000006</v>
          </cell>
          <cell r="P1550">
            <v>192.91972000000001</v>
          </cell>
          <cell r="Q1550">
            <v>555.11260000000004</v>
          </cell>
          <cell r="R1550">
            <v>1189.2660000000001</v>
          </cell>
          <cell r="S1550">
            <v>1742.0293300000001</v>
          </cell>
          <cell r="T1550">
            <v>2327.6611899999998</v>
          </cell>
          <cell r="U1550">
            <v>3135.6212700000001</v>
          </cell>
          <cell r="V1550">
            <v>3854.9609099999998</v>
          </cell>
          <cell r="W1550">
            <v>4447.8552900000004</v>
          </cell>
          <cell r="X1550">
            <v>4765.7596400000002</v>
          </cell>
          <cell r="Y1550">
            <v>1946.0631880000001</v>
          </cell>
        </row>
        <row r="1551">
          <cell r="B1551">
            <v>590437</v>
          </cell>
          <cell r="C1551" t="str">
            <v>NOT USED</v>
          </cell>
          <cell r="D1551" t="str">
            <v>GENERAL - DOE PRE 83 NUCLEAR FUEL STORAGE INT COS</v>
          </cell>
          <cell r="E1551" t="str">
            <v/>
          </cell>
          <cell r="F1551" t="str">
            <v/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/>
          </cell>
          <cell r="L1551">
            <v>1985.9999800000001</v>
          </cell>
          <cell r="M1551">
            <v>165.5</v>
          </cell>
          <cell r="N1551">
            <v>331</v>
          </cell>
          <cell r="O1551">
            <v>496.5</v>
          </cell>
          <cell r="P1551">
            <v>662</v>
          </cell>
          <cell r="Q1551">
            <v>827.5</v>
          </cell>
          <cell r="R1551">
            <v>993</v>
          </cell>
          <cell r="S1551">
            <v>1158.5</v>
          </cell>
          <cell r="T1551">
            <v>1324</v>
          </cell>
          <cell r="U1551">
            <v>1489.5</v>
          </cell>
          <cell r="V1551">
            <v>1647.3782699999999</v>
          </cell>
          <cell r="W1551">
            <v>1820.5</v>
          </cell>
          <cell r="X1551">
            <v>1986</v>
          </cell>
          <cell r="Y1551">
            <v>1075.114855</v>
          </cell>
        </row>
        <row r="1552">
          <cell r="B1552">
            <v>590438</v>
          </cell>
          <cell r="C1552" t="str">
            <v>NOT USED</v>
          </cell>
          <cell r="D1552" t="str">
            <v>GENERAL - O&amp;M COST DEFERRAL - ELECTRIC</v>
          </cell>
          <cell r="E1552" t="str">
            <v/>
          </cell>
          <cell r="F1552" t="str">
            <v/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/>
          </cell>
          <cell r="L1552">
            <v>-4568.7041499999996</v>
          </cell>
          <cell r="M1552">
            <v>931.74328000000003</v>
          </cell>
          <cell r="N1552">
            <v>1047.23017</v>
          </cell>
          <cell r="O1552">
            <v>1197.95108</v>
          </cell>
          <cell r="P1552">
            <v>985.52545999999995</v>
          </cell>
          <cell r="Q1552">
            <v>1386.1738499999999</v>
          </cell>
          <cell r="R1552">
            <v>1877.6659199999999</v>
          </cell>
          <cell r="S1552">
            <v>2399.4878600000002</v>
          </cell>
          <cell r="T1552">
            <v>2747.3582799999999</v>
          </cell>
          <cell r="U1552">
            <v>3302.1212300000002</v>
          </cell>
          <cell r="V1552">
            <v>3564.7548200000001</v>
          </cell>
          <cell r="W1552">
            <v>4089.0264200000001</v>
          </cell>
          <cell r="X1552">
            <v>5136.3066699999999</v>
          </cell>
          <cell r="Y1552">
            <v>1984.4033030000001</v>
          </cell>
        </row>
        <row r="1553">
          <cell r="B1553">
            <v>590439</v>
          </cell>
          <cell r="C1553" t="str">
            <v>NOT USED</v>
          </cell>
          <cell r="D1553" t="str">
            <v>GENERAL - O&amp;M COST DEFERRAL - GAS</v>
          </cell>
          <cell r="E1553" t="str">
            <v/>
          </cell>
          <cell r="F1553" t="str">
            <v/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/>
          </cell>
          <cell r="L1553">
            <v>-3053.4557399999999</v>
          </cell>
          <cell r="M1553">
            <v>378.27046000000001</v>
          </cell>
          <cell r="N1553">
            <v>328.40713</v>
          </cell>
          <cell r="O1553">
            <v>297.24578000000002</v>
          </cell>
          <cell r="P1553">
            <v>100.10848</v>
          </cell>
          <cell r="Q1553">
            <v>194.53596999999999</v>
          </cell>
          <cell r="R1553">
            <v>335.51449000000002</v>
          </cell>
          <cell r="S1553">
            <v>491.59663999999998</v>
          </cell>
          <cell r="T1553">
            <v>559.32146999999998</v>
          </cell>
          <cell r="U1553">
            <v>743.55481999999995</v>
          </cell>
          <cell r="V1553">
            <v>756.32331999999997</v>
          </cell>
          <cell r="W1553">
            <v>913.31367999999998</v>
          </cell>
          <cell r="X1553">
            <v>1047.2408700000001</v>
          </cell>
          <cell r="Y1553">
            <v>341.25706700000001</v>
          </cell>
        </row>
        <row r="1554">
          <cell r="B1554">
            <v>590440</v>
          </cell>
          <cell r="C1554" t="str">
            <v>NOT USED</v>
          </cell>
          <cell r="D1554" t="str">
            <v>GENERAL - REGULATORY EXPENSES</v>
          </cell>
          <cell r="E1554" t="str">
            <v/>
          </cell>
          <cell r="F1554" t="str">
            <v/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/>
          </cell>
          <cell r="L1554">
            <v>-5.75</v>
          </cell>
          <cell r="M1554">
            <v>-0.25</v>
          </cell>
          <cell r="N1554">
            <v>-0.5</v>
          </cell>
          <cell r="O1554">
            <v>-1.5</v>
          </cell>
          <cell r="P1554">
            <v>-3</v>
          </cell>
          <cell r="Q1554">
            <v>-3.75</v>
          </cell>
          <cell r="R1554">
            <v>-5</v>
          </cell>
          <cell r="S1554">
            <v>-6.5</v>
          </cell>
          <cell r="T1554">
            <v>-7</v>
          </cell>
          <cell r="U1554">
            <v>-7.25</v>
          </cell>
          <cell r="V1554">
            <v>-7.75</v>
          </cell>
          <cell r="W1554">
            <v>-9.5</v>
          </cell>
          <cell r="X1554">
            <v>-10.5</v>
          </cell>
          <cell r="Y1554">
            <v>-5.0104170000000003</v>
          </cell>
        </row>
        <row r="1555">
          <cell r="B1555">
            <v>590441</v>
          </cell>
          <cell r="C1555" t="str">
            <v>NOT USED</v>
          </cell>
          <cell r="D1555" t="str">
            <v>GENERAL-REGULATORY ASSESSMENT</v>
          </cell>
          <cell r="E1555" t="str">
            <v/>
          </cell>
          <cell r="F1555" t="str">
            <v/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/>
          </cell>
          <cell r="L1555">
            <v>26577.900699999998</v>
          </cell>
          <cell r="M1555">
            <v>2120.4148700000001</v>
          </cell>
          <cell r="N1555">
            <v>4240.8297400000001</v>
          </cell>
          <cell r="O1555">
            <v>6361.2446499999996</v>
          </cell>
          <cell r="P1555">
            <v>8481.6595300000008</v>
          </cell>
          <cell r="Q1555">
            <v>10602.074409999999</v>
          </cell>
          <cell r="R1555">
            <v>12722.48929</v>
          </cell>
          <cell r="S1555">
            <v>14842.90417</v>
          </cell>
          <cell r="T1555">
            <v>16740.514230000001</v>
          </cell>
          <cell r="U1555">
            <v>18841.269899999999</v>
          </cell>
          <cell r="V1555">
            <v>20917.123820000001</v>
          </cell>
          <cell r="W1555">
            <v>22992.977739999998</v>
          </cell>
          <cell r="X1555">
            <v>25068.83166</v>
          </cell>
          <cell r="Y1555">
            <v>13723.905710999999</v>
          </cell>
        </row>
        <row r="1556">
          <cell r="B1556">
            <v>590442</v>
          </cell>
          <cell r="C1556" t="str">
            <v>NOT USED</v>
          </cell>
          <cell r="D1556" t="str">
            <v>GENERAL-OTHER SERVICE FEES</v>
          </cell>
          <cell r="E1556" t="str">
            <v/>
          </cell>
          <cell r="F1556" t="str">
            <v/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/>
          </cell>
          <cell r="L1556">
            <v>240.33457000000001</v>
          </cell>
          <cell r="M1556">
            <v>28.73658</v>
          </cell>
          <cell r="N1556">
            <v>119.63347</v>
          </cell>
          <cell r="O1556">
            <v>228.99536000000001</v>
          </cell>
          <cell r="P1556">
            <v>245.55528000000001</v>
          </cell>
          <cell r="Q1556">
            <v>372.26438000000002</v>
          </cell>
          <cell r="R1556">
            <v>447.78730000000002</v>
          </cell>
          <cell r="S1556">
            <v>461.91773000000001</v>
          </cell>
          <cell r="T1556">
            <v>536.29346999999996</v>
          </cell>
          <cell r="U1556">
            <v>680.80305999999996</v>
          </cell>
          <cell r="V1556">
            <v>681.40741000000003</v>
          </cell>
          <cell r="W1556">
            <v>732.74188000000004</v>
          </cell>
          <cell r="X1556">
            <v>766.35153000000003</v>
          </cell>
          <cell r="Y1556">
            <v>419.95658100000003</v>
          </cell>
        </row>
        <row r="1557">
          <cell r="B1557">
            <v>590444</v>
          </cell>
          <cell r="C1557" t="str">
            <v>NOT USED</v>
          </cell>
          <cell r="D1557" t="str">
            <v>GENERAL-CONSERVATION EXPENSE - RECOVERABLE</v>
          </cell>
          <cell r="E1557" t="str">
            <v/>
          </cell>
          <cell r="F1557" t="str">
            <v/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/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</row>
        <row r="1558">
          <cell r="B1558">
            <v>590445</v>
          </cell>
          <cell r="C1558" t="str">
            <v>NOT USED</v>
          </cell>
          <cell r="D1558" t="str">
            <v>GENERAL - COMPANY USE</v>
          </cell>
          <cell r="E1558" t="str">
            <v/>
          </cell>
          <cell r="F1558" t="str">
            <v/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/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</row>
        <row r="1559">
          <cell r="B1559">
            <v>590446</v>
          </cell>
          <cell r="C1559" t="str">
            <v>NOT USED</v>
          </cell>
          <cell r="D1559" t="str">
            <v>GENERAL-CONSERVATION EXPENSE - OTHER</v>
          </cell>
          <cell r="E1559" t="str">
            <v/>
          </cell>
          <cell r="F1559" t="str">
            <v/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/>
          </cell>
          <cell r="L1559">
            <v>28038.541079999999</v>
          </cell>
          <cell r="M1559">
            <v>2694.12077</v>
          </cell>
          <cell r="N1559">
            <v>3815.8314399999999</v>
          </cell>
          <cell r="O1559">
            <v>5705.32233</v>
          </cell>
          <cell r="P1559">
            <v>7612.2034999999996</v>
          </cell>
          <cell r="Q1559">
            <v>9519.0846700000002</v>
          </cell>
          <cell r="R1559">
            <v>11425.965829999999</v>
          </cell>
          <cell r="S1559">
            <v>13332.847</v>
          </cell>
          <cell r="T1559">
            <v>15239.72817</v>
          </cell>
          <cell r="U1559">
            <v>17146.609329999999</v>
          </cell>
          <cell r="V1559">
            <v>19245.520909999999</v>
          </cell>
          <cell r="W1559">
            <v>21344.432489999999</v>
          </cell>
          <cell r="X1559">
            <v>23443.344089999999</v>
          </cell>
          <cell r="Y1559">
            <v>12735.217419000001</v>
          </cell>
        </row>
        <row r="1560">
          <cell r="B1560">
            <v>590447</v>
          </cell>
          <cell r="C1560" t="str">
            <v>NOT USED</v>
          </cell>
          <cell r="D1560" t="str">
            <v>GENERAL-TRUSTEE FEES</v>
          </cell>
          <cell r="E1560" t="str">
            <v/>
          </cell>
          <cell r="F1560" t="str">
            <v/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/>
          </cell>
          <cell r="L1560">
            <v>65.260000000000005</v>
          </cell>
          <cell r="M1560">
            <v>0</v>
          </cell>
          <cell r="N1560">
            <v>5</v>
          </cell>
          <cell r="O1560">
            <v>5</v>
          </cell>
          <cell r="P1560">
            <v>30</v>
          </cell>
          <cell r="Q1560">
            <v>34</v>
          </cell>
          <cell r="R1560">
            <v>34</v>
          </cell>
          <cell r="S1560">
            <v>44.2</v>
          </cell>
          <cell r="T1560">
            <v>49.2</v>
          </cell>
          <cell r="U1560">
            <v>74.2</v>
          </cell>
          <cell r="V1560">
            <v>74.2</v>
          </cell>
          <cell r="W1560">
            <v>74.2</v>
          </cell>
          <cell r="X1560">
            <v>84.7</v>
          </cell>
          <cell r="Y1560">
            <v>41.581667000000003</v>
          </cell>
        </row>
        <row r="1561">
          <cell r="B1561">
            <v>590448</v>
          </cell>
          <cell r="C1561" t="str">
            <v>NOT USED</v>
          </cell>
          <cell r="D1561" t="str">
            <v>UNCOLLECTIBLES - ELECTRIC SUNDRY</v>
          </cell>
          <cell r="E1561" t="str">
            <v/>
          </cell>
          <cell r="F1561" t="str">
            <v/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/>
          </cell>
          <cell r="L1561">
            <v>157.04175000000001</v>
          </cell>
          <cell r="M1561">
            <v>-17.11056</v>
          </cell>
          <cell r="N1561">
            <v>-16.18356</v>
          </cell>
          <cell r="O1561">
            <v>-16.123560000000001</v>
          </cell>
          <cell r="P1561">
            <v>-8.9486500000000007</v>
          </cell>
          <cell r="Q1561">
            <v>-7.1320399999999999</v>
          </cell>
          <cell r="R1561">
            <v>-8.6770600000000009</v>
          </cell>
          <cell r="S1561">
            <v>79.585350000000005</v>
          </cell>
          <cell r="T1561">
            <v>81.303370000000001</v>
          </cell>
          <cell r="U1561">
            <v>84.781270000000006</v>
          </cell>
          <cell r="V1561">
            <v>85.435699999999997</v>
          </cell>
          <cell r="W1561">
            <v>88.984700000000004</v>
          </cell>
          <cell r="X1561">
            <v>95.148769999999999</v>
          </cell>
          <cell r="Y1561">
            <v>39.334184999999998</v>
          </cell>
        </row>
        <row r="1562">
          <cell r="B1562">
            <v>590449</v>
          </cell>
          <cell r="C1562" t="str">
            <v>NOT USED</v>
          </cell>
          <cell r="D1562" t="str">
            <v>UNCOLLECTIBLES - GAS SUNDRY</v>
          </cell>
          <cell r="E1562" t="str">
            <v/>
          </cell>
          <cell r="F1562" t="str">
            <v/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/>
          </cell>
          <cell r="L1562">
            <v>108.25572</v>
          </cell>
          <cell r="M1562">
            <v>1.89218</v>
          </cell>
          <cell r="N1562">
            <v>-3.3574099999999998</v>
          </cell>
          <cell r="O1562">
            <v>-0.78746000000000005</v>
          </cell>
          <cell r="P1562">
            <v>-1.76111</v>
          </cell>
          <cell r="Q1562">
            <v>0.17474000000000001</v>
          </cell>
          <cell r="R1562">
            <v>4.10365</v>
          </cell>
          <cell r="S1562">
            <v>7.30985</v>
          </cell>
          <cell r="T1562">
            <v>9.1638199999999994</v>
          </cell>
          <cell r="U1562">
            <v>9.55382</v>
          </cell>
          <cell r="V1562">
            <v>9.2642299999999995</v>
          </cell>
          <cell r="W1562">
            <v>9.2935199999999991</v>
          </cell>
          <cell r="X1562">
            <v>9.7572700000000001</v>
          </cell>
          <cell r="Y1562">
            <v>8.6546939999999992</v>
          </cell>
        </row>
        <row r="1563">
          <cell r="B1563">
            <v>590450</v>
          </cell>
          <cell r="C1563" t="str">
            <v>NOT USED</v>
          </cell>
          <cell r="D1563" t="str">
            <v>GENERAL - POSTAGE</v>
          </cell>
          <cell r="E1563" t="str">
            <v/>
          </cell>
          <cell r="F1563" t="str">
            <v/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/>
          </cell>
          <cell r="L1563">
            <v>2200.5631800000001</v>
          </cell>
          <cell r="M1563">
            <v>164.21372</v>
          </cell>
          <cell r="N1563">
            <v>315.90890999999999</v>
          </cell>
          <cell r="O1563">
            <v>511.67667</v>
          </cell>
          <cell r="P1563">
            <v>685.80313000000001</v>
          </cell>
          <cell r="Q1563">
            <v>857.44821000000002</v>
          </cell>
          <cell r="R1563">
            <v>1031.5730599999999</v>
          </cell>
          <cell r="S1563">
            <v>1202.63121</v>
          </cell>
          <cell r="T1563">
            <v>1377.03513</v>
          </cell>
          <cell r="U1563">
            <v>1547.3954100000001</v>
          </cell>
          <cell r="V1563">
            <v>1724.0954400000001</v>
          </cell>
          <cell r="W1563">
            <v>1888.1170099999999</v>
          </cell>
          <cell r="X1563">
            <v>2073.7079600000002</v>
          </cell>
          <cell r="Y1563">
            <v>1120.2527889999999</v>
          </cell>
        </row>
        <row r="1564">
          <cell r="B1564">
            <v>590451</v>
          </cell>
          <cell r="C1564" t="str">
            <v>NOT USED</v>
          </cell>
          <cell r="D1564" t="str">
            <v>UNCOLLECTIBLES RESERVE ADJUSTMENT UTILITY-ELECTRI</v>
          </cell>
          <cell r="E1564" t="str">
            <v/>
          </cell>
          <cell r="F1564" t="str">
            <v/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/>
          </cell>
          <cell r="L1564">
            <v>106</v>
          </cell>
          <cell r="M1564">
            <v>384</v>
          </cell>
          <cell r="N1564">
            <v>1088</v>
          </cell>
          <cell r="O1564">
            <v>1728</v>
          </cell>
          <cell r="P1564">
            <v>2176</v>
          </cell>
          <cell r="Q1564">
            <v>2752</v>
          </cell>
          <cell r="R1564">
            <v>3008</v>
          </cell>
          <cell r="S1564">
            <v>3200</v>
          </cell>
          <cell r="T1564">
            <v>2092</v>
          </cell>
          <cell r="U1564">
            <v>2028</v>
          </cell>
          <cell r="V1564">
            <v>1644</v>
          </cell>
          <cell r="W1564">
            <v>1772</v>
          </cell>
          <cell r="X1564">
            <v>1260</v>
          </cell>
          <cell r="Y1564">
            <v>1879.583333</v>
          </cell>
        </row>
        <row r="1565">
          <cell r="B1565">
            <v>590452</v>
          </cell>
          <cell r="C1565" t="str">
            <v>NOT USED</v>
          </cell>
          <cell r="D1565" t="str">
            <v>UNCOLLECTIBLES RESERVE ADJUSTMENT UTILITY-GAS</v>
          </cell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/>
          </cell>
          <cell r="L1565">
            <v>-306</v>
          </cell>
          <cell r="M1565">
            <v>216</v>
          </cell>
          <cell r="N1565">
            <v>612</v>
          </cell>
          <cell r="O1565">
            <v>972</v>
          </cell>
          <cell r="P1565">
            <v>1224</v>
          </cell>
          <cell r="Q1565">
            <v>1548</v>
          </cell>
          <cell r="R1565">
            <v>1692</v>
          </cell>
          <cell r="S1565">
            <v>1800</v>
          </cell>
          <cell r="T1565">
            <v>1908</v>
          </cell>
          <cell r="U1565">
            <v>1872</v>
          </cell>
          <cell r="V1565">
            <v>1656</v>
          </cell>
          <cell r="W1565">
            <v>1728</v>
          </cell>
          <cell r="X1565">
            <v>1440</v>
          </cell>
          <cell r="Y1565">
            <v>1316.25</v>
          </cell>
        </row>
        <row r="1566">
          <cell r="B1566">
            <v>590453</v>
          </cell>
          <cell r="C1566" t="str">
            <v>NOT USED</v>
          </cell>
          <cell r="D1566" t="str">
            <v>UNCOLLECTIBLES RESERVE ADJUSTMENT SUNDRY-ELECTRIC</v>
          </cell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/>
          </cell>
          <cell r="L1566">
            <v>-183.42619999999999</v>
          </cell>
          <cell r="M1566">
            <v>-5.76</v>
          </cell>
          <cell r="N1566">
            <v>1.28</v>
          </cell>
          <cell r="O1566">
            <v>1.28</v>
          </cell>
          <cell r="P1566">
            <v>14.08</v>
          </cell>
          <cell r="Q1566">
            <v>19.2</v>
          </cell>
          <cell r="R1566">
            <v>34.56</v>
          </cell>
          <cell r="S1566">
            <v>26.88</v>
          </cell>
          <cell r="T1566">
            <v>39.68</v>
          </cell>
          <cell r="U1566">
            <v>41.6</v>
          </cell>
          <cell r="V1566">
            <v>42.24</v>
          </cell>
          <cell r="W1566">
            <v>42.24</v>
          </cell>
          <cell r="X1566">
            <v>39.68</v>
          </cell>
          <cell r="Y1566">
            <v>15.450575000000001</v>
          </cell>
        </row>
        <row r="1567">
          <cell r="B1567">
            <v>590454</v>
          </cell>
          <cell r="C1567" t="str">
            <v>NOT USED</v>
          </cell>
          <cell r="D1567" t="str">
            <v>UNCOLLECTIBLES RESERVE ADJUSTMENT SUNDRY-GAS</v>
          </cell>
          <cell r="E1567" t="str">
            <v/>
          </cell>
          <cell r="F1567" t="str">
            <v/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/>
          </cell>
          <cell r="L1567">
            <v>-44.328049999999998</v>
          </cell>
          <cell r="M1567">
            <v>-3.24</v>
          </cell>
          <cell r="N1567">
            <v>0.72</v>
          </cell>
          <cell r="O1567">
            <v>0.72</v>
          </cell>
          <cell r="P1567">
            <v>7.92</v>
          </cell>
          <cell r="Q1567">
            <v>10.8</v>
          </cell>
          <cell r="R1567">
            <v>19.440000000000001</v>
          </cell>
          <cell r="S1567">
            <v>15.12</v>
          </cell>
          <cell r="T1567">
            <v>22.32</v>
          </cell>
          <cell r="U1567">
            <v>23.4</v>
          </cell>
          <cell r="V1567">
            <v>23.76</v>
          </cell>
          <cell r="W1567">
            <v>23.76</v>
          </cell>
          <cell r="X1567">
            <v>22.32</v>
          </cell>
          <cell r="Y1567">
            <v>11.142998</v>
          </cell>
        </row>
        <row r="1568">
          <cell r="B1568">
            <v>590455</v>
          </cell>
          <cell r="C1568" t="str">
            <v>NOT USED</v>
          </cell>
          <cell r="D1568" t="str">
            <v>GENERAL - MEALS AND ENTERTAINMENT.</v>
          </cell>
          <cell r="E1568" t="str">
            <v/>
          </cell>
          <cell r="F1568" t="str">
            <v/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/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B1569">
            <v>590456</v>
          </cell>
          <cell r="C1569" t="str">
            <v>NOT USED</v>
          </cell>
          <cell r="D1569" t="str">
            <v>GENERAL-OFFICERS MEALS&amp;ENTERTAIN (TAX)</v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/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</row>
        <row r="1570">
          <cell r="B1570">
            <v>590458</v>
          </cell>
          <cell r="C1570" t="str">
            <v>NOT USED</v>
          </cell>
          <cell r="D1570" t="str">
            <v>EEPS-GENERAL - POSTAGE/MAIL SERVICE</v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/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5.0063700000000004</v>
          </cell>
          <cell r="T1570">
            <v>5.0063700000000004</v>
          </cell>
          <cell r="U1570">
            <v>5.0063700000000004</v>
          </cell>
          <cell r="V1570">
            <v>5.0063700000000004</v>
          </cell>
          <cell r="W1570">
            <v>5.0063700000000004</v>
          </cell>
          <cell r="X1570">
            <v>5.0063700000000004</v>
          </cell>
          <cell r="Y1570">
            <v>2.2945859999999998</v>
          </cell>
        </row>
        <row r="1571">
          <cell r="B1571">
            <v>590460</v>
          </cell>
          <cell r="C1571" t="str">
            <v>NOT USED</v>
          </cell>
          <cell r="D1571" t="str">
            <v>GENERAL - TELEPHONE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/>
          </cell>
          <cell r="L1571">
            <v>799.7758</v>
          </cell>
          <cell r="M1571">
            <v>47.393650000000001</v>
          </cell>
          <cell r="N1571">
            <v>66.618949999999998</v>
          </cell>
          <cell r="O1571">
            <v>155.19515000000001</v>
          </cell>
          <cell r="P1571">
            <v>152.37075999999999</v>
          </cell>
          <cell r="Q1571">
            <v>279.04019</v>
          </cell>
          <cell r="R1571">
            <v>327.17209000000003</v>
          </cell>
          <cell r="S1571">
            <v>372.91046</v>
          </cell>
          <cell r="T1571">
            <v>382.80635000000001</v>
          </cell>
          <cell r="U1571">
            <v>444.27972999999997</v>
          </cell>
          <cell r="V1571">
            <v>468.17577999999997</v>
          </cell>
          <cell r="W1571">
            <v>561.31255999999996</v>
          </cell>
          <cell r="X1571">
            <v>661.18754000000001</v>
          </cell>
          <cell r="Y1571">
            <v>332.31311199999999</v>
          </cell>
        </row>
        <row r="1572">
          <cell r="B1572">
            <v>590461</v>
          </cell>
          <cell r="C1572" t="str">
            <v>NOT USED</v>
          </cell>
          <cell r="D1572" t="str">
            <v>GENERAL-COMMUNICATION EXPENSES</v>
          </cell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/>
          </cell>
          <cell r="L1572">
            <v>72.797910000000002</v>
          </cell>
          <cell r="M1572">
            <v>83.154269999999997</v>
          </cell>
          <cell r="N1572">
            <v>118.40112000000001</v>
          </cell>
          <cell r="O1572">
            <v>118.61529</v>
          </cell>
          <cell r="P1572">
            <v>165.02474000000001</v>
          </cell>
          <cell r="Q1572">
            <v>165.06056000000001</v>
          </cell>
          <cell r="R1572">
            <v>193.38478000000001</v>
          </cell>
          <cell r="S1572">
            <v>209.46549999999999</v>
          </cell>
          <cell r="T1572">
            <v>225.22864000000001</v>
          </cell>
          <cell r="U1572">
            <v>254.48167000000001</v>
          </cell>
          <cell r="V1572">
            <v>322.3612</v>
          </cell>
          <cell r="W1572">
            <v>340.50733000000002</v>
          </cell>
          <cell r="X1572">
            <v>347.02933000000002</v>
          </cell>
          <cell r="Y1572">
            <v>200.46655999999999</v>
          </cell>
        </row>
        <row r="1573">
          <cell r="B1573">
            <v>590465</v>
          </cell>
          <cell r="C1573" t="str">
            <v>NOT USED</v>
          </cell>
          <cell r="D1573" t="str">
            <v>GENERAL - SOFTWARE</v>
          </cell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/>
          </cell>
          <cell r="L1573">
            <v>416.20226000000002</v>
          </cell>
          <cell r="M1573">
            <v>0.13950000000000001</v>
          </cell>
          <cell r="N1573">
            <v>12.2035</v>
          </cell>
          <cell r="O1573">
            <v>11.741</v>
          </cell>
          <cell r="P1573">
            <v>11.741</v>
          </cell>
          <cell r="Q1573">
            <v>25.437000000000001</v>
          </cell>
          <cell r="R1573">
            <v>26.286999999999999</v>
          </cell>
          <cell r="S1573">
            <v>71.830920000000006</v>
          </cell>
          <cell r="T1573">
            <v>73.968729999999994</v>
          </cell>
          <cell r="U1573">
            <v>89.045330000000007</v>
          </cell>
          <cell r="V1573">
            <v>92.465289999999996</v>
          </cell>
          <cell r="W1573">
            <v>101.35424999999999</v>
          </cell>
          <cell r="X1573">
            <v>229.23602</v>
          </cell>
          <cell r="Y1573">
            <v>69.911055000000005</v>
          </cell>
        </row>
        <row r="1574">
          <cell r="B1574">
            <v>590470</v>
          </cell>
          <cell r="C1574" t="str">
            <v>NOT USED</v>
          </cell>
          <cell r="D1574" t="str">
            <v>GENERAL - SOFTWARE MAINTENANCE</v>
          </cell>
          <cell r="E1574" t="str">
            <v/>
          </cell>
          <cell r="F1574" t="str">
            <v/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/>
          </cell>
          <cell r="L1574">
            <v>239.66201000000001</v>
          </cell>
          <cell r="M1574">
            <v>5.5350000000000001</v>
          </cell>
          <cell r="N1574">
            <v>62.526389999999999</v>
          </cell>
          <cell r="O1574">
            <v>62.526389999999999</v>
          </cell>
          <cell r="P1574">
            <v>62.526389999999999</v>
          </cell>
          <cell r="Q1574">
            <v>62.526389999999999</v>
          </cell>
          <cell r="R1574">
            <v>62.526389999999999</v>
          </cell>
          <cell r="S1574">
            <v>62.526389999999999</v>
          </cell>
          <cell r="T1574">
            <v>90.404470000000003</v>
          </cell>
          <cell r="U1574">
            <v>90.404470000000003</v>
          </cell>
          <cell r="V1574">
            <v>139.59267</v>
          </cell>
          <cell r="W1574">
            <v>161.33171999999999</v>
          </cell>
          <cell r="X1574">
            <v>162.85858999999999</v>
          </cell>
          <cell r="Y1574">
            <v>88.640580999999997</v>
          </cell>
        </row>
        <row r="1575">
          <cell r="B1575">
            <v>590473</v>
          </cell>
          <cell r="C1575" t="str">
            <v>NOT USED</v>
          </cell>
          <cell r="D1575" t="str">
            <v>GENERAL - HARDWARE/EQUIPMENT</v>
          </cell>
          <cell r="E1575" t="str">
            <v/>
          </cell>
          <cell r="F1575" t="str">
            <v/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/>
          </cell>
          <cell r="L1575">
            <v>1200.85943</v>
          </cell>
          <cell r="M1575">
            <v>29.524699999999999</v>
          </cell>
          <cell r="N1575">
            <v>29.62846</v>
          </cell>
          <cell r="O1575">
            <v>38.480080000000001</v>
          </cell>
          <cell r="P1575">
            <v>390.02175</v>
          </cell>
          <cell r="Q1575">
            <v>618.73830999999996</v>
          </cell>
          <cell r="R1575">
            <v>621.56775000000005</v>
          </cell>
          <cell r="S1575">
            <v>702.34118000000001</v>
          </cell>
          <cell r="T1575">
            <v>778.90026</v>
          </cell>
          <cell r="U1575">
            <v>917.96902</v>
          </cell>
          <cell r="V1575">
            <v>1349.05978</v>
          </cell>
          <cell r="W1575">
            <v>1404.5253600000001</v>
          </cell>
          <cell r="X1575">
            <v>3095.48765</v>
          </cell>
          <cell r="Y1575">
            <v>752.41084899999998</v>
          </cell>
        </row>
        <row r="1576">
          <cell r="B1576">
            <v>590475</v>
          </cell>
          <cell r="C1576" t="str">
            <v>NOT USED</v>
          </cell>
          <cell r="D1576" t="str">
            <v>GENERAL - HARDWARE MAINTENANCE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/>
          </cell>
          <cell r="L1576">
            <v>92.883669999999995</v>
          </cell>
          <cell r="M1576">
            <v>0</v>
          </cell>
          <cell r="N1576">
            <v>6.1185</v>
          </cell>
          <cell r="O1576">
            <v>6.6924999999999999</v>
          </cell>
          <cell r="P1576">
            <v>6.7508699999999999</v>
          </cell>
          <cell r="Q1576">
            <v>6.3226800000000001</v>
          </cell>
          <cell r="R1576">
            <v>11.98799</v>
          </cell>
          <cell r="S1576">
            <v>12.292149999999999</v>
          </cell>
          <cell r="T1576">
            <v>18.666360000000001</v>
          </cell>
          <cell r="U1576">
            <v>18.666360000000001</v>
          </cell>
          <cell r="V1576">
            <v>19.061800000000002</v>
          </cell>
          <cell r="W1576">
            <v>19.061800000000002</v>
          </cell>
          <cell r="X1576">
            <v>25.183700000000002</v>
          </cell>
          <cell r="Y1576">
            <v>15.387891</v>
          </cell>
        </row>
        <row r="1577">
          <cell r="B1577">
            <v>590477</v>
          </cell>
          <cell r="C1577" t="str">
            <v>NOT USED</v>
          </cell>
          <cell r="D1577" t="str">
            <v>GENERAL - DISASTER RECOVERY</v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/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</row>
        <row r="1578">
          <cell r="B1578">
            <v>590478</v>
          </cell>
          <cell r="C1578" t="str">
            <v>NOT USED</v>
          </cell>
          <cell r="D1578" t="str">
            <v>GENERAL - EQUIPMENT MAINTENANCE</v>
          </cell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/>
          </cell>
          <cell r="L1578">
            <v>154.05974000000001</v>
          </cell>
          <cell r="M1578">
            <v>0.60748999999999997</v>
          </cell>
          <cell r="N1578">
            <v>7.67082</v>
          </cell>
          <cell r="O1578">
            <v>30.96116</v>
          </cell>
          <cell r="P1578">
            <v>38.916699999999999</v>
          </cell>
          <cell r="Q1578">
            <v>44.951819999999998</v>
          </cell>
          <cell r="R1578">
            <v>58.356610000000003</v>
          </cell>
          <cell r="S1578">
            <v>65.775210000000001</v>
          </cell>
          <cell r="T1578">
            <v>71.070959999999999</v>
          </cell>
          <cell r="U1578">
            <v>73.986739999999998</v>
          </cell>
          <cell r="V1578">
            <v>82.154330000000002</v>
          </cell>
          <cell r="W1578">
            <v>86.677329999999998</v>
          </cell>
          <cell r="X1578">
            <v>99.001900000000006</v>
          </cell>
          <cell r="Y1578">
            <v>57.304999000000002</v>
          </cell>
        </row>
        <row r="1579">
          <cell r="B1579">
            <v>590479</v>
          </cell>
          <cell r="C1579" t="str">
            <v>NOT USED</v>
          </cell>
          <cell r="D1579" t="str">
            <v>GENERAL - FURNITURE AND EQUIPMENT</v>
          </cell>
          <cell r="E1579" t="str">
            <v/>
          </cell>
          <cell r="F1579" t="str">
            <v/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/>
          </cell>
          <cell r="L1579">
            <v>170.85176000000001</v>
          </cell>
          <cell r="M1579">
            <v>0.77488000000000001</v>
          </cell>
          <cell r="N1579">
            <v>13.300190000000001</v>
          </cell>
          <cell r="O1579">
            <v>13.300190000000001</v>
          </cell>
          <cell r="P1579">
            <v>13.35149</v>
          </cell>
          <cell r="Q1579">
            <v>680.75148999999999</v>
          </cell>
          <cell r="R1579">
            <v>699.33239000000003</v>
          </cell>
          <cell r="S1579">
            <v>716.48539000000005</v>
          </cell>
          <cell r="T1579">
            <v>716.48539000000005</v>
          </cell>
          <cell r="U1579">
            <v>738.19271000000003</v>
          </cell>
          <cell r="V1579">
            <v>775.76918999999998</v>
          </cell>
          <cell r="W1579">
            <v>784.99616000000003</v>
          </cell>
          <cell r="X1579">
            <v>850.22663999999997</v>
          </cell>
          <cell r="Y1579">
            <v>471.93988899999999</v>
          </cell>
        </row>
        <row r="1580">
          <cell r="B1580">
            <v>590480</v>
          </cell>
          <cell r="C1580" t="str">
            <v>NOT USED</v>
          </cell>
          <cell r="D1580" t="str">
            <v>GENERAL - VACATION PAY ACCRUAL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/>
          </cell>
          <cell r="L1580">
            <v>-86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-3.5833330000000001</v>
          </cell>
        </row>
        <row r="1581">
          <cell r="B1581">
            <v>590481</v>
          </cell>
          <cell r="C1581" t="str">
            <v>NOT USED</v>
          </cell>
          <cell r="D1581" t="str">
            <v>GENERAL - RECRUITMENT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/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B1582">
            <v>590484</v>
          </cell>
          <cell r="C1582" t="str">
            <v>NOT USED</v>
          </cell>
          <cell r="D1582" t="str">
            <v>GENERAL - ADVERTISING - EEPS</v>
          </cell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/>
          </cell>
          <cell r="L1582">
            <v>14.476710000000001</v>
          </cell>
          <cell r="M1582">
            <v>0</v>
          </cell>
          <cell r="N1582">
            <v>18.011109999999999</v>
          </cell>
          <cell r="O1582">
            <v>18.011119999999998</v>
          </cell>
          <cell r="P1582">
            <v>18.011119999999998</v>
          </cell>
          <cell r="Q1582">
            <v>19.678619999999999</v>
          </cell>
          <cell r="R1582">
            <v>39.306310000000003</v>
          </cell>
          <cell r="S1582">
            <v>68.978009999999998</v>
          </cell>
          <cell r="T1582">
            <v>90.294489999999996</v>
          </cell>
          <cell r="U1582">
            <v>112.85759</v>
          </cell>
          <cell r="V1582">
            <v>131.12629999999999</v>
          </cell>
          <cell r="W1582">
            <v>140.65937</v>
          </cell>
          <cell r="X1582">
            <v>146.11044000000001</v>
          </cell>
          <cell r="Y1582">
            <v>61.435634999999998</v>
          </cell>
        </row>
        <row r="1583">
          <cell r="B1583">
            <v>590485</v>
          </cell>
          <cell r="C1583" t="str">
            <v>NOT USED</v>
          </cell>
          <cell r="D1583" t="str">
            <v>GENERAL - ADVERTISING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/>
          </cell>
          <cell r="L1583">
            <v>142.91548</v>
          </cell>
          <cell r="M1583">
            <v>2.9767000000000001</v>
          </cell>
          <cell r="N1583">
            <v>36.33231</v>
          </cell>
          <cell r="O1583">
            <v>39.628309999999999</v>
          </cell>
          <cell r="P1583">
            <v>45.67801</v>
          </cell>
          <cell r="Q1583">
            <v>77.481570000000005</v>
          </cell>
          <cell r="R1583">
            <v>90.795389999999998</v>
          </cell>
          <cell r="S1583">
            <v>109.10517</v>
          </cell>
          <cell r="T1583">
            <v>193.32491999999999</v>
          </cell>
          <cell r="U1583">
            <v>158.70527999999999</v>
          </cell>
          <cell r="V1583">
            <v>186.60028</v>
          </cell>
          <cell r="W1583">
            <v>199.63595000000001</v>
          </cell>
          <cell r="X1583">
            <v>286.70981</v>
          </cell>
          <cell r="Y1583">
            <v>112.923045</v>
          </cell>
        </row>
        <row r="1584">
          <cell r="B1584">
            <v>590486</v>
          </cell>
          <cell r="C1584" t="str">
            <v>NOT USED</v>
          </cell>
          <cell r="D1584" t="str">
            <v>GENERAL-LICENSES / PERMITS</v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/>
          </cell>
          <cell r="L1584">
            <v>216.07333</v>
          </cell>
          <cell r="M1584">
            <v>6.9359999999999999</v>
          </cell>
          <cell r="N1584">
            <v>13.14096</v>
          </cell>
          <cell r="O1584">
            <v>32.558489999999999</v>
          </cell>
          <cell r="P1584">
            <v>38.655990000000003</v>
          </cell>
          <cell r="Q1584">
            <v>40.38599</v>
          </cell>
          <cell r="R1584">
            <v>47.292990000000003</v>
          </cell>
          <cell r="S1584">
            <v>64.513289999999998</v>
          </cell>
          <cell r="T1584">
            <v>68.341790000000003</v>
          </cell>
          <cell r="U1584">
            <v>84.041290000000004</v>
          </cell>
          <cell r="V1584">
            <v>90.535730000000001</v>
          </cell>
          <cell r="W1584">
            <v>90.897229999999993</v>
          </cell>
          <cell r="X1584">
            <v>96.005229999999997</v>
          </cell>
          <cell r="Y1584">
            <v>61.111586000000003</v>
          </cell>
        </row>
        <row r="1585">
          <cell r="B1585">
            <v>590490</v>
          </cell>
          <cell r="C1585" t="str">
            <v>NOT USED</v>
          </cell>
          <cell r="D1585" t="str">
            <v>CLEARING - INTERFACE</v>
          </cell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</row>
        <row r="1586">
          <cell r="B1586">
            <v>590495</v>
          </cell>
          <cell r="C1586" t="str">
            <v>NOT USED</v>
          </cell>
          <cell r="D1586" t="str">
            <v>RESEARCH &amp; DEVELOPMENT (R&amp;D) EXPENSES</v>
          </cell>
          <cell r="E1586" t="str">
            <v/>
          </cell>
          <cell r="F1586" t="str">
            <v/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/>
          </cell>
          <cell r="L1586">
            <v>1834.7897800000001</v>
          </cell>
          <cell r="M1586">
            <v>67.283730000000006</v>
          </cell>
          <cell r="N1586">
            <v>134.56746000000001</v>
          </cell>
          <cell r="O1586">
            <v>201.85120000000001</v>
          </cell>
          <cell r="P1586">
            <v>501.08945</v>
          </cell>
          <cell r="Q1586">
            <v>576.84209999999996</v>
          </cell>
          <cell r="R1586">
            <v>877.99229000000003</v>
          </cell>
          <cell r="S1586">
            <v>953.74494000000004</v>
          </cell>
          <cell r="T1586">
            <v>1188.44057</v>
          </cell>
          <cell r="U1586">
            <v>1264.1932200000001</v>
          </cell>
          <cell r="V1586">
            <v>1339.94587</v>
          </cell>
          <cell r="W1586">
            <v>1466.40166</v>
          </cell>
          <cell r="X1586">
            <v>2471.7613999999999</v>
          </cell>
          <cell r="Y1586">
            <v>893.80233999999996</v>
          </cell>
        </row>
        <row r="1587">
          <cell r="B1587">
            <v>590500</v>
          </cell>
          <cell r="C1587" t="str">
            <v>NOT USED</v>
          </cell>
          <cell r="D1587" t="str">
            <v>CORPORATE AND FISCAL EXPENSES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/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</row>
        <row r="1588">
          <cell r="B1588">
            <v>590505</v>
          </cell>
          <cell r="C1588" t="str">
            <v>NOT USED</v>
          </cell>
          <cell r="D1588" t="str">
            <v>GENERAL - SAFETY APPAREL</v>
          </cell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/>
          </cell>
          <cell r="L1588">
            <v>195.71418</v>
          </cell>
          <cell r="M1588">
            <v>7.06853</v>
          </cell>
          <cell r="N1588">
            <v>19.052510000000002</v>
          </cell>
          <cell r="O1588">
            <v>78.86506</v>
          </cell>
          <cell r="P1588">
            <v>91.280699999999996</v>
          </cell>
          <cell r="Q1588">
            <v>147.68841</v>
          </cell>
          <cell r="R1588">
            <v>206.40173999999999</v>
          </cell>
          <cell r="S1588">
            <v>205.40186</v>
          </cell>
          <cell r="T1588">
            <v>218.64685</v>
          </cell>
          <cell r="U1588">
            <v>235.95855</v>
          </cell>
          <cell r="V1588">
            <v>241.79267999999999</v>
          </cell>
          <cell r="W1588">
            <v>257.74822999999998</v>
          </cell>
          <cell r="X1588">
            <v>296.45057000000003</v>
          </cell>
          <cell r="Y1588">
            <v>162.99895799999999</v>
          </cell>
        </row>
        <row r="1589">
          <cell r="B1589">
            <v>590510</v>
          </cell>
          <cell r="C1589" t="str">
            <v>NOT USED</v>
          </cell>
          <cell r="D1589" t="str">
            <v>OTHER GENERAL EXPENSES -OFFICE SUPPLIES &amp; EXPENSE</v>
          </cell>
          <cell r="E1589" t="str">
            <v/>
          </cell>
          <cell r="F1589" t="str">
            <v/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/>
          </cell>
          <cell r="L1589">
            <v>164.19682</v>
          </cell>
          <cell r="M1589">
            <v>17.498200000000001</v>
          </cell>
          <cell r="N1589">
            <v>26.263200000000001</v>
          </cell>
          <cell r="O1589">
            <v>39.882469999999998</v>
          </cell>
          <cell r="P1589">
            <v>56.6798</v>
          </cell>
          <cell r="Q1589">
            <v>70.036860000000004</v>
          </cell>
          <cell r="R1589">
            <v>80.567760000000007</v>
          </cell>
          <cell r="S1589">
            <v>96.473579999999998</v>
          </cell>
          <cell r="T1589">
            <v>113.56098</v>
          </cell>
          <cell r="U1589">
            <v>134.84679</v>
          </cell>
          <cell r="V1589">
            <v>161.15882999999999</v>
          </cell>
          <cell r="W1589">
            <v>192.98246</v>
          </cell>
          <cell r="X1589">
            <v>249.99782999999999</v>
          </cell>
          <cell r="Y1589">
            <v>99.754020999999995</v>
          </cell>
        </row>
        <row r="1590">
          <cell r="B1590">
            <v>590511</v>
          </cell>
          <cell r="C1590" t="str">
            <v>NOT USED</v>
          </cell>
          <cell r="D1590" t="str">
            <v>OFFICE SUPPLIES &amp; EXPENSES - EEMC HC ALLOCATION</v>
          </cell>
          <cell r="E1590" t="str">
            <v/>
          </cell>
          <cell r="F1590" t="str">
            <v/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</row>
        <row r="1591">
          <cell r="B1591">
            <v>590512</v>
          </cell>
          <cell r="C1591" t="str">
            <v>NOT USED</v>
          </cell>
          <cell r="D1591" t="str">
            <v>EEPS-GENERAL -OFFICE SUPPLIES &amp; EXPENSES</v>
          </cell>
          <cell r="E1591" t="str">
            <v/>
          </cell>
          <cell r="F1591" t="str">
            <v/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/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48.403700000000001</v>
          </cell>
          <cell r="U1591">
            <v>48.428060000000002</v>
          </cell>
          <cell r="V1591">
            <v>48.428060000000002</v>
          </cell>
          <cell r="W1591">
            <v>48.428060000000002</v>
          </cell>
          <cell r="X1591">
            <v>48.428060000000002</v>
          </cell>
          <cell r="Y1591">
            <v>18.158493</v>
          </cell>
        </row>
        <row r="1592">
          <cell r="B1592">
            <v>590520</v>
          </cell>
          <cell r="C1592" t="str">
            <v>NOT USED</v>
          </cell>
          <cell r="D1592" t="str">
            <v>OTHER GENERAL EXPENSES -PER DIEM</v>
          </cell>
          <cell r="E1592" t="str">
            <v/>
          </cell>
          <cell r="F1592" t="str">
            <v/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/>
          </cell>
          <cell r="L1592">
            <v>27.32066</v>
          </cell>
          <cell r="M1592">
            <v>1.9888399999999999</v>
          </cell>
          <cell r="N1592">
            <v>4.1076800000000002</v>
          </cell>
          <cell r="O1592">
            <v>5.7055400000000001</v>
          </cell>
          <cell r="P1592">
            <v>8.4823199999999996</v>
          </cell>
          <cell r="Q1592">
            <v>11.54266</v>
          </cell>
          <cell r="R1592">
            <v>13.39742</v>
          </cell>
          <cell r="S1592">
            <v>15.845280000000001</v>
          </cell>
          <cell r="T1592">
            <v>18.36412</v>
          </cell>
          <cell r="U1592">
            <v>21.463889999999999</v>
          </cell>
          <cell r="V1592">
            <v>23.69473</v>
          </cell>
          <cell r="W1592">
            <v>26.712569999999999</v>
          </cell>
          <cell r="X1592">
            <v>28.71942</v>
          </cell>
          <cell r="Y1592">
            <v>14.943758000000001</v>
          </cell>
        </row>
        <row r="1593">
          <cell r="B1593">
            <v>590525</v>
          </cell>
          <cell r="C1593" t="str">
            <v>NOT USED</v>
          </cell>
          <cell r="D1593" t="str">
            <v>COMPANY USE CREDITS - ELECTRIC</v>
          </cell>
          <cell r="E1593" t="str">
            <v/>
          </cell>
          <cell r="F1593" t="str">
            <v/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/>
          </cell>
          <cell r="L1593">
            <v>-1443.0400299999999</v>
          </cell>
          <cell r="M1593">
            <v>-141.2868</v>
          </cell>
          <cell r="N1593">
            <v>-266.56328999999999</v>
          </cell>
          <cell r="O1593">
            <v>-296.33076</v>
          </cell>
          <cell r="P1593">
            <v>-424.59712000000002</v>
          </cell>
          <cell r="Q1593">
            <v>-542.26314000000002</v>
          </cell>
          <cell r="R1593">
            <v>-664.68255999999997</v>
          </cell>
          <cell r="S1593">
            <v>-797.50591999999995</v>
          </cell>
          <cell r="T1593">
            <v>-921.20690999999999</v>
          </cell>
          <cell r="U1593">
            <v>-1049.1332500000001</v>
          </cell>
          <cell r="V1593">
            <v>-1170.3118300000001</v>
          </cell>
          <cell r="W1593">
            <v>-1274.7409500000001</v>
          </cell>
          <cell r="X1593">
            <v>-1398.72486</v>
          </cell>
          <cell r="Y1593">
            <v>-747.45874800000001</v>
          </cell>
        </row>
        <row r="1594">
          <cell r="B1594">
            <v>590526</v>
          </cell>
          <cell r="C1594" t="str">
            <v>NOT USED</v>
          </cell>
          <cell r="D1594" t="str">
            <v>GENERAL - COMPANY USE CREDITS - GAS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/>
          </cell>
          <cell r="L1594">
            <v>-358.09721000000002</v>
          </cell>
          <cell r="M1594">
            <v>-75.865610000000004</v>
          </cell>
          <cell r="N1594">
            <v>-152.70742000000001</v>
          </cell>
          <cell r="O1594">
            <v>-215.06649999999999</v>
          </cell>
          <cell r="P1594">
            <v>-251.43295000000001</v>
          </cell>
          <cell r="Q1594">
            <v>-272.13175999999999</v>
          </cell>
          <cell r="R1594">
            <v>-294.97825999999998</v>
          </cell>
          <cell r="S1594">
            <v>-302.44279</v>
          </cell>
          <cell r="T1594">
            <v>-309.52758</v>
          </cell>
          <cell r="U1594">
            <v>-318.85145999999997</v>
          </cell>
          <cell r="V1594">
            <v>-334.86340000000001</v>
          </cell>
          <cell r="W1594">
            <v>-349.27051</v>
          </cell>
          <cell r="X1594">
            <v>-385.82431000000003</v>
          </cell>
          <cell r="Y1594">
            <v>-270.75824999999998</v>
          </cell>
        </row>
        <row r="1595">
          <cell r="B1595">
            <v>590530</v>
          </cell>
          <cell r="C1595" t="str">
            <v>NOT USED</v>
          </cell>
          <cell r="D1595" t="str">
            <v>GINNA OUTAGE ACCRUAL</v>
          </cell>
          <cell r="E1595" t="str">
            <v/>
          </cell>
          <cell r="F1595" t="str">
            <v/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/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>
            <v>590535</v>
          </cell>
          <cell r="C1596" t="str">
            <v>NOT USED</v>
          </cell>
          <cell r="D1596" t="str">
            <v>PERFORMANCE PLUS PLAN INCENTIVE</v>
          </cell>
          <cell r="E1596" t="str">
            <v/>
          </cell>
          <cell r="F1596" t="str">
            <v/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/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</row>
        <row r="1597">
          <cell r="B1597">
            <v>590536</v>
          </cell>
          <cell r="C1597" t="str">
            <v>NOT USED</v>
          </cell>
          <cell r="D1597" t="str">
            <v>GENERAL-LONG TERM INCENTIVE</v>
          </cell>
          <cell r="E1597" t="str">
            <v/>
          </cell>
          <cell r="F1597" t="str">
            <v/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/>
          </cell>
          <cell r="L1597">
            <v>65.516909999999996</v>
          </cell>
          <cell r="M1597">
            <v>17.245819999999998</v>
          </cell>
          <cell r="N1597">
            <v>24.697430000000001</v>
          </cell>
          <cell r="O1597">
            <v>29.391380000000002</v>
          </cell>
          <cell r="P1597">
            <v>44.278559999999999</v>
          </cell>
          <cell r="Q1597">
            <v>42.204839999999997</v>
          </cell>
          <cell r="R1597">
            <v>48.241489999999999</v>
          </cell>
          <cell r="S1597">
            <v>39.798870000000001</v>
          </cell>
          <cell r="T1597">
            <v>53.685270000000003</v>
          </cell>
          <cell r="U1597">
            <v>178.95921000000001</v>
          </cell>
          <cell r="V1597">
            <v>212.43838</v>
          </cell>
          <cell r="W1597">
            <v>271.13019000000003</v>
          </cell>
          <cell r="X1597">
            <v>282.14510000000001</v>
          </cell>
          <cell r="Y1597">
            <v>94.658536999999995</v>
          </cell>
        </row>
        <row r="1598">
          <cell r="B1598">
            <v>590538</v>
          </cell>
          <cell r="C1598" t="str">
            <v>NOT USED</v>
          </cell>
          <cell r="D1598" t="str">
            <v>GENERAL - LABOR COST DEFERRAL - REGULATORY</v>
          </cell>
          <cell r="E1598" t="str">
            <v/>
          </cell>
          <cell r="F1598" t="str">
            <v/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>
            <v>-5720.4908400000004</v>
          </cell>
          <cell r="M1598">
            <v>-139.471</v>
          </cell>
          <cell r="N1598">
            <v>-252.87887000000001</v>
          </cell>
          <cell r="O1598">
            <v>-397.65390000000002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-304.187433</v>
          </cell>
        </row>
        <row r="1599">
          <cell r="B1599">
            <v>590539</v>
          </cell>
          <cell r="C1599" t="str">
            <v>NOT USED</v>
          </cell>
          <cell r="D1599" t="str">
            <v>GENERAL - LABOR COST GAS DEFERRAL - REGULATORY</v>
          </cell>
          <cell r="E1599" t="str">
            <v/>
          </cell>
          <cell r="F1599" t="str">
            <v/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/>
          </cell>
          <cell r="L1599">
            <v>-2479.8799399999998</v>
          </cell>
          <cell r="M1599">
            <v>-108.89838</v>
          </cell>
          <cell r="N1599">
            <v>-242.20482000000001</v>
          </cell>
          <cell r="O1599">
            <v>-352.28894000000003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-161.944343</v>
          </cell>
        </row>
        <row r="1600">
          <cell r="B1600">
            <v>590540</v>
          </cell>
          <cell r="C1600" t="str">
            <v>NOT USED</v>
          </cell>
          <cell r="D1600" t="str">
            <v>EMPLOYEE REFERRAL PAYMENT</v>
          </cell>
          <cell r="E1600" t="str">
            <v/>
          </cell>
          <cell r="F1600" t="str">
            <v/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</row>
        <row r="1601">
          <cell r="B1601">
            <v>590541</v>
          </cell>
          <cell r="C1601" t="str">
            <v>NOT USED</v>
          </cell>
          <cell r="D1601" t="str">
            <v>LABOR - EEMC HC ALLOCATION-RGE</v>
          </cell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/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</row>
        <row r="1602">
          <cell r="B1602">
            <v>590544</v>
          </cell>
          <cell r="C1602" t="str">
            <v>NOT USED</v>
          </cell>
          <cell r="D1602" t="str">
            <v>GENERAL-CONSERVATION EXPENSE - EEPS</v>
          </cell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>
            <v>4151.9927600000001</v>
          </cell>
          <cell r="M1602">
            <v>351.80425000000002</v>
          </cell>
          <cell r="N1602">
            <v>1591.3099400000001</v>
          </cell>
          <cell r="O1602">
            <v>2291.8719500000002</v>
          </cell>
          <cell r="P1602">
            <v>2736.44598</v>
          </cell>
          <cell r="Q1602">
            <v>3501.50495</v>
          </cell>
          <cell r="R1602">
            <v>4014.1644299999998</v>
          </cell>
          <cell r="S1602">
            <v>4711.8720599999997</v>
          </cell>
          <cell r="T1602">
            <v>4973.6242300000004</v>
          </cell>
          <cell r="U1602">
            <v>5711.2402199999997</v>
          </cell>
          <cell r="V1602">
            <v>6386.3185000000003</v>
          </cell>
          <cell r="W1602">
            <v>7233.9481800000003</v>
          </cell>
          <cell r="X1602">
            <v>8260.1391199999998</v>
          </cell>
          <cell r="Y1602">
            <v>4142.5142189999997</v>
          </cell>
        </row>
        <row r="1603">
          <cell r="B1603">
            <v>590550</v>
          </cell>
          <cell r="C1603" t="str">
            <v>NOT USED</v>
          </cell>
          <cell r="D1603" t="str">
            <v>RESTRUCTURING CHARGES</v>
          </cell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/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</row>
        <row r="1604">
          <cell r="B1604">
            <v>590551</v>
          </cell>
          <cell r="C1604" t="str">
            <v>NOT USED</v>
          </cell>
          <cell r="D1604" t="str">
            <v>GENERAL - PENSION DEFERRAL SERVICE</v>
          </cell>
          <cell r="E1604" t="str">
            <v/>
          </cell>
          <cell r="F1604" t="str">
            <v/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/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-58.437379999999997</v>
          </cell>
          <cell r="Q1604">
            <v>5.6134599999999999</v>
          </cell>
          <cell r="R1604">
            <v>31.807510000000001</v>
          </cell>
          <cell r="S1604">
            <v>149.82387</v>
          </cell>
          <cell r="T1604">
            <v>-316.73250999999999</v>
          </cell>
          <cell r="U1604">
            <v>-292.50608</v>
          </cell>
          <cell r="V1604">
            <v>-226.73445000000001</v>
          </cell>
          <cell r="W1604">
            <v>-147.50361000000001</v>
          </cell>
          <cell r="X1604">
            <v>-48.014020000000002</v>
          </cell>
          <cell r="Y1604">
            <v>-73.223016999999999</v>
          </cell>
        </row>
        <row r="1605">
          <cell r="B1605">
            <v>590552</v>
          </cell>
          <cell r="C1605" t="str">
            <v>NOT USED</v>
          </cell>
          <cell r="D1605" t="str">
            <v>GENERAL - PENSION DEFERRAL INTEREST</v>
          </cell>
          <cell r="E1605" t="str">
            <v/>
          </cell>
          <cell r="F1605" t="str">
            <v/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-977.71668</v>
          </cell>
          <cell r="Q1605">
            <v>-1025.44193</v>
          </cell>
          <cell r="R1605">
            <v>-1089.4846299999999</v>
          </cell>
          <cell r="S1605">
            <v>-688.79989</v>
          </cell>
          <cell r="T1605">
            <v>-1494.0030899999999</v>
          </cell>
          <cell r="U1605">
            <v>-1651.9730300000001</v>
          </cell>
          <cell r="V1605">
            <v>-1635.7660100000001</v>
          </cell>
          <cell r="W1605">
            <v>-1591.5594900000001</v>
          </cell>
          <cell r="X1605">
            <v>-1671.2629899999999</v>
          </cell>
          <cell r="Y1605">
            <v>-915.864687</v>
          </cell>
        </row>
        <row r="1606">
          <cell r="B1606">
            <v>590553</v>
          </cell>
          <cell r="C1606" t="str">
            <v>NOT USED</v>
          </cell>
          <cell r="D1606" t="str">
            <v>GENERAL - PENSION DEFERRAL ROA</v>
          </cell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/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1310.28334</v>
          </cell>
          <cell r="Q1606">
            <v>2593.8452400000001</v>
          </cell>
          <cell r="R1606">
            <v>2880.1499600000002</v>
          </cell>
          <cell r="S1606">
            <v>2400.5145299999999</v>
          </cell>
          <cell r="T1606">
            <v>3836.4094500000001</v>
          </cell>
          <cell r="U1606">
            <v>4440.1030600000004</v>
          </cell>
          <cell r="V1606">
            <v>4720.1015600000001</v>
          </cell>
          <cell r="W1606">
            <v>4938.0071900000003</v>
          </cell>
          <cell r="X1606">
            <v>5334.2237100000002</v>
          </cell>
          <cell r="Y1606">
            <v>2482.2105150000002</v>
          </cell>
        </row>
        <row r="1607">
          <cell r="B1607">
            <v>590554</v>
          </cell>
          <cell r="C1607" t="str">
            <v>NOT USED</v>
          </cell>
          <cell r="D1607" t="str">
            <v>GENERAL - PENSION DEFERRAL GAIN / LOSS</v>
          </cell>
          <cell r="E1607" t="str">
            <v/>
          </cell>
          <cell r="F1607" t="str">
            <v/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-730.79331999999999</v>
          </cell>
          <cell r="Q1607">
            <v>-629.52021999999999</v>
          </cell>
          <cell r="R1607">
            <v>-685.87366999999995</v>
          </cell>
          <cell r="S1607">
            <v>-513.06677999999999</v>
          </cell>
          <cell r="T1607">
            <v>-1615.45029</v>
          </cell>
          <cell r="U1607">
            <v>-1771.1281799999999</v>
          </cell>
          <cell r="V1607">
            <v>-1830.9034999999999</v>
          </cell>
          <cell r="W1607">
            <v>-1865.4593600000001</v>
          </cell>
          <cell r="X1607">
            <v>-1973.9443000000001</v>
          </cell>
          <cell r="Y1607">
            <v>-885.76395600000001</v>
          </cell>
        </row>
        <row r="1608">
          <cell r="B1608">
            <v>590556</v>
          </cell>
          <cell r="C1608" t="str">
            <v>NOT USED</v>
          </cell>
          <cell r="D1608" t="str">
            <v>GENERAL - OPEB DEFERRAL SERVICE</v>
          </cell>
          <cell r="E1608" t="str">
            <v/>
          </cell>
          <cell r="F1608" t="str">
            <v/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/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-11.031610000000001</v>
          </cell>
          <cell r="Q1608">
            <v>-15.009309999999999</v>
          </cell>
          <cell r="R1608">
            <v>301.50481000000002</v>
          </cell>
          <cell r="S1608">
            <v>359.69716</v>
          </cell>
          <cell r="T1608">
            <v>439.94715000000002</v>
          </cell>
          <cell r="U1608">
            <v>468.84809999999999</v>
          </cell>
          <cell r="V1608">
            <v>487.45620000000002</v>
          </cell>
          <cell r="W1608">
            <v>492.89366999999999</v>
          </cell>
          <cell r="X1608">
            <v>530.82861000000003</v>
          </cell>
          <cell r="Y1608">
            <v>232.47670600000001</v>
          </cell>
        </row>
        <row r="1609">
          <cell r="B1609">
            <v>590557</v>
          </cell>
          <cell r="C1609" t="str">
            <v>NOT USED</v>
          </cell>
          <cell r="D1609" t="str">
            <v>GENERAL - OPEB DEFERRAL INTEREST</v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40.51728</v>
          </cell>
          <cell r="Q1609">
            <v>43.256340000000002</v>
          </cell>
          <cell r="R1609">
            <v>31.3963</v>
          </cell>
          <cell r="S1609">
            <v>90.888109999999998</v>
          </cell>
          <cell r="T1609">
            <v>196.23772</v>
          </cell>
          <cell r="U1609">
            <v>349.14402999999999</v>
          </cell>
          <cell r="V1609">
            <v>423.17827</v>
          </cell>
          <cell r="W1609">
            <v>405.65600000000001</v>
          </cell>
          <cell r="X1609">
            <v>584.11662000000001</v>
          </cell>
          <cell r="Y1609">
            <v>156.02769699999999</v>
          </cell>
        </row>
        <row r="1610">
          <cell r="B1610">
            <v>590558</v>
          </cell>
          <cell r="C1610" t="str">
            <v>NOT USED</v>
          </cell>
          <cell r="D1610" t="str">
            <v>GENERAL - OPEB DEFERRAL ROA</v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75.931259999999995</v>
          </cell>
          <cell r="U1610">
            <v>84.720569999999995</v>
          </cell>
          <cell r="V1610">
            <v>92.374409999999997</v>
          </cell>
          <cell r="W1610">
            <v>98.306439999999995</v>
          </cell>
          <cell r="X1610">
            <v>106.35129999999999</v>
          </cell>
          <cell r="Y1610">
            <v>33.709028000000004</v>
          </cell>
        </row>
        <row r="1611">
          <cell r="B1611">
            <v>590559</v>
          </cell>
          <cell r="C1611" t="str">
            <v>NOT USED</v>
          </cell>
          <cell r="D1611" t="str">
            <v>GENERAL - OPEB DEFERRAL GAIN / LOSS</v>
          </cell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/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-579.99965999999995</v>
          </cell>
          <cell r="Q1611">
            <v>-727.20033000000001</v>
          </cell>
          <cell r="R1611">
            <v>-785.21068000000002</v>
          </cell>
          <cell r="S1611">
            <v>-903.02628000000004</v>
          </cell>
          <cell r="T1611">
            <v>-1139.30081</v>
          </cell>
          <cell r="U1611">
            <v>-1314.88724</v>
          </cell>
          <cell r="V1611">
            <v>-1452.1538700000001</v>
          </cell>
          <cell r="W1611">
            <v>-1563.5383300000001</v>
          </cell>
          <cell r="X1611">
            <v>-1734.81385</v>
          </cell>
          <cell r="Y1611">
            <v>-777.72700999999995</v>
          </cell>
        </row>
        <row r="1612">
          <cell r="B1612">
            <v>590599</v>
          </cell>
          <cell r="C1612" t="str">
            <v>NOT USED</v>
          </cell>
          <cell r="D1612" t="str">
            <v>GENERAL-CONSERVATION EXPENSE - EEPS-IC</v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>
            <v>0</v>
          </cell>
          <cell r="M1612">
            <v>0</v>
          </cell>
          <cell r="N1612">
            <v>0</v>
          </cell>
          <cell r="O1612">
            <v>549.22400000000005</v>
          </cell>
          <cell r="P1612">
            <v>564.66499999999996</v>
          </cell>
          <cell r="Q1612">
            <v>564.66499999999996</v>
          </cell>
          <cell r="R1612">
            <v>564.66499999999996</v>
          </cell>
          <cell r="S1612">
            <v>564.66499999999996</v>
          </cell>
          <cell r="T1612">
            <v>564.66499999999996</v>
          </cell>
          <cell r="U1612">
            <v>564.66499999999996</v>
          </cell>
          <cell r="V1612">
            <v>564.66499999999996</v>
          </cell>
          <cell r="W1612">
            <v>564.66499999999996</v>
          </cell>
          <cell r="X1612">
            <v>564.66499999999996</v>
          </cell>
          <cell r="Y1612">
            <v>445.73970800000001</v>
          </cell>
        </row>
        <row r="1613">
          <cell r="B1613">
            <v>590600</v>
          </cell>
          <cell r="C1613" t="str">
            <v>NOT USED</v>
          </cell>
          <cell r="D1613" t="str">
            <v>OTHER GENERAL EXPENSES</v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/>
          </cell>
          <cell r="L1613">
            <v>2888.4644899999998</v>
          </cell>
          <cell r="M1613">
            <v>-62.661090000000002</v>
          </cell>
          <cell r="N1613">
            <v>-36.732550000000003</v>
          </cell>
          <cell r="O1613">
            <v>-7.2839900000000002</v>
          </cell>
          <cell r="P1613">
            <v>34.290260000000004</v>
          </cell>
          <cell r="Q1613">
            <v>434.66162000000003</v>
          </cell>
          <cell r="R1613">
            <v>609.92264999999998</v>
          </cell>
          <cell r="S1613">
            <v>605.00160000000005</v>
          </cell>
          <cell r="T1613">
            <v>1064.18058</v>
          </cell>
          <cell r="U1613">
            <v>1332.7580399999999</v>
          </cell>
          <cell r="V1613">
            <v>1426.07564</v>
          </cell>
          <cell r="W1613">
            <v>1642.24332</v>
          </cell>
          <cell r="X1613">
            <v>3689.6759900000002</v>
          </cell>
          <cell r="Y1613">
            <v>860.96052699999996</v>
          </cell>
        </row>
        <row r="1614">
          <cell r="B1614">
            <v>590601</v>
          </cell>
          <cell r="C1614" t="str">
            <v>NOT USED</v>
          </cell>
          <cell r="D1614" t="str">
            <v>OTHER GENERAL EXPENSES - EEMC HC ALLOCATION-RGE</v>
          </cell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/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</row>
        <row r="1615">
          <cell r="B1615">
            <v>590605</v>
          </cell>
          <cell r="C1615" t="str">
            <v>NOT USED</v>
          </cell>
          <cell r="D1615" t="str">
            <v>GENERAL - NERC / ERO FEES</v>
          </cell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/>
          </cell>
          <cell r="L1615">
            <v>104.80597</v>
          </cell>
          <cell r="M1615">
            <v>0</v>
          </cell>
          <cell r="N1615">
            <v>27.895479999999999</v>
          </cell>
          <cell r="O1615">
            <v>27.895479999999999</v>
          </cell>
          <cell r="P1615">
            <v>27.895479999999999</v>
          </cell>
          <cell r="Q1615">
            <v>56.761040000000001</v>
          </cell>
          <cell r="R1615">
            <v>56.761040000000001</v>
          </cell>
          <cell r="S1615">
            <v>56.761040000000001</v>
          </cell>
          <cell r="T1615">
            <v>83.896590000000003</v>
          </cell>
          <cell r="U1615">
            <v>56.761040000000001</v>
          </cell>
          <cell r="V1615">
            <v>56.761040000000001</v>
          </cell>
          <cell r="W1615">
            <v>83.617580000000004</v>
          </cell>
          <cell r="X1615">
            <v>110.75313</v>
          </cell>
          <cell r="Y1615">
            <v>53.565446999999999</v>
          </cell>
        </row>
        <row r="1616">
          <cell r="B1616">
            <v>590610</v>
          </cell>
          <cell r="C1616" t="str">
            <v>NOT USED</v>
          </cell>
          <cell r="D1616" t="str">
            <v>OTHER GENERAL EXPENSES - EEMC ALLOCATION</v>
          </cell>
          <cell r="E1616" t="str">
            <v/>
          </cell>
          <cell r="F1616" t="str">
            <v/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/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</row>
        <row r="1617">
          <cell r="B1617">
            <v>590620</v>
          </cell>
          <cell r="C1617" t="str">
            <v>NOT USED</v>
          </cell>
          <cell r="D1617" t="str">
            <v>OTHER GENERAL EXPENSES - IEE STOCK OPTION</v>
          </cell>
          <cell r="E1617" t="str">
            <v/>
          </cell>
          <cell r="F1617" t="str">
            <v/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/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</row>
        <row r="1618">
          <cell r="B1618">
            <v>590621</v>
          </cell>
          <cell r="C1618" t="str">
            <v>NOT USED</v>
          </cell>
          <cell r="D1618" t="str">
            <v>GENERAL-VEHICLE REGISTRATION FEES</v>
          </cell>
          <cell r="E1618" t="str">
            <v/>
          </cell>
          <cell r="F1618" t="str">
            <v/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/>
          </cell>
          <cell r="L1618">
            <v>74.133529999999993</v>
          </cell>
          <cell r="M1618">
            <v>0</v>
          </cell>
          <cell r="N1618">
            <v>0</v>
          </cell>
          <cell r="O1618">
            <v>0.23426</v>
          </cell>
          <cell r="P1618">
            <v>0.28760999999999998</v>
          </cell>
          <cell r="Q1618">
            <v>3.9466100000000002</v>
          </cell>
          <cell r="R1618">
            <v>4.0796200000000002</v>
          </cell>
          <cell r="S1618">
            <v>4.4104799999999997</v>
          </cell>
          <cell r="T1618">
            <v>5.1872299999999996</v>
          </cell>
          <cell r="U1618">
            <v>68.580020000000005</v>
          </cell>
          <cell r="V1618">
            <v>68.619619999999998</v>
          </cell>
          <cell r="W1618">
            <v>69.279820000000001</v>
          </cell>
          <cell r="X1618">
            <v>72.349069999999998</v>
          </cell>
          <cell r="Y1618">
            <v>24.822213999999999</v>
          </cell>
        </row>
        <row r="1619">
          <cell r="B1619">
            <v>590625</v>
          </cell>
          <cell r="C1619" t="str">
            <v>NOT USED</v>
          </cell>
          <cell r="D1619" t="str">
            <v>LATE PAYMENT FEES</v>
          </cell>
          <cell r="E1619" t="str">
            <v/>
          </cell>
          <cell r="F1619" t="str">
            <v/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/>
          </cell>
          <cell r="L1619">
            <v>0.54501999999999995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6.8399999999999997E-3</v>
          </cell>
          <cell r="X1619">
            <v>6.8399999999999997E-3</v>
          </cell>
          <cell r="Y1619">
            <v>2.3564000000000002E-2</v>
          </cell>
        </row>
        <row r="1620">
          <cell r="B1620">
            <v>590630</v>
          </cell>
          <cell r="C1620" t="str">
            <v>NOT USED</v>
          </cell>
          <cell r="D1620" t="str">
            <v>OTH GENERAL EXP-UTILITIES (WATER, GAS, ELEC)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/>
          </cell>
          <cell r="L1620">
            <v>95.626909999999995</v>
          </cell>
          <cell r="M1620">
            <v>17.812470000000001</v>
          </cell>
          <cell r="N1620">
            <v>27.095580000000002</v>
          </cell>
          <cell r="O1620">
            <v>42.050510000000003</v>
          </cell>
          <cell r="P1620">
            <v>58.082900000000002</v>
          </cell>
          <cell r="Q1620">
            <v>70.887799999999999</v>
          </cell>
          <cell r="R1620">
            <v>81.471490000000003</v>
          </cell>
          <cell r="S1620">
            <v>87.110900000000001</v>
          </cell>
          <cell r="T1620">
            <v>100.1324</v>
          </cell>
          <cell r="U1620">
            <v>111.52255</v>
          </cell>
          <cell r="V1620">
            <v>123.08835000000001</v>
          </cell>
          <cell r="W1620">
            <v>126.51394999999999</v>
          </cell>
          <cell r="X1620">
            <v>139.50861</v>
          </cell>
          <cell r="Y1620">
            <v>80.278054999999995</v>
          </cell>
        </row>
        <row r="1621">
          <cell r="B1621">
            <v>590631</v>
          </cell>
          <cell r="C1621" t="str">
            <v>NOT USED</v>
          </cell>
          <cell r="D1621" t="str">
            <v>GENERAL - COMPANY USE DEBITS - ELECTRIC</v>
          </cell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/>
          </cell>
          <cell r="L1621">
            <v>1443.0400299999999</v>
          </cell>
          <cell r="M1621">
            <v>141.2868</v>
          </cell>
          <cell r="N1621">
            <v>266.56328999999999</v>
          </cell>
          <cell r="O1621">
            <v>296.33076</v>
          </cell>
          <cell r="P1621">
            <v>424.59712000000002</v>
          </cell>
          <cell r="Q1621">
            <v>542.26314000000002</v>
          </cell>
          <cell r="R1621">
            <v>664.68255999999997</v>
          </cell>
          <cell r="S1621">
            <v>797.50591999999995</v>
          </cell>
          <cell r="T1621">
            <v>921.20690999999999</v>
          </cell>
          <cell r="U1621">
            <v>1049.1332500000001</v>
          </cell>
          <cell r="V1621">
            <v>1170.3118300000001</v>
          </cell>
          <cell r="W1621">
            <v>1276.77601</v>
          </cell>
          <cell r="X1621">
            <v>1398.72486</v>
          </cell>
          <cell r="Y1621">
            <v>747.62833599999999</v>
          </cell>
        </row>
        <row r="1622">
          <cell r="B1622">
            <v>590632</v>
          </cell>
          <cell r="C1622" t="str">
            <v>NOT USED</v>
          </cell>
          <cell r="D1622" t="str">
            <v>GENERAL - COMPANY USE DEBITS - GAS</v>
          </cell>
          <cell r="E1622" t="str">
            <v/>
          </cell>
          <cell r="F1622" t="str">
            <v/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/>
          </cell>
          <cell r="L1622">
            <v>358.09721000000002</v>
          </cell>
          <cell r="M1622">
            <v>75.865610000000004</v>
          </cell>
          <cell r="N1622">
            <v>152.70742000000001</v>
          </cell>
          <cell r="O1622">
            <v>215.06649999999999</v>
          </cell>
          <cell r="P1622">
            <v>251.43295000000001</v>
          </cell>
          <cell r="Q1622">
            <v>272.13175999999999</v>
          </cell>
          <cell r="R1622">
            <v>294.97825999999998</v>
          </cell>
          <cell r="S1622">
            <v>302.44279</v>
          </cell>
          <cell r="T1622">
            <v>309.52758</v>
          </cell>
          <cell r="U1622">
            <v>318.85145999999997</v>
          </cell>
          <cell r="V1622">
            <v>334.86340000000001</v>
          </cell>
          <cell r="W1622">
            <v>349.27051</v>
          </cell>
          <cell r="X1622">
            <v>385.82431000000003</v>
          </cell>
          <cell r="Y1622">
            <v>270.75824999999998</v>
          </cell>
        </row>
        <row r="1623">
          <cell r="B1623">
            <v>590650</v>
          </cell>
          <cell r="C1623" t="str">
            <v>NOT USED</v>
          </cell>
          <cell r="D1623" t="str">
            <v>INVENTORY/PRICE/OTHER SMALL DIFFERENCES</v>
          </cell>
          <cell r="E1623" t="str">
            <v/>
          </cell>
          <cell r="F1623" t="str">
            <v/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/>
          </cell>
          <cell r="L1623">
            <v>43.577930000000002</v>
          </cell>
          <cell r="M1623">
            <v>6.18893</v>
          </cell>
          <cell r="N1623">
            <v>10.200839999999999</v>
          </cell>
          <cell r="O1623">
            <v>14.412660000000001</v>
          </cell>
          <cell r="P1623">
            <v>17.24465</v>
          </cell>
          <cell r="Q1623">
            <v>21.27732</v>
          </cell>
          <cell r="R1623">
            <v>25.66573</v>
          </cell>
          <cell r="S1623">
            <v>27.378309999999999</v>
          </cell>
          <cell r="T1623">
            <v>31.588180000000001</v>
          </cell>
          <cell r="U1623">
            <v>38.230780000000003</v>
          </cell>
          <cell r="V1623">
            <v>46.742750000000001</v>
          </cell>
          <cell r="W1623">
            <v>55.179949999999998</v>
          </cell>
          <cell r="X1623">
            <v>-103.03175</v>
          </cell>
          <cell r="Y1623">
            <v>22.031932999999999</v>
          </cell>
        </row>
        <row r="1624">
          <cell r="B1624">
            <v>590700</v>
          </cell>
          <cell r="C1624" t="str">
            <v>NOT USED</v>
          </cell>
          <cell r="D1624" t="str">
            <v>SALVAGE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/>
          </cell>
          <cell r="L1624">
            <v>-9464.6736400000009</v>
          </cell>
          <cell r="M1624">
            <v>-218.7131</v>
          </cell>
          <cell r="N1624">
            <v>-291.60831999999999</v>
          </cell>
          <cell r="O1624">
            <v>-613.38427999999999</v>
          </cell>
          <cell r="P1624">
            <v>-980.82950000000005</v>
          </cell>
          <cell r="Q1624">
            <v>-1062.4073699999999</v>
          </cell>
          <cell r="R1624">
            <v>-1572.1124299999999</v>
          </cell>
          <cell r="S1624">
            <v>-1538.25341</v>
          </cell>
          <cell r="T1624">
            <v>-2059.5548399999998</v>
          </cell>
          <cell r="U1624">
            <v>-2669.12428</v>
          </cell>
          <cell r="V1624">
            <v>-3185.7133600000002</v>
          </cell>
          <cell r="W1624">
            <v>-3557.6847699999998</v>
          </cell>
          <cell r="X1624">
            <v>-3728.1131599999999</v>
          </cell>
          <cell r="Y1624">
            <v>-2028.814922</v>
          </cell>
        </row>
        <row r="1625">
          <cell r="B1625">
            <v>590720</v>
          </cell>
          <cell r="C1625" t="str">
            <v>NOT USED</v>
          </cell>
          <cell r="D1625" t="str">
            <v>GENERAL - REMOVAL COSTS</v>
          </cell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/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</row>
        <row r="1626">
          <cell r="B1626">
            <v>590990</v>
          </cell>
          <cell r="C1626" t="str">
            <v>NOT USED</v>
          </cell>
          <cell r="D1626" t="str">
            <v>GENERAL - CONVEYED ASSET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/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</row>
        <row r="1627">
          <cell r="B1627">
            <v>590991</v>
          </cell>
          <cell r="C1627" t="str">
            <v>NOT USED</v>
          </cell>
          <cell r="D1627" t="str">
            <v>GENERAL - CONVEYED ASSET-OFFSET</v>
          </cell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/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</row>
        <row r="1628">
          <cell r="B1628">
            <v>590999</v>
          </cell>
          <cell r="C1628" t="str">
            <v>NOT USED</v>
          </cell>
          <cell r="D1628" t="str">
            <v>OTHER RECLASSIFICATION - CO</v>
          </cell>
          <cell r="E1628" t="str">
            <v/>
          </cell>
          <cell r="F1628" t="str">
            <v/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/>
          </cell>
          <cell r="L1628">
            <v>-547.15470000000005</v>
          </cell>
          <cell r="M1628">
            <v>0</v>
          </cell>
          <cell r="N1628">
            <v>139.4134</v>
          </cell>
          <cell r="O1628">
            <v>139.4134</v>
          </cell>
          <cell r="P1628">
            <v>139.4134</v>
          </cell>
          <cell r="Q1628">
            <v>139.4134</v>
          </cell>
          <cell r="R1628">
            <v>139.4134</v>
          </cell>
          <cell r="S1628">
            <v>139.4134</v>
          </cell>
          <cell r="T1628">
            <v>139.4134</v>
          </cell>
          <cell r="U1628">
            <v>139.4134</v>
          </cell>
          <cell r="V1628">
            <v>139.4134</v>
          </cell>
          <cell r="W1628">
            <v>139.4134</v>
          </cell>
          <cell r="X1628">
            <v>139.4134</v>
          </cell>
          <cell r="Y1628">
            <v>99.188613000000004</v>
          </cell>
        </row>
        <row r="1629">
          <cell r="B1629">
            <v>591010</v>
          </cell>
          <cell r="C1629" t="str">
            <v>NOT USED</v>
          </cell>
          <cell r="D1629" t="str">
            <v>CORPORATE TAXES - ELEC GROSS RECEIPTS TAXES</v>
          </cell>
          <cell r="E1629" t="str">
            <v/>
          </cell>
          <cell r="F1629" t="str">
            <v/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/>
          </cell>
          <cell r="L1629">
            <v>3960.50263</v>
          </cell>
          <cell r="M1629">
            <v>394.23696000000001</v>
          </cell>
          <cell r="N1629">
            <v>673.56960000000004</v>
          </cell>
          <cell r="O1629">
            <v>964.91285000000005</v>
          </cell>
          <cell r="P1629">
            <v>1211.16608</v>
          </cell>
          <cell r="Q1629">
            <v>1561.8444199999999</v>
          </cell>
          <cell r="R1629">
            <v>2372.59809</v>
          </cell>
          <cell r="S1629">
            <v>2290.2934300000002</v>
          </cell>
          <cell r="T1629">
            <v>2805.2523799999999</v>
          </cell>
          <cell r="U1629">
            <v>3002.3482899999999</v>
          </cell>
          <cell r="V1629">
            <v>3254.6625899999999</v>
          </cell>
          <cell r="W1629">
            <v>6086.1742299999996</v>
          </cell>
          <cell r="X1629">
            <v>6458.1705899999997</v>
          </cell>
          <cell r="Y1629">
            <v>2485.5329609999999</v>
          </cell>
        </row>
        <row r="1630">
          <cell r="B1630">
            <v>591011</v>
          </cell>
          <cell r="C1630" t="str">
            <v>NOT USED</v>
          </cell>
          <cell r="D1630" t="str">
            <v>CORPORATE TAXES - ELEC GROSS RECEIPT TAX-COMMODIT</v>
          </cell>
          <cell r="E1630" t="str">
            <v/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>
            <v>1202.08691</v>
          </cell>
          <cell r="M1630">
            <v>167.19081</v>
          </cell>
          <cell r="N1630">
            <v>240.80933999999999</v>
          </cell>
          <cell r="O1630">
            <v>341.70200999999997</v>
          </cell>
          <cell r="P1630">
            <v>406.16730000000001</v>
          </cell>
          <cell r="Q1630">
            <v>519.56584999999995</v>
          </cell>
          <cell r="R1630">
            <v>726.93690000000004</v>
          </cell>
          <cell r="S1630">
            <v>740.63010999999995</v>
          </cell>
          <cell r="T1630">
            <v>843.52679000000001</v>
          </cell>
          <cell r="U1630">
            <v>895.58232999999996</v>
          </cell>
          <cell r="V1630">
            <v>995.39886000000001</v>
          </cell>
          <cell r="W1630">
            <v>1080.7223100000001</v>
          </cell>
          <cell r="X1630">
            <v>1159.83772</v>
          </cell>
          <cell r="Y1630">
            <v>678.26624400000003</v>
          </cell>
        </row>
        <row r="1631">
          <cell r="B1631">
            <v>591020</v>
          </cell>
          <cell r="C1631" t="str">
            <v>NOT USED</v>
          </cell>
          <cell r="D1631" t="str">
            <v>CORPORATE TAXES - GAS GROSS RECEIPTS TAXES</v>
          </cell>
          <cell r="E1631" t="str">
            <v/>
          </cell>
          <cell r="F1631" t="str">
            <v/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/>
          </cell>
          <cell r="L1631">
            <v>4455.7126500000004</v>
          </cell>
          <cell r="M1631">
            <v>653.72918000000004</v>
          </cell>
          <cell r="N1631">
            <v>1333.28439</v>
          </cell>
          <cell r="O1631">
            <v>1937.89771</v>
          </cell>
          <cell r="P1631">
            <v>2286.0012999999999</v>
          </cell>
          <cell r="Q1631">
            <v>2547.09548</v>
          </cell>
          <cell r="R1631">
            <v>2938.6789800000001</v>
          </cell>
          <cell r="S1631">
            <v>2802.7062900000001</v>
          </cell>
          <cell r="T1631">
            <v>2975.7965100000001</v>
          </cell>
          <cell r="U1631">
            <v>3079.0785000000001</v>
          </cell>
          <cell r="V1631">
            <v>3343.2912999999999</v>
          </cell>
          <cell r="W1631">
            <v>4169.2916400000004</v>
          </cell>
          <cell r="X1631">
            <v>4528.1099299999996</v>
          </cell>
          <cell r="Y1631">
            <v>2713.2302140000002</v>
          </cell>
        </row>
        <row r="1632">
          <cell r="B1632">
            <v>591030</v>
          </cell>
          <cell r="C1632" t="str">
            <v>NOT USED</v>
          </cell>
          <cell r="D1632" t="str">
            <v>CORPORATE TAXES - GROSS RECEIPTS TAXES-NONOP</v>
          </cell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/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</row>
        <row r="1633">
          <cell r="B1633">
            <v>591035</v>
          </cell>
          <cell r="C1633" t="str">
            <v>NOT USED</v>
          </cell>
          <cell r="D1633" t="str">
            <v>CORPORATE TAXES - SALES &amp; USE TAX-COMMON</v>
          </cell>
          <cell r="E1633" t="str">
            <v/>
          </cell>
          <cell r="F1633" t="str">
            <v/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/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</row>
        <row r="1634">
          <cell r="B1634">
            <v>591040</v>
          </cell>
          <cell r="C1634" t="str">
            <v>NOT USED</v>
          </cell>
          <cell r="D1634" t="str">
            <v>CORPORATE TAXES - ELEC PROPERTY TAXES</v>
          </cell>
          <cell r="E1634" t="str">
            <v/>
          </cell>
          <cell r="F1634" t="str">
            <v/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/>
          </cell>
          <cell r="L1634">
            <v>57795.768750000003</v>
          </cell>
          <cell r="M1634">
            <v>4750.31585</v>
          </cell>
          <cell r="N1634">
            <v>9473.7427900000002</v>
          </cell>
          <cell r="O1634">
            <v>14207.08908</v>
          </cell>
          <cell r="P1634">
            <v>18944.464199999999</v>
          </cell>
          <cell r="Q1634">
            <v>23669.76931</v>
          </cell>
          <cell r="R1634">
            <v>28407.56583</v>
          </cell>
          <cell r="S1634">
            <v>33304.285900000003</v>
          </cell>
          <cell r="T1634">
            <v>38188.4254</v>
          </cell>
          <cell r="U1634">
            <v>42735.211739999999</v>
          </cell>
          <cell r="V1634">
            <v>47494.607889999999</v>
          </cell>
          <cell r="W1634">
            <v>52283.410329999999</v>
          </cell>
          <cell r="X1634">
            <v>56810.013809999997</v>
          </cell>
          <cell r="Y1634">
            <v>30896.814966999998</v>
          </cell>
        </row>
        <row r="1635">
          <cell r="B1635">
            <v>591041</v>
          </cell>
          <cell r="C1635" t="str">
            <v>NOT USED</v>
          </cell>
          <cell r="D1635" t="str">
            <v>CORPORATE TAXES - ELEC PROPERTY TAXES DEFERRAL</v>
          </cell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/>
          </cell>
          <cell r="L1635">
            <v>-2722.9390800000001</v>
          </cell>
          <cell r="M1635">
            <v>150.51416</v>
          </cell>
          <cell r="N1635">
            <v>301.02832000000001</v>
          </cell>
          <cell r="O1635">
            <v>451.54248000000001</v>
          </cell>
          <cell r="P1635">
            <v>602.05664000000002</v>
          </cell>
          <cell r="Q1635">
            <v>752.57079999999996</v>
          </cell>
          <cell r="R1635">
            <v>903.08496000000002</v>
          </cell>
          <cell r="S1635">
            <v>1053.5991200000001</v>
          </cell>
          <cell r="T1635">
            <v>1204.11328</v>
          </cell>
          <cell r="U1635">
            <v>1354.62744</v>
          </cell>
          <cell r="V1635">
            <v>1505.1415999999999</v>
          </cell>
          <cell r="W1635">
            <v>1655.6557600000001</v>
          </cell>
          <cell r="X1635">
            <v>1806.16992</v>
          </cell>
          <cell r="Y1635">
            <v>789.62916499999994</v>
          </cell>
        </row>
        <row r="1636">
          <cell r="B1636">
            <v>591050</v>
          </cell>
          <cell r="C1636" t="str">
            <v>NOT USED</v>
          </cell>
          <cell r="D1636" t="str">
            <v>CORPORATE TAXES - GAS PROPERTY TAXES</v>
          </cell>
          <cell r="E1636" t="str">
            <v/>
          </cell>
          <cell r="F1636" t="str">
            <v/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/>
          </cell>
          <cell r="L1636">
            <v>24207.551810000001</v>
          </cell>
          <cell r="M1636">
            <v>1960.11761</v>
          </cell>
          <cell r="N1636">
            <v>3921.0718000000002</v>
          </cell>
          <cell r="O1636">
            <v>5878.8314399999999</v>
          </cell>
          <cell r="P1636">
            <v>7832.5610399999996</v>
          </cell>
          <cell r="Q1636">
            <v>9782.2839299999996</v>
          </cell>
          <cell r="R1636">
            <v>11733.347009999999</v>
          </cell>
          <cell r="S1636">
            <v>13737.30348</v>
          </cell>
          <cell r="T1636">
            <v>15746.79664</v>
          </cell>
          <cell r="U1636">
            <v>17603.032889999999</v>
          </cell>
          <cell r="V1636">
            <v>19568.590250000001</v>
          </cell>
          <cell r="W1636">
            <v>21510.36046</v>
          </cell>
          <cell r="X1636">
            <v>23334.148590000001</v>
          </cell>
          <cell r="Y1636">
            <v>12753.762229</v>
          </cell>
        </row>
        <row r="1637">
          <cell r="B1637">
            <v>591051</v>
          </cell>
          <cell r="C1637" t="str">
            <v>NOT USED</v>
          </cell>
          <cell r="D1637" t="str">
            <v>CORPORATE TAXES - GAS PROPERTY TAXES DEFERRAL</v>
          </cell>
          <cell r="E1637" t="str">
            <v/>
          </cell>
          <cell r="F1637" t="str">
            <v/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/>
          </cell>
          <cell r="L1637">
            <v>-3361.8671199999999</v>
          </cell>
          <cell r="M1637">
            <v>317.625</v>
          </cell>
          <cell r="N1637">
            <v>635.25</v>
          </cell>
          <cell r="O1637">
            <v>952.875</v>
          </cell>
          <cell r="P1637">
            <v>1270.5</v>
          </cell>
          <cell r="Q1637">
            <v>1588.125</v>
          </cell>
          <cell r="R1637">
            <v>1905.75</v>
          </cell>
          <cell r="S1637">
            <v>2223.375</v>
          </cell>
          <cell r="T1637">
            <v>2541</v>
          </cell>
          <cell r="U1637">
            <v>2858.625</v>
          </cell>
          <cell r="V1637">
            <v>3176.25</v>
          </cell>
          <cell r="W1637">
            <v>3493.875</v>
          </cell>
          <cell r="X1637">
            <v>3811.5</v>
          </cell>
          <cell r="Y1637">
            <v>1765.6722030000001</v>
          </cell>
        </row>
        <row r="1638">
          <cell r="B1638">
            <v>591070</v>
          </cell>
          <cell r="C1638" t="str">
            <v>NOT USED</v>
          </cell>
          <cell r="D1638" t="str">
            <v>CORPORATE TAXES - ELEC PAYROLL TAXES</v>
          </cell>
          <cell r="E1638" t="str">
            <v/>
          </cell>
          <cell r="F1638" t="str">
            <v/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/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</row>
        <row r="1639">
          <cell r="B1639">
            <v>591080</v>
          </cell>
          <cell r="C1639" t="str">
            <v>NOT USED</v>
          </cell>
          <cell r="D1639" t="str">
            <v>CORPORATE TAXES - GAS PAYROLL TAXES</v>
          </cell>
          <cell r="E1639" t="str">
            <v/>
          </cell>
          <cell r="F1639" t="str">
            <v/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/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B1640">
            <v>591090</v>
          </cell>
          <cell r="C1640" t="str">
            <v>NOT USED</v>
          </cell>
          <cell r="D1640" t="str">
            <v>CORPORATE TAXES - TOTAL PAYROLL TAXES (EMPLOYER)</v>
          </cell>
          <cell r="E1640" t="str">
            <v/>
          </cell>
          <cell r="F1640" t="str">
            <v/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/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B1641">
            <v>591100</v>
          </cell>
          <cell r="C1641" t="str">
            <v>NOT USED</v>
          </cell>
          <cell r="D1641" t="str">
            <v>CORPORATE TAXES - OTHER TAXES-ELEC</v>
          </cell>
          <cell r="E1641" t="str">
            <v/>
          </cell>
          <cell r="F1641" t="str">
            <v/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/>
          </cell>
          <cell r="L1641">
            <v>2770.0088700000001</v>
          </cell>
          <cell r="M1641">
            <v>1214.76082</v>
          </cell>
          <cell r="N1641">
            <v>1593.8663899999999</v>
          </cell>
          <cell r="O1641">
            <v>1803.42309</v>
          </cell>
          <cell r="P1641">
            <v>2149.5141699999999</v>
          </cell>
          <cell r="Q1641">
            <v>2413.3139999999999</v>
          </cell>
          <cell r="R1641">
            <v>2705.2572100000002</v>
          </cell>
          <cell r="S1641">
            <v>2837.3190300000001</v>
          </cell>
          <cell r="T1641">
            <v>3303.8958600000001</v>
          </cell>
          <cell r="U1641">
            <v>3771.8908000000001</v>
          </cell>
          <cell r="V1641">
            <v>4676.42263</v>
          </cell>
          <cell r="W1641">
            <v>4523.3719700000001</v>
          </cell>
          <cell r="X1641">
            <v>5359.6346700000004</v>
          </cell>
          <cell r="Y1641">
            <v>2921.4881449999998</v>
          </cell>
        </row>
        <row r="1642">
          <cell r="B1642">
            <v>591101</v>
          </cell>
          <cell r="C1642" t="str">
            <v>NOT USED</v>
          </cell>
          <cell r="D1642" t="str">
            <v>CORPORATE TAXES - OTHER TAXES-ELEC-EEMC HC ALLOC</v>
          </cell>
          <cell r="E1642" t="str">
            <v/>
          </cell>
          <cell r="F1642" t="str">
            <v/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/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</row>
        <row r="1643">
          <cell r="B1643">
            <v>591110</v>
          </cell>
          <cell r="C1643" t="str">
            <v>NOT USED</v>
          </cell>
          <cell r="D1643" t="str">
            <v>CORPORATE TAXES - OTHER TAXES-GAS</v>
          </cell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/>
          </cell>
          <cell r="L1643">
            <v>938.75984000000005</v>
          </cell>
          <cell r="M1643">
            <v>124.53762</v>
          </cell>
          <cell r="N1643">
            <v>188.46495999999999</v>
          </cell>
          <cell r="O1643">
            <v>277.19398999999999</v>
          </cell>
          <cell r="P1643">
            <v>443.06666999999999</v>
          </cell>
          <cell r="Q1643">
            <v>654.15337</v>
          </cell>
          <cell r="R1643">
            <v>760.60091</v>
          </cell>
          <cell r="S1643">
            <v>861.49964</v>
          </cell>
          <cell r="T1643">
            <v>1079.6624999999999</v>
          </cell>
          <cell r="U1643">
            <v>1221.1161199999999</v>
          </cell>
          <cell r="V1643">
            <v>1497.019</v>
          </cell>
          <cell r="W1643">
            <v>1511.7471800000001</v>
          </cell>
          <cell r="X1643">
            <v>1730.8380400000001</v>
          </cell>
          <cell r="Y1643">
            <v>829.48840800000005</v>
          </cell>
        </row>
        <row r="1644">
          <cell r="B1644">
            <v>591111</v>
          </cell>
          <cell r="C1644" t="str">
            <v>NOT USED</v>
          </cell>
          <cell r="D1644" t="str">
            <v>CORPORATE TAXES - OTHER TAXES-GAS-EEMC HC ALLOC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/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</row>
        <row r="1645">
          <cell r="B1645">
            <v>591112</v>
          </cell>
          <cell r="C1645" t="str">
            <v>NOT USED</v>
          </cell>
          <cell r="D1645" t="str">
            <v>CORPORATE TAXES - AUTO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/>
          </cell>
          <cell r="L1645">
            <v>0</v>
          </cell>
          <cell r="M1645">
            <v>29.71236</v>
          </cell>
          <cell r="N1645">
            <v>39.353879999999997</v>
          </cell>
          <cell r="O1645">
            <v>39.353879999999997</v>
          </cell>
          <cell r="P1645">
            <v>39.353879999999997</v>
          </cell>
          <cell r="Q1645">
            <v>39.353879999999997</v>
          </cell>
          <cell r="R1645">
            <v>39.353879999999997</v>
          </cell>
          <cell r="S1645">
            <v>39.353879999999997</v>
          </cell>
          <cell r="T1645">
            <v>39.353879999999997</v>
          </cell>
          <cell r="U1645">
            <v>39.353879999999997</v>
          </cell>
          <cell r="V1645">
            <v>39.353879999999997</v>
          </cell>
          <cell r="W1645">
            <v>39.353879999999997</v>
          </cell>
          <cell r="X1645">
            <v>39.353879999999997</v>
          </cell>
          <cell r="Y1645">
            <v>36.910674999999998</v>
          </cell>
        </row>
        <row r="1646">
          <cell r="B1646">
            <v>591113</v>
          </cell>
          <cell r="C1646" t="str">
            <v>NOT USED</v>
          </cell>
          <cell r="D1646" t="str">
            <v>CORPORATE TAXES - OTHER TAXES-ELECTRIC</v>
          </cell>
          <cell r="E1646" t="str">
            <v/>
          </cell>
          <cell r="F1646" t="str">
            <v/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/>
          </cell>
          <cell r="L1646">
            <v>69.361810000000006</v>
          </cell>
          <cell r="M1646">
            <v>160.27848</v>
          </cell>
          <cell r="N1646">
            <v>185.35703000000001</v>
          </cell>
          <cell r="O1646">
            <v>186.81817000000001</v>
          </cell>
          <cell r="P1646">
            <v>188.86096000000001</v>
          </cell>
          <cell r="Q1646">
            <v>190.99005</v>
          </cell>
          <cell r="R1646">
            <v>194.36322000000001</v>
          </cell>
          <cell r="S1646">
            <v>197.63553999999999</v>
          </cell>
          <cell r="T1646">
            <v>200.58367000000001</v>
          </cell>
          <cell r="U1646">
            <v>202.86580000000001</v>
          </cell>
          <cell r="V1646">
            <v>205.06912</v>
          </cell>
          <cell r="W1646">
            <v>206.94427999999999</v>
          </cell>
          <cell r="X1646">
            <v>235.27351999999999</v>
          </cell>
          <cell r="Y1646">
            <v>189.34033199999999</v>
          </cell>
        </row>
        <row r="1647">
          <cell r="B1647">
            <v>591114</v>
          </cell>
          <cell r="C1647" t="str">
            <v>NOT USED</v>
          </cell>
          <cell r="D1647" t="str">
            <v>CORPORATE TAXES - OTHER TAXES-GAS</v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>
            <v>13.45501</v>
          </cell>
          <cell r="M1647">
            <v>0.68201000000000001</v>
          </cell>
          <cell r="N1647">
            <v>1.4352199999999999</v>
          </cell>
          <cell r="O1647">
            <v>2.1745999999999999</v>
          </cell>
          <cell r="P1647">
            <v>3.0238999999999998</v>
          </cell>
          <cell r="Q1647">
            <v>3.9549400000000001</v>
          </cell>
          <cell r="R1647">
            <v>4.8408899999999999</v>
          </cell>
          <cell r="S1647">
            <v>5.7926200000000003</v>
          </cell>
          <cell r="T1647">
            <v>6.8524500000000002</v>
          </cell>
          <cell r="U1647">
            <v>8.0072600000000005</v>
          </cell>
          <cell r="V1647">
            <v>8.9121699999999997</v>
          </cell>
          <cell r="W1647">
            <v>9.8610500000000005</v>
          </cell>
          <cell r="X1647">
            <v>10.62641</v>
          </cell>
          <cell r="Y1647">
            <v>5.6314849999999996</v>
          </cell>
        </row>
        <row r="1648">
          <cell r="B1648">
            <v>591120</v>
          </cell>
          <cell r="C1648" t="str">
            <v>NOT USED</v>
          </cell>
          <cell r="D1648" t="str">
            <v>CORPORATE TAXES - LOCAL TAX PRIOR AUDIT ADJUSTMEN</v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/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</row>
        <row r="1649">
          <cell r="B1649">
            <v>592010</v>
          </cell>
          <cell r="C1649" t="str">
            <v>NOT USED</v>
          </cell>
          <cell r="D1649" t="str">
            <v>INCOME TAXES - ELECTRIC CURRENT-FEDERAL</v>
          </cell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>
            <v>21295.640609999999</v>
          </cell>
          <cell r="M1649">
            <v>965.23839999999996</v>
          </cell>
          <cell r="N1649">
            <v>-1002.9577399999999</v>
          </cell>
          <cell r="O1649">
            <v>-749.86455000000001</v>
          </cell>
          <cell r="P1649">
            <v>-1269.0153</v>
          </cell>
          <cell r="Q1649">
            <v>902.0299</v>
          </cell>
          <cell r="R1649">
            <v>1009.24138</v>
          </cell>
          <cell r="S1649">
            <v>2596.2819399999998</v>
          </cell>
          <cell r="T1649">
            <v>2616.2031499999998</v>
          </cell>
          <cell r="U1649">
            <v>-11897.340560000001</v>
          </cell>
          <cell r="V1649">
            <v>-14490.520710000001</v>
          </cell>
          <cell r="W1649">
            <v>-14296.70289</v>
          </cell>
          <cell r="X1649">
            <v>-12878.944949999999</v>
          </cell>
          <cell r="Y1649">
            <v>-2617.4215960000001</v>
          </cell>
        </row>
        <row r="1650">
          <cell r="B1650">
            <v>592012</v>
          </cell>
          <cell r="C1650" t="str">
            <v>NOT USED</v>
          </cell>
          <cell r="D1650" t="str">
            <v>INCOME TAXES - ELECTRIC COMMODITY CURRENT-FEDERAL</v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/>
          </cell>
          <cell r="L1650">
            <v>795.51850000000002</v>
          </cell>
          <cell r="M1650">
            <v>-2.7532299999999998</v>
          </cell>
          <cell r="N1650">
            <v>134.37116</v>
          </cell>
          <cell r="O1650">
            <v>206.72555</v>
          </cell>
          <cell r="P1650">
            <v>263.65046999999998</v>
          </cell>
          <cell r="Q1650">
            <v>321.42212999999998</v>
          </cell>
          <cell r="R1650">
            <v>367.36703999999997</v>
          </cell>
          <cell r="S1650">
            <v>426.83983999999998</v>
          </cell>
          <cell r="T1650">
            <v>491.42338999999998</v>
          </cell>
          <cell r="U1650">
            <v>543.60576000000003</v>
          </cell>
          <cell r="V1650">
            <v>608.24332000000004</v>
          </cell>
          <cell r="W1650">
            <v>682.33240000000001</v>
          </cell>
          <cell r="X1650">
            <v>745.92264999999998</v>
          </cell>
          <cell r="Y1650">
            <v>401.16236700000002</v>
          </cell>
        </row>
        <row r="1651">
          <cell r="B1651">
            <v>592014</v>
          </cell>
          <cell r="C1651" t="str">
            <v>NOT USED</v>
          </cell>
          <cell r="D1651" t="str">
            <v>INCOME TAXES - ELECT CUR-FED-FERC FIN 48 INTEREST</v>
          </cell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>
            <v>118</v>
          </cell>
          <cell r="M1651">
            <v>8</v>
          </cell>
          <cell r="N1651">
            <v>15</v>
          </cell>
          <cell r="O1651">
            <v>22</v>
          </cell>
          <cell r="P1651">
            <v>30</v>
          </cell>
          <cell r="Q1651">
            <v>38</v>
          </cell>
          <cell r="R1651">
            <v>53</v>
          </cell>
          <cell r="S1651">
            <v>63</v>
          </cell>
          <cell r="T1651">
            <v>74</v>
          </cell>
          <cell r="U1651">
            <v>85</v>
          </cell>
          <cell r="V1651">
            <v>94</v>
          </cell>
          <cell r="W1651">
            <v>101</v>
          </cell>
          <cell r="X1651">
            <v>130</v>
          </cell>
          <cell r="Y1651">
            <v>58.916666999999997</v>
          </cell>
        </row>
        <row r="1652">
          <cell r="B1652">
            <v>592015</v>
          </cell>
          <cell r="C1652" t="str">
            <v>NOT USED</v>
          </cell>
          <cell r="D1652" t="str">
            <v>INCOME TAXES - ELECTRIC CUR-FIT-EEMC</v>
          </cell>
          <cell r="E1652" t="str">
            <v/>
          </cell>
          <cell r="F1652" t="str">
            <v/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/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</row>
        <row r="1653">
          <cell r="B1653">
            <v>592040</v>
          </cell>
          <cell r="C1653" t="str">
            <v>NOT USED</v>
          </cell>
          <cell r="D1653" t="str">
            <v>INCOME TAXES - GAS CURRENT-FEDERAL</v>
          </cell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>
            <v>-1675.00694</v>
          </cell>
          <cell r="M1653">
            <v>2061.4430699999998</v>
          </cell>
          <cell r="N1653">
            <v>3581.82987</v>
          </cell>
          <cell r="O1653">
            <v>4772.2323399999996</v>
          </cell>
          <cell r="P1653">
            <v>4128.9541200000003</v>
          </cell>
          <cell r="Q1653">
            <v>3025.7160600000002</v>
          </cell>
          <cell r="R1653">
            <v>481.64726000000002</v>
          </cell>
          <cell r="S1653">
            <v>-1836.60825</v>
          </cell>
          <cell r="T1653">
            <v>-2966.2196100000001</v>
          </cell>
          <cell r="U1653">
            <v>-5069.8147600000002</v>
          </cell>
          <cell r="V1653">
            <v>-5810.3537100000003</v>
          </cell>
          <cell r="W1653">
            <v>-6241.9385599999996</v>
          </cell>
          <cell r="X1653">
            <v>-3538.1370499999998</v>
          </cell>
          <cell r="Y1653">
            <v>-539.97367999999994</v>
          </cell>
        </row>
        <row r="1654">
          <cell r="B1654">
            <v>592042</v>
          </cell>
          <cell r="C1654" t="str">
            <v>NOT USED</v>
          </cell>
          <cell r="D1654" t="str">
            <v>INCOME TAXES - GAS CUR-FED-FERC FIN 48 INTEREST</v>
          </cell>
          <cell r="E1654" t="str">
            <v/>
          </cell>
          <cell r="F1654" t="str">
            <v/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/>
          </cell>
          <cell r="L1654">
            <v>26</v>
          </cell>
          <cell r="M1654">
            <v>1</v>
          </cell>
          <cell r="N1654">
            <v>3</v>
          </cell>
          <cell r="O1654">
            <v>5</v>
          </cell>
          <cell r="P1654">
            <v>6</v>
          </cell>
          <cell r="Q1654">
            <v>8</v>
          </cell>
          <cell r="R1654">
            <v>11</v>
          </cell>
          <cell r="S1654">
            <v>14</v>
          </cell>
          <cell r="T1654">
            <v>16</v>
          </cell>
          <cell r="U1654">
            <v>18</v>
          </cell>
          <cell r="V1654">
            <v>20</v>
          </cell>
          <cell r="W1654">
            <v>21</v>
          </cell>
          <cell r="X1654">
            <v>157</v>
          </cell>
          <cell r="Y1654">
            <v>17.875</v>
          </cell>
        </row>
        <row r="1655">
          <cell r="B1655">
            <v>592045</v>
          </cell>
          <cell r="C1655" t="str">
            <v>NOT USED</v>
          </cell>
          <cell r="D1655" t="str">
            <v>INCOME TAXES - GAS CURRENT-FIT-EEMC</v>
          </cell>
          <cell r="E1655" t="str">
            <v/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</row>
        <row r="1656">
          <cell r="B1656">
            <v>592068</v>
          </cell>
          <cell r="C1656" t="str">
            <v>NOT USED</v>
          </cell>
          <cell r="D1656" t="str">
            <v>INCOME TAXES - NON-OPERATING-FEDERAL-ELECTRIC</v>
          </cell>
          <cell r="E1656" t="str">
            <v/>
          </cell>
          <cell r="F1656" t="str">
            <v/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/>
          </cell>
          <cell r="L1656">
            <v>2243.66239</v>
          </cell>
          <cell r="M1656">
            <v>139.61447999999999</v>
          </cell>
          <cell r="N1656">
            <v>273.36804999999998</v>
          </cell>
          <cell r="O1656">
            <v>421.20846999999998</v>
          </cell>
          <cell r="P1656">
            <v>567.50773000000004</v>
          </cell>
          <cell r="Q1656">
            <v>696.18592999999998</v>
          </cell>
          <cell r="R1656">
            <v>865.94197999999994</v>
          </cell>
          <cell r="S1656">
            <v>1030.2529199999999</v>
          </cell>
          <cell r="T1656">
            <v>1173.04666</v>
          </cell>
          <cell r="U1656">
            <v>1788.9302399999999</v>
          </cell>
          <cell r="V1656">
            <v>2035.1949199999999</v>
          </cell>
          <cell r="W1656">
            <v>2308.94848</v>
          </cell>
          <cell r="X1656">
            <v>2519.0997900000002</v>
          </cell>
          <cell r="Y1656">
            <v>1140.131746</v>
          </cell>
        </row>
        <row r="1657">
          <cell r="B1657">
            <v>592069</v>
          </cell>
          <cell r="C1657" t="str">
            <v>NOT USED</v>
          </cell>
          <cell r="D1657" t="str">
            <v>INCOME TAXES - NON-OPERATING-FEDERAL-GAS</v>
          </cell>
          <cell r="E1657" t="str">
            <v/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>
            <v>974.21776</v>
          </cell>
          <cell r="M1657">
            <v>74.772199999999998</v>
          </cell>
          <cell r="N1657">
            <v>138.50832</v>
          </cell>
          <cell r="O1657">
            <v>135.3579</v>
          </cell>
          <cell r="P1657">
            <v>187.99003999999999</v>
          </cell>
          <cell r="Q1657">
            <v>229.60854</v>
          </cell>
          <cell r="R1657">
            <v>276.54052999999999</v>
          </cell>
          <cell r="S1657">
            <v>322.60343999999998</v>
          </cell>
          <cell r="T1657">
            <v>365.30689000000001</v>
          </cell>
          <cell r="U1657">
            <v>465.89420999999999</v>
          </cell>
          <cell r="V1657">
            <v>515.33253999999999</v>
          </cell>
          <cell r="W1657">
            <v>572.23109999999997</v>
          </cell>
          <cell r="X1657">
            <v>629.24451999999997</v>
          </cell>
          <cell r="Y1657">
            <v>340.48973799999999</v>
          </cell>
        </row>
        <row r="1658">
          <cell r="B1658">
            <v>592070</v>
          </cell>
          <cell r="C1658" t="str">
            <v>NOT USED</v>
          </cell>
          <cell r="D1658" t="str">
            <v>INCOME TAXES - NON-OPERATING-FEDERAL</v>
          </cell>
          <cell r="E1658" t="str">
            <v/>
          </cell>
          <cell r="F1658" t="str">
            <v/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/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</row>
        <row r="1659">
          <cell r="B1659">
            <v>592074</v>
          </cell>
          <cell r="C1659" t="str">
            <v>NOT USED</v>
          </cell>
          <cell r="D1659" t="str">
            <v>INCOME TAXES-NON-OPERATING-FEDERAL-ELECTRIC-SERP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/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</row>
        <row r="1660">
          <cell r="B1660">
            <v>592075</v>
          </cell>
          <cell r="C1660" t="str">
            <v>NOT USED</v>
          </cell>
          <cell r="D1660" t="str">
            <v>INCOME TAXES-NON-OPERATING-FEDERAL-GAS-SERP</v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</row>
        <row r="1661">
          <cell r="B1661">
            <v>592100</v>
          </cell>
          <cell r="C1661" t="str">
            <v>NOT USED</v>
          </cell>
          <cell r="D1661" t="str">
            <v>INCOME TAXES - ELECTRIC DEFERRED-FEDERAL</v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/>
          </cell>
          <cell r="L1661">
            <v>75873.37775</v>
          </cell>
          <cell r="M1661">
            <v>4335.7402199999997</v>
          </cell>
          <cell r="N1661">
            <v>9644.2838100000008</v>
          </cell>
          <cell r="O1661">
            <v>14107.71146</v>
          </cell>
          <cell r="P1661">
            <v>18907.147099999998</v>
          </cell>
          <cell r="Q1661">
            <v>21985.311420000002</v>
          </cell>
          <cell r="R1661">
            <v>26332.430759999999</v>
          </cell>
          <cell r="S1661">
            <v>30639.259969999999</v>
          </cell>
          <cell r="T1661">
            <v>37207.00621</v>
          </cell>
          <cell r="U1661">
            <v>61260.938139999998</v>
          </cell>
          <cell r="V1661">
            <v>66610.101450000002</v>
          </cell>
          <cell r="W1661">
            <v>72068.297460000002</v>
          </cell>
          <cell r="X1661">
            <v>84608.385880000002</v>
          </cell>
          <cell r="Y1661">
            <v>36944.925818000003</v>
          </cell>
        </row>
        <row r="1662">
          <cell r="B1662">
            <v>592111</v>
          </cell>
          <cell r="C1662" t="str">
            <v>NOT USED</v>
          </cell>
          <cell r="D1662" t="str">
            <v>INCOME TAXES - ELECTRIC DEFERRED-FEDERAL-EEMC HC</v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/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</row>
        <row r="1663">
          <cell r="B1663">
            <v>592130</v>
          </cell>
          <cell r="C1663" t="str">
            <v>NOT USED</v>
          </cell>
          <cell r="D1663" t="str">
            <v>INCOME TAXES - GAS DEFERRED-FEDERAL</v>
          </cell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/>
          </cell>
          <cell r="L1663">
            <v>33303.670789999996</v>
          </cell>
          <cell r="M1663">
            <v>2571.3558400000002</v>
          </cell>
          <cell r="N1663">
            <v>4679.5124999999998</v>
          </cell>
          <cell r="O1663">
            <v>7746.3072899999997</v>
          </cell>
          <cell r="P1663">
            <v>10711.108260000001</v>
          </cell>
          <cell r="Q1663">
            <v>12782.44965</v>
          </cell>
          <cell r="R1663">
            <v>15364.213830000001</v>
          </cell>
          <cell r="S1663">
            <v>17905.826089999999</v>
          </cell>
          <cell r="T1663">
            <v>20397.117979999999</v>
          </cell>
          <cell r="U1663">
            <v>27128.56683</v>
          </cell>
          <cell r="V1663">
            <v>28997.49986</v>
          </cell>
          <cell r="W1663">
            <v>31393.758880000001</v>
          </cell>
          <cell r="X1663">
            <v>37606.841070000002</v>
          </cell>
          <cell r="Y1663">
            <v>17927.747745000001</v>
          </cell>
        </row>
        <row r="1664">
          <cell r="B1664">
            <v>592131</v>
          </cell>
          <cell r="C1664" t="str">
            <v>NOT USED</v>
          </cell>
          <cell r="D1664" t="str">
            <v>INCOME TAXES - GAS DEFERRED-FEDERAL-EEMC HC ALLOC</v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/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</row>
        <row r="1665">
          <cell r="B1665">
            <v>592158</v>
          </cell>
          <cell r="C1665" t="str">
            <v>NOT USED</v>
          </cell>
          <cell r="D1665" t="str">
            <v>INCOME TAXES - NON-OPERATING DEFERRED-FED-ELEC</v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I1665" t="str">
            <v/>
          </cell>
          <cell r="J1665" t="str">
            <v/>
          </cell>
          <cell r="K1665" t="str">
            <v/>
          </cell>
          <cell r="L1665">
            <v>2.1000000000000001E-2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7.67354</v>
          </cell>
          <cell r="V1665">
            <v>7.67354</v>
          </cell>
          <cell r="W1665">
            <v>7.67354</v>
          </cell>
          <cell r="X1665">
            <v>7.67354</v>
          </cell>
          <cell r="Y1665">
            <v>2.238991</v>
          </cell>
        </row>
        <row r="1666">
          <cell r="B1666">
            <v>592159</v>
          </cell>
          <cell r="C1666" t="str">
            <v>NOT USED</v>
          </cell>
          <cell r="D1666" t="str">
            <v>INCOME TAXES - NON-OPERATING DEFERRED-FED-GAS</v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/>
          </cell>
          <cell r="L1666">
            <v>1.0999999999999999E-2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4.1320100000000002</v>
          </cell>
          <cell r="V1666">
            <v>4.1320100000000002</v>
          </cell>
          <cell r="W1666">
            <v>4.1320100000000002</v>
          </cell>
          <cell r="X1666">
            <v>4.1320100000000002</v>
          </cell>
          <cell r="Y1666">
            <v>1.2056279999999999</v>
          </cell>
        </row>
        <row r="1667">
          <cell r="B1667">
            <v>592160</v>
          </cell>
          <cell r="C1667" t="str">
            <v>NOT USED</v>
          </cell>
          <cell r="D1667" t="str">
            <v>INCOME TAXES - NON-OPERATING DEFERRED-FED</v>
          </cell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  <cell r="I1667" t="str">
            <v/>
          </cell>
          <cell r="J1667" t="str">
            <v/>
          </cell>
          <cell r="K1667" t="str">
            <v/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</row>
        <row r="1668">
          <cell r="B1668">
            <v>592190</v>
          </cell>
          <cell r="C1668" t="str">
            <v>NOT USED</v>
          </cell>
          <cell r="D1668" t="str">
            <v>INCOME TAXES - ELEC PRIOR YR DEFERRED-CR-FED</v>
          </cell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/>
          </cell>
          <cell r="L1668">
            <v>-83561.126139999993</v>
          </cell>
          <cell r="M1668">
            <v>-3064.18649</v>
          </cell>
          <cell r="N1668">
            <v>-5417.6386400000001</v>
          </cell>
          <cell r="O1668">
            <v>-8717.6807499999995</v>
          </cell>
          <cell r="P1668">
            <v>-11719.551509999999</v>
          </cell>
          <cell r="Q1668">
            <v>-15691.43584</v>
          </cell>
          <cell r="R1668">
            <v>-18744.59087</v>
          </cell>
          <cell r="S1668">
            <v>-21956.127229999998</v>
          </cell>
          <cell r="T1668">
            <v>-26806.346580000001</v>
          </cell>
          <cell r="U1668">
            <v>-36496.804889999999</v>
          </cell>
          <cell r="V1668">
            <v>-39171.49</v>
          </cell>
          <cell r="W1668">
            <v>-48118.03673</v>
          </cell>
          <cell r="X1668">
            <v>-61724.262849999999</v>
          </cell>
          <cell r="Y1668">
            <v>-25712.215335000001</v>
          </cell>
        </row>
        <row r="1669">
          <cell r="B1669">
            <v>592192</v>
          </cell>
          <cell r="C1669" t="str">
            <v>NOT USED</v>
          </cell>
          <cell r="D1669" t="str">
            <v>INCOME TAX-ELEC COMMODITY PRIOR YR DEFERRED-CR-FE</v>
          </cell>
          <cell r="E1669" t="str">
            <v/>
          </cell>
          <cell r="F1669" t="str">
            <v/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</row>
        <row r="1670">
          <cell r="B1670">
            <v>592220</v>
          </cell>
          <cell r="C1670" t="str">
            <v>NOT USED</v>
          </cell>
          <cell r="D1670" t="str">
            <v>INCOME TAXES - GAS PRIOR YR DEFERRED-CR-FED</v>
          </cell>
          <cell r="E1670" t="str">
            <v/>
          </cell>
          <cell r="F1670" t="str">
            <v/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>
            <v>-23276.594929999999</v>
          </cell>
          <cell r="M1670">
            <v>-1918.2184099999999</v>
          </cell>
          <cell r="N1670">
            <v>-3262.9833800000001</v>
          </cell>
          <cell r="O1670">
            <v>-5405.3861500000003</v>
          </cell>
          <cell r="P1670">
            <v>-6611.3621300000004</v>
          </cell>
          <cell r="Q1670">
            <v>-7498.6290799999997</v>
          </cell>
          <cell r="R1670">
            <v>-8268.9474399999999</v>
          </cell>
          <cell r="S1670">
            <v>-9163.5388199999998</v>
          </cell>
          <cell r="T1670">
            <v>-10576.25208</v>
          </cell>
          <cell r="U1670">
            <v>-15599.24698</v>
          </cell>
          <cell r="V1670">
            <v>-16496.100160000002</v>
          </cell>
          <cell r="W1670">
            <v>-17460.38941</v>
          </cell>
          <cell r="X1670">
            <v>-22397.420590000002</v>
          </cell>
          <cell r="Y1670">
            <v>-10424.838483</v>
          </cell>
        </row>
        <row r="1671">
          <cell r="B1671">
            <v>592250</v>
          </cell>
          <cell r="C1671" t="str">
            <v>NOT USED</v>
          </cell>
          <cell r="D1671" t="str">
            <v>INCOME TAXES - NON-OP PRIOR YR DEFERED-CR-FED</v>
          </cell>
          <cell r="E1671" t="str">
            <v/>
          </cell>
          <cell r="F1671" t="str">
            <v/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/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</row>
        <row r="1672">
          <cell r="B1672">
            <v>592251</v>
          </cell>
          <cell r="C1672" t="str">
            <v>NOT USED</v>
          </cell>
          <cell r="D1672" t="str">
            <v>INCOME TAXES - NON-OP PRIOR YR DEFERRED-CR-FED-EL</v>
          </cell>
          <cell r="E1672" t="str">
            <v/>
          </cell>
          <cell r="F1672" t="str">
            <v/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/>
          </cell>
          <cell r="L1672">
            <v>-118.09484999999999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-4.9206190000000003</v>
          </cell>
        </row>
        <row r="1673">
          <cell r="B1673">
            <v>592252</v>
          </cell>
          <cell r="C1673" t="str">
            <v>NOT USED</v>
          </cell>
          <cell r="D1673" t="str">
            <v>INCOME TAXES - NON-OP PRIOR YR DEFERRED-CR-FED-GA</v>
          </cell>
          <cell r="E1673" t="str">
            <v/>
          </cell>
          <cell r="F1673" t="str">
            <v/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/>
          </cell>
          <cell r="L1673">
            <v>-57.941800000000001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-2.4142420000000002</v>
          </cell>
        </row>
        <row r="1674">
          <cell r="B1674">
            <v>592264</v>
          </cell>
          <cell r="C1674" t="str">
            <v>NOT USED</v>
          </cell>
          <cell r="D1674" t="str">
            <v>INCOME TAXES-NON-OPERATING DEFERRED-FED-ELEC-SERP</v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/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>
            <v>592265</v>
          </cell>
          <cell r="C1675" t="str">
            <v>NOT USED</v>
          </cell>
          <cell r="D1675" t="str">
            <v>INCOME TAXES-NON-OPERATING DEFERRED-FED-GAS-SERP</v>
          </cell>
          <cell r="E1675" t="str">
            <v/>
          </cell>
          <cell r="F1675" t="str">
            <v/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/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</row>
        <row r="1676">
          <cell r="B1676">
            <v>592280</v>
          </cell>
          <cell r="C1676" t="str">
            <v>NOT USED</v>
          </cell>
          <cell r="D1676" t="str">
            <v>INCOME TAXES - ELECTRIC ITC-FEDERAL-ABOVE THE LIN</v>
          </cell>
          <cell r="E1676" t="str">
            <v/>
          </cell>
          <cell r="F1676" t="str">
            <v/>
          </cell>
          <cell r="G1676" t="str">
            <v/>
          </cell>
          <cell r="H1676" t="str">
            <v/>
          </cell>
          <cell r="I1676" t="str">
            <v/>
          </cell>
          <cell r="J1676" t="str">
            <v/>
          </cell>
          <cell r="K1676" t="str">
            <v/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</row>
        <row r="1677">
          <cell r="B1677">
            <v>592281</v>
          </cell>
          <cell r="C1677" t="str">
            <v>NOT USED</v>
          </cell>
          <cell r="D1677" t="str">
            <v>INCOME TAXES - ELECTRIC ITC-FEDERAL-BELOW THE LIN</v>
          </cell>
          <cell r="E1677" t="str">
            <v/>
          </cell>
          <cell r="F1677" t="str">
            <v/>
          </cell>
          <cell r="G1677" t="str">
            <v/>
          </cell>
          <cell r="H1677" t="str">
            <v/>
          </cell>
          <cell r="I1677" t="str">
            <v/>
          </cell>
          <cell r="J1677" t="str">
            <v/>
          </cell>
          <cell r="K1677" t="str">
            <v/>
          </cell>
          <cell r="L1677">
            <v>-580.73599999999999</v>
          </cell>
          <cell r="M1677">
            <v>-39.416670000000003</v>
          </cell>
          <cell r="N1677">
            <v>-78.833340000000007</v>
          </cell>
          <cell r="O1677">
            <v>-118.25001</v>
          </cell>
          <cell r="P1677">
            <v>-157.66668000000001</v>
          </cell>
          <cell r="Q1677">
            <v>-242.08335</v>
          </cell>
          <cell r="R1677">
            <v>-236.50002000000001</v>
          </cell>
          <cell r="S1677">
            <v>-275.91665</v>
          </cell>
          <cell r="T1677">
            <v>-315.33332000000001</v>
          </cell>
          <cell r="U1677">
            <v>-354.74999000000003</v>
          </cell>
          <cell r="V1677">
            <v>-394.16665999999998</v>
          </cell>
          <cell r="W1677">
            <v>-433.58332999999999</v>
          </cell>
          <cell r="X1677">
            <v>-473</v>
          </cell>
          <cell r="Y1677">
            <v>-264.44733500000001</v>
          </cell>
        </row>
        <row r="1678">
          <cell r="B1678">
            <v>592310</v>
          </cell>
          <cell r="C1678" t="str">
            <v>NOT USED</v>
          </cell>
          <cell r="D1678" t="str">
            <v>INCOME TAXES - GAS ITC-FEDERAL-ABOVE THE LINE</v>
          </cell>
          <cell r="E1678" t="str">
            <v/>
          </cell>
          <cell r="F1678" t="str">
            <v/>
          </cell>
          <cell r="G1678" t="str">
            <v/>
          </cell>
          <cell r="H1678" t="str">
            <v/>
          </cell>
          <cell r="I1678" t="str">
            <v/>
          </cell>
          <cell r="J1678" t="str">
            <v/>
          </cell>
          <cell r="K1678" t="str">
            <v/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</row>
        <row r="1679">
          <cell r="B1679">
            <v>592311</v>
          </cell>
          <cell r="C1679" t="str">
            <v>NOT USED</v>
          </cell>
          <cell r="D1679" t="str">
            <v>INCOME TAXES - GAS ITC-FEDERAL-BELOW THE LINE</v>
          </cell>
          <cell r="E1679" t="str">
            <v/>
          </cell>
          <cell r="F1679" t="str">
            <v/>
          </cell>
          <cell r="G1679" t="str">
            <v/>
          </cell>
          <cell r="H1679" t="str">
            <v/>
          </cell>
          <cell r="I1679" t="str">
            <v/>
          </cell>
          <cell r="J1679" t="str">
            <v/>
          </cell>
          <cell r="K1679" t="str">
            <v/>
          </cell>
          <cell r="L1679">
            <v>-272.00700000000001</v>
          </cell>
          <cell r="M1679">
            <v>-19.25</v>
          </cell>
          <cell r="N1679">
            <v>-38.5</v>
          </cell>
          <cell r="O1679">
            <v>-57.75</v>
          </cell>
          <cell r="P1679">
            <v>-77</v>
          </cell>
          <cell r="Q1679">
            <v>-96.25</v>
          </cell>
          <cell r="R1679">
            <v>-115.5</v>
          </cell>
          <cell r="S1679">
            <v>-134.75</v>
          </cell>
          <cell r="T1679">
            <v>-154</v>
          </cell>
          <cell r="U1679">
            <v>-173.25</v>
          </cell>
          <cell r="V1679">
            <v>-192.5</v>
          </cell>
          <cell r="W1679">
            <v>-211.75</v>
          </cell>
          <cell r="X1679">
            <v>-231</v>
          </cell>
          <cell r="Y1679">
            <v>-126.833625</v>
          </cell>
        </row>
        <row r="1680">
          <cell r="B1680">
            <v>592340</v>
          </cell>
          <cell r="C1680" t="str">
            <v>NOT USED</v>
          </cell>
          <cell r="D1680" t="str">
            <v>INCOME TAXES - ELECTRIC CURRENT-STATE</v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  <cell r="I1680" t="str">
            <v/>
          </cell>
          <cell r="J1680" t="str">
            <v/>
          </cell>
          <cell r="K1680" t="str">
            <v/>
          </cell>
          <cell r="L1680">
            <v>2483.7727399999999</v>
          </cell>
          <cell r="M1680">
            <v>771.07892000000004</v>
          </cell>
          <cell r="N1680">
            <v>628.37127999999996</v>
          </cell>
          <cell r="O1680">
            <v>1030.2579499999999</v>
          </cell>
          <cell r="P1680">
            <v>1368.54225</v>
          </cell>
          <cell r="Q1680">
            <v>1857.25676</v>
          </cell>
          <cell r="R1680">
            <v>2197.4612299999999</v>
          </cell>
          <cell r="S1680">
            <v>2942.1009300000001</v>
          </cell>
          <cell r="T1680">
            <v>3253.3180900000002</v>
          </cell>
          <cell r="U1680">
            <v>2214.2588500000002</v>
          </cell>
          <cell r="V1680">
            <v>1950.1986899999999</v>
          </cell>
          <cell r="W1680">
            <v>2013.2220400000001</v>
          </cell>
          <cell r="X1680">
            <v>3094.0769700000001</v>
          </cell>
          <cell r="Y1680">
            <v>1917.9159870000001</v>
          </cell>
        </row>
        <row r="1681">
          <cell r="B1681">
            <v>592341</v>
          </cell>
          <cell r="C1681" t="str">
            <v>NOT USED</v>
          </cell>
          <cell r="D1681" t="str">
            <v>INCOME TAXES - ELECTRIC CURRENT-SIT DEFERRAL</v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  <cell r="I1681" t="str">
            <v/>
          </cell>
          <cell r="J1681" t="str">
            <v/>
          </cell>
          <cell r="K1681" t="str">
            <v/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</row>
        <row r="1682">
          <cell r="B1682">
            <v>592342</v>
          </cell>
          <cell r="C1682" t="str">
            <v>NOT USED</v>
          </cell>
          <cell r="D1682" t="str">
            <v>INCOME TAXES - ELECTRIC COMMODITY CURRENT-STATE</v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  <cell r="I1682" t="str">
            <v/>
          </cell>
          <cell r="J1682" t="str">
            <v/>
          </cell>
          <cell r="K1682" t="str">
            <v/>
          </cell>
          <cell r="L1682">
            <v>173.71001999999999</v>
          </cell>
          <cell r="M1682">
            <v>-0.60119999999999996</v>
          </cell>
          <cell r="N1682">
            <v>29.341390000000001</v>
          </cell>
          <cell r="O1682">
            <v>45.140749999999997</v>
          </cell>
          <cell r="P1682">
            <v>57.570920000000001</v>
          </cell>
          <cell r="Q1682">
            <v>70.185980000000001</v>
          </cell>
          <cell r="R1682">
            <v>80.218549999999993</v>
          </cell>
          <cell r="S1682">
            <v>93.205070000000006</v>
          </cell>
          <cell r="T1682">
            <v>107.30758</v>
          </cell>
          <cell r="U1682">
            <v>118.70216000000001</v>
          </cell>
          <cell r="V1682">
            <v>132.81647000000001</v>
          </cell>
          <cell r="W1682">
            <v>148.99462</v>
          </cell>
          <cell r="X1682">
            <v>162.88023000000001</v>
          </cell>
          <cell r="Y1682">
            <v>87.598117999999999</v>
          </cell>
        </row>
        <row r="1683">
          <cell r="B1683">
            <v>592344</v>
          </cell>
          <cell r="C1683" t="str">
            <v>NOT USED</v>
          </cell>
          <cell r="D1683" t="str">
            <v>INCOME TAXES - ELECT CUR-STATE-FERC FIN 48 INT</v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  <cell r="I1683" t="str">
            <v/>
          </cell>
          <cell r="J1683" t="str">
            <v/>
          </cell>
          <cell r="K1683" t="str">
            <v/>
          </cell>
          <cell r="L1683">
            <v>50</v>
          </cell>
          <cell r="M1683">
            <v>4</v>
          </cell>
          <cell r="N1683">
            <v>8</v>
          </cell>
          <cell r="O1683">
            <v>12</v>
          </cell>
          <cell r="P1683">
            <v>17</v>
          </cell>
          <cell r="Q1683">
            <v>21</v>
          </cell>
          <cell r="R1683">
            <v>26</v>
          </cell>
          <cell r="S1683">
            <v>30</v>
          </cell>
          <cell r="T1683">
            <v>35</v>
          </cell>
          <cell r="U1683">
            <v>39</v>
          </cell>
          <cell r="V1683">
            <v>44</v>
          </cell>
          <cell r="W1683">
            <v>48</v>
          </cell>
          <cell r="X1683">
            <v>-34</v>
          </cell>
          <cell r="Y1683">
            <v>24.333333</v>
          </cell>
        </row>
        <row r="1684">
          <cell r="B1684">
            <v>592370</v>
          </cell>
          <cell r="C1684" t="str">
            <v>NOT USED</v>
          </cell>
          <cell r="D1684" t="str">
            <v>INCOME TAXES - GAS CURRENT-STATE</v>
          </cell>
          <cell r="E1684" t="str">
            <v/>
          </cell>
          <cell r="F1684" t="str">
            <v/>
          </cell>
          <cell r="G1684" t="str">
            <v/>
          </cell>
          <cell r="H1684" t="str">
            <v/>
          </cell>
          <cell r="I1684" t="str">
            <v/>
          </cell>
          <cell r="J1684" t="str">
            <v/>
          </cell>
          <cell r="K1684" t="str">
            <v/>
          </cell>
          <cell r="L1684">
            <v>-47.555680000000002</v>
          </cell>
          <cell r="M1684">
            <v>691.02823000000001</v>
          </cell>
          <cell r="N1684">
            <v>1202.70876</v>
          </cell>
          <cell r="O1684">
            <v>1639.6079299999999</v>
          </cell>
          <cell r="P1684">
            <v>1682.40957</v>
          </cell>
          <cell r="Q1684">
            <v>1546.22162</v>
          </cell>
          <cell r="R1684">
            <v>1137.3906199999999</v>
          </cell>
          <cell r="S1684">
            <v>774.28886</v>
          </cell>
          <cell r="T1684">
            <v>669.68453</v>
          </cell>
          <cell r="U1684">
            <v>288.64582000000001</v>
          </cell>
          <cell r="V1684">
            <v>196.90393</v>
          </cell>
          <cell r="W1684">
            <v>347.49065999999999</v>
          </cell>
          <cell r="X1684">
            <v>1031.0768599999999</v>
          </cell>
          <cell r="Y1684">
            <v>889.01175999999998</v>
          </cell>
        </row>
        <row r="1685">
          <cell r="B1685">
            <v>592371</v>
          </cell>
          <cell r="C1685" t="str">
            <v>NOT USED</v>
          </cell>
          <cell r="D1685" t="str">
            <v>INCOME TAXES - GAS CURRENT-SIT DEFERRAL</v>
          </cell>
          <cell r="E1685" t="str">
            <v/>
          </cell>
          <cell r="F1685" t="str">
            <v/>
          </cell>
          <cell r="G1685" t="str">
            <v/>
          </cell>
          <cell r="H1685" t="str">
            <v/>
          </cell>
          <cell r="I1685" t="str">
            <v/>
          </cell>
          <cell r="J1685" t="str">
            <v/>
          </cell>
          <cell r="K1685" t="str">
            <v/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</row>
        <row r="1686">
          <cell r="B1686">
            <v>592372</v>
          </cell>
          <cell r="C1686" t="str">
            <v>NOT USED</v>
          </cell>
          <cell r="D1686" t="str">
            <v>INCOME TAXES - GAS CUR-STATE-FERC FIN 48 INT</v>
          </cell>
          <cell r="E1686" t="str">
            <v/>
          </cell>
          <cell r="F1686" t="str">
            <v/>
          </cell>
          <cell r="G1686" t="str">
            <v/>
          </cell>
          <cell r="H1686" t="str">
            <v/>
          </cell>
          <cell r="I1686" t="str">
            <v/>
          </cell>
          <cell r="J1686" t="str">
            <v/>
          </cell>
          <cell r="K1686" t="str">
            <v/>
          </cell>
          <cell r="L1686">
            <v>11</v>
          </cell>
          <cell r="M1686">
            <v>1</v>
          </cell>
          <cell r="N1686">
            <v>2</v>
          </cell>
          <cell r="O1686">
            <v>3</v>
          </cell>
          <cell r="P1686">
            <v>3</v>
          </cell>
          <cell r="Q1686">
            <v>4</v>
          </cell>
          <cell r="R1686">
            <v>5</v>
          </cell>
          <cell r="S1686">
            <v>6</v>
          </cell>
          <cell r="T1686">
            <v>7</v>
          </cell>
          <cell r="U1686">
            <v>8</v>
          </cell>
          <cell r="V1686">
            <v>9</v>
          </cell>
          <cell r="W1686">
            <v>10</v>
          </cell>
          <cell r="X1686">
            <v>27</v>
          </cell>
          <cell r="Y1686">
            <v>6.4166670000000003</v>
          </cell>
        </row>
        <row r="1687">
          <cell r="B1687">
            <v>592398</v>
          </cell>
          <cell r="C1687" t="str">
            <v>NOT USED</v>
          </cell>
          <cell r="D1687" t="str">
            <v>INCOME TAXES - NON-OPERATING-STATE-ELECTRIC</v>
          </cell>
          <cell r="E1687" t="str">
            <v/>
          </cell>
          <cell r="F1687" t="str">
            <v/>
          </cell>
          <cell r="G1687" t="str">
            <v/>
          </cell>
          <cell r="H1687" t="str">
            <v/>
          </cell>
          <cell r="I1687" t="str">
            <v/>
          </cell>
          <cell r="J1687" t="str">
            <v/>
          </cell>
          <cell r="K1687" t="str">
            <v/>
          </cell>
          <cell r="L1687">
            <v>489.92782</v>
          </cell>
          <cell r="M1687">
            <v>30.486319999999999</v>
          </cell>
          <cell r="N1687">
            <v>59.69285</v>
          </cell>
          <cell r="O1687">
            <v>91.975399999999993</v>
          </cell>
          <cell r="P1687">
            <v>123.92142</v>
          </cell>
          <cell r="Q1687">
            <v>152.01969</v>
          </cell>
          <cell r="R1687">
            <v>189.08775</v>
          </cell>
          <cell r="S1687">
            <v>224.96681000000001</v>
          </cell>
          <cell r="T1687">
            <v>256.14735999999999</v>
          </cell>
          <cell r="U1687">
            <v>390.63216999999997</v>
          </cell>
          <cell r="V1687">
            <v>444.40670999999998</v>
          </cell>
          <cell r="W1687">
            <v>504.18374</v>
          </cell>
          <cell r="X1687">
            <v>550.07254</v>
          </cell>
          <cell r="Y1687">
            <v>248.96003300000001</v>
          </cell>
        </row>
        <row r="1688">
          <cell r="B1688">
            <v>592399</v>
          </cell>
          <cell r="C1688" t="str">
            <v>NOT USED</v>
          </cell>
          <cell r="D1688" t="str">
            <v>INCOME TAXES - NON-OPERATING-STATE-GAS</v>
          </cell>
          <cell r="E1688" t="str">
            <v/>
          </cell>
          <cell r="F1688" t="str">
            <v/>
          </cell>
          <cell r="G1688" t="str">
            <v/>
          </cell>
          <cell r="H1688" t="str">
            <v/>
          </cell>
          <cell r="I1688" t="str">
            <v/>
          </cell>
          <cell r="J1688" t="str">
            <v/>
          </cell>
          <cell r="K1688" t="str">
            <v/>
          </cell>
          <cell r="L1688">
            <v>212.73093</v>
          </cell>
          <cell r="M1688">
            <v>16.327310000000001</v>
          </cell>
          <cell r="N1688">
            <v>30.244779999999999</v>
          </cell>
          <cell r="O1688">
            <v>29.556850000000001</v>
          </cell>
          <cell r="P1688">
            <v>41.04965</v>
          </cell>
          <cell r="Q1688">
            <v>50.13749</v>
          </cell>
          <cell r="R1688">
            <v>60.385599999999997</v>
          </cell>
          <cell r="S1688">
            <v>70.443929999999995</v>
          </cell>
          <cell r="T1688">
            <v>79.768690000000007</v>
          </cell>
          <cell r="U1688">
            <v>101.73300999999999</v>
          </cell>
          <cell r="V1688">
            <v>112.52840999999999</v>
          </cell>
          <cell r="W1688">
            <v>124.95282</v>
          </cell>
          <cell r="X1688">
            <v>137.40231</v>
          </cell>
          <cell r="Y1688">
            <v>74.349597000000003</v>
          </cell>
        </row>
        <row r="1689">
          <cell r="B1689">
            <v>592400</v>
          </cell>
          <cell r="C1689" t="str">
            <v>NOT USED</v>
          </cell>
          <cell r="D1689" t="str">
            <v>INCOME TAXES - NON-OPERATING-STATE</v>
          </cell>
          <cell r="E1689" t="str">
            <v/>
          </cell>
          <cell r="F1689" t="str">
            <v/>
          </cell>
          <cell r="G1689" t="str">
            <v/>
          </cell>
          <cell r="H1689" t="str">
            <v/>
          </cell>
          <cell r="I1689" t="str">
            <v/>
          </cell>
          <cell r="J1689" t="str">
            <v/>
          </cell>
          <cell r="K1689" t="str">
            <v/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</row>
        <row r="1690">
          <cell r="B1690">
            <v>592404</v>
          </cell>
          <cell r="C1690" t="str">
            <v>NOT USED</v>
          </cell>
          <cell r="D1690" t="str">
            <v>INCOME TAXES-NON-OPERATING-STATE-ELECTRIC-SERP</v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  <cell r="I1690" t="str">
            <v/>
          </cell>
          <cell r="J1690" t="str">
            <v/>
          </cell>
          <cell r="K1690" t="str">
            <v/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</row>
        <row r="1691">
          <cell r="B1691">
            <v>592405</v>
          </cell>
          <cell r="C1691" t="str">
            <v>NOT USED</v>
          </cell>
          <cell r="D1691" t="str">
            <v>INCOME TAXES-NON-OPERATING-STATE-GAS-SERP</v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  <cell r="I1691" t="str">
            <v/>
          </cell>
          <cell r="J1691" t="str">
            <v/>
          </cell>
          <cell r="K1691" t="str">
            <v/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</row>
        <row r="1692">
          <cell r="B1692">
            <v>592430</v>
          </cell>
          <cell r="C1692" t="str">
            <v>NOT USED</v>
          </cell>
          <cell r="D1692" t="str">
            <v>INCOME TAXES - ELECTRIC DEFERRED-STATE</v>
          </cell>
          <cell r="E1692" t="str">
            <v/>
          </cell>
          <cell r="F1692" t="str">
            <v/>
          </cell>
          <cell r="G1692" t="str">
            <v/>
          </cell>
          <cell r="H1692" t="str">
            <v/>
          </cell>
          <cell r="I1692" t="str">
            <v/>
          </cell>
          <cell r="J1692" t="str">
            <v/>
          </cell>
          <cell r="K1692" t="str">
            <v/>
          </cell>
          <cell r="L1692">
            <v>15702.883970000001</v>
          </cell>
          <cell r="M1692">
            <v>552.08585000000005</v>
          </cell>
          <cell r="N1692">
            <v>1316.71019</v>
          </cell>
          <cell r="O1692">
            <v>1874.479</v>
          </cell>
          <cell r="P1692">
            <v>2548.7270100000001</v>
          </cell>
          <cell r="Q1692">
            <v>3331.3973000000001</v>
          </cell>
          <cell r="R1692">
            <v>3984.97804</v>
          </cell>
          <cell r="S1692">
            <v>4629.3994499999999</v>
          </cell>
          <cell r="T1692">
            <v>5769.4977399999998</v>
          </cell>
          <cell r="U1692">
            <v>8728.9850999999999</v>
          </cell>
          <cell r="V1692">
            <v>9489.0509899999997</v>
          </cell>
          <cell r="W1692">
            <v>10272.024079999999</v>
          </cell>
          <cell r="X1692">
            <v>12262.53658</v>
          </cell>
          <cell r="Y1692">
            <v>5540.0037519999996</v>
          </cell>
        </row>
        <row r="1693">
          <cell r="B1693">
            <v>592460</v>
          </cell>
          <cell r="C1693" t="str">
            <v>NOT USED</v>
          </cell>
          <cell r="D1693" t="str">
            <v>INCOME TAXES - GAS DEFERRED-STATE</v>
          </cell>
          <cell r="E1693" t="str">
            <v/>
          </cell>
          <cell r="F1693" t="str">
            <v/>
          </cell>
          <cell r="G1693" t="str">
            <v/>
          </cell>
          <cell r="H1693" t="str">
            <v/>
          </cell>
          <cell r="I1693" t="str">
            <v/>
          </cell>
          <cell r="J1693" t="str">
            <v/>
          </cell>
          <cell r="K1693" t="str">
            <v/>
          </cell>
          <cell r="L1693">
            <v>7374.1946399999997</v>
          </cell>
          <cell r="M1693">
            <v>473.27409</v>
          </cell>
          <cell r="N1693">
            <v>845.55921000000001</v>
          </cell>
          <cell r="O1693">
            <v>1427.75008</v>
          </cell>
          <cell r="P1693">
            <v>1985.93507</v>
          </cell>
          <cell r="Q1693">
            <v>2429.7760199999998</v>
          </cell>
          <cell r="R1693">
            <v>2920.6337400000002</v>
          </cell>
          <cell r="S1693">
            <v>3402.8459499999999</v>
          </cell>
          <cell r="T1693">
            <v>3874.62104</v>
          </cell>
          <cell r="U1693">
            <v>5138.8549800000001</v>
          </cell>
          <cell r="V1693">
            <v>5477.5730000000003</v>
          </cell>
          <cell r="W1693">
            <v>5930.8042699999996</v>
          </cell>
          <cell r="X1693">
            <v>6835.4388099999996</v>
          </cell>
          <cell r="Y1693">
            <v>3417.703681</v>
          </cell>
        </row>
        <row r="1694">
          <cell r="B1694">
            <v>592488</v>
          </cell>
          <cell r="C1694" t="str">
            <v>NOT USED</v>
          </cell>
          <cell r="D1694" t="str">
            <v>INCOME TAXES - NON-OPERATING DEFERRED-STATE-ELEC</v>
          </cell>
          <cell r="E1694" t="str">
            <v/>
          </cell>
          <cell r="F1694" t="str">
            <v/>
          </cell>
          <cell r="G1694" t="str">
            <v/>
          </cell>
          <cell r="H1694" t="str">
            <v/>
          </cell>
          <cell r="I1694" t="str">
            <v/>
          </cell>
          <cell r="J1694" t="str">
            <v/>
          </cell>
          <cell r="K1694" t="str">
            <v/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1.6756</v>
          </cell>
          <cell r="V1694">
            <v>1.6756</v>
          </cell>
          <cell r="W1694">
            <v>1.6756</v>
          </cell>
          <cell r="X1694">
            <v>1.6756</v>
          </cell>
          <cell r="Y1694">
            <v>0.48871700000000001</v>
          </cell>
        </row>
        <row r="1695">
          <cell r="B1695">
            <v>592489</v>
          </cell>
          <cell r="C1695" t="str">
            <v>NOT USED</v>
          </cell>
          <cell r="D1695" t="str">
            <v>INCOME TAXES - NON-OPERATING DEFERRED-STATE-GAS</v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  <cell r="I1695" t="str">
            <v/>
          </cell>
          <cell r="J1695" t="str">
            <v/>
          </cell>
          <cell r="K1695" t="str">
            <v/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0.90227000000000002</v>
          </cell>
          <cell r="V1695">
            <v>0.90227000000000002</v>
          </cell>
          <cell r="W1695">
            <v>0.90227000000000002</v>
          </cell>
          <cell r="X1695">
            <v>0.90227000000000002</v>
          </cell>
          <cell r="Y1695">
            <v>0.26316200000000001</v>
          </cell>
        </row>
        <row r="1696">
          <cell r="B1696">
            <v>592490</v>
          </cell>
          <cell r="C1696" t="str">
            <v>NOT USED</v>
          </cell>
          <cell r="D1696" t="str">
            <v>INCOME TAXES - NON-OPERATING DEFERRED-STATE</v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  <cell r="I1696" t="str">
            <v/>
          </cell>
          <cell r="J1696" t="str">
            <v/>
          </cell>
          <cell r="K1696" t="str">
            <v/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</row>
        <row r="1697">
          <cell r="B1697">
            <v>592494</v>
          </cell>
          <cell r="C1697" t="str">
            <v>NOT USED</v>
          </cell>
          <cell r="D1697" t="str">
            <v>INCOME TAX-NON-OPERATING DEFERRED-STATE-ELEC-SERP</v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  <cell r="I1697" t="str">
            <v/>
          </cell>
          <cell r="J1697" t="str">
            <v/>
          </cell>
          <cell r="K1697" t="str">
            <v/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</row>
        <row r="1698">
          <cell r="B1698">
            <v>592495</v>
          </cell>
          <cell r="C1698" t="str">
            <v>NOT USED</v>
          </cell>
          <cell r="D1698" t="str">
            <v>INCOME TAX-NON-OPERATING DEFERRED-STATE-GAS-SERP</v>
          </cell>
          <cell r="E1698" t="str">
            <v/>
          </cell>
          <cell r="F1698" t="str">
            <v/>
          </cell>
          <cell r="G1698" t="str">
            <v/>
          </cell>
          <cell r="H1698" t="str">
            <v/>
          </cell>
          <cell r="I1698" t="str">
            <v/>
          </cell>
          <cell r="J1698" t="str">
            <v/>
          </cell>
          <cell r="K1698" t="str">
            <v/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</row>
        <row r="1699">
          <cell r="B1699">
            <v>592520</v>
          </cell>
          <cell r="C1699" t="str">
            <v>NOT USED</v>
          </cell>
          <cell r="D1699" t="str">
            <v>INCOME TAXES - ELEC PRIOR YR DEFERRED-CR-STATE</v>
          </cell>
          <cell r="E1699" t="str">
            <v/>
          </cell>
          <cell r="F1699" t="str">
            <v/>
          </cell>
          <cell r="G1699" t="str">
            <v/>
          </cell>
          <cell r="H1699" t="str">
            <v/>
          </cell>
          <cell r="I1699" t="str">
            <v/>
          </cell>
          <cell r="J1699" t="str">
            <v/>
          </cell>
          <cell r="K1699" t="str">
            <v/>
          </cell>
          <cell r="L1699">
            <v>-15945.18073</v>
          </cell>
          <cell r="M1699">
            <v>-756.36360000000002</v>
          </cell>
          <cell r="N1699">
            <v>-1354.3400099999999</v>
          </cell>
          <cell r="O1699">
            <v>-2165.0992700000002</v>
          </cell>
          <cell r="P1699">
            <v>-2908.52241</v>
          </cell>
          <cell r="Q1699">
            <v>-3857.0899199999999</v>
          </cell>
          <cell r="R1699">
            <v>-4617.8898399999998</v>
          </cell>
          <cell r="S1699">
            <v>-5406.6820500000003</v>
          </cell>
          <cell r="T1699">
            <v>-6551.2942800000001</v>
          </cell>
          <cell r="U1699">
            <v>-8624.2325600000004</v>
          </cell>
          <cell r="V1699">
            <v>-9299.5837599999995</v>
          </cell>
          <cell r="W1699">
            <v>-11344.27045</v>
          </cell>
          <cell r="X1699">
            <v>-14285.34316</v>
          </cell>
          <cell r="Y1699">
            <v>-6000.0525079999998</v>
          </cell>
        </row>
        <row r="1700">
          <cell r="B1700">
            <v>592522</v>
          </cell>
          <cell r="C1700" t="str">
            <v>NOT USED</v>
          </cell>
          <cell r="D1700" t="str">
            <v>INCOME TAX-EL COMMODITY PRIOR YR DEFERRED-CR-STAT</v>
          </cell>
          <cell r="E1700" t="str">
            <v/>
          </cell>
          <cell r="F1700" t="str">
            <v/>
          </cell>
          <cell r="G1700" t="str">
            <v/>
          </cell>
          <cell r="H1700" t="str">
            <v/>
          </cell>
          <cell r="I1700" t="str">
            <v/>
          </cell>
          <cell r="J1700" t="str">
            <v/>
          </cell>
          <cell r="K1700" t="str">
            <v/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</row>
        <row r="1701">
          <cell r="B1701">
            <v>592550</v>
          </cell>
          <cell r="C1701" t="str">
            <v>NOT USED</v>
          </cell>
          <cell r="D1701" t="str">
            <v>INCOME TAXES - GAS PRIOR YR DEFERRED-CR-STATE</v>
          </cell>
          <cell r="E1701" t="str">
            <v/>
          </cell>
          <cell r="F1701" t="str">
            <v/>
          </cell>
          <cell r="G1701" t="str">
            <v/>
          </cell>
          <cell r="H1701" t="str">
            <v/>
          </cell>
          <cell r="I1701" t="str">
            <v/>
          </cell>
          <cell r="J1701" t="str">
            <v/>
          </cell>
          <cell r="K1701" t="str">
            <v/>
          </cell>
          <cell r="L1701">
            <v>-6271.9191000000001</v>
          </cell>
          <cell r="M1701">
            <v>-535.87432999999999</v>
          </cell>
          <cell r="N1701">
            <v>-944.15206000000001</v>
          </cell>
          <cell r="O1701">
            <v>-1529.88824</v>
          </cell>
          <cell r="P1701">
            <v>-1910.12958</v>
          </cell>
          <cell r="Q1701">
            <v>-2218.8132999999998</v>
          </cell>
          <cell r="R1701">
            <v>-2508.1941400000001</v>
          </cell>
          <cell r="S1701">
            <v>-2820.7952</v>
          </cell>
          <cell r="T1701">
            <v>-3244.22444</v>
          </cell>
          <cell r="U1701">
            <v>-4284.5191299999997</v>
          </cell>
          <cell r="V1701">
            <v>-4598.1548899999998</v>
          </cell>
          <cell r="W1701">
            <v>-4926.2507800000003</v>
          </cell>
          <cell r="X1701">
            <v>-5949.72775</v>
          </cell>
          <cell r="Y1701">
            <v>-2969.3182929999998</v>
          </cell>
        </row>
        <row r="1702">
          <cell r="B1702">
            <v>592579</v>
          </cell>
          <cell r="C1702" t="str">
            <v>NOT USED</v>
          </cell>
          <cell r="D1702" t="str">
            <v>INCOME TAXES - NON-OP PR YR DEFERRED-CR-STATE-ELE</v>
          </cell>
          <cell r="E1702" t="str">
            <v/>
          </cell>
          <cell r="F1702" t="str">
            <v/>
          </cell>
          <cell r="G1702" t="str">
            <v/>
          </cell>
          <cell r="H1702" t="str">
            <v/>
          </cell>
          <cell r="I1702" t="str">
            <v/>
          </cell>
          <cell r="J1702" t="str">
            <v/>
          </cell>
          <cell r="K1702" t="str">
            <v/>
          </cell>
          <cell r="L1702">
            <v>-23.490559999999999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-0.978773</v>
          </cell>
        </row>
        <row r="1703">
          <cell r="B1703">
            <v>592580</v>
          </cell>
          <cell r="C1703" t="str">
            <v>NOT USED</v>
          </cell>
          <cell r="D1703" t="str">
            <v>INCOME TAXES - NON-OP PR YR DEFERRED-CR-STATE-GAS</v>
          </cell>
          <cell r="E1703" t="str">
            <v/>
          </cell>
          <cell r="F1703" t="str">
            <v/>
          </cell>
          <cell r="G1703" t="str">
            <v/>
          </cell>
          <cell r="H1703" t="str">
            <v/>
          </cell>
          <cell r="I1703" t="str">
            <v/>
          </cell>
          <cell r="J1703" t="str">
            <v/>
          </cell>
          <cell r="K1703" t="str">
            <v/>
          </cell>
          <cell r="L1703">
            <v>-12.648720000000001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-0.52703</v>
          </cell>
        </row>
        <row r="1704">
          <cell r="B1704">
            <v>593000</v>
          </cell>
          <cell r="C1704" t="str">
            <v>NOT USED</v>
          </cell>
          <cell r="D1704" t="str">
            <v>OTHER INCOME &amp; DEDUCT - PAYROLL</v>
          </cell>
          <cell r="E1704" t="str">
            <v/>
          </cell>
          <cell r="F1704" t="str">
            <v/>
          </cell>
          <cell r="G1704" t="str">
            <v/>
          </cell>
          <cell r="H1704" t="str">
            <v/>
          </cell>
          <cell r="I1704" t="str">
            <v/>
          </cell>
          <cell r="J1704" t="str">
            <v/>
          </cell>
          <cell r="K1704" t="str">
            <v/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>
            <v>593005</v>
          </cell>
          <cell r="C1705" t="str">
            <v>NOT USED</v>
          </cell>
          <cell r="D1705" t="str">
            <v>OTHER INCOME &amp; DEDUCT - DONATIONS</v>
          </cell>
          <cell r="E1705" t="str">
            <v/>
          </cell>
          <cell r="F1705" t="str">
            <v/>
          </cell>
          <cell r="G1705" t="str">
            <v/>
          </cell>
          <cell r="H1705" t="str">
            <v/>
          </cell>
          <cell r="I1705" t="str">
            <v/>
          </cell>
          <cell r="J1705" t="str">
            <v/>
          </cell>
          <cell r="K1705" t="str">
            <v/>
          </cell>
          <cell r="L1705">
            <v>212.10792000000001</v>
          </cell>
          <cell r="M1705">
            <v>0</v>
          </cell>
          <cell r="N1705">
            <v>0</v>
          </cell>
          <cell r="O1705">
            <v>0</v>
          </cell>
          <cell r="P1705">
            <v>0.5</v>
          </cell>
          <cell r="Q1705">
            <v>15.5</v>
          </cell>
          <cell r="R1705">
            <v>22.65</v>
          </cell>
          <cell r="S1705">
            <v>27.65</v>
          </cell>
          <cell r="T1705">
            <v>37.15</v>
          </cell>
          <cell r="U1705">
            <v>58.85</v>
          </cell>
          <cell r="V1705">
            <v>70.849999999999994</v>
          </cell>
          <cell r="W1705">
            <v>76.349999999999994</v>
          </cell>
          <cell r="X1705">
            <v>350.2</v>
          </cell>
          <cell r="Y1705">
            <v>49.221162999999997</v>
          </cell>
        </row>
        <row r="1706">
          <cell r="B1706">
            <v>593007</v>
          </cell>
          <cell r="C1706" t="str">
            <v>NOT USED</v>
          </cell>
          <cell r="D1706" t="str">
            <v>OTHER INCOME &amp; DEDUCT-CURRENCY EXCHANGE GAIN/LOS</v>
          </cell>
          <cell r="E1706" t="str">
            <v/>
          </cell>
          <cell r="F1706" t="str">
            <v/>
          </cell>
          <cell r="G1706" t="str">
            <v/>
          </cell>
          <cell r="H1706" t="str">
            <v/>
          </cell>
          <cell r="I1706" t="str">
            <v/>
          </cell>
          <cell r="J1706" t="str">
            <v/>
          </cell>
          <cell r="K1706" t="str">
            <v/>
          </cell>
          <cell r="L1706">
            <v>99.228049999999996</v>
          </cell>
          <cell r="M1706">
            <v>-20.168189999999999</v>
          </cell>
          <cell r="N1706">
            <v>-20.4558</v>
          </cell>
          <cell r="O1706">
            <v>-17.92623</v>
          </cell>
          <cell r="P1706">
            <v>-40.983199999999997</v>
          </cell>
          <cell r="Q1706">
            <v>-41.957099999999997</v>
          </cell>
          <cell r="R1706">
            <v>-50.314369999999997</v>
          </cell>
          <cell r="S1706">
            <v>-50.314369999999997</v>
          </cell>
          <cell r="T1706">
            <v>-36.589660000000002</v>
          </cell>
          <cell r="U1706">
            <v>-22.706800000000001</v>
          </cell>
          <cell r="V1706">
            <v>20.884550000000001</v>
          </cell>
          <cell r="W1706">
            <v>20.884550000000001</v>
          </cell>
          <cell r="X1706">
            <v>20.884550000000001</v>
          </cell>
          <cell r="Y1706">
            <v>-16.632527</v>
          </cell>
        </row>
        <row r="1707">
          <cell r="B1707">
            <v>593010</v>
          </cell>
          <cell r="C1707" t="str">
            <v>NOT USED</v>
          </cell>
          <cell r="D1707" t="str">
            <v>OTHER INCOME &amp; DEDUCT - PENALTIES</v>
          </cell>
          <cell r="E1707" t="str">
            <v/>
          </cell>
          <cell r="F1707" t="str">
            <v/>
          </cell>
          <cell r="G1707" t="str">
            <v/>
          </cell>
          <cell r="H1707" t="str">
            <v/>
          </cell>
          <cell r="I1707" t="str">
            <v/>
          </cell>
          <cell r="J1707" t="str">
            <v/>
          </cell>
          <cell r="K1707" t="str">
            <v/>
          </cell>
          <cell r="L1707">
            <v>4.7499999999999999E-3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1.9799999999999999E-4</v>
          </cell>
        </row>
        <row r="1708">
          <cell r="B1708">
            <v>593015</v>
          </cell>
          <cell r="C1708" t="str">
            <v>NOT USED</v>
          </cell>
          <cell r="D1708" t="str">
            <v>OTHER INCOME &amp; DEDUCT - CIVIC AND POLITICAL.</v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  <cell r="I1708" t="str">
            <v/>
          </cell>
          <cell r="J1708" t="str">
            <v/>
          </cell>
          <cell r="K1708" t="str">
            <v/>
          </cell>
          <cell r="L1708">
            <v>5</v>
          </cell>
          <cell r="M1708">
            <v>0</v>
          </cell>
          <cell r="N1708">
            <v>0</v>
          </cell>
          <cell r="O1708">
            <v>0</v>
          </cell>
          <cell r="P1708">
            <v>-178</v>
          </cell>
          <cell r="Q1708">
            <v>-173</v>
          </cell>
          <cell r="R1708">
            <v>-173</v>
          </cell>
          <cell r="S1708">
            <v>-173</v>
          </cell>
          <cell r="T1708">
            <v>-173</v>
          </cell>
          <cell r="U1708">
            <v>-173</v>
          </cell>
          <cell r="V1708">
            <v>-173</v>
          </cell>
          <cell r="W1708">
            <v>-173</v>
          </cell>
          <cell r="X1708">
            <v>-173</v>
          </cell>
          <cell r="Y1708">
            <v>-122.75</v>
          </cell>
        </row>
        <row r="1709">
          <cell r="B1709">
            <v>593020</v>
          </cell>
          <cell r="C1709" t="str">
            <v>NOT USED</v>
          </cell>
          <cell r="D1709" t="str">
            <v>OTHER INCOME &amp; DEDUCT - OUTSIDE SERVICES</v>
          </cell>
          <cell r="E1709" t="str">
            <v/>
          </cell>
          <cell r="F1709" t="str">
            <v/>
          </cell>
          <cell r="G1709" t="str">
            <v/>
          </cell>
          <cell r="H1709" t="str">
            <v/>
          </cell>
          <cell r="I1709" t="str">
            <v/>
          </cell>
          <cell r="J1709" t="str">
            <v/>
          </cell>
          <cell r="K1709" t="str">
            <v/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</row>
        <row r="1710">
          <cell r="B1710">
            <v>593030</v>
          </cell>
          <cell r="C1710" t="str">
            <v>NOT USED</v>
          </cell>
          <cell r="D1710" t="str">
            <v>OTHER INCOME &amp; DEDUCT - MATERIALS</v>
          </cell>
          <cell r="E1710" t="str">
            <v/>
          </cell>
          <cell r="F1710" t="str">
            <v/>
          </cell>
          <cell r="G1710" t="str">
            <v/>
          </cell>
          <cell r="H1710" t="str">
            <v/>
          </cell>
          <cell r="I1710" t="str">
            <v/>
          </cell>
          <cell r="J1710" t="str">
            <v/>
          </cell>
          <cell r="K1710" t="str">
            <v/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</row>
        <row r="1711">
          <cell r="B1711">
            <v>593040</v>
          </cell>
          <cell r="C1711" t="str">
            <v>NOT USED</v>
          </cell>
          <cell r="D1711" t="str">
            <v>OTHER INCOME &amp; DEDUCT - MISC DEDUCTIONS-COMMON</v>
          </cell>
          <cell r="E1711" t="str">
            <v/>
          </cell>
          <cell r="F1711" t="str">
            <v/>
          </cell>
          <cell r="G1711" t="str">
            <v/>
          </cell>
          <cell r="H1711" t="str">
            <v/>
          </cell>
          <cell r="I1711" t="str">
            <v/>
          </cell>
          <cell r="J1711" t="str">
            <v/>
          </cell>
          <cell r="K1711" t="str">
            <v/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</row>
        <row r="1712">
          <cell r="B1712">
            <v>593041</v>
          </cell>
          <cell r="C1712" t="str">
            <v>NOT USED</v>
          </cell>
          <cell r="D1712" t="str">
            <v>OTHER INCOME &amp; DEDUCT - GOODWILL</v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  <cell r="I1712" t="str">
            <v/>
          </cell>
          <cell r="J1712" t="str">
            <v/>
          </cell>
          <cell r="K1712" t="str">
            <v/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</row>
        <row r="1713">
          <cell r="B1713">
            <v>593042</v>
          </cell>
          <cell r="C1713" t="str">
            <v>NOT USED</v>
          </cell>
          <cell r="D1713" t="str">
            <v>OTHER INCOME &amp; DEDUCT - MISC DEDUCTIONS-ELEC</v>
          </cell>
          <cell r="E1713" t="str">
            <v/>
          </cell>
          <cell r="F1713" t="str">
            <v/>
          </cell>
          <cell r="G1713" t="str">
            <v/>
          </cell>
          <cell r="H1713" t="str">
            <v/>
          </cell>
          <cell r="I1713" t="str">
            <v/>
          </cell>
          <cell r="J1713" t="str">
            <v/>
          </cell>
          <cell r="K1713" t="str">
            <v/>
          </cell>
          <cell r="L1713">
            <v>-6.6316499999999996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1.4238599999999999</v>
          </cell>
          <cell r="Y1713">
            <v>-0.21699099999999999</v>
          </cell>
        </row>
        <row r="1714">
          <cell r="B1714">
            <v>593043</v>
          </cell>
          <cell r="C1714" t="str">
            <v>NOT USED</v>
          </cell>
          <cell r="D1714" t="str">
            <v>OTHER INCOME &amp; DEDUCT - MISC DEDUCTIONS-GAS</v>
          </cell>
          <cell r="E1714" t="str">
            <v/>
          </cell>
          <cell r="F1714" t="str">
            <v/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/>
          </cell>
          <cell r="L1714">
            <v>-3.3557800000000002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0.72050000000000003</v>
          </cell>
          <cell r="Y1714">
            <v>-0.109803</v>
          </cell>
        </row>
        <row r="1715">
          <cell r="B1715">
            <v>593044</v>
          </cell>
          <cell r="C1715" t="str">
            <v>NOT USED</v>
          </cell>
          <cell r="D1715" t="str">
            <v>OTHER INCOME &amp; DEDUCT - CUSTOMER REBATES</v>
          </cell>
          <cell r="E1715" t="str">
            <v/>
          </cell>
          <cell r="F1715" t="str">
            <v/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/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</row>
        <row r="1716">
          <cell r="B1716">
            <v>593050</v>
          </cell>
          <cell r="C1716" t="str">
            <v>NOT USED</v>
          </cell>
          <cell r="D1716" t="str">
            <v>OTHER INCOME &amp; DEDUCT - EXECUTIVE INCENTIVE PLAN</v>
          </cell>
          <cell r="E1716" t="str">
            <v/>
          </cell>
          <cell r="F1716" t="str">
            <v/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/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</row>
        <row r="1717">
          <cell r="B1717">
            <v>593055</v>
          </cell>
          <cell r="C1717" t="str">
            <v>NOT USED</v>
          </cell>
          <cell r="D1717" t="str">
            <v>OTHER INCOME &amp; DEDUCT - EXP OF NONUTILITY OP</v>
          </cell>
          <cell r="E1717" t="str">
            <v/>
          </cell>
          <cell r="F1717" t="str">
            <v/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/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</row>
        <row r="1718">
          <cell r="B1718">
            <v>593066</v>
          </cell>
          <cell r="C1718" t="str">
            <v>NOT USED</v>
          </cell>
          <cell r="D1718" t="str">
            <v>OTHER INCOME &amp; DEDUCT - PROPERTY TAXES-ELECTRIC</v>
          </cell>
          <cell r="E1718" t="str">
            <v/>
          </cell>
          <cell r="F1718" t="str">
            <v/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/>
          </cell>
          <cell r="L1718">
            <v>265.60027000000002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268.25628</v>
          </cell>
          <cell r="Y1718">
            <v>22.244022999999999</v>
          </cell>
        </row>
        <row r="1719">
          <cell r="B1719">
            <v>593067</v>
          </cell>
          <cell r="C1719" t="str">
            <v>NOT USED</v>
          </cell>
          <cell r="D1719" t="str">
            <v>OTHER INCOME &amp; DEDUCT - PROPERTY TAXES-GAS</v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/>
          </cell>
          <cell r="L1719">
            <v>110.81437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111.92251</v>
          </cell>
          <cell r="Y1719">
            <v>9.2807030000000008</v>
          </cell>
        </row>
        <row r="1720">
          <cell r="B1720">
            <v>593080</v>
          </cell>
          <cell r="C1720" t="str">
            <v>NOT USED</v>
          </cell>
          <cell r="D1720" t="str">
            <v>OTHER INCOME &amp; DEDUCT - TRAVEL EXCL MEALS &amp; ENTER</v>
          </cell>
          <cell r="E1720" t="str">
            <v/>
          </cell>
          <cell r="F1720" t="str">
            <v/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/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</row>
        <row r="1721">
          <cell r="B1721">
            <v>593085</v>
          </cell>
          <cell r="C1721" t="str">
            <v>NOT USED</v>
          </cell>
          <cell r="D1721" t="str">
            <v>OTHER INCOME &amp; DEDUCT - TRAVEL MEALS &amp; ENTERTAIN</v>
          </cell>
          <cell r="E1721" t="str">
            <v/>
          </cell>
          <cell r="F1721" t="str">
            <v/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/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</row>
        <row r="1722">
          <cell r="B1722">
            <v>593090</v>
          </cell>
          <cell r="C1722" t="str">
            <v>NOT USED</v>
          </cell>
          <cell r="D1722" t="str">
            <v>OTHER INCOME &amp; DEDUCT - MEALS &amp; ENTER (NOT TRAVEL</v>
          </cell>
          <cell r="E1722" t="str">
            <v/>
          </cell>
          <cell r="F1722" t="str">
            <v/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/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</row>
        <row r="1723">
          <cell r="B1723">
            <v>595099</v>
          </cell>
          <cell r="C1723" t="str">
            <v>NOT USED</v>
          </cell>
          <cell r="D1723" t="str">
            <v>BILLING / PAYMENT EXPENSES -  INTERCOMPANY</v>
          </cell>
          <cell r="E1723" t="str">
            <v/>
          </cell>
          <cell r="F1723" t="str">
            <v/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/>
          </cell>
          <cell r="L1723">
            <v>11.601850000000001</v>
          </cell>
          <cell r="M1723">
            <v>0.23358000000000001</v>
          </cell>
          <cell r="N1723">
            <v>0.23358000000000001</v>
          </cell>
          <cell r="O1723">
            <v>0.23358000000000001</v>
          </cell>
          <cell r="P1723">
            <v>0.23358000000000001</v>
          </cell>
          <cell r="Q1723">
            <v>0.23358000000000001</v>
          </cell>
          <cell r="R1723">
            <v>0.23358000000000001</v>
          </cell>
          <cell r="S1723">
            <v>0.23358000000000001</v>
          </cell>
          <cell r="T1723">
            <v>0.23358000000000001</v>
          </cell>
          <cell r="U1723">
            <v>0.23358000000000001</v>
          </cell>
          <cell r="V1723">
            <v>0.23358000000000001</v>
          </cell>
          <cell r="W1723">
            <v>0.23358000000000001</v>
          </cell>
          <cell r="X1723">
            <v>0.23358000000000001</v>
          </cell>
          <cell r="Y1723">
            <v>0.70725800000000005</v>
          </cell>
        </row>
        <row r="1724">
          <cell r="B1724">
            <v>600000</v>
          </cell>
          <cell r="C1724" t="str">
            <v>NOT USED</v>
          </cell>
          <cell r="D1724" t="str">
            <v>AFDC - SETTLEMENT TO ASSET MANAGEMENT</v>
          </cell>
          <cell r="E1724" t="str">
            <v/>
          </cell>
          <cell r="F1724" t="str">
            <v/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/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</row>
        <row r="1725">
          <cell r="B1725">
            <v>600001</v>
          </cell>
          <cell r="C1725" t="str">
            <v>NOT USED</v>
          </cell>
          <cell r="D1725" t="str">
            <v>MATERIALS - SETTLEMENT TO ASSET MANAGEMENT</v>
          </cell>
          <cell r="E1725" t="str">
            <v/>
          </cell>
          <cell r="F1725" t="str">
            <v/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/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</row>
        <row r="1726">
          <cell r="B1726">
            <v>600002</v>
          </cell>
          <cell r="C1726" t="str">
            <v>NOT USED</v>
          </cell>
          <cell r="D1726" t="str">
            <v>PAYROLL &amp; WELFARE - SETTLEMENT TO ASSET MANAGEMEN</v>
          </cell>
          <cell r="E1726" t="str">
            <v/>
          </cell>
          <cell r="F1726" t="str">
            <v/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/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</row>
        <row r="1727">
          <cell r="B1727">
            <v>600003</v>
          </cell>
          <cell r="C1727" t="str">
            <v>NOT USED</v>
          </cell>
          <cell r="D1727" t="str">
            <v>OUTSIDE SERVICES - SETTLEMENT TO ASSET MANAGEMENT</v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/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</row>
        <row r="1728">
          <cell r="B1728">
            <v>600004</v>
          </cell>
          <cell r="C1728" t="str">
            <v>NOT USED</v>
          </cell>
          <cell r="D1728" t="str">
            <v>TRAVEL - SETTLEMENT TO ASSET MANAGEMENT</v>
          </cell>
          <cell r="E1728" t="str">
            <v/>
          </cell>
          <cell r="F1728" t="str">
            <v/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/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</row>
        <row r="1729">
          <cell r="B1729">
            <v>600005</v>
          </cell>
          <cell r="C1729" t="str">
            <v>NOT USED</v>
          </cell>
          <cell r="D1729" t="str">
            <v>TRANSPORTATION - SETTLEMENT TO ASSET MANAGEMENT</v>
          </cell>
          <cell r="E1729" t="str">
            <v/>
          </cell>
          <cell r="F1729" t="str">
            <v/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/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>
            <v>600006</v>
          </cell>
          <cell r="C1730" t="str">
            <v>NOT USED</v>
          </cell>
          <cell r="D1730" t="str">
            <v>CIAC - SETTLEMENT TO ASSET MANAGEMENT</v>
          </cell>
          <cell r="E1730" t="str">
            <v/>
          </cell>
          <cell r="F1730" t="str">
            <v/>
          </cell>
          <cell r="G1730" t="str">
            <v/>
          </cell>
          <cell r="H1730" t="str">
            <v/>
          </cell>
          <cell r="I1730" t="str">
            <v/>
          </cell>
          <cell r="J1730" t="str">
            <v/>
          </cell>
          <cell r="K1730" t="str">
            <v/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</row>
        <row r="1731">
          <cell r="B1731">
            <v>600007</v>
          </cell>
          <cell r="C1731" t="str">
            <v>NOT USED</v>
          </cell>
          <cell r="D1731" t="str">
            <v>TRAINING - SETTLEMENT TO ASSET MANAGEMENT</v>
          </cell>
          <cell r="E1731" t="str">
            <v/>
          </cell>
          <cell r="F1731" t="str">
            <v/>
          </cell>
          <cell r="G1731" t="str">
            <v/>
          </cell>
          <cell r="H1731" t="str">
            <v/>
          </cell>
          <cell r="I1731" t="str">
            <v/>
          </cell>
          <cell r="J1731" t="str">
            <v/>
          </cell>
          <cell r="K1731" t="str">
            <v/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</row>
        <row r="1732">
          <cell r="B1732">
            <v>600008</v>
          </cell>
          <cell r="C1732" t="str">
            <v>NOT USED</v>
          </cell>
          <cell r="D1732" t="str">
            <v>OVERHEADS - SETTLEMENT TO ASSET MANAGEMENT</v>
          </cell>
          <cell r="E1732" t="str">
            <v/>
          </cell>
          <cell r="F1732" t="str">
            <v/>
          </cell>
          <cell r="G1732" t="str">
            <v/>
          </cell>
          <cell r="H1732" t="str">
            <v/>
          </cell>
          <cell r="I1732" t="str">
            <v/>
          </cell>
          <cell r="J1732" t="str">
            <v/>
          </cell>
          <cell r="K1732" t="str">
            <v/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</row>
        <row r="1733">
          <cell r="B1733">
            <v>600009</v>
          </cell>
          <cell r="C1733" t="str">
            <v>NOT USED</v>
          </cell>
          <cell r="D1733" t="str">
            <v>LEGAL - SETTLEMENT TO ASSET MANAGEMENT</v>
          </cell>
          <cell r="E1733" t="str">
            <v/>
          </cell>
          <cell r="F1733" t="str">
            <v/>
          </cell>
          <cell r="G1733" t="str">
            <v/>
          </cell>
          <cell r="H1733" t="str">
            <v/>
          </cell>
          <cell r="I1733" t="str">
            <v/>
          </cell>
          <cell r="J1733" t="str">
            <v/>
          </cell>
          <cell r="K1733" t="str">
            <v/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</row>
        <row r="1734">
          <cell r="B1734">
            <v>600010</v>
          </cell>
          <cell r="C1734" t="str">
            <v>NOT USED</v>
          </cell>
          <cell r="D1734" t="str">
            <v>OTHER - SETTLEMENT TO ASSET MANAGEMENT</v>
          </cell>
          <cell r="E1734" t="str">
            <v/>
          </cell>
          <cell r="F1734" t="str">
            <v/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/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</row>
        <row r="1735">
          <cell r="B1735">
            <v>600011</v>
          </cell>
          <cell r="C1735" t="str">
            <v>NOT USED</v>
          </cell>
          <cell r="D1735" t="str">
            <v>R &amp; R - SETTLEMENT TO ASSET MANAGEMENT</v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  <cell r="I1735" t="str">
            <v/>
          </cell>
          <cell r="J1735" t="str">
            <v/>
          </cell>
          <cell r="K1735" t="str">
            <v/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</row>
        <row r="1736">
          <cell r="B1736">
            <v>600012</v>
          </cell>
          <cell r="C1736" t="str">
            <v>NOT USED</v>
          </cell>
          <cell r="D1736" t="str">
            <v>OTHER TAXES-ELE - SETTLEMENT TO ASSET MANAGEMENT</v>
          </cell>
          <cell r="E1736" t="str">
            <v/>
          </cell>
          <cell r="F1736" t="str">
            <v/>
          </cell>
          <cell r="G1736" t="str">
            <v/>
          </cell>
          <cell r="H1736" t="str">
            <v/>
          </cell>
          <cell r="I1736" t="str">
            <v/>
          </cell>
          <cell r="J1736" t="str">
            <v/>
          </cell>
          <cell r="K1736" t="str">
            <v/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</row>
        <row r="1737">
          <cell r="B1737">
            <v>600013</v>
          </cell>
          <cell r="C1737" t="str">
            <v>NOT USED</v>
          </cell>
          <cell r="D1737" t="str">
            <v>OTHER TAXES-GAS - SETTLEMENT TO ASSET MANAGEMENT</v>
          </cell>
          <cell r="E1737" t="str">
            <v/>
          </cell>
          <cell r="F1737" t="str">
            <v/>
          </cell>
          <cell r="G1737" t="str">
            <v/>
          </cell>
          <cell r="H1737" t="str">
            <v/>
          </cell>
          <cell r="I1737" t="str">
            <v/>
          </cell>
          <cell r="J1737" t="str">
            <v/>
          </cell>
          <cell r="K1737" t="str">
            <v/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</row>
        <row r="1738">
          <cell r="B1738">
            <v>680043</v>
          </cell>
          <cell r="C1738" t="str">
            <v>NOT USED</v>
          </cell>
          <cell r="D1738" t="str">
            <v>BENEFITS-PENSIONS-AMORTIZATION GAIN/LOSS</v>
          </cell>
          <cell r="E1738" t="str">
            <v/>
          </cell>
          <cell r="F1738" t="str">
            <v/>
          </cell>
          <cell r="G1738" t="str">
            <v/>
          </cell>
          <cell r="H1738" t="str">
            <v/>
          </cell>
          <cell r="I1738" t="str">
            <v/>
          </cell>
          <cell r="J1738" t="str">
            <v/>
          </cell>
          <cell r="K1738" t="str">
            <v/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-4458.3720800000001</v>
          </cell>
          <cell r="R1738">
            <v>-5350.0465000000004</v>
          </cell>
          <cell r="S1738">
            <v>-6241.7209199999998</v>
          </cell>
          <cell r="T1738">
            <v>-7133.39534</v>
          </cell>
          <cell r="U1738">
            <v>-8025.0697600000003</v>
          </cell>
          <cell r="V1738">
            <v>0</v>
          </cell>
          <cell r="W1738">
            <v>0</v>
          </cell>
          <cell r="X1738">
            <v>0</v>
          </cell>
          <cell r="Y1738">
            <v>-2600.7170500000002</v>
          </cell>
        </row>
        <row r="1739">
          <cell r="B1739">
            <v>680049</v>
          </cell>
          <cell r="C1739" t="str">
            <v>NOT USED</v>
          </cell>
          <cell r="D1739" t="str">
            <v>BENEFITS - WORKMEN'S COMPENSATION</v>
          </cell>
          <cell r="E1739" t="str">
            <v/>
          </cell>
          <cell r="F1739" t="str">
            <v/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/>
          </cell>
          <cell r="U1739">
            <v>-792.53139999999996</v>
          </cell>
          <cell r="V1739">
            <v>0</v>
          </cell>
          <cell r="W1739">
            <v>0</v>
          </cell>
          <cell r="X1739">
            <v>0</v>
          </cell>
          <cell r="Y1739">
            <v>-66.044282999999993</v>
          </cell>
        </row>
        <row r="1740">
          <cell r="B1740">
            <v>680050</v>
          </cell>
          <cell r="C1740" t="str">
            <v>NOT USED</v>
          </cell>
          <cell r="D1740" t="str">
            <v>BENEFITS-OTHER</v>
          </cell>
          <cell r="E1740" t="str">
            <v/>
          </cell>
          <cell r="F1740" t="str">
            <v/>
          </cell>
          <cell r="G1740" t="str">
            <v/>
          </cell>
          <cell r="H1740" t="str">
            <v/>
          </cell>
          <cell r="I1740" t="str">
            <v/>
          </cell>
          <cell r="J1740" t="str">
            <v/>
          </cell>
          <cell r="K1740" t="str">
            <v/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-4316.2563499999997</v>
          </cell>
          <cell r="R1740">
            <v>-4997.4384099999997</v>
          </cell>
          <cell r="S1740">
            <v>-6140.5380400000004</v>
          </cell>
          <cell r="T1740">
            <v>-6505.7261099999996</v>
          </cell>
          <cell r="U1740">
            <v>-7983.2109499999997</v>
          </cell>
          <cell r="V1740">
            <v>0</v>
          </cell>
          <cell r="W1740">
            <v>0</v>
          </cell>
          <cell r="X1740">
            <v>0</v>
          </cell>
          <cell r="Y1740">
            <v>-2495.2641549999998</v>
          </cell>
        </row>
        <row r="1741">
          <cell r="B1741">
            <v>680051</v>
          </cell>
          <cell r="C1741" t="str">
            <v>NOT USED</v>
          </cell>
          <cell r="D1741" t="str">
            <v>BENEFITS-R &amp; R</v>
          </cell>
          <cell r="E1741" t="str">
            <v/>
          </cell>
          <cell r="F1741" t="str">
            <v/>
          </cell>
          <cell r="G1741" t="str">
            <v/>
          </cell>
          <cell r="H1741" t="str">
            <v/>
          </cell>
          <cell r="I1741" t="str">
            <v/>
          </cell>
          <cell r="J1741" t="str">
            <v/>
          </cell>
          <cell r="K1741" t="str">
            <v/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-2.5</v>
          </cell>
          <cell r="X1741">
            <v>-2.5</v>
          </cell>
          <cell r="Y1741">
            <v>-0.3125</v>
          </cell>
        </row>
        <row r="1742">
          <cell r="B1742">
            <v>680052</v>
          </cell>
          <cell r="C1742" t="str">
            <v>NOT USED</v>
          </cell>
          <cell r="D1742" t="str">
            <v>BENEFITS-PENSIONS-SERVICES</v>
          </cell>
          <cell r="E1742" t="str">
            <v/>
          </cell>
          <cell r="F1742" t="str">
            <v/>
          </cell>
          <cell r="G1742" t="str">
            <v/>
          </cell>
          <cell r="H1742" t="str">
            <v/>
          </cell>
          <cell r="I1742" t="str">
            <v/>
          </cell>
          <cell r="J1742" t="str">
            <v/>
          </cell>
          <cell r="K1742" t="str">
            <v/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-1870.0070800000001</v>
          </cell>
          <cell r="R1742">
            <v>-2191.4349299999999</v>
          </cell>
          <cell r="S1742">
            <v>-2249.9948100000001</v>
          </cell>
          <cell r="T1742">
            <v>-2571.4226399999998</v>
          </cell>
          <cell r="U1742">
            <v>-2906.5200300000001</v>
          </cell>
          <cell r="V1742">
            <v>0</v>
          </cell>
          <cell r="W1742">
            <v>0</v>
          </cell>
          <cell r="X1742">
            <v>0</v>
          </cell>
          <cell r="Y1742">
            <v>-982.44829100000004</v>
          </cell>
        </row>
        <row r="1743">
          <cell r="B1743">
            <v>680053</v>
          </cell>
          <cell r="C1743" t="str">
            <v>NOT USED</v>
          </cell>
          <cell r="D1743" t="str">
            <v>BENEFITS-PENSIONS-INTEREST</v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  <cell r="I1743" t="str">
            <v/>
          </cell>
          <cell r="J1743" t="str">
            <v/>
          </cell>
          <cell r="K1743" t="str">
            <v/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-9041.39</v>
          </cell>
          <cell r="R1743">
            <v>-10849.668</v>
          </cell>
          <cell r="S1743">
            <v>-12657.946</v>
          </cell>
          <cell r="T1743">
            <v>-14466.224</v>
          </cell>
          <cell r="U1743">
            <v>-16274.502</v>
          </cell>
          <cell r="V1743">
            <v>0</v>
          </cell>
          <cell r="W1743">
            <v>0</v>
          </cell>
          <cell r="X1743">
            <v>0</v>
          </cell>
          <cell r="Y1743">
            <v>-5274.1441670000004</v>
          </cell>
        </row>
        <row r="1744">
          <cell r="B1744">
            <v>680054</v>
          </cell>
          <cell r="C1744" t="str">
            <v>NOT USED</v>
          </cell>
          <cell r="D1744" t="str">
            <v>BENEFITS-PENSIONS-RETURN ON ASSETS-ROA</v>
          </cell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  <cell r="I1744" t="str">
            <v/>
          </cell>
          <cell r="J1744" t="str">
            <v/>
          </cell>
          <cell r="K1744" t="str">
            <v/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14901.559579999999</v>
          </cell>
          <cell r="R1744">
            <v>17881.871500000001</v>
          </cell>
          <cell r="S1744">
            <v>20862.183420000001</v>
          </cell>
          <cell r="T1744">
            <v>23842.495340000001</v>
          </cell>
          <cell r="U1744">
            <v>26822.807260000001</v>
          </cell>
          <cell r="V1744">
            <v>0</v>
          </cell>
          <cell r="W1744">
            <v>0</v>
          </cell>
          <cell r="X1744">
            <v>0</v>
          </cell>
          <cell r="Y1744">
            <v>8692.5764249999993</v>
          </cell>
        </row>
        <row r="1745">
          <cell r="B1745">
            <v>680056</v>
          </cell>
          <cell r="C1745" t="str">
            <v>NOT USED</v>
          </cell>
          <cell r="D1745" t="str">
            <v>BENEFITS-R &amp; R - NON CASH</v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/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-0.05</v>
          </cell>
          <cell r="R1745">
            <v>-0.05</v>
          </cell>
          <cell r="S1745">
            <v>-0.05</v>
          </cell>
          <cell r="T1745">
            <v>-0.05</v>
          </cell>
          <cell r="U1745">
            <v>-0.05</v>
          </cell>
          <cell r="V1745">
            <v>-0.05</v>
          </cell>
          <cell r="W1745">
            <v>-0.05</v>
          </cell>
          <cell r="X1745">
            <v>-0.05</v>
          </cell>
          <cell r="Y1745">
            <v>-3.125E-2</v>
          </cell>
        </row>
        <row r="1746">
          <cell r="B1746">
            <v>680058</v>
          </cell>
          <cell r="C1746" t="str">
            <v>NOT USED</v>
          </cell>
          <cell r="D1746" t="str">
            <v>PAYROLL-ALL EMPLOYEE INCENTIVE PROGRAM</v>
          </cell>
          <cell r="E1746" t="str">
            <v/>
          </cell>
          <cell r="F1746" t="str">
            <v/>
          </cell>
          <cell r="G1746" t="str">
            <v/>
          </cell>
          <cell r="H1746" t="str">
            <v/>
          </cell>
          <cell r="I1746" t="str">
            <v/>
          </cell>
          <cell r="J1746" t="str">
            <v/>
          </cell>
          <cell r="K1746" t="str">
            <v/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-658.47385999999995</v>
          </cell>
          <cell r="R1746">
            <v>-776.90286000000003</v>
          </cell>
          <cell r="S1746">
            <v>-895.33186000000001</v>
          </cell>
          <cell r="T1746">
            <v>-1013.76086</v>
          </cell>
          <cell r="U1746">
            <v>-1132.18986</v>
          </cell>
          <cell r="V1746">
            <v>0</v>
          </cell>
          <cell r="W1746">
            <v>0</v>
          </cell>
          <cell r="X1746">
            <v>0</v>
          </cell>
          <cell r="Y1746">
            <v>-373.05494199999998</v>
          </cell>
        </row>
        <row r="1747">
          <cell r="B1747">
            <v>680059</v>
          </cell>
          <cell r="C1747" t="str">
            <v>NOT USED</v>
          </cell>
          <cell r="D1747" t="str">
            <v>BENEFITS - WORKMEN'S COMPENSATION-ACCRUAL</v>
          </cell>
          <cell r="E1747" t="str">
            <v/>
          </cell>
          <cell r="F1747" t="str">
            <v/>
          </cell>
          <cell r="G1747" t="str">
            <v/>
          </cell>
          <cell r="H1747" t="str">
            <v/>
          </cell>
          <cell r="I1747" t="str">
            <v/>
          </cell>
          <cell r="J1747" t="str">
            <v/>
          </cell>
          <cell r="K1747" t="str">
            <v/>
          </cell>
          <cell r="U1747">
            <v>-318.23642999999998</v>
          </cell>
          <cell r="V1747">
            <v>0</v>
          </cell>
          <cell r="W1747">
            <v>0</v>
          </cell>
          <cell r="X1747">
            <v>0</v>
          </cell>
          <cell r="Y1747">
            <v>-26.519703</v>
          </cell>
        </row>
        <row r="1748">
          <cell r="B1748">
            <v>680060</v>
          </cell>
          <cell r="C1748" t="str">
            <v>NOT USED</v>
          </cell>
          <cell r="D1748" t="str">
            <v>BILLING</v>
          </cell>
          <cell r="E1748" t="str">
            <v/>
          </cell>
          <cell r="F1748" t="str">
            <v/>
          </cell>
          <cell r="G1748" t="str">
            <v/>
          </cell>
          <cell r="H1748" t="str">
            <v/>
          </cell>
          <cell r="I1748" t="str">
            <v/>
          </cell>
          <cell r="J1748" t="str">
            <v/>
          </cell>
          <cell r="K1748" t="str">
            <v/>
          </cell>
          <cell r="L1748">
            <v>-41.223329999999997</v>
          </cell>
          <cell r="M1748">
            <v>0</v>
          </cell>
          <cell r="N1748">
            <v>-3.44699</v>
          </cell>
          <cell r="O1748">
            <v>-15.87406</v>
          </cell>
          <cell r="P1748">
            <v>-16.908180000000002</v>
          </cell>
          <cell r="Q1748">
            <v>-16.908180000000002</v>
          </cell>
          <cell r="R1748">
            <v>-18.903829999999999</v>
          </cell>
          <cell r="S1748">
            <v>-18.903829999999999</v>
          </cell>
          <cell r="T1748">
            <v>-20.74653</v>
          </cell>
          <cell r="U1748">
            <v>-24.075089999999999</v>
          </cell>
          <cell r="V1748">
            <v>-26.491689999999998</v>
          </cell>
          <cell r="W1748">
            <v>-30.5747</v>
          </cell>
          <cell r="X1748">
            <v>-30.5747</v>
          </cell>
          <cell r="Y1748">
            <v>-19.061008000000001</v>
          </cell>
        </row>
        <row r="1749">
          <cell r="B1749">
            <v>680070</v>
          </cell>
          <cell r="C1749" t="str">
            <v>NOT USED</v>
          </cell>
          <cell r="D1749" t="str">
            <v>CASH SUNDRIES</v>
          </cell>
          <cell r="E1749" t="str">
            <v/>
          </cell>
          <cell r="F1749" t="str">
            <v/>
          </cell>
          <cell r="G1749" t="str">
            <v/>
          </cell>
          <cell r="H1749" t="str">
            <v/>
          </cell>
          <cell r="I1749" t="str">
            <v/>
          </cell>
          <cell r="J1749" t="str">
            <v/>
          </cell>
          <cell r="K1749" t="str">
            <v/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</row>
        <row r="1750">
          <cell r="B1750">
            <v>680089</v>
          </cell>
          <cell r="C1750" t="str">
            <v>NOT USED</v>
          </cell>
          <cell r="D1750" t="str">
            <v>CONTRACTORS-IT CONTRACTORS</v>
          </cell>
          <cell r="E1750" t="str">
            <v/>
          </cell>
          <cell r="F1750" t="str">
            <v/>
          </cell>
          <cell r="G1750" t="str">
            <v/>
          </cell>
          <cell r="H1750" t="str">
            <v/>
          </cell>
          <cell r="I1750" t="str">
            <v/>
          </cell>
          <cell r="J1750" t="str">
            <v/>
          </cell>
          <cell r="K1750" t="str">
            <v/>
          </cell>
          <cell r="L1750">
            <v>-36.312739999999998</v>
          </cell>
          <cell r="M1750">
            <v>18.529959999999999</v>
          </cell>
          <cell r="N1750">
            <v>-58.280340000000002</v>
          </cell>
          <cell r="O1750">
            <v>-58.280340000000002</v>
          </cell>
          <cell r="P1750">
            <v>-71.930340000000001</v>
          </cell>
          <cell r="Q1750">
            <v>-95.380340000000004</v>
          </cell>
          <cell r="R1750">
            <v>-99.865340000000003</v>
          </cell>
          <cell r="S1750">
            <v>-109.76414</v>
          </cell>
          <cell r="T1750">
            <v>-149.58479</v>
          </cell>
          <cell r="U1750">
            <v>-226.33311</v>
          </cell>
          <cell r="V1750">
            <v>-257.47845000000001</v>
          </cell>
          <cell r="W1750">
            <v>-273.98905999999999</v>
          </cell>
          <cell r="X1750">
            <v>-709.97060999999997</v>
          </cell>
          <cell r="Y1750">
            <v>-146.29149699999999</v>
          </cell>
        </row>
        <row r="1751">
          <cell r="B1751">
            <v>680090</v>
          </cell>
          <cell r="C1751" t="str">
            <v>NOT USED</v>
          </cell>
          <cell r="D1751" t="str">
            <v>CONTRACTORS / OUTSIDE SERVICES</v>
          </cell>
          <cell r="E1751" t="str">
            <v/>
          </cell>
          <cell r="F1751" t="str">
            <v/>
          </cell>
          <cell r="G1751" t="str">
            <v/>
          </cell>
          <cell r="H1751" t="str">
            <v/>
          </cell>
          <cell r="I1751" t="str">
            <v/>
          </cell>
          <cell r="J1751" t="str">
            <v/>
          </cell>
          <cell r="K1751" t="str">
            <v/>
          </cell>
          <cell r="L1751">
            <v>-23834.333859999999</v>
          </cell>
          <cell r="M1751">
            <v>3454.8789999999999</v>
          </cell>
          <cell r="N1751">
            <v>-2614.9847100000002</v>
          </cell>
          <cell r="O1751">
            <v>-4928.2159499999998</v>
          </cell>
          <cell r="P1751">
            <v>-4010.1535899999999</v>
          </cell>
          <cell r="Q1751">
            <v>-7232.38627</v>
          </cell>
          <cell r="R1751">
            <v>-10836.67885</v>
          </cell>
          <cell r="S1751">
            <v>-12294.15842</v>
          </cell>
          <cell r="T1751">
            <v>-13810.872719999999</v>
          </cell>
          <cell r="U1751">
            <v>-16227.0314</v>
          </cell>
          <cell r="V1751">
            <v>-22345.219010000001</v>
          </cell>
          <cell r="W1751">
            <v>-26418.789659999999</v>
          </cell>
          <cell r="X1751">
            <v>-31612.480589999999</v>
          </cell>
          <cell r="Y1751">
            <v>-12082.251566999999</v>
          </cell>
        </row>
        <row r="1752">
          <cell r="B1752">
            <v>680093</v>
          </cell>
          <cell r="C1752" t="str">
            <v>NOT USED</v>
          </cell>
          <cell r="D1752" t="str">
            <v>CONTRACTORS - LOCATING SERVICES</v>
          </cell>
          <cell r="E1752" t="str">
            <v/>
          </cell>
          <cell r="F1752" t="str">
            <v/>
          </cell>
          <cell r="G1752" t="str">
            <v/>
          </cell>
          <cell r="H1752" t="str">
            <v/>
          </cell>
          <cell r="I1752" t="str">
            <v/>
          </cell>
          <cell r="J1752" t="str">
            <v/>
          </cell>
          <cell r="K1752" t="str">
            <v/>
          </cell>
          <cell r="L1752">
            <v>-1040.72865</v>
          </cell>
          <cell r="M1752">
            <v>0</v>
          </cell>
          <cell r="N1752">
            <v>34.365200000000002</v>
          </cell>
          <cell r="O1752">
            <v>34.365200000000002</v>
          </cell>
          <cell r="P1752">
            <v>34.365200000000002</v>
          </cell>
          <cell r="Q1752">
            <v>34.365200000000002</v>
          </cell>
          <cell r="R1752">
            <v>34.365200000000002</v>
          </cell>
          <cell r="S1752">
            <v>34.365200000000002</v>
          </cell>
          <cell r="T1752">
            <v>34.365200000000002</v>
          </cell>
          <cell r="U1752">
            <v>34.365200000000002</v>
          </cell>
          <cell r="V1752">
            <v>34.365200000000002</v>
          </cell>
          <cell r="W1752">
            <v>34.365200000000002</v>
          </cell>
          <cell r="X1752">
            <v>34.365200000000002</v>
          </cell>
          <cell r="Y1752">
            <v>-13.294143999999999</v>
          </cell>
        </row>
        <row r="1753">
          <cell r="B1753">
            <v>680095</v>
          </cell>
          <cell r="C1753" t="str">
            <v>NOT USED</v>
          </cell>
          <cell r="D1753" t="str">
            <v>CONTRACTORS LEGAL</v>
          </cell>
          <cell r="E1753" t="str">
            <v/>
          </cell>
          <cell r="F1753" t="str">
            <v/>
          </cell>
          <cell r="G1753" t="str">
            <v/>
          </cell>
          <cell r="H1753" t="str">
            <v/>
          </cell>
          <cell r="I1753" t="str">
            <v/>
          </cell>
          <cell r="J1753" t="str">
            <v/>
          </cell>
          <cell r="K1753" t="str">
            <v/>
          </cell>
          <cell r="L1753">
            <v>-92.511740000000003</v>
          </cell>
          <cell r="M1753">
            <v>1.10155</v>
          </cell>
          <cell r="N1753">
            <v>-16.411200000000001</v>
          </cell>
          <cell r="O1753">
            <v>-65.370980000000003</v>
          </cell>
          <cell r="P1753">
            <v>-121.2479</v>
          </cell>
          <cell r="Q1753">
            <v>-162.13383999999999</v>
          </cell>
          <cell r="R1753">
            <v>-182.41747000000001</v>
          </cell>
          <cell r="S1753">
            <v>-254.31618</v>
          </cell>
          <cell r="T1753">
            <v>-329.72440999999998</v>
          </cell>
          <cell r="U1753">
            <v>-331.40597000000002</v>
          </cell>
          <cell r="V1753">
            <v>-374.38247000000001</v>
          </cell>
          <cell r="W1753">
            <v>-396.39157999999998</v>
          </cell>
          <cell r="X1753">
            <v>-221.10310999999999</v>
          </cell>
          <cell r="Y1753">
            <v>-199.12565599999999</v>
          </cell>
        </row>
        <row r="1754">
          <cell r="B1754">
            <v>680096</v>
          </cell>
          <cell r="C1754" t="str">
            <v>NOT USED</v>
          </cell>
          <cell r="D1754" t="str">
            <v>CONTRACTORS-LINE CLEARANCE SERVICES</v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  <cell r="I1754" t="str">
            <v/>
          </cell>
          <cell r="J1754" t="str">
            <v/>
          </cell>
          <cell r="K1754" t="str">
            <v/>
          </cell>
          <cell r="L1754">
            <v>-776.48559</v>
          </cell>
          <cell r="M1754">
            <v>-51.347999999999999</v>
          </cell>
          <cell r="N1754">
            <v>-51.347999999999999</v>
          </cell>
          <cell r="O1754">
            <v>-61.86224</v>
          </cell>
          <cell r="P1754">
            <v>-61.86224</v>
          </cell>
          <cell r="Q1754">
            <v>-239.11277000000001</v>
          </cell>
          <cell r="R1754">
            <v>-200.33476999999999</v>
          </cell>
          <cell r="S1754">
            <v>-249.87326999999999</v>
          </cell>
          <cell r="T1754">
            <v>-365.20704999999998</v>
          </cell>
          <cell r="U1754">
            <v>-488.14652999999998</v>
          </cell>
          <cell r="V1754">
            <v>-545.43352000000004</v>
          </cell>
          <cell r="W1754">
            <v>-596.45198000000005</v>
          </cell>
          <cell r="X1754">
            <v>-597.53628000000003</v>
          </cell>
          <cell r="Y1754">
            <v>-299.83260899999999</v>
          </cell>
        </row>
        <row r="1755">
          <cell r="B1755">
            <v>680097</v>
          </cell>
          <cell r="C1755" t="str">
            <v>NOT USED</v>
          </cell>
          <cell r="D1755" t="str">
            <v>CONTRACTORS-ENVIRONMENTAL SERVICES</v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  <cell r="I1755" t="str">
            <v/>
          </cell>
          <cell r="J1755" t="str">
            <v/>
          </cell>
          <cell r="K1755" t="str">
            <v/>
          </cell>
          <cell r="L1755">
            <v>-295.67302999999998</v>
          </cell>
          <cell r="M1755">
            <v>-14.656499999999999</v>
          </cell>
          <cell r="N1755">
            <v>-43.944459999999999</v>
          </cell>
          <cell r="O1755">
            <v>-117.48390000000001</v>
          </cell>
          <cell r="P1755">
            <v>-179.42354</v>
          </cell>
          <cell r="Q1755">
            <v>-256.62178999999998</v>
          </cell>
          <cell r="R1755">
            <v>-230.74705</v>
          </cell>
          <cell r="S1755">
            <v>-240.94363000000001</v>
          </cell>
          <cell r="T1755">
            <v>-258.15996999999999</v>
          </cell>
          <cell r="U1755">
            <v>-290.37356999999997</v>
          </cell>
          <cell r="V1755">
            <v>-324.02911999999998</v>
          </cell>
          <cell r="W1755">
            <v>-380.07808</v>
          </cell>
          <cell r="X1755">
            <v>-375.81180999999998</v>
          </cell>
          <cell r="Y1755">
            <v>-222.68366900000001</v>
          </cell>
        </row>
        <row r="1756">
          <cell r="B1756">
            <v>680098</v>
          </cell>
          <cell r="C1756" t="str">
            <v>NOT USED</v>
          </cell>
          <cell r="D1756" t="str">
            <v>CONTRACTORS-ELECTRIC CONSTRUCTION SERVICES</v>
          </cell>
          <cell r="E1756" t="str">
            <v/>
          </cell>
          <cell r="F1756" t="str">
            <v/>
          </cell>
          <cell r="G1756" t="str">
            <v/>
          </cell>
          <cell r="H1756" t="str">
            <v/>
          </cell>
          <cell r="I1756" t="str">
            <v/>
          </cell>
          <cell r="J1756" t="str">
            <v/>
          </cell>
          <cell r="K1756" t="str">
            <v/>
          </cell>
          <cell r="L1756">
            <v>-10190.72114</v>
          </cell>
          <cell r="M1756">
            <v>-924.49491999999998</v>
          </cell>
          <cell r="N1756">
            <v>-1032.03981</v>
          </cell>
          <cell r="O1756">
            <v>-4123.8714200000004</v>
          </cell>
          <cell r="P1756">
            <v>-7086.1104599999999</v>
          </cell>
          <cell r="Q1756">
            <v>-8828.7703099999999</v>
          </cell>
          <cell r="R1756">
            <v>-10793.36024</v>
          </cell>
          <cell r="S1756">
            <v>-12196.09165</v>
          </cell>
          <cell r="T1756">
            <v>-16014.11238</v>
          </cell>
          <cell r="U1756">
            <v>-17287.428230000001</v>
          </cell>
          <cell r="V1756">
            <v>-19813.57214</v>
          </cell>
          <cell r="W1756">
            <v>-21980.70552</v>
          </cell>
          <cell r="X1756">
            <v>-31370.139940000001</v>
          </cell>
          <cell r="Y1756">
            <v>-11738.415634999999</v>
          </cell>
        </row>
        <row r="1757">
          <cell r="B1757">
            <v>680099</v>
          </cell>
          <cell r="C1757" t="str">
            <v>NOT USED</v>
          </cell>
          <cell r="D1757" t="str">
            <v>CONTRACTORS-GAS CONSTRUCTION SERVICES</v>
          </cell>
          <cell r="E1757" t="str">
            <v/>
          </cell>
          <cell r="F1757" t="str">
            <v/>
          </cell>
          <cell r="G1757" t="str">
            <v/>
          </cell>
          <cell r="H1757" t="str">
            <v/>
          </cell>
          <cell r="I1757" t="str">
            <v/>
          </cell>
          <cell r="J1757" t="str">
            <v/>
          </cell>
          <cell r="K1757" t="str">
            <v/>
          </cell>
          <cell r="L1757">
            <v>-10182.594660000001</v>
          </cell>
          <cell r="M1757">
            <v>-126.55188</v>
          </cell>
          <cell r="N1757">
            <v>-679.75649999999996</v>
          </cell>
          <cell r="O1757">
            <v>-1490.4490699999999</v>
          </cell>
          <cell r="P1757">
            <v>-2343.6826799999999</v>
          </cell>
          <cell r="Q1757">
            <v>-3535.1327500000002</v>
          </cell>
          <cell r="R1757">
            <v>-5197.3226599999998</v>
          </cell>
          <cell r="S1757">
            <v>-6387.5070800000003</v>
          </cell>
          <cell r="T1757">
            <v>-8089.5348800000002</v>
          </cell>
          <cell r="U1757">
            <v>-9724.9752900000003</v>
          </cell>
          <cell r="V1757">
            <v>-11951.853209999999</v>
          </cell>
          <cell r="W1757">
            <v>-13387.671689999999</v>
          </cell>
          <cell r="X1757">
            <v>-16877.84404</v>
          </cell>
          <cell r="Y1757">
            <v>-6370.3880870000003</v>
          </cell>
        </row>
        <row r="1758">
          <cell r="B1758">
            <v>680100</v>
          </cell>
          <cell r="C1758" t="str">
            <v>NOT USED</v>
          </cell>
          <cell r="D1758" t="str">
            <v>CORPORATE TAX-AUTO</v>
          </cell>
          <cell r="E1758" t="str">
            <v/>
          </cell>
          <cell r="F1758" t="str">
            <v/>
          </cell>
          <cell r="G1758" t="str">
            <v/>
          </cell>
          <cell r="H1758" t="str">
            <v/>
          </cell>
          <cell r="I1758" t="str">
            <v/>
          </cell>
          <cell r="J1758" t="str">
            <v/>
          </cell>
          <cell r="K1758" t="str">
            <v/>
          </cell>
          <cell r="L1758">
            <v>0</v>
          </cell>
          <cell r="M1758">
            <v>-29.71236</v>
          </cell>
          <cell r="N1758">
            <v>-39.353879999999997</v>
          </cell>
          <cell r="O1758">
            <v>-39.353879999999997</v>
          </cell>
          <cell r="P1758">
            <v>-39.353879999999997</v>
          </cell>
          <cell r="Q1758">
            <v>-39.353879999999997</v>
          </cell>
          <cell r="R1758">
            <v>-39.353879999999997</v>
          </cell>
          <cell r="S1758">
            <v>-39.353879999999997</v>
          </cell>
          <cell r="T1758">
            <v>-39.353879999999997</v>
          </cell>
          <cell r="U1758">
            <v>-39.353879999999997</v>
          </cell>
          <cell r="V1758">
            <v>-39.353879999999997</v>
          </cell>
          <cell r="W1758">
            <v>-39.353879999999997</v>
          </cell>
          <cell r="X1758">
            <v>-39.353879999999997</v>
          </cell>
          <cell r="Y1758">
            <v>-36.910674999999998</v>
          </cell>
        </row>
        <row r="1759">
          <cell r="B1759">
            <v>680120</v>
          </cell>
          <cell r="C1759" t="str">
            <v>NOT USED</v>
          </cell>
          <cell r="D1759" t="str">
            <v>MEMBERSHIPS &amp; SUBSCRIPTIONS</v>
          </cell>
          <cell r="E1759" t="str">
            <v/>
          </cell>
          <cell r="F1759" t="str">
            <v/>
          </cell>
          <cell r="G1759" t="str">
            <v/>
          </cell>
          <cell r="H1759" t="str">
            <v/>
          </cell>
          <cell r="I1759" t="str">
            <v/>
          </cell>
          <cell r="J1759" t="str">
            <v/>
          </cell>
          <cell r="K1759" t="str">
            <v/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</row>
        <row r="1760">
          <cell r="B1760">
            <v>680130</v>
          </cell>
          <cell r="C1760" t="str">
            <v>NOT USED</v>
          </cell>
          <cell r="D1760" t="str">
            <v>FEES-OTHER</v>
          </cell>
          <cell r="E1760" t="str">
            <v/>
          </cell>
          <cell r="F1760" t="str">
            <v/>
          </cell>
          <cell r="G1760" t="str">
            <v/>
          </cell>
          <cell r="H1760" t="str">
            <v/>
          </cell>
          <cell r="I1760" t="str">
            <v/>
          </cell>
          <cell r="J1760" t="str">
            <v/>
          </cell>
          <cell r="K1760" t="str">
            <v/>
          </cell>
          <cell r="L1760">
            <v>-100.69195000000001</v>
          </cell>
          <cell r="M1760">
            <v>-12.03983</v>
          </cell>
          <cell r="N1760">
            <v>-22.623570000000001</v>
          </cell>
          <cell r="O1760">
            <v>-31.47805</v>
          </cell>
          <cell r="P1760">
            <v>-45.302050000000001</v>
          </cell>
          <cell r="Q1760">
            <v>-84.860470000000007</v>
          </cell>
          <cell r="R1760">
            <v>-132.64259000000001</v>
          </cell>
          <cell r="S1760">
            <v>-111.16797</v>
          </cell>
          <cell r="T1760">
            <v>-153.15076999999999</v>
          </cell>
          <cell r="U1760">
            <v>-188.94560999999999</v>
          </cell>
          <cell r="V1760">
            <v>-211.12459000000001</v>
          </cell>
          <cell r="W1760">
            <v>-231.99789000000001</v>
          </cell>
          <cell r="X1760">
            <v>-245.05949000000001</v>
          </cell>
          <cell r="Y1760">
            <v>-116.517426</v>
          </cell>
        </row>
        <row r="1761">
          <cell r="B1761">
            <v>680146</v>
          </cell>
          <cell r="C1761" t="str">
            <v>NOT USED</v>
          </cell>
          <cell r="D1761" t="str">
            <v>CONTRACTORS FLAGGING</v>
          </cell>
          <cell r="E1761">
            <v>0</v>
          </cell>
        </row>
        <row r="1762">
          <cell r="B1762">
            <v>680147</v>
          </cell>
          <cell r="C1762" t="str">
            <v>NOT USED</v>
          </cell>
          <cell r="D1762" t="str">
            <v>CONTRACTORS OTHERS</v>
          </cell>
          <cell r="E1762">
            <v>0</v>
          </cell>
        </row>
        <row r="1763">
          <cell r="B1763">
            <v>680150</v>
          </cell>
          <cell r="C1763" t="str">
            <v>NOT USED</v>
          </cell>
          <cell r="D1763" t="str">
            <v>FUEL FOR HEATING - OIL</v>
          </cell>
          <cell r="E1763" t="str">
            <v/>
          </cell>
          <cell r="F1763" t="str">
            <v/>
          </cell>
          <cell r="G1763" t="str">
            <v/>
          </cell>
          <cell r="H1763" t="str">
            <v/>
          </cell>
          <cell r="I1763" t="str">
            <v/>
          </cell>
          <cell r="J1763" t="str">
            <v/>
          </cell>
          <cell r="K1763" t="str">
            <v/>
          </cell>
          <cell r="L1763">
            <v>-1.4E-2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-5.8299999999999997E-4</v>
          </cell>
        </row>
        <row r="1764">
          <cell r="B1764">
            <v>680160</v>
          </cell>
          <cell r="C1764" t="str">
            <v>NOT USED</v>
          </cell>
          <cell r="D1764" t="str">
            <v>FUEL FOR HEATING - PROPANE</v>
          </cell>
          <cell r="E1764" t="str">
            <v/>
          </cell>
          <cell r="F1764" t="str">
            <v/>
          </cell>
          <cell r="G1764" t="str">
            <v/>
          </cell>
          <cell r="H1764" t="str">
            <v/>
          </cell>
          <cell r="I1764" t="str">
            <v/>
          </cell>
          <cell r="J1764" t="str">
            <v/>
          </cell>
          <cell r="K1764" t="str">
            <v/>
          </cell>
          <cell r="L1764">
            <v>0</v>
          </cell>
          <cell r="M1764">
            <v>0</v>
          </cell>
          <cell r="N1764">
            <v>0</v>
          </cell>
          <cell r="O1764">
            <v>-0.28894999999999998</v>
          </cell>
          <cell r="P1764">
            <v>-0.28894999999999998</v>
          </cell>
          <cell r="Q1764">
            <v>-0.22599</v>
          </cell>
          <cell r="R1764">
            <v>-0.22599</v>
          </cell>
          <cell r="S1764">
            <v>-0.22599</v>
          </cell>
          <cell r="T1764">
            <v>-0.22599</v>
          </cell>
          <cell r="U1764">
            <v>-0.22599</v>
          </cell>
          <cell r="V1764">
            <v>-0.22599</v>
          </cell>
          <cell r="W1764">
            <v>-0.22599</v>
          </cell>
          <cell r="X1764">
            <v>-0.22599</v>
          </cell>
          <cell r="Y1764">
            <v>-0.18940199999999999</v>
          </cell>
        </row>
        <row r="1765">
          <cell r="B1765">
            <v>680180</v>
          </cell>
          <cell r="C1765" t="str">
            <v>NOT USED</v>
          </cell>
          <cell r="D1765" t="str">
            <v>FUEL-DIESEL FOR VEH</v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  <cell r="I1765" t="str">
            <v/>
          </cell>
          <cell r="J1765" t="str">
            <v/>
          </cell>
          <cell r="K1765" t="str">
            <v/>
          </cell>
          <cell r="L1765">
            <v>-8.0210000000000008</v>
          </cell>
          <cell r="M1765">
            <v>-0.31461</v>
          </cell>
          <cell r="N1765">
            <v>-0.31461</v>
          </cell>
          <cell r="O1765">
            <v>-0.31461</v>
          </cell>
          <cell r="P1765">
            <v>-0.31461</v>
          </cell>
          <cell r="Q1765">
            <v>-0.31461</v>
          </cell>
          <cell r="R1765">
            <v>-0.31461</v>
          </cell>
          <cell r="S1765">
            <v>-0.31461</v>
          </cell>
          <cell r="T1765">
            <v>-0.31461</v>
          </cell>
          <cell r="U1765">
            <v>-0.31461</v>
          </cell>
          <cell r="V1765">
            <v>-0.31461</v>
          </cell>
          <cell r="W1765">
            <v>-0.31461</v>
          </cell>
          <cell r="X1765">
            <v>-0.90761000000000003</v>
          </cell>
          <cell r="Y1765">
            <v>-0.66041799999999995</v>
          </cell>
        </row>
        <row r="1766">
          <cell r="B1766">
            <v>680190</v>
          </cell>
          <cell r="C1766" t="str">
            <v>NOT USED</v>
          </cell>
          <cell r="D1766" t="str">
            <v>FUEL-GASOLINE FOR VEH</v>
          </cell>
          <cell r="E1766" t="str">
            <v/>
          </cell>
          <cell r="F1766" t="str">
            <v/>
          </cell>
          <cell r="G1766" t="str">
            <v/>
          </cell>
          <cell r="H1766" t="str">
            <v/>
          </cell>
          <cell r="I1766" t="str">
            <v/>
          </cell>
          <cell r="J1766" t="str">
            <v/>
          </cell>
          <cell r="K1766" t="str">
            <v/>
          </cell>
          <cell r="L1766">
            <v>-0.27744000000000002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-0.16742000000000001</v>
          </cell>
          <cell r="R1766">
            <v>-0.21751999999999999</v>
          </cell>
          <cell r="S1766">
            <v>-0.21751999999999999</v>
          </cell>
          <cell r="T1766">
            <v>-0.21751999999999999</v>
          </cell>
          <cell r="U1766">
            <v>-0.21751999999999999</v>
          </cell>
          <cell r="V1766">
            <v>-0.21751999999999999</v>
          </cell>
          <cell r="W1766">
            <v>-0.21751999999999999</v>
          </cell>
          <cell r="X1766">
            <v>-0.21751999999999999</v>
          </cell>
          <cell r="Y1766">
            <v>-0.14333499999999999</v>
          </cell>
        </row>
        <row r="1767">
          <cell r="B1767">
            <v>680205</v>
          </cell>
          <cell r="C1767" t="str">
            <v>NOT USED</v>
          </cell>
          <cell r="D1767" t="str">
            <v>HARDWARE</v>
          </cell>
          <cell r="E1767" t="str">
            <v/>
          </cell>
          <cell r="F1767" t="str">
            <v/>
          </cell>
          <cell r="G1767" t="str">
            <v/>
          </cell>
          <cell r="H1767" t="str">
            <v/>
          </cell>
          <cell r="I1767" t="str">
            <v/>
          </cell>
          <cell r="J1767" t="str">
            <v/>
          </cell>
          <cell r="K1767" t="str">
            <v/>
          </cell>
          <cell r="L1767">
            <v>-1178.49386</v>
          </cell>
          <cell r="M1767">
            <v>-29.327539999999999</v>
          </cell>
          <cell r="N1767">
            <v>-29.418489999999998</v>
          </cell>
          <cell r="O1767">
            <v>-38.270110000000003</v>
          </cell>
          <cell r="P1767">
            <v>-388.87477999999999</v>
          </cell>
          <cell r="Q1767">
            <v>-617.32421999999997</v>
          </cell>
          <cell r="R1767">
            <v>-619.73960999999997</v>
          </cell>
          <cell r="S1767">
            <v>-692.64398000000006</v>
          </cell>
          <cell r="T1767">
            <v>-768.42363999999998</v>
          </cell>
          <cell r="U1767">
            <v>-906.41623000000004</v>
          </cell>
          <cell r="V1767">
            <v>-1324.95012</v>
          </cell>
          <cell r="W1767">
            <v>-1379.3233600000001</v>
          </cell>
          <cell r="X1767">
            <v>-3079.5806600000001</v>
          </cell>
          <cell r="Y1767">
            <v>-743.64577799999995</v>
          </cell>
        </row>
        <row r="1768">
          <cell r="B1768">
            <v>680240</v>
          </cell>
          <cell r="C1768" t="str">
            <v>NOT USED</v>
          </cell>
          <cell r="D1768" t="str">
            <v>LABOR-STRAIGHT TIME</v>
          </cell>
          <cell r="E1768" t="str">
            <v/>
          </cell>
          <cell r="F1768" t="str">
            <v/>
          </cell>
          <cell r="G1768" t="str">
            <v/>
          </cell>
          <cell r="H1768" t="str">
            <v/>
          </cell>
          <cell r="I1768" t="str">
            <v/>
          </cell>
          <cell r="J1768" t="str">
            <v/>
          </cell>
          <cell r="K1768" t="str">
            <v/>
          </cell>
          <cell r="L1768">
            <v>-8021.82906</v>
          </cell>
          <cell r="M1768">
            <v>-814.54678000000001</v>
          </cell>
          <cell r="N1768">
            <v>-1555.8936699999999</v>
          </cell>
          <cell r="O1768">
            <v>-2341.7030800000002</v>
          </cell>
          <cell r="P1768">
            <v>-3095.5653499999999</v>
          </cell>
          <cell r="Q1768">
            <v>-3908.0700499999998</v>
          </cell>
          <cell r="R1768">
            <v>-4585.4888000000001</v>
          </cell>
          <cell r="S1768">
            <v>-5240.7714900000001</v>
          </cell>
          <cell r="T1768">
            <v>-6045.4428699999999</v>
          </cell>
          <cell r="U1768">
            <v>-6636.8551699999998</v>
          </cell>
          <cell r="V1768">
            <v>-7565.7773699999998</v>
          </cell>
          <cell r="W1768">
            <v>-8164.0430900000001</v>
          </cell>
          <cell r="X1768">
            <v>-8874.3838899999992</v>
          </cell>
          <cell r="Y1768">
            <v>-4866.8553499999998</v>
          </cell>
        </row>
        <row r="1769">
          <cell r="B1769">
            <v>680244</v>
          </cell>
          <cell r="C1769" t="str">
            <v>NOT USED</v>
          </cell>
          <cell r="D1769" t="str">
            <v>GENERAL-VACATION PAY ACCRUAL</v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/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</row>
        <row r="1770">
          <cell r="B1770">
            <v>680250</v>
          </cell>
          <cell r="C1770" t="str">
            <v>NOT USED</v>
          </cell>
          <cell r="D1770" t="str">
            <v>LABOR-OVERTIME</v>
          </cell>
          <cell r="E1770" t="str">
            <v/>
          </cell>
          <cell r="F1770" t="str">
            <v/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/>
          </cell>
          <cell r="L1770">
            <v>-1810.44245</v>
          </cell>
          <cell r="M1770">
            <v>-214.31379000000001</v>
          </cell>
          <cell r="N1770">
            <v>-423.22212000000002</v>
          </cell>
          <cell r="O1770">
            <v>-623.36742000000004</v>
          </cell>
          <cell r="P1770">
            <v>-796.29506000000003</v>
          </cell>
          <cell r="Q1770">
            <v>-929.24099999999999</v>
          </cell>
          <cell r="R1770">
            <v>-1047.50344</v>
          </cell>
          <cell r="S1770">
            <v>-1138.2815599999999</v>
          </cell>
          <cell r="T1770">
            <v>-1296.6421700000001</v>
          </cell>
          <cell r="U1770">
            <v>-1438.6276800000001</v>
          </cell>
          <cell r="V1770">
            <v>-1657.7816399999999</v>
          </cell>
          <cell r="W1770">
            <v>-1805.1068499999999</v>
          </cell>
          <cell r="X1770">
            <v>-1984.5339799999999</v>
          </cell>
          <cell r="Y1770">
            <v>-1105.6559119999999</v>
          </cell>
        </row>
        <row r="1771">
          <cell r="B1771">
            <v>680255</v>
          </cell>
          <cell r="C1771" t="str">
            <v>NOT USED</v>
          </cell>
          <cell r="D1771" t="str">
            <v>LABOR-RECLASS - OVERTIME</v>
          </cell>
          <cell r="E1771" t="str">
            <v/>
          </cell>
          <cell r="F1771" t="str">
            <v/>
          </cell>
          <cell r="G1771" t="str">
            <v/>
          </cell>
          <cell r="H1771" t="str">
            <v/>
          </cell>
          <cell r="I1771" t="str">
            <v/>
          </cell>
          <cell r="J1771" t="str">
            <v/>
          </cell>
          <cell r="K1771" t="str">
            <v/>
          </cell>
          <cell r="L1771">
            <v>0</v>
          </cell>
          <cell r="M1771">
            <v>0</v>
          </cell>
          <cell r="N1771">
            <v>1.618E-2</v>
          </cell>
          <cell r="O1771">
            <v>0.22276000000000001</v>
          </cell>
          <cell r="P1771">
            <v>0.22276000000000001</v>
          </cell>
          <cell r="Q1771">
            <v>0.22276000000000001</v>
          </cell>
          <cell r="R1771">
            <v>-21.526160000000001</v>
          </cell>
          <cell r="S1771">
            <v>-21.526160000000001</v>
          </cell>
          <cell r="T1771">
            <v>-21.469100000000001</v>
          </cell>
          <cell r="U1771">
            <v>-21.469100000000001</v>
          </cell>
          <cell r="V1771">
            <v>-21.469100000000001</v>
          </cell>
          <cell r="W1771">
            <v>-21.469100000000001</v>
          </cell>
          <cell r="X1771">
            <v>-21.469100000000001</v>
          </cell>
          <cell r="Y1771">
            <v>-11.581568000000001</v>
          </cell>
        </row>
        <row r="1772">
          <cell r="B1772">
            <v>680260</v>
          </cell>
          <cell r="C1772" t="str">
            <v>NOT USED</v>
          </cell>
          <cell r="D1772" t="str">
            <v>LABOR-DOUBLE OVERTIME</v>
          </cell>
          <cell r="E1772" t="str">
            <v/>
          </cell>
          <cell r="F1772" t="str">
            <v/>
          </cell>
          <cell r="G1772" t="str">
            <v/>
          </cell>
          <cell r="H1772" t="str">
            <v/>
          </cell>
          <cell r="I1772" t="str">
            <v/>
          </cell>
          <cell r="J1772" t="str">
            <v/>
          </cell>
          <cell r="K1772" t="str">
            <v/>
          </cell>
          <cell r="L1772">
            <v>-299.60523000000001</v>
          </cell>
          <cell r="M1772">
            <v>-34.872230000000002</v>
          </cell>
          <cell r="N1772">
            <v>-93.637249999999995</v>
          </cell>
          <cell r="O1772">
            <v>-167.14407</v>
          </cell>
          <cell r="P1772">
            <v>-188.91748999999999</v>
          </cell>
          <cell r="Q1772">
            <v>-214.46732</v>
          </cell>
          <cell r="R1772">
            <v>-220.58098000000001</v>
          </cell>
          <cell r="S1772">
            <v>-224.35203000000001</v>
          </cell>
          <cell r="T1772">
            <v>-272.71444000000002</v>
          </cell>
          <cell r="U1772">
            <v>-305.07427999999999</v>
          </cell>
          <cell r="V1772">
            <v>-361.14325000000002</v>
          </cell>
          <cell r="W1772">
            <v>-381.99070999999998</v>
          </cell>
          <cell r="X1772">
            <v>-444.88218999999998</v>
          </cell>
          <cell r="Y1772">
            <v>-236.428147</v>
          </cell>
        </row>
        <row r="1773">
          <cell r="B1773">
            <v>680270</v>
          </cell>
          <cell r="C1773" t="str">
            <v>NOT USED</v>
          </cell>
          <cell r="D1773" t="str">
            <v>LABOR-DOUBLE OVERTIME &amp; HALF</v>
          </cell>
          <cell r="E1773" t="str">
            <v/>
          </cell>
          <cell r="F1773" t="str">
            <v/>
          </cell>
          <cell r="G1773" t="str">
            <v/>
          </cell>
          <cell r="H1773" t="str">
            <v/>
          </cell>
          <cell r="I1773" t="str">
            <v/>
          </cell>
          <cell r="J1773" t="str">
            <v/>
          </cell>
          <cell r="K1773" t="str">
            <v/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>
            <v>680280</v>
          </cell>
          <cell r="C1774" t="str">
            <v>NOT USED</v>
          </cell>
          <cell r="D1774" t="str">
            <v>LABOR-MEALS</v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  <cell r="I1774" t="str">
            <v/>
          </cell>
          <cell r="J1774" t="str">
            <v/>
          </cell>
          <cell r="K1774" t="str">
            <v/>
          </cell>
          <cell r="L1774">
            <v>-0.108</v>
          </cell>
          <cell r="M1774">
            <v>-3.5999999999999997E-2</v>
          </cell>
          <cell r="N1774">
            <v>-3.5999999999999997E-2</v>
          </cell>
          <cell r="O1774">
            <v>-4.8000000000000001E-2</v>
          </cell>
          <cell r="P1774">
            <v>-7.1999999999999995E-2</v>
          </cell>
          <cell r="Q1774">
            <v>-7.1999999999999995E-2</v>
          </cell>
          <cell r="R1774">
            <v>-0.10730000000000001</v>
          </cell>
          <cell r="S1774">
            <v>-0.1193</v>
          </cell>
          <cell r="T1774">
            <v>-0.1193</v>
          </cell>
          <cell r="U1774">
            <v>-0.1193</v>
          </cell>
          <cell r="V1774">
            <v>-0.1313</v>
          </cell>
          <cell r="W1774">
            <v>-0.1313</v>
          </cell>
          <cell r="X1774">
            <v>-0.13830000000000001</v>
          </cell>
          <cell r="Y1774">
            <v>-9.2912999999999996E-2</v>
          </cell>
        </row>
        <row r="1775">
          <cell r="B1775">
            <v>680290</v>
          </cell>
          <cell r="C1775" t="str">
            <v>NOT USED</v>
          </cell>
          <cell r="D1775" t="str">
            <v>LABOR-PER DIEM</v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  <cell r="I1775" t="str">
            <v/>
          </cell>
          <cell r="J1775" t="str">
            <v/>
          </cell>
          <cell r="K1775" t="str">
            <v/>
          </cell>
          <cell r="L1775">
            <v>-54.0777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-8.1000000000000003E-2</v>
          </cell>
          <cell r="T1775">
            <v>-8.8999999999999996E-2</v>
          </cell>
          <cell r="U1775">
            <v>-8.8999999999999996E-2</v>
          </cell>
          <cell r="V1775">
            <v>-0.125</v>
          </cell>
          <cell r="W1775">
            <v>-0.17899999999999999</v>
          </cell>
          <cell r="X1775">
            <v>-0.23300000000000001</v>
          </cell>
          <cell r="Y1775">
            <v>-2.309863</v>
          </cell>
        </row>
        <row r="1776">
          <cell r="B1776">
            <v>680291</v>
          </cell>
          <cell r="C1776" t="str">
            <v>NOT USED</v>
          </cell>
          <cell r="D1776" t="str">
            <v>PER DIEM</v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  <cell r="I1776" t="str">
            <v/>
          </cell>
          <cell r="J1776" t="str">
            <v/>
          </cell>
          <cell r="K1776" t="str">
            <v/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</row>
        <row r="1777">
          <cell r="B1777">
            <v>680298</v>
          </cell>
          <cell r="C1777" t="str">
            <v>NOT USED</v>
          </cell>
          <cell r="D1777" t="str">
            <v>LABOR-STRAIGHT TIME - OT @ 1.0</v>
          </cell>
          <cell r="E1777">
            <v>0</v>
          </cell>
        </row>
        <row r="1778">
          <cell r="B1778">
            <v>680300</v>
          </cell>
          <cell r="C1778" t="str">
            <v>NOT USED</v>
          </cell>
          <cell r="D1778" t="str">
            <v>LABOR-PERSONAL MILES</v>
          </cell>
          <cell r="E1778" t="str">
            <v/>
          </cell>
          <cell r="F1778" t="str">
            <v/>
          </cell>
          <cell r="G1778" t="str">
            <v/>
          </cell>
          <cell r="H1778" t="str">
            <v/>
          </cell>
          <cell r="I1778" t="str">
            <v/>
          </cell>
          <cell r="J1778" t="str">
            <v/>
          </cell>
          <cell r="K1778" t="str">
            <v/>
          </cell>
          <cell r="L1778">
            <v>-27.71902</v>
          </cell>
          <cell r="M1778">
            <v>-1.20705</v>
          </cell>
          <cell r="N1778">
            <v>-2.3216299999999999</v>
          </cell>
          <cell r="O1778">
            <v>-3.2094100000000001</v>
          </cell>
          <cell r="P1778">
            <v>-4.1887699999999999</v>
          </cell>
          <cell r="Q1778">
            <v>-5.0370400000000002</v>
          </cell>
          <cell r="R1778">
            <v>-5.8926800000000004</v>
          </cell>
          <cell r="S1778">
            <v>-6.3795900000000003</v>
          </cell>
          <cell r="T1778">
            <v>-8.5977999999999994</v>
          </cell>
          <cell r="U1778">
            <v>-9.6243300000000005</v>
          </cell>
          <cell r="V1778">
            <v>-11.16797</v>
          </cell>
          <cell r="W1778">
            <v>-12.24652</v>
          </cell>
          <cell r="X1778">
            <v>-13.71598</v>
          </cell>
          <cell r="Y1778">
            <v>-7.5491910000000004</v>
          </cell>
        </row>
        <row r="1779">
          <cell r="B1779">
            <v>680310</v>
          </cell>
          <cell r="C1779" t="str">
            <v>NOT USED</v>
          </cell>
          <cell r="D1779" t="str">
            <v>MATERIALS-STOCK</v>
          </cell>
          <cell r="E1779" t="str">
            <v/>
          </cell>
          <cell r="F1779" t="str">
            <v/>
          </cell>
          <cell r="G1779" t="str">
            <v/>
          </cell>
          <cell r="H1779" t="str">
            <v/>
          </cell>
          <cell r="I1779" t="str">
            <v/>
          </cell>
          <cell r="J1779" t="str">
            <v/>
          </cell>
          <cell r="K1779" t="str">
            <v/>
          </cell>
          <cell r="L1779">
            <v>-14532.78054</v>
          </cell>
          <cell r="M1779">
            <v>-723.02773999999999</v>
          </cell>
          <cell r="N1779">
            <v>-2268.21254</v>
          </cell>
          <cell r="O1779">
            <v>-2865.7647299999999</v>
          </cell>
          <cell r="P1779">
            <v>-3484.1028099999999</v>
          </cell>
          <cell r="Q1779">
            <v>-4095.3110900000001</v>
          </cell>
          <cell r="R1779">
            <v>-4962.6394399999999</v>
          </cell>
          <cell r="S1779">
            <v>-6597.6984499999999</v>
          </cell>
          <cell r="T1779">
            <v>-7963.1185400000004</v>
          </cell>
          <cell r="U1779">
            <v>-8683.9777300000005</v>
          </cell>
          <cell r="V1779">
            <v>-9681.2863300000008</v>
          </cell>
          <cell r="W1779">
            <v>-10683.09232</v>
          </cell>
          <cell r="X1779">
            <v>-14889.044019999999</v>
          </cell>
          <cell r="Y1779">
            <v>-6393.2619999999997</v>
          </cell>
        </row>
        <row r="1780">
          <cell r="B1780">
            <v>680320</v>
          </cell>
          <cell r="C1780" t="str">
            <v>NOT USED</v>
          </cell>
          <cell r="D1780" t="str">
            <v>MATERIALS - NON-STOCK</v>
          </cell>
          <cell r="E1780" t="str">
            <v/>
          </cell>
          <cell r="F1780" t="str">
            <v/>
          </cell>
          <cell r="G1780" t="str">
            <v/>
          </cell>
          <cell r="H1780" t="str">
            <v/>
          </cell>
          <cell r="I1780" t="str">
            <v/>
          </cell>
          <cell r="J1780" t="str">
            <v/>
          </cell>
          <cell r="K1780" t="str">
            <v/>
          </cell>
          <cell r="L1780">
            <v>-23807.462869999999</v>
          </cell>
          <cell r="M1780">
            <v>1321.9048399999999</v>
          </cell>
          <cell r="N1780">
            <v>833.16660999999999</v>
          </cell>
          <cell r="O1780">
            <v>463.92192999999997</v>
          </cell>
          <cell r="P1780">
            <v>229.15886</v>
          </cell>
          <cell r="Q1780">
            <v>-91.060140000000004</v>
          </cell>
          <cell r="R1780">
            <v>-736.17592000000002</v>
          </cell>
          <cell r="S1780">
            <v>-1224.6703399999999</v>
          </cell>
          <cell r="T1780">
            <v>-4401.5508900000004</v>
          </cell>
          <cell r="U1780">
            <v>-8372.9921400000003</v>
          </cell>
          <cell r="V1780">
            <v>-9204.7745200000008</v>
          </cell>
          <cell r="W1780">
            <v>-12483.81259</v>
          </cell>
          <cell r="X1780">
            <v>-26209.526620000001</v>
          </cell>
          <cell r="Y1780">
            <v>-4889.61492</v>
          </cell>
        </row>
        <row r="1781">
          <cell r="B1781">
            <v>680340</v>
          </cell>
          <cell r="C1781" t="str">
            <v>NOT USED</v>
          </cell>
          <cell r="D1781" t="str">
            <v>MATERIALS-FREIGHT CHARGES</v>
          </cell>
          <cell r="E1781" t="str">
            <v/>
          </cell>
          <cell r="F1781" t="str">
            <v/>
          </cell>
          <cell r="G1781" t="str">
            <v/>
          </cell>
          <cell r="H1781" t="str">
            <v/>
          </cell>
          <cell r="I1781" t="str">
            <v/>
          </cell>
          <cell r="J1781" t="str">
            <v/>
          </cell>
          <cell r="K1781" t="str">
            <v/>
          </cell>
          <cell r="L1781">
            <v>-104.07338</v>
          </cell>
          <cell r="M1781">
            <v>-6.1752000000000002</v>
          </cell>
          <cell r="N1781">
            <v>-8.9896999999999991</v>
          </cell>
          <cell r="O1781">
            <v>-14.8172</v>
          </cell>
          <cell r="P1781">
            <v>-17.497949999999999</v>
          </cell>
          <cell r="Q1781">
            <v>-23.538450000000001</v>
          </cell>
          <cell r="R1781">
            <v>-25.238949999999999</v>
          </cell>
          <cell r="S1781">
            <v>-27.53445</v>
          </cell>
          <cell r="T1781">
            <v>-30.072700000000001</v>
          </cell>
          <cell r="U1781">
            <v>-31.14545</v>
          </cell>
          <cell r="V1781">
            <v>-31.953199999999999</v>
          </cell>
          <cell r="W1781">
            <v>-32.845950000000002</v>
          </cell>
          <cell r="X1781">
            <v>-35.534199999999998</v>
          </cell>
          <cell r="Y1781">
            <v>-26.634416000000002</v>
          </cell>
        </row>
        <row r="1782">
          <cell r="B1782">
            <v>680350</v>
          </cell>
          <cell r="C1782" t="str">
            <v>NOT USED</v>
          </cell>
          <cell r="D1782" t="str">
            <v>MATERIALS-RECLASS</v>
          </cell>
          <cell r="E1782" t="str">
            <v/>
          </cell>
          <cell r="F1782" t="str">
            <v/>
          </cell>
          <cell r="G1782" t="str">
            <v/>
          </cell>
          <cell r="H1782" t="str">
            <v/>
          </cell>
          <cell r="I1782" t="str">
            <v/>
          </cell>
          <cell r="J1782" t="str">
            <v/>
          </cell>
          <cell r="K1782" t="str">
            <v/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</row>
        <row r="1783">
          <cell r="B1783">
            <v>680360</v>
          </cell>
          <cell r="C1783" t="str">
            <v>NOT USED</v>
          </cell>
          <cell r="D1783" t="str">
            <v>MATERIALS-SCRAP / OBSOLETE</v>
          </cell>
          <cell r="E1783" t="str">
            <v/>
          </cell>
          <cell r="F1783" t="str">
            <v/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/>
          </cell>
          <cell r="L1783">
            <v>-5.7000000000000002E-3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-2.3800000000000001E-4</v>
          </cell>
        </row>
        <row r="1784">
          <cell r="B1784">
            <v>680370</v>
          </cell>
          <cell r="C1784" t="str">
            <v>NOT USED</v>
          </cell>
          <cell r="D1784" t="str">
            <v>MATERIALS-TRANSFORMERS/REGULATORS/METERS</v>
          </cell>
          <cell r="E1784" t="str">
            <v/>
          </cell>
          <cell r="F1784" t="str">
            <v/>
          </cell>
          <cell r="G1784" t="str">
            <v/>
          </cell>
          <cell r="H1784" t="str">
            <v/>
          </cell>
          <cell r="I1784" t="str">
            <v/>
          </cell>
          <cell r="J1784" t="str">
            <v/>
          </cell>
          <cell r="K1784" t="str">
            <v/>
          </cell>
          <cell r="L1784">
            <v>-5369.3757800000003</v>
          </cell>
          <cell r="M1784">
            <v>-281.00567000000001</v>
          </cell>
          <cell r="N1784">
            <v>-531.01306999999997</v>
          </cell>
          <cell r="O1784">
            <v>-740.31655000000001</v>
          </cell>
          <cell r="P1784">
            <v>-1085.62156</v>
          </cell>
          <cell r="Q1784">
            <v>-1458.61824</v>
          </cell>
          <cell r="R1784">
            <v>-1699.40662</v>
          </cell>
          <cell r="S1784">
            <v>-2073.4837200000002</v>
          </cell>
          <cell r="T1784">
            <v>-2310.0588400000001</v>
          </cell>
          <cell r="U1784">
            <v>-2674.52666</v>
          </cell>
          <cell r="V1784">
            <v>-3072.0272799999998</v>
          </cell>
          <cell r="W1784">
            <v>-3695.4074000000001</v>
          </cell>
          <cell r="X1784">
            <v>-4444.5500400000001</v>
          </cell>
          <cell r="Y1784">
            <v>-2044.0373770000001</v>
          </cell>
        </row>
        <row r="1785">
          <cell r="B1785">
            <v>680380</v>
          </cell>
          <cell r="C1785" t="str">
            <v>NOT USED</v>
          </cell>
          <cell r="D1785" t="str">
            <v>OFFICE SUPPLIES</v>
          </cell>
          <cell r="E1785" t="str">
            <v/>
          </cell>
          <cell r="F1785" t="str">
            <v/>
          </cell>
          <cell r="G1785" t="str">
            <v/>
          </cell>
          <cell r="H1785" t="str">
            <v/>
          </cell>
          <cell r="I1785" t="str">
            <v/>
          </cell>
          <cell r="J1785" t="str">
            <v/>
          </cell>
          <cell r="K1785" t="str">
            <v/>
          </cell>
          <cell r="L1785">
            <v>-1.2738</v>
          </cell>
          <cell r="M1785">
            <v>0</v>
          </cell>
          <cell r="N1785">
            <v>-0.60699000000000003</v>
          </cell>
          <cell r="O1785">
            <v>-0.92152000000000001</v>
          </cell>
          <cell r="P1785">
            <v>-0.92152000000000001</v>
          </cell>
          <cell r="Q1785">
            <v>-1.23203</v>
          </cell>
          <cell r="R1785">
            <v>-1.4724200000000001</v>
          </cell>
          <cell r="S1785">
            <v>-3.6423299999999998</v>
          </cell>
          <cell r="T1785">
            <v>-3.6004499999999999</v>
          </cell>
          <cell r="U1785">
            <v>-3.6004499999999999</v>
          </cell>
          <cell r="V1785">
            <v>-5.4401999999999999</v>
          </cell>
          <cell r="W1785">
            <v>-6.3214800000000002</v>
          </cell>
          <cell r="X1785">
            <v>-7.0287300000000004</v>
          </cell>
          <cell r="Y1785">
            <v>-2.6592210000000001</v>
          </cell>
        </row>
        <row r="1786">
          <cell r="B1786">
            <v>680384</v>
          </cell>
          <cell r="C1786" t="str">
            <v>NOT USED</v>
          </cell>
          <cell r="D1786" t="str">
            <v>GENERAL  -EQUIPMENT MAINTENANCE</v>
          </cell>
          <cell r="E1786">
            <v>0</v>
          </cell>
        </row>
        <row r="1787">
          <cell r="B1787">
            <v>680385</v>
          </cell>
          <cell r="C1787" t="str">
            <v>NOT USED</v>
          </cell>
          <cell r="D1787" t="str">
            <v>GENERAL  -FURNITURE &amp; EQUIPMENT</v>
          </cell>
          <cell r="E1787" t="str">
            <v/>
          </cell>
          <cell r="F1787" t="str">
            <v/>
          </cell>
          <cell r="G1787" t="str">
            <v/>
          </cell>
          <cell r="H1787" t="str">
            <v/>
          </cell>
          <cell r="I1787" t="str">
            <v/>
          </cell>
          <cell r="J1787" t="str">
            <v/>
          </cell>
          <cell r="K1787" t="str">
            <v/>
          </cell>
          <cell r="L1787">
            <v>-299.22719000000001</v>
          </cell>
          <cell r="M1787">
            <v>0</v>
          </cell>
          <cell r="N1787">
            <v>-11.89621</v>
          </cell>
          <cell r="O1787">
            <v>-11.89621</v>
          </cell>
          <cell r="P1787">
            <v>-11.89621</v>
          </cell>
          <cell r="Q1787">
            <v>-679.29620999999997</v>
          </cell>
          <cell r="R1787">
            <v>-697.69618000000003</v>
          </cell>
          <cell r="S1787">
            <v>-714.84918000000005</v>
          </cell>
          <cell r="T1787">
            <v>-714.84918000000005</v>
          </cell>
          <cell r="U1787">
            <v>-735.92740000000003</v>
          </cell>
          <cell r="V1787">
            <v>-773.50387999999998</v>
          </cell>
          <cell r="W1787">
            <v>-772.83866999999998</v>
          </cell>
          <cell r="X1787">
            <v>-835.64013999999997</v>
          </cell>
          <cell r="Y1787">
            <v>-474.34025000000003</v>
          </cell>
        </row>
        <row r="1788">
          <cell r="B1788">
            <v>680390</v>
          </cell>
          <cell r="C1788" t="str">
            <v>NOT USED</v>
          </cell>
          <cell r="D1788" t="str">
            <v>OTHER GENERAL EXPENSES</v>
          </cell>
          <cell r="E1788" t="str">
            <v/>
          </cell>
          <cell r="F1788" t="str">
            <v/>
          </cell>
          <cell r="G1788" t="str">
            <v/>
          </cell>
          <cell r="H1788" t="str">
            <v/>
          </cell>
          <cell r="I1788" t="str">
            <v/>
          </cell>
          <cell r="J1788" t="str">
            <v/>
          </cell>
          <cell r="K1788" t="str">
            <v/>
          </cell>
          <cell r="L1788">
            <v>-931.83740999999998</v>
          </cell>
          <cell r="M1788">
            <v>0</v>
          </cell>
          <cell r="N1788">
            <v>-0.20898</v>
          </cell>
          <cell r="O1788">
            <v>-39.727910000000001</v>
          </cell>
          <cell r="P1788">
            <v>-40.152909999999999</v>
          </cell>
          <cell r="Q1788">
            <v>-95.96481</v>
          </cell>
          <cell r="R1788">
            <v>-119.67331</v>
          </cell>
          <cell r="S1788">
            <v>-122.19038999999999</v>
          </cell>
          <cell r="T1788">
            <v>-156.59810999999999</v>
          </cell>
          <cell r="U1788">
            <v>-202.24571</v>
          </cell>
          <cell r="V1788">
            <v>-55.438679999999998</v>
          </cell>
          <cell r="W1788">
            <v>-59.928669999999997</v>
          </cell>
          <cell r="X1788">
            <v>-184.09352000000001</v>
          </cell>
          <cell r="Y1788">
            <v>-120.841245</v>
          </cell>
        </row>
        <row r="1789">
          <cell r="B1789">
            <v>680410</v>
          </cell>
          <cell r="C1789" t="str">
            <v>NOT USED</v>
          </cell>
          <cell r="D1789" t="str">
            <v>LICENSES &amp; PERMITS</v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  <cell r="I1789" t="str">
            <v/>
          </cell>
          <cell r="J1789" t="str">
            <v/>
          </cell>
          <cell r="K1789" t="str">
            <v/>
          </cell>
          <cell r="L1789">
            <v>-113.70384</v>
          </cell>
          <cell r="M1789">
            <v>0</v>
          </cell>
          <cell r="N1789">
            <v>-1.3218000000000001</v>
          </cell>
          <cell r="O1789">
            <v>-12.8218</v>
          </cell>
          <cell r="P1789">
            <v>-15.3218</v>
          </cell>
          <cell r="Q1789">
            <v>-8.8217999999999996</v>
          </cell>
          <cell r="R1789">
            <v>-8.8217999999999996</v>
          </cell>
          <cell r="S1789">
            <v>-15.796799999999999</v>
          </cell>
          <cell r="T1789">
            <v>-16.396799999999999</v>
          </cell>
          <cell r="U1789">
            <v>-19.146799999999999</v>
          </cell>
          <cell r="V1789">
            <v>-19.221800000000002</v>
          </cell>
          <cell r="W1789">
            <v>-19.221800000000002</v>
          </cell>
          <cell r="X1789">
            <v>-21.651800000000001</v>
          </cell>
          <cell r="Y1789">
            <v>-17.047567999999998</v>
          </cell>
        </row>
        <row r="1790">
          <cell r="B1790">
            <v>680411</v>
          </cell>
          <cell r="C1790" t="str">
            <v>NOT USED</v>
          </cell>
          <cell r="D1790" t="str">
            <v>GENERAL-VEHICLE REGISTRATION FEES</v>
          </cell>
          <cell r="E1790" t="str">
            <v/>
          </cell>
          <cell r="F1790" t="str">
            <v/>
          </cell>
          <cell r="G1790" t="str">
            <v/>
          </cell>
          <cell r="H1790" t="str">
            <v/>
          </cell>
          <cell r="I1790" t="str">
            <v/>
          </cell>
          <cell r="J1790" t="str">
            <v/>
          </cell>
          <cell r="K1790" t="str">
            <v/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</row>
        <row r="1791">
          <cell r="B1791">
            <v>680420</v>
          </cell>
          <cell r="C1791" t="str">
            <v>NOT USED</v>
          </cell>
          <cell r="D1791" t="str">
            <v>TELEPHONE</v>
          </cell>
          <cell r="E1791" t="str">
            <v/>
          </cell>
          <cell r="F1791" t="str">
            <v/>
          </cell>
          <cell r="G1791" t="str">
            <v/>
          </cell>
          <cell r="H1791" t="str">
            <v/>
          </cell>
          <cell r="I1791" t="str">
            <v/>
          </cell>
          <cell r="J1791" t="str">
            <v/>
          </cell>
          <cell r="K1791" t="str">
            <v/>
          </cell>
          <cell r="L1791">
            <v>-32.460239999999999</v>
          </cell>
          <cell r="M1791">
            <v>0</v>
          </cell>
          <cell r="N1791">
            <v>-1.79149</v>
          </cell>
          <cell r="O1791">
            <v>-2.43601</v>
          </cell>
          <cell r="P1791">
            <v>-2.43601</v>
          </cell>
          <cell r="Q1791">
            <v>-2.7994699999999999</v>
          </cell>
          <cell r="R1791">
            <v>-2.7994699999999999</v>
          </cell>
          <cell r="S1791">
            <v>-2.7994699999999999</v>
          </cell>
          <cell r="T1791">
            <v>-2.7994699999999999</v>
          </cell>
          <cell r="U1791">
            <v>-2.7994699999999999</v>
          </cell>
          <cell r="V1791">
            <v>-2.7994699999999999</v>
          </cell>
          <cell r="W1791">
            <v>-2.7994699999999999</v>
          </cell>
          <cell r="X1791">
            <v>-2.7994699999999999</v>
          </cell>
          <cell r="Y1791">
            <v>-3.6574710000000001</v>
          </cell>
        </row>
        <row r="1792">
          <cell r="B1792">
            <v>680430</v>
          </cell>
          <cell r="C1792" t="str">
            <v>NOT USED</v>
          </cell>
          <cell r="D1792" t="str">
            <v>POSTAGE</v>
          </cell>
          <cell r="E1792" t="str">
            <v/>
          </cell>
          <cell r="F1792" t="str">
            <v/>
          </cell>
          <cell r="G1792" t="str">
            <v/>
          </cell>
          <cell r="H1792" t="str">
            <v/>
          </cell>
          <cell r="I1792" t="str">
            <v/>
          </cell>
          <cell r="J1792" t="str">
            <v/>
          </cell>
          <cell r="K1792" t="str">
            <v/>
          </cell>
          <cell r="L1792">
            <v>-2.36666</v>
          </cell>
          <cell r="M1792">
            <v>0</v>
          </cell>
          <cell r="N1792">
            <v>0</v>
          </cell>
          <cell r="O1792">
            <v>-0.49102000000000001</v>
          </cell>
          <cell r="P1792">
            <v>-0.94669999999999999</v>
          </cell>
          <cell r="Q1792">
            <v>-1.1322000000000001</v>
          </cell>
          <cell r="R1792">
            <v>-1.3572</v>
          </cell>
          <cell r="S1792">
            <v>-1.3572</v>
          </cell>
          <cell r="T1792">
            <v>-1.8562000000000001</v>
          </cell>
          <cell r="U1792">
            <v>-1.8562000000000001</v>
          </cell>
          <cell r="V1792">
            <v>-1.8562000000000001</v>
          </cell>
          <cell r="W1792">
            <v>-2.0661999999999998</v>
          </cell>
          <cell r="X1792">
            <v>-1.2988299999999999</v>
          </cell>
          <cell r="Y1792">
            <v>-1.229322</v>
          </cell>
        </row>
        <row r="1793">
          <cell r="B1793">
            <v>680440</v>
          </cell>
          <cell r="C1793" t="str">
            <v>NOT USED</v>
          </cell>
          <cell r="D1793" t="str">
            <v>R&amp;D</v>
          </cell>
          <cell r="E1793" t="str">
            <v/>
          </cell>
          <cell r="F1793" t="str">
            <v/>
          </cell>
          <cell r="G1793" t="str">
            <v/>
          </cell>
          <cell r="H1793" t="str">
            <v/>
          </cell>
          <cell r="I1793" t="str">
            <v/>
          </cell>
          <cell r="J1793" t="str">
            <v/>
          </cell>
          <cell r="K1793" t="str">
            <v/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5.7042900000000003</v>
          </cell>
          <cell r="S1793">
            <v>5.7042900000000003</v>
          </cell>
          <cell r="T1793">
            <v>5.7042900000000003</v>
          </cell>
          <cell r="U1793">
            <v>5.7042900000000003</v>
          </cell>
          <cell r="V1793">
            <v>5.7042900000000003</v>
          </cell>
          <cell r="W1793">
            <v>-114.77094</v>
          </cell>
          <cell r="X1793">
            <v>-320.95486</v>
          </cell>
          <cell r="Y1793">
            <v>-20.560576999999999</v>
          </cell>
        </row>
        <row r="1794">
          <cell r="B1794">
            <v>680445</v>
          </cell>
          <cell r="C1794" t="str">
            <v>NOT USED</v>
          </cell>
          <cell r="D1794" t="str">
            <v>RECLASS-OTHER</v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  <cell r="I1794" t="str">
            <v/>
          </cell>
          <cell r="J1794" t="str">
            <v/>
          </cell>
          <cell r="K1794" t="str">
            <v/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</row>
        <row r="1795">
          <cell r="B1795">
            <v>680446</v>
          </cell>
          <cell r="C1795" t="str">
            <v>NOT USED</v>
          </cell>
          <cell r="D1795" t="str">
            <v>RECLASS-OTHER-GENERAL</v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  <cell r="I1795" t="str">
            <v/>
          </cell>
          <cell r="J1795" t="str">
            <v/>
          </cell>
          <cell r="K1795" t="str">
            <v/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-1483.2532200000001</v>
          </cell>
          <cell r="Y1795">
            <v>-61.802218000000003</v>
          </cell>
        </row>
        <row r="1796">
          <cell r="B1796">
            <v>680447</v>
          </cell>
          <cell r="C1796" t="str">
            <v>NOT USED</v>
          </cell>
          <cell r="D1796" t="str">
            <v>BILLING</v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  <cell r="I1796" t="str">
            <v/>
          </cell>
          <cell r="J1796" t="str">
            <v/>
          </cell>
          <cell r="K1796" t="str">
            <v/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>
            <v>680460</v>
          </cell>
          <cell r="C1797" t="str">
            <v>NOT USED</v>
          </cell>
          <cell r="D1797" t="str">
            <v>RENTS/LEASES - FACILITIES</v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  <cell r="I1797" t="str">
            <v/>
          </cell>
          <cell r="J1797" t="str">
            <v/>
          </cell>
          <cell r="K1797" t="str">
            <v/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</row>
        <row r="1798">
          <cell r="B1798">
            <v>680461</v>
          </cell>
          <cell r="C1798" t="str">
            <v>NOT USED</v>
          </cell>
          <cell r="D1798" t="str">
            <v>RENTS/LEASES</v>
          </cell>
          <cell r="E1798" t="str">
            <v/>
          </cell>
          <cell r="F1798" t="str">
            <v/>
          </cell>
          <cell r="G1798" t="str">
            <v/>
          </cell>
          <cell r="H1798" t="str">
            <v/>
          </cell>
          <cell r="I1798" t="str">
            <v/>
          </cell>
          <cell r="J1798" t="str">
            <v/>
          </cell>
          <cell r="K1798" t="str">
            <v/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-24.555</v>
          </cell>
          <cell r="V1798">
            <v>-32.555</v>
          </cell>
          <cell r="W1798">
            <v>-40.555</v>
          </cell>
          <cell r="X1798">
            <v>-48.555</v>
          </cell>
          <cell r="Y1798">
            <v>-10.161875</v>
          </cell>
        </row>
        <row r="1799">
          <cell r="B1799">
            <v>680463</v>
          </cell>
          <cell r="C1799" t="str">
            <v>NOT USED</v>
          </cell>
          <cell r="D1799" t="str">
            <v>GENERAL  - COMMUNICATIONS</v>
          </cell>
          <cell r="E1799">
            <v>0</v>
          </cell>
        </row>
        <row r="1800">
          <cell r="B1800">
            <v>680470</v>
          </cell>
          <cell r="C1800" t="str">
            <v>NOT USED</v>
          </cell>
          <cell r="D1800" t="str">
            <v>RENTS/LEASES - OTHER</v>
          </cell>
          <cell r="E1800" t="str">
            <v/>
          </cell>
          <cell r="F1800" t="str">
            <v/>
          </cell>
          <cell r="G1800" t="str">
            <v/>
          </cell>
          <cell r="H1800" t="str">
            <v/>
          </cell>
          <cell r="I1800" t="str">
            <v/>
          </cell>
          <cell r="J1800" t="str">
            <v/>
          </cell>
          <cell r="K1800" t="str">
            <v/>
          </cell>
          <cell r="L1800">
            <v>-1772.8357599999999</v>
          </cell>
          <cell r="M1800">
            <v>30.268429999999999</v>
          </cell>
          <cell r="N1800">
            <v>-40.361319999999999</v>
          </cell>
          <cell r="O1800">
            <v>-611.05701999999997</v>
          </cell>
          <cell r="P1800">
            <v>-564.69476999999995</v>
          </cell>
          <cell r="Q1800">
            <v>-637.30386999999996</v>
          </cell>
          <cell r="R1800">
            <v>-648.23361999999997</v>
          </cell>
          <cell r="S1800">
            <v>-678.94593999999995</v>
          </cell>
          <cell r="T1800">
            <v>-720.01912000000004</v>
          </cell>
          <cell r="U1800">
            <v>-714.48653000000002</v>
          </cell>
          <cell r="V1800">
            <v>-735.41877999999997</v>
          </cell>
          <cell r="W1800">
            <v>-765.37674000000004</v>
          </cell>
          <cell r="X1800">
            <v>-1537.13552</v>
          </cell>
          <cell r="Y1800">
            <v>-645.051243</v>
          </cell>
        </row>
        <row r="1801">
          <cell r="B1801">
            <v>680480</v>
          </cell>
          <cell r="C1801" t="str">
            <v>NOT USED</v>
          </cell>
          <cell r="D1801" t="str">
            <v>SALVAGE</v>
          </cell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/>
          </cell>
          <cell r="L1801">
            <v>9463.1669500000007</v>
          </cell>
          <cell r="M1801">
            <v>218.7131</v>
          </cell>
          <cell r="N1801">
            <v>291.60831999999999</v>
          </cell>
          <cell r="O1801">
            <v>613.38427999999999</v>
          </cell>
          <cell r="P1801">
            <v>980.82950000000005</v>
          </cell>
          <cell r="Q1801">
            <v>1062.4073699999999</v>
          </cell>
          <cell r="R1801">
            <v>1572.1124299999999</v>
          </cell>
          <cell r="S1801">
            <v>1534.80719</v>
          </cell>
          <cell r="T1801">
            <v>2056.10862</v>
          </cell>
          <cell r="U1801">
            <v>2665.6780600000002</v>
          </cell>
          <cell r="V1801">
            <v>3182.2671399999999</v>
          </cell>
          <cell r="W1801">
            <v>3554.23855</v>
          </cell>
          <cell r="X1801">
            <v>3728.1131599999999</v>
          </cell>
          <cell r="Y1801">
            <v>2027.3162179999999</v>
          </cell>
        </row>
        <row r="1802">
          <cell r="B1802">
            <v>680490</v>
          </cell>
          <cell r="C1802" t="str">
            <v>NOT USED</v>
          </cell>
          <cell r="D1802" t="str">
            <v>SOFTWARE</v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  <cell r="I1802" t="str">
            <v/>
          </cell>
          <cell r="J1802" t="str">
            <v/>
          </cell>
          <cell r="K1802" t="str">
            <v/>
          </cell>
          <cell r="L1802">
            <v>-376.37173000000001</v>
          </cell>
          <cell r="M1802">
            <v>0</v>
          </cell>
          <cell r="N1802">
            <v>0</v>
          </cell>
          <cell r="O1802">
            <v>0.46250000000000002</v>
          </cell>
          <cell r="P1802">
            <v>0.46250000000000002</v>
          </cell>
          <cell r="Q1802">
            <v>0.46250000000000002</v>
          </cell>
          <cell r="R1802">
            <v>0.46250000000000002</v>
          </cell>
          <cell r="S1802">
            <v>-45.081420000000001</v>
          </cell>
          <cell r="T1802">
            <v>-47.191330000000001</v>
          </cell>
          <cell r="U1802">
            <v>-49.994329999999998</v>
          </cell>
          <cell r="V1802">
            <v>-91.779579999999996</v>
          </cell>
          <cell r="W1802">
            <v>-94.304140000000004</v>
          </cell>
          <cell r="X1802">
            <v>-46.964619999999996</v>
          </cell>
          <cell r="Y1802">
            <v>-44.847414999999998</v>
          </cell>
        </row>
        <row r="1803">
          <cell r="B1803">
            <v>680498</v>
          </cell>
          <cell r="C1803" t="str">
            <v>NOT USED</v>
          </cell>
          <cell r="D1803" t="str">
            <v>LABOR-OVERTIME REGULAR - 2.0</v>
          </cell>
          <cell r="E1803">
            <v>0</v>
          </cell>
        </row>
        <row r="1804">
          <cell r="B1804">
            <v>680500</v>
          </cell>
          <cell r="C1804" t="str">
            <v>NOT USED</v>
          </cell>
          <cell r="D1804" t="str">
            <v>TRAINING</v>
          </cell>
          <cell r="E1804" t="str">
            <v/>
          </cell>
          <cell r="F1804" t="str">
            <v/>
          </cell>
          <cell r="G1804" t="str">
            <v/>
          </cell>
          <cell r="H1804" t="str">
            <v/>
          </cell>
          <cell r="I1804" t="str">
            <v/>
          </cell>
          <cell r="J1804" t="str">
            <v/>
          </cell>
          <cell r="K1804" t="str">
            <v/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</row>
        <row r="1805">
          <cell r="B1805">
            <v>680505</v>
          </cell>
          <cell r="C1805" t="str">
            <v>NOT USED</v>
          </cell>
          <cell r="D1805" t="str">
            <v>EMPLOYEE REGISTRATION FEES</v>
          </cell>
          <cell r="E1805" t="str">
            <v/>
          </cell>
          <cell r="F1805" t="str">
            <v/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/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-2.7899999999999999E-3</v>
          </cell>
          <cell r="Y1805">
            <v>-1.16E-4</v>
          </cell>
        </row>
        <row r="1806">
          <cell r="B1806">
            <v>680510</v>
          </cell>
          <cell r="C1806" t="str">
            <v>NOT USED</v>
          </cell>
          <cell r="D1806" t="str">
            <v>TRAVEL-MEALS &amp; ENTERTAINMENT-TAXABLE</v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  <cell r="I1806" t="str">
            <v/>
          </cell>
          <cell r="J1806" t="str">
            <v/>
          </cell>
          <cell r="K1806" t="str">
            <v/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</row>
        <row r="1807">
          <cell r="B1807">
            <v>680525</v>
          </cell>
          <cell r="C1807" t="str">
            <v>NOT USED</v>
          </cell>
          <cell r="D1807" t="str">
            <v>EMPLOYEE - MEALS</v>
          </cell>
          <cell r="E1807" t="str">
            <v/>
          </cell>
          <cell r="F1807" t="str">
            <v/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/>
          </cell>
          <cell r="L1807">
            <v>-7.74871</v>
          </cell>
          <cell r="M1807">
            <v>-0.31752000000000002</v>
          </cell>
          <cell r="N1807">
            <v>-0.54681999999999997</v>
          </cell>
          <cell r="O1807">
            <v>-0.56411999999999995</v>
          </cell>
          <cell r="P1807">
            <v>-0.87446999999999997</v>
          </cell>
          <cell r="Q1807">
            <v>-1.1856599999999999</v>
          </cell>
          <cell r="R1807">
            <v>-2.68133</v>
          </cell>
          <cell r="S1807">
            <v>-3.08386</v>
          </cell>
          <cell r="T1807">
            <v>-3.9370500000000002</v>
          </cell>
          <cell r="U1807">
            <v>-4.4506899999999998</v>
          </cell>
          <cell r="V1807">
            <v>-5.0394800000000002</v>
          </cell>
          <cell r="W1807">
            <v>-6.0535399999999999</v>
          </cell>
          <cell r="X1807">
            <v>-8.1997999999999998</v>
          </cell>
          <cell r="Y1807">
            <v>-3.0590660000000001</v>
          </cell>
        </row>
        <row r="1808">
          <cell r="B1808">
            <v>680530</v>
          </cell>
          <cell r="C1808" t="str">
            <v>NOT USED</v>
          </cell>
          <cell r="D1808" t="str">
            <v>TRAVEL-MEALS &amp; ENTERTAINMENT</v>
          </cell>
          <cell r="E1808" t="str">
            <v/>
          </cell>
          <cell r="F1808" t="str">
            <v/>
          </cell>
          <cell r="G1808" t="str">
            <v/>
          </cell>
          <cell r="H1808" t="str">
            <v/>
          </cell>
          <cell r="I1808" t="str">
            <v/>
          </cell>
          <cell r="J1808" t="str">
            <v/>
          </cell>
          <cell r="K1808" t="str">
            <v/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</row>
        <row r="1809">
          <cell r="B1809">
            <v>680535</v>
          </cell>
          <cell r="C1809" t="str">
            <v>NOT USED</v>
          </cell>
          <cell r="D1809" t="str">
            <v>EMPLOYEE MEALS-NONTAXABLE</v>
          </cell>
          <cell r="E1809" t="str">
            <v/>
          </cell>
          <cell r="F1809" t="str">
            <v/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/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</row>
        <row r="1810">
          <cell r="B1810">
            <v>680540</v>
          </cell>
          <cell r="C1810" t="str">
            <v>NOT USED</v>
          </cell>
          <cell r="D1810" t="str">
            <v>TRAVEL-MEALS &amp; ENTERTAINMENT-OFFICERS</v>
          </cell>
          <cell r="E1810" t="str">
            <v/>
          </cell>
          <cell r="F1810" t="str">
            <v/>
          </cell>
          <cell r="G1810" t="str">
            <v/>
          </cell>
          <cell r="H1810" t="str">
            <v/>
          </cell>
          <cell r="I1810" t="str">
            <v/>
          </cell>
          <cell r="J1810" t="str">
            <v/>
          </cell>
          <cell r="K1810" t="str">
            <v/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</row>
        <row r="1811">
          <cell r="B1811">
            <v>680545</v>
          </cell>
          <cell r="C1811" t="str">
            <v>NOT USED</v>
          </cell>
          <cell r="D1811" t="str">
            <v>EMPLOYEE MEALS-COMPANY SPONSORED</v>
          </cell>
          <cell r="E1811" t="str">
            <v/>
          </cell>
          <cell r="F1811" t="str">
            <v/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/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</row>
        <row r="1812">
          <cell r="B1812">
            <v>680550</v>
          </cell>
          <cell r="C1812" t="str">
            <v>NOT USED</v>
          </cell>
          <cell r="D1812" t="str">
            <v>TRAVEL-EXCLUDING MEALS &amp; ENTERTAINMENT</v>
          </cell>
          <cell r="E1812" t="str">
            <v/>
          </cell>
          <cell r="F1812" t="str">
            <v/>
          </cell>
          <cell r="G1812" t="str">
            <v/>
          </cell>
          <cell r="H1812" t="str">
            <v/>
          </cell>
          <cell r="I1812" t="str">
            <v/>
          </cell>
          <cell r="J1812" t="str">
            <v/>
          </cell>
          <cell r="K1812" t="str">
            <v/>
          </cell>
          <cell r="L1812">
            <v>-31.927700000000002</v>
          </cell>
          <cell r="M1812">
            <v>0</v>
          </cell>
          <cell r="N1812">
            <v>-0.12619</v>
          </cell>
          <cell r="O1812">
            <v>-0.18853</v>
          </cell>
          <cell r="P1812">
            <v>-1.4256800000000001</v>
          </cell>
          <cell r="Q1812">
            <v>-1.8779300000000001</v>
          </cell>
          <cell r="R1812">
            <v>-4.2164599999999997</v>
          </cell>
          <cell r="S1812">
            <v>-4.7062200000000001</v>
          </cell>
          <cell r="T1812">
            <v>-6.7314100000000003</v>
          </cell>
          <cell r="U1812">
            <v>-7.5891900000000003</v>
          </cell>
          <cell r="V1812">
            <v>-8.4355899999999995</v>
          </cell>
          <cell r="W1812">
            <v>-9.9985300000000006</v>
          </cell>
          <cell r="X1812">
            <v>-10.66072</v>
          </cell>
          <cell r="Y1812">
            <v>-5.5491619999999999</v>
          </cell>
        </row>
        <row r="1813">
          <cell r="B1813">
            <v>680555</v>
          </cell>
          <cell r="C1813" t="str">
            <v>NOT USED</v>
          </cell>
          <cell r="D1813" t="str">
            <v>EMPLOYEE -LODGING</v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/>
          </cell>
          <cell r="L1813">
            <v>-14.699920000000001</v>
          </cell>
          <cell r="M1813">
            <v>0</v>
          </cell>
          <cell r="N1813">
            <v>0</v>
          </cell>
          <cell r="O1813">
            <v>-8.2379999999999995E-2</v>
          </cell>
          <cell r="P1813">
            <v>-0.24593000000000001</v>
          </cell>
          <cell r="Q1813">
            <v>-0.53208999999999995</v>
          </cell>
          <cell r="R1813">
            <v>-1.4691700000000001</v>
          </cell>
          <cell r="S1813">
            <v>-2.7959800000000001</v>
          </cell>
          <cell r="T1813">
            <v>-3.8936899999999999</v>
          </cell>
          <cell r="U1813">
            <v>-5.2451699999999999</v>
          </cell>
          <cell r="V1813">
            <v>-7.10738</v>
          </cell>
          <cell r="W1813">
            <v>-7.5533900000000003</v>
          </cell>
          <cell r="X1813">
            <v>-9.8883399999999995</v>
          </cell>
          <cell r="Y1813">
            <v>-3.4349430000000001</v>
          </cell>
        </row>
        <row r="1814">
          <cell r="B1814">
            <v>680560</v>
          </cell>
          <cell r="C1814" t="str">
            <v>NOT USED</v>
          </cell>
          <cell r="D1814" t="str">
            <v>UTILITIES</v>
          </cell>
          <cell r="E1814" t="str">
            <v/>
          </cell>
          <cell r="F1814" t="str">
            <v/>
          </cell>
          <cell r="G1814" t="str">
            <v/>
          </cell>
          <cell r="H1814" t="str">
            <v/>
          </cell>
          <cell r="I1814" t="str">
            <v/>
          </cell>
          <cell r="J1814" t="str">
            <v/>
          </cell>
          <cell r="K1814" t="str">
            <v/>
          </cell>
          <cell r="L1814">
            <v>-2.1255799999999998</v>
          </cell>
          <cell r="M1814">
            <v>0</v>
          </cell>
          <cell r="N1814">
            <v>0</v>
          </cell>
          <cell r="O1814">
            <v>0</v>
          </cell>
          <cell r="P1814">
            <v>-8.2729599999999994</v>
          </cell>
          <cell r="Q1814">
            <v>-8.2729599999999994</v>
          </cell>
          <cell r="R1814">
            <v>-8.2729599999999994</v>
          </cell>
          <cell r="S1814">
            <v>-8.2729599999999994</v>
          </cell>
          <cell r="T1814">
            <v>-8.2729599999999994</v>
          </cell>
          <cell r="U1814">
            <v>-8.3579600000000003</v>
          </cell>
          <cell r="V1814">
            <v>-8.3579600000000003</v>
          </cell>
          <cell r="W1814">
            <v>-8.3579600000000003</v>
          </cell>
          <cell r="X1814">
            <v>-8.3579600000000003</v>
          </cell>
          <cell r="Y1814">
            <v>-5.9733710000000002</v>
          </cell>
        </row>
        <row r="1815">
          <cell r="B1815">
            <v>680570</v>
          </cell>
          <cell r="C1815" t="str">
            <v>NOT USED</v>
          </cell>
          <cell r="D1815" t="str">
            <v>DEPR EXP - VEHICLES - COM</v>
          </cell>
          <cell r="E1815" t="str">
            <v/>
          </cell>
          <cell r="F1815" t="str">
            <v/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/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</row>
        <row r="1816">
          <cell r="B1816">
            <v>680600</v>
          </cell>
          <cell r="C1816" t="str">
            <v>NOT USED</v>
          </cell>
          <cell r="D1816" t="str">
            <v>TRANSPORTATION UTILIZATION</v>
          </cell>
          <cell r="E1816" t="str">
            <v/>
          </cell>
          <cell r="F1816" t="str">
            <v/>
          </cell>
          <cell r="G1816" t="str">
            <v/>
          </cell>
          <cell r="H1816" t="str">
            <v/>
          </cell>
          <cell r="I1816" t="str">
            <v/>
          </cell>
          <cell r="J1816" t="str">
            <v/>
          </cell>
          <cell r="K1816" t="str">
            <v/>
          </cell>
          <cell r="L1816">
            <v>-1110.17804</v>
          </cell>
          <cell r="M1816">
            <v>-100.48135000000001</v>
          </cell>
          <cell r="N1816">
            <v>-192.94009</v>
          </cell>
          <cell r="O1816">
            <v>-302.83717000000001</v>
          </cell>
          <cell r="P1816">
            <v>-403.48874999999998</v>
          </cell>
          <cell r="Q1816">
            <v>-508.01909000000001</v>
          </cell>
          <cell r="R1816">
            <v>-594.84483</v>
          </cell>
          <cell r="S1816">
            <v>-673.31030999999996</v>
          </cell>
          <cell r="T1816">
            <v>-771.38120000000004</v>
          </cell>
          <cell r="U1816">
            <v>-842.24480000000005</v>
          </cell>
          <cell r="V1816">
            <v>-961.60979999999995</v>
          </cell>
          <cell r="W1816">
            <v>-1035.71012</v>
          </cell>
          <cell r="X1816">
            <v>-1058.4804999999999</v>
          </cell>
          <cell r="Y1816">
            <v>-622.59973200000002</v>
          </cell>
        </row>
        <row r="1817">
          <cell r="B1817">
            <v>680620</v>
          </cell>
          <cell r="C1817" t="str">
            <v>NOT USED</v>
          </cell>
          <cell r="D1817" t="str">
            <v>BENEFITS LOADER</v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/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</row>
        <row r="1818">
          <cell r="B1818">
            <v>680621</v>
          </cell>
          <cell r="C1818" t="str">
            <v>NOT USED</v>
          </cell>
          <cell r="D1818" t="str">
            <v>BENEFITS LOADER-CO RECLASS</v>
          </cell>
          <cell r="E1818" t="str">
            <v/>
          </cell>
          <cell r="F1818" t="str">
            <v/>
          </cell>
          <cell r="G1818" t="str">
            <v/>
          </cell>
          <cell r="H1818" t="str">
            <v/>
          </cell>
          <cell r="I1818" t="str">
            <v/>
          </cell>
          <cell r="J1818" t="str">
            <v/>
          </cell>
          <cell r="K1818" t="str">
            <v/>
          </cell>
          <cell r="L1818">
            <v>-0.43744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0.10553999999999999</v>
          </cell>
          <cell r="V1818">
            <v>-32.844769999999997</v>
          </cell>
          <cell r="W1818">
            <v>-31.964729999999999</v>
          </cell>
          <cell r="X1818">
            <v>-42.453290000000003</v>
          </cell>
          <cell r="Y1818">
            <v>-7.1791099999999997</v>
          </cell>
        </row>
        <row r="1819">
          <cell r="B1819">
            <v>680630</v>
          </cell>
          <cell r="C1819" t="str">
            <v>NOT USED</v>
          </cell>
          <cell r="D1819" t="str">
            <v>INSTALLATION LOADER</v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/>
          </cell>
          <cell r="L1819">
            <v>-4005.2723700000001</v>
          </cell>
          <cell r="M1819">
            <v>-120.57719</v>
          </cell>
          <cell r="N1819">
            <v>-389.57299</v>
          </cell>
          <cell r="O1819">
            <v>-560.38756999999998</v>
          </cell>
          <cell r="P1819">
            <v>-852.64022999999997</v>
          </cell>
          <cell r="Q1819">
            <v>-1232.72045</v>
          </cell>
          <cell r="R1819">
            <v>-1361.26748</v>
          </cell>
          <cell r="S1819">
            <v>-1737.33779</v>
          </cell>
          <cell r="T1819">
            <v>-2057.3236400000001</v>
          </cell>
          <cell r="U1819">
            <v>-2458.49908</v>
          </cell>
          <cell r="V1819">
            <v>-2972.0529999999999</v>
          </cell>
          <cell r="W1819">
            <v>-3618.6641100000002</v>
          </cell>
          <cell r="X1819">
            <v>-4095.9720200000002</v>
          </cell>
          <cell r="Y1819">
            <v>-1784.3054770000001</v>
          </cell>
        </row>
        <row r="1820">
          <cell r="B1820">
            <v>680631</v>
          </cell>
          <cell r="C1820" t="str">
            <v>NOT USED</v>
          </cell>
          <cell r="D1820" t="str">
            <v>GENERAL-COMPANY USE DEBITS-ELECTRIC</v>
          </cell>
          <cell r="E1820">
            <v>0</v>
          </cell>
          <cell r="X1820">
            <v>-18.174050000000001</v>
          </cell>
          <cell r="Y1820">
            <v>-0.75725200000000004</v>
          </cell>
        </row>
        <row r="1821">
          <cell r="B1821">
            <v>680640</v>
          </cell>
          <cell r="C1821" t="str">
            <v>NOT USED</v>
          </cell>
          <cell r="D1821" t="str">
            <v>OCCUPANCY LOADER</v>
          </cell>
          <cell r="E1821" t="str">
            <v/>
          </cell>
          <cell r="F1821" t="str">
            <v/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/>
          </cell>
          <cell r="L1821">
            <v>-93.826279999999997</v>
          </cell>
          <cell r="M1821">
            <v>-3.2482899999999999</v>
          </cell>
          <cell r="N1821">
            <v>-7.1022299999999996</v>
          </cell>
          <cell r="O1821">
            <v>-11.020910000000001</v>
          </cell>
          <cell r="P1821">
            <v>-15.49934</v>
          </cell>
          <cell r="Q1821">
            <v>-19.432849999999998</v>
          </cell>
          <cell r="R1821">
            <v>-24.833960000000001</v>
          </cell>
          <cell r="S1821">
            <v>-29.09487</v>
          </cell>
          <cell r="T1821">
            <v>-37.386749999999999</v>
          </cell>
          <cell r="U1821">
            <v>-40.889360000000003</v>
          </cell>
          <cell r="V1821">
            <v>-46.155790000000003</v>
          </cell>
          <cell r="W1821">
            <v>-49.72484</v>
          </cell>
          <cell r="X1821">
            <v>-56.940719999999999</v>
          </cell>
          <cell r="Y1821">
            <v>-29.981058000000001</v>
          </cell>
        </row>
        <row r="1822">
          <cell r="B1822">
            <v>680660</v>
          </cell>
          <cell r="C1822" t="str">
            <v>NOT USED</v>
          </cell>
          <cell r="D1822" t="str">
            <v>CAPITALIZED PRELIMINARY ENGINEERING</v>
          </cell>
          <cell r="E1822" t="str">
            <v/>
          </cell>
          <cell r="F1822" t="str">
            <v/>
          </cell>
          <cell r="G1822" t="str">
            <v/>
          </cell>
          <cell r="H1822" t="str">
            <v/>
          </cell>
          <cell r="I1822" t="str">
            <v/>
          </cell>
          <cell r="J1822" t="str">
            <v/>
          </cell>
          <cell r="K1822" t="str">
            <v/>
          </cell>
          <cell r="L1822">
            <v>-5068.4691300000004</v>
          </cell>
          <cell r="M1822">
            <v>-129.11525</v>
          </cell>
          <cell r="N1822">
            <v>-270.45713000000001</v>
          </cell>
          <cell r="O1822">
            <v>-1164.9994200000001</v>
          </cell>
          <cell r="P1822">
            <v>-1673.8234</v>
          </cell>
          <cell r="Q1822">
            <v>-2129.20415</v>
          </cell>
          <cell r="R1822">
            <v>-2595.8534199999999</v>
          </cell>
          <cell r="S1822">
            <v>-2988.9106099999999</v>
          </cell>
          <cell r="T1822">
            <v>-3423.10482</v>
          </cell>
          <cell r="U1822">
            <v>-3716.5944100000002</v>
          </cell>
          <cell r="V1822">
            <v>-4264.1716699999997</v>
          </cell>
          <cell r="W1822">
            <v>-4540.0284799999999</v>
          </cell>
          <cell r="X1822">
            <v>-5044.9024600000002</v>
          </cell>
          <cell r="Y1822">
            <v>-2662.7457129999998</v>
          </cell>
        </row>
        <row r="1823">
          <cell r="B1823">
            <v>680670</v>
          </cell>
          <cell r="C1823" t="str">
            <v>NOT USED</v>
          </cell>
          <cell r="D1823" t="str">
            <v>CAPITALIZED GENERAL &amp; ADMINISTRATION EXPENSE</v>
          </cell>
          <cell r="E1823" t="str">
            <v/>
          </cell>
          <cell r="F1823" t="str">
            <v/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/>
          </cell>
          <cell r="L1823">
            <v>-571.06791999999996</v>
          </cell>
          <cell r="M1823">
            <v>25.31278</v>
          </cell>
          <cell r="N1823">
            <v>-172.77655999999999</v>
          </cell>
          <cell r="O1823">
            <v>-512.84109000000001</v>
          </cell>
          <cell r="P1823">
            <v>-733.98572000000001</v>
          </cell>
          <cell r="Q1823">
            <v>-1022.0313</v>
          </cell>
          <cell r="R1823">
            <v>-1531.59896</v>
          </cell>
          <cell r="S1823">
            <v>-1961.69</v>
          </cell>
          <cell r="T1823">
            <v>-2610.60628</v>
          </cell>
          <cell r="U1823">
            <v>-3084.8143700000001</v>
          </cell>
          <cell r="V1823">
            <v>-3442.9201400000002</v>
          </cell>
          <cell r="W1823">
            <v>-3550.3531200000002</v>
          </cell>
          <cell r="X1823">
            <v>-2677.1875599999998</v>
          </cell>
          <cell r="Y1823">
            <v>-1685.202708</v>
          </cell>
        </row>
        <row r="1824">
          <cell r="B1824">
            <v>680680</v>
          </cell>
          <cell r="C1824" t="str">
            <v>NOT USED</v>
          </cell>
          <cell r="D1824" t="str">
            <v>ADVERTISING</v>
          </cell>
          <cell r="E1824" t="str">
            <v/>
          </cell>
          <cell r="F1824" t="str">
            <v/>
          </cell>
          <cell r="G1824" t="str">
            <v/>
          </cell>
          <cell r="H1824" t="str">
            <v/>
          </cell>
          <cell r="I1824" t="str">
            <v/>
          </cell>
          <cell r="J1824" t="str">
            <v/>
          </cell>
          <cell r="K1824" t="str">
            <v/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-3.75732</v>
          </cell>
          <cell r="X1824">
            <v>-37.581290000000003</v>
          </cell>
          <cell r="Y1824">
            <v>-1.878997</v>
          </cell>
        </row>
        <row r="1825">
          <cell r="B1825">
            <v>680690</v>
          </cell>
          <cell r="C1825" t="str">
            <v>NOT USED</v>
          </cell>
          <cell r="D1825" t="str">
            <v>INTEREST EXPENSE-AFUDC</v>
          </cell>
          <cell r="E1825" t="str">
            <v/>
          </cell>
          <cell r="F1825" t="str">
            <v/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/>
          </cell>
          <cell r="L1825">
            <v>-3052.97633</v>
          </cell>
          <cell r="M1825">
            <v>-396.65321</v>
          </cell>
          <cell r="N1825">
            <v>-797.20163000000002</v>
          </cell>
          <cell r="O1825">
            <v>-1218.12319</v>
          </cell>
          <cell r="P1825">
            <v>-1643.3843899999999</v>
          </cell>
          <cell r="Q1825">
            <v>-2007.8115</v>
          </cell>
          <cell r="R1825">
            <v>-2634.3486699999999</v>
          </cell>
          <cell r="S1825">
            <v>-3255.7144400000002</v>
          </cell>
          <cell r="T1825">
            <v>-3877.1581999999999</v>
          </cell>
          <cell r="U1825">
            <v>-7154.2962200000002</v>
          </cell>
          <cell r="V1825">
            <v>-8185.8179300000002</v>
          </cell>
          <cell r="W1825">
            <v>-9289.1317600000002</v>
          </cell>
          <cell r="X1825">
            <v>-10602.195159999999</v>
          </cell>
          <cell r="Y1825">
            <v>-3940.6022400000002</v>
          </cell>
        </row>
        <row r="1826">
          <cell r="B1826">
            <v>680691</v>
          </cell>
          <cell r="C1826" t="str">
            <v>NOT USED</v>
          </cell>
          <cell r="D1826" t="str">
            <v>CONTRACTORS - ENGINEERING</v>
          </cell>
          <cell r="E1826" t="str">
            <v/>
          </cell>
          <cell r="F1826" t="str">
            <v/>
          </cell>
          <cell r="G1826" t="str">
            <v/>
          </cell>
          <cell r="H1826" t="str">
            <v/>
          </cell>
          <cell r="I1826" t="str">
            <v/>
          </cell>
          <cell r="J1826" t="str">
            <v/>
          </cell>
          <cell r="K1826" t="str">
            <v/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-1578.73505</v>
          </cell>
          <cell r="T1826">
            <v>-3020.0861599999998</v>
          </cell>
          <cell r="U1826">
            <v>-4171.0682800000004</v>
          </cell>
          <cell r="V1826">
            <v>-6685.25155</v>
          </cell>
          <cell r="W1826">
            <v>-8536.7909899999995</v>
          </cell>
          <cell r="X1826">
            <v>-11634.25769</v>
          </cell>
          <cell r="Y1826">
            <v>-2484.0884059999998</v>
          </cell>
        </row>
        <row r="1827">
          <cell r="B1827">
            <v>680692</v>
          </cell>
          <cell r="C1827" t="str">
            <v>NOT USED</v>
          </cell>
          <cell r="D1827" t="str">
            <v>CONTRACTORS - FACILITY</v>
          </cell>
          <cell r="E1827" t="str">
            <v/>
          </cell>
          <cell r="F1827" t="str">
            <v/>
          </cell>
          <cell r="G1827" t="str">
            <v/>
          </cell>
          <cell r="H1827" t="str">
            <v/>
          </cell>
          <cell r="I1827" t="str">
            <v/>
          </cell>
          <cell r="J1827" t="str">
            <v/>
          </cell>
          <cell r="K1827" t="str">
            <v/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-73.702520000000007</v>
          </cell>
          <cell r="T1827">
            <v>-128.67663999999999</v>
          </cell>
          <cell r="U1827">
            <v>-311.6121</v>
          </cell>
          <cell r="V1827">
            <v>-464.69371999999998</v>
          </cell>
          <cell r="W1827">
            <v>-1230.40515</v>
          </cell>
          <cell r="X1827">
            <v>-4192.9157100000002</v>
          </cell>
          <cell r="Y1827">
            <v>-358.79566499999999</v>
          </cell>
        </row>
        <row r="1828">
          <cell r="B1828">
            <v>680693</v>
          </cell>
          <cell r="C1828" t="str">
            <v>NOT USED</v>
          </cell>
          <cell r="D1828" t="str">
            <v>CONTRACTORS - TEMPORARY LABOR SERVICES</v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  <cell r="I1828" t="str">
            <v/>
          </cell>
          <cell r="J1828" t="str">
            <v/>
          </cell>
          <cell r="K1828" t="str">
            <v/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-0.91</v>
          </cell>
          <cell r="T1828">
            <v>-8.4165100000000006</v>
          </cell>
          <cell r="U1828">
            <v>-27.27843</v>
          </cell>
          <cell r="V1828">
            <v>-47.767440000000001</v>
          </cell>
          <cell r="W1828">
            <v>-46.473840000000003</v>
          </cell>
          <cell r="X1828">
            <v>-69.550790000000006</v>
          </cell>
          <cell r="Y1828">
            <v>-13.801800999999999</v>
          </cell>
        </row>
        <row r="1829">
          <cell r="B1829">
            <v>680700</v>
          </cell>
          <cell r="C1829" t="str">
            <v>NOT USED</v>
          </cell>
          <cell r="D1829" t="str">
            <v>CIAC - NON-TAXABLE</v>
          </cell>
          <cell r="E1829" t="str">
            <v/>
          </cell>
          <cell r="F1829" t="str">
            <v/>
          </cell>
          <cell r="G1829" t="str">
            <v/>
          </cell>
          <cell r="H1829" t="str">
            <v/>
          </cell>
          <cell r="I1829" t="str">
            <v/>
          </cell>
          <cell r="J1829" t="str">
            <v/>
          </cell>
          <cell r="K1829" t="str">
            <v/>
          </cell>
          <cell r="L1829">
            <v>786.65275999999994</v>
          </cell>
          <cell r="M1829">
            <v>-27.475180000000002</v>
          </cell>
          <cell r="N1829">
            <v>-1.6394</v>
          </cell>
          <cell r="O1829">
            <v>16.11889</v>
          </cell>
          <cell r="P1829">
            <v>96.435460000000006</v>
          </cell>
          <cell r="Q1829">
            <v>99.789640000000006</v>
          </cell>
          <cell r="R1829">
            <v>122.79424</v>
          </cell>
          <cell r="S1829">
            <v>122.79424</v>
          </cell>
          <cell r="T1829">
            <v>122.79424</v>
          </cell>
          <cell r="U1829">
            <v>123.07962000000001</v>
          </cell>
          <cell r="V1829">
            <v>138.29199</v>
          </cell>
          <cell r="W1829">
            <v>442.31016</v>
          </cell>
          <cell r="X1829">
            <v>627.82286999999997</v>
          </cell>
          <cell r="Y1829">
            <v>163.54431</v>
          </cell>
        </row>
        <row r="1830">
          <cell r="B1830">
            <v>680701</v>
          </cell>
          <cell r="C1830" t="str">
            <v>NOT USED</v>
          </cell>
          <cell r="D1830" t="str">
            <v>GENERAL - GRANTS - CREDIT TO CAPITAL</v>
          </cell>
          <cell r="E1830" t="str">
            <v/>
          </cell>
          <cell r="F1830" t="str">
            <v/>
          </cell>
          <cell r="G1830" t="str">
            <v/>
          </cell>
          <cell r="H1830" t="str">
            <v/>
          </cell>
          <cell r="I1830" t="str">
            <v/>
          </cell>
          <cell r="J1830" t="str">
            <v/>
          </cell>
          <cell r="K1830" t="str">
            <v/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5.7502399999999998</v>
          </cell>
          <cell r="S1830">
            <v>7.68187</v>
          </cell>
          <cell r="T1830">
            <v>7.68187</v>
          </cell>
          <cell r="U1830">
            <v>7.68187</v>
          </cell>
          <cell r="V1830">
            <v>7.68187</v>
          </cell>
          <cell r="W1830">
            <v>31.622990000000001</v>
          </cell>
          <cell r="X1830">
            <v>623.15261999999996</v>
          </cell>
          <cell r="Y1830">
            <v>31.639752000000001</v>
          </cell>
        </row>
        <row r="1831">
          <cell r="B1831">
            <v>680710</v>
          </cell>
          <cell r="C1831" t="str">
            <v>NOT USED</v>
          </cell>
          <cell r="D1831" t="str">
            <v>CIAC - TAXABLE</v>
          </cell>
          <cell r="E1831" t="str">
            <v/>
          </cell>
          <cell r="F1831" t="str">
            <v/>
          </cell>
          <cell r="G1831" t="str">
            <v/>
          </cell>
          <cell r="H1831" t="str">
            <v/>
          </cell>
          <cell r="I1831" t="str">
            <v/>
          </cell>
          <cell r="J1831" t="str">
            <v/>
          </cell>
          <cell r="K1831" t="str">
            <v/>
          </cell>
          <cell r="L1831">
            <v>3480.93768</v>
          </cell>
          <cell r="M1831">
            <v>52.093890000000002</v>
          </cell>
          <cell r="N1831">
            <v>130.47404</v>
          </cell>
          <cell r="O1831">
            <v>278.26607000000001</v>
          </cell>
          <cell r="P1831">
            <v>444.54521</v>
          </cell>
          <cell r="Q1831">
            <v>603.20037000000002</v>
          </cell>
          <cell r="R1831">
            <v>968.04966999999999</v>
          </cell>
          <cell r="S1831">
            <v>1511.3889099999999</v>
          </cell>
          <cell r="T1831">
            <v>1677.6398099999999</v>
          </cell>
          <cell r="U1831">
            <v>1759.6966399999999</v>
          </cell>
          <cell r="V1831">
            <v>2035.4610700000001</v>
          </cell>
          <cell r="W1831">
            <v>2178.1173800000001</v>
          </cell>
          <cell r="X1831">
            <v>2350.1587300000001</v>
          </cell>
          <cell r="Y1831">
            <v>1212.873439</v>
          </cell>
        </row>
        <row r="1832">
          <cell r="B1832">
            <v>680720</v>
          </cell>
          <cell r="C1832" t="str">
            <v>NOT USED</v>
          </cell>
          <cell r="D1832" t="str">
            <v>JOINT OWNED - PURCHASE</v>
          </cell>
          <cell r="E1832" t="str">
            <v/>
          </cell>
          <cell r="F1832" t="str">
            <v/>
          </cell>
          <cell r="G1832" t="str">
            <v/>
          </cell>
          <cell r="H1832" t="str">
            <v/>
          </cell>
          <cell r="I1832" t="str">
            <v/>
          </cell>
          <cell r="J1832" t="str">
            <v/>
          </cell>
          <cell r="K1832" t="str">
            <v/>
          </cell>
          <cell r="L1832">
            <v>-12.903</v>
          </cell>
          <cell r="M1832">
            <v>-8.3000000000000004E-2</v>
          </cell>
          <cell r="N1832">
            <v>-0.16600000000000001</v>
          </cell>
          <cell r="O1832">
            <v>-2.6379999999999999</v>
          </cell>
          <cell r="P1832">
            <v>-2.6379999999999999</v>
          </cell>
          <cell r="Q1832">
            <v>-22.013999999999999</v>
          </cell>
          <cell r="R1832">
            <v>-30.652000000000001</v>
          </cell>
          <cell r="S1832">
            <v>-33.557000000000002</v>
          </cell>
          <cell r="T1832">
            <v>-36.345999999999997</v>
          </cell>
          <cell r="U1832">
            <v>-39.447000000000003</v>
          </cell>
          <cell r="V1832">
            <v>-39.447000000000003</v>
          </cell>
          <cell r="W1832">
            <v>-52.676000000000002</v>
          </cell>
          <cell r="X1832">
            <v>-52.841999999999999</v>
          </cell>
          <cell r="Y1832">
            <v>-24.378042000000001</v>
          </cell>
        </row>
        <row r="1833">
          <cell r="B1833">
            <v>680730</v>
          </cell>
          <cell r="C1833" t="str">
            <v>NOT USED</v>
          </cell>
          <cell r="D1833" t="str">
            <v>JOINT OWNED - SALE</v>
          </cell>
          <cell r="E1833" t="str">
            <v/>
          </cell>
          <cell r="F1833" t="str">
            <v/>
          </cell>
          <cell r="G1833" t="str">
            <v/>
          </cell>
          <cell r="H1833" t="str">
            <v/>
          </cell>
          <cell r="I1833" t="str">
            <v/>
          </cell>
          <cell r="J1833" t="str">
            <v/>
          </cell>
          <cell r="K1833" t="str">
            <v/>
          </cell>
          <cell r="L1833">
            <v>558.67449999999997</v>
          </cell>
          <cell r="M1833">
            <v>69.350999999999999</v>
          </cell>
          <cell r="N1833">
            <v>107.148</v>
          </cell>
          <cell r="O1833">
            <v>139.36500000000001</v>
          </cell>
          <cell r="P1833">
            <v>152.50749999999999</v>
          </cell>
          <cell r="Q1833">
            <v>146.52250000000001</v>
          </cell>
          <cell r="R1833">
            <v>207.32050000000001</v>
          </cell>
          <cell r="S1833">
            <v>229.90950000000001</v>
          </cell>
          <cell r="T1833">
            <v>236.68350000000001</v>
          </cell>
          <cell r="U1833">
            <v>247.8845</v>
          </cell>
          <cell r="V1833">
            <v>307.83949999999999</v>
          </cell>
          <cell r="W1833">
            <v>316.64749999999998</v>
          </cell>
          <cell r="X1833">
            <v>315.87549999999999</v>
          </cell>
          <cell r="Y1833">
            <v>216.53783300000001</v>
          </cell>
        </row>
        <row r="1834">
          <cell r="B1834">
            <v>680740</v>
          </cell>
          <cell r="C1834" t="str">
            <v>NOT USED</v>
          </cell>
          <cell r="D1834" t="str">
            <v>PURCHASE OF PROPERTY</v>
          </cell>
          <cell r="E1834" t="str">
            <v/>
          </cell>
          <cell r="F1834" t="str">
            <v/>
          </cell>
          <cell r="G1834" t="str">
            <v/>
          </cell>
          <cell r="H1834" t="str">
            <v/>
          </cell>
          <cell r="I1834" t="str">
            <v/>
          </cell>
          <cell r="J1834" t="str">
            <v/>
          </cell>
          <cell r="K1834" t="str">
            <v/>
          </cell>
          <cell r="L1834">
            <v>-19.605</v>
          </cell>
          <cell r="M1834">
            <v>0</v>
          </cell>
          <cell r="N1834">
            <v>-1</v>
          </cell>
          <cell r="O1834">
            <v>-1</v>
          </cell>
          <cell r="P1834">
            <v>-1</v>
          </cell>
          <cell r="Q1834">
            <v>-7.5</v>
          </cell>
          <cell r="R1834">
            <v>-16.004999999999999</v>
          </cell>
          <cell r="S1834">
            <v>-16.004999999999999</v>
          </cell>
          <cell r="T1834">
            <v>-19.254999999999999</v>
          </cell>
          <cell r="U1834">
            <v>-19.254999999999999</v>
          </cell>
          <cell r="V1834">
            <v>-19.254999999999999</v>
          </cell>
          <cell r="W1834">
            <v>-19.254999999999999</v>
          </cell>
          <cell r="X1834">
            <v>-19.483000000000001</v>
          </cell>
          <cell r="Y1834">
            <v>-11.589499999999999</v>
          </cell>
        </row>
        <row r="1835">
          <cell r="B1835">
            <v>680747</v>
          </cell>
          <cell r="C1835" t="str">
            <v>NOT USED</v>
          </cell>
          <cell r="D1835" t="str">
            <v>CONVEYED ASSET</v>
          </cell>
          <cell r="E1835" t="str">
            <v/>
          </cell>
          <cell r="F1835" t="str">
            <v/>
          </cell>
          <cell r="G1835" t="str">
            <v/>
          </cell>
          <cell r="H1835" t="str">
            <v/>
          </cell>
          <cell r="I1835" t="str">
            <v/>
          </cell>
          <cell r="J1835" t="str">
            <v/>
          </cell>
          <cell r="K1835" t="str">
            <v/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</row>
        <row r="1836">
          <cell r="B1836">
            <v>680748</v>
          </cell>
          <cell r="C1836" t="str">
            <v>NOT USED</v>
          </cell>
          <cell r="D1836" t="str">
            <v>CONVEYED ASSET-OFFSET</v>
          </cell>
          <cell r="E1836" t="str">
            <v/>
          </cell>
          <cell r="F1836" t="str">
            <v/>
          </cell>
          <cell r="G1836" t="str">
            <v/>
          </cell>
          <cell r="H1836" t="str">
            <v/>
          </cell>
          <cell r="I1836" t="str">
            <v/>
          </cell>
          <cell r="J1836" t="str">
            <v/>
          </cell>
          <cell r="K1836" t="str">
            <v/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</row>
        <row r="1837">
          <cell r="B1837">
            <v>680802</v>
          </cell>
          <cell r="C1837" t="str">
            <v>NOT USED</v>
          </cell>
          <cell r="D1837" t="str">
            <v>CORP TAXES-GAS OTHER</v>
          </cell>
          <cell r="E1837" t="str">
            <v/>
          </cell>
          <cell r="F1837" t="str">
            <v/>
          </cell>
          <cell r="G1837" t="str">
            <v/>
          </cell>
          <cell r="H1837" t="str">
            <v/>
          </cell>
          <cell r="I1837" t="str">
            <v/>
          </cell>
          <cell r="J1837" t="str">
            <v/>
          </cell>
          <cell r="K1837" t="str">
            <v/>
          </cell>
          <cell r="L1837">
            <v>-528.61152000000004</v>
          </cell>
          <cell r="M1837">
            <v>-71.879480000000001</v>
          </cell>
          <cell r="N1837">
            <v>-118.67846</v>
          </cell>
          <cell r="O1837">
            <v>-151.46741</v>
          </cell>
          <cell r="P1837">
            <v>-191.29161999999999</v>
          </cell>
          <cell r="Q1837">
            <v>-293.21877000000001</v>
          </cell>
          <cell r="R1837">
            <v>-345.88229999999999</v>
          </cell>
          <cell r="S1837">
            <v>-398.71744999999999</v>
          </cell>
          <cell r="T1837">
            <v>-573.79754000000003</v>
          </cell>
          <cell r="U1837">
            <v>-644.07646</v>
          </cell>
          <cell r="V1837">
            <v>-801.05799999999999</v>
          </cell>
          <cell r="W1837">
            <v>-832.31776000000002</v>
          </cell>
          <cell r="X1837">
            <v>-993.22224000000006</v>
          </cell>
          <cell r="Y1837">
            <v>-431.941844</v>
          </cell>
        </row>
        <row r="1838">
          <cell r="B1838">
            <v>680810</v>
          </cell>
          <cell r="C1838" t="str">
            <v>NOT USED</v>
          </cell>
          <cell r="D1838" t="str">
            <v>CORP TAXES-COMMON</v>
          </cell>
          <cell r="E1838" t="str">
            <v/>
          </cell>
          <cell r="F1838" t="str">
            <v/>
          </cell>
          <cell r="G1838" t="str">
            <v/>
          </cell>
          <cell r="H1838" t="str">
            <v/>
          </cell>
          <cell r="I1838" t="str">
            <v/>
          </cell>
          <cell r="J1838" t="str">
            <v/>
          </cell>
          <cell r="K1838" t="str">
            <v/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</row>
        <row r="1839">
          <cell r="B1839">
            <v>680819</v>
          </cell>
          <cell r="C1839" t="str">
            <v>NOT USED</v>
          </cell>
          <cell r="D1839" t="str">
            <v>CORPORATE TAXES-ELEC OTHER</v>
          </cell>
          <cell r="E1839" t="str">
            <v/>
          </cell>
          <cell r="F1839" t="str">
            <v/>
          </cell>
          <cell r="G1839" t="str">
            <v/>
          </cell>
          <cell r="H1839" t="str">
            <v/>
          </cell>
          <cell r="I1839" t="str">
            <v/>
          </cell>
          <cell r="J1839" t="str">
            <v/>
          </cell>
          <cell r="K1839" t="str">
            <v/>
          </cell>
          <cell r="L1839">
            <v>-2018.2750900000001</v>
          </cell>
          <cell r="M1839">
            <v>-1178.55485</v>
          </cell>
          <cell r="N1839">
            <v>-1617.35121</v>
          </cell>
          <cell r="O1839">
            <v>-1768.7480800000001</v>
          </cell>
          <cell r="P1839">
            <v>-1925.96524</v>
          </cell>
          <cell r="Q1839">
            <v>-2136.57323</v>
          </cell>
          <cell r="R1839">
            <v>-2288.7748900000001</v>
          </cell>
          <cell r="S1839">
            <v>-2433.0448799999999</v>
          </cell>
          <cell r="T1839">
            <v>-2800.96693</v>
          </cell>
          <cell r="U1839">
            <v>-3158.6798699999999</v>
          </cell>
          <cell r="V1839">
            <v>-3872.4208800000001</v>
          </cell>
          <cell r="W1839">
            <v>-3732.7544499999999</v>
          </cell>
          <cell r="X1839">
            <v>-4390.0726100000002</v>
          </cell>
          <cell r="Y1839">
            <v>-2509.83403</v>
          </cell>
        </row>
        <row r="1840">
          <cell r="B1840">
            <v>680825</v>
          </cell>
          <cell r="C1840" t="str">
            <v>NOT USED</v>
          </cell>
          <cell r="D1840" t="str">
            <v>BENEFITS-FEDERAL / STATE UNEMPLOYMENT INSURANCE</v>
          </cell>
          <cell r="E1840" t="str">
            <v/>
          </cell>
          <cell r="F1840" t="str">
            <v/>
          </cell>
          <cell r="G1840" t="str">
            <v/>
          </cell>
          <cell r="H1840" t="str">
            <v/>
          </cell>
          <cell r="I1840" t="str">
            <v/>
          </cell>
          <cell r="J1840" t="str">
            <v/>
          </cell>
          <cell r="K1840" t="str">
            <v/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-123.58771</v>
          </cell>
          <cell r="R1840">
            <v>-123.54767</v>
          </cell>
          <cell r="S1840">
            <v>-179.80789999999999</v>
          </cell>
          <cell r="T1840">
            <v>-179.90451999999999</v>
          </cell>
          <cell r="U1840">
            <v>-179.95698999999999</v>
          </cell>
          <cell r="V1840">
            <v>0</v>
          </cell>
          <cell r="W1840">
            <v>0</v>
          </cell>
          <cell r="X1840">
            <v>0</v>
          </cell>
          <cell r="Y1840">
            <v>-65.567065999999997</v>
          </cell>
        </row>
        <row r="1841">
          <cell r="B1841">
            <v>680826</v>
          </cell>
          <cell r="C1841" t="str">
            <v>NOT USED</v>
          </cell>
          <cell r="D1841" t="str">
            <v>BENEFITS-FICA / MEDICARE</v>
          </cell>
          <cell r="E1841" t="str">
            <v/>
          </cell>
          <cell r="F1841" t="str">
            <v/>
          </cell>
          <cell r="G1841" t="str">
            <v/>
          </cell>
          <cell r="H1841" t="str">
            <v/>
          </cell>
          <cell r="I1841" t="str">
            <v/>
          </cell>
          <cell r="J1841" t="str">
            <v/>
          </cell>
          <cell r="K1841" t="str">
            <v/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-2110.0118000000002</v>
          </cell>
          <cell r="R1841">
            <v>-2546.5437400000001</v>
          </cell>
          <cell r="S1841">
            <v>-2956.3422700000001</v>
          </cell>
          <cell r="T1841">
            <v>-3388.90807</v>
          </cell>
          <cell r="U1841">
            <v>-3918.3390800000002</v>
          </cell>
          <cell r="V1841">
            <v>0</v>
          </cell>
          <cell r="W1841">
            <v>0</v>
          </cell>
          <cell r="X1841">
            <v>0</v>
          </cell>
          <cell r="Y1841">
            <v>-1243.345413</v>
          </cell>
        </row>
        <row r="1842">
          <cell r="B1842">
            <v>680835</v>
          </cell>
          <cell r="C1842" t="str">
            <v>NOT USED</v>
          </cell>
          <cell r="D1842" t="str">
            <v>BENEFITS - MTA PAYROLL TAX</v>
          </cell>
          <cell r="E1842" t="str">
            <v/>
          </cell>
          <cell r="F1842" t="str">
            <v/>
          </cell>
          <cell r="G1842" t="str">
            <v/>
          </cell>
          <cell r="H1842" t="str">
            <v/>
          </cell>
          <cell r="I1842" t="str">
            <v/>
          </cell>
          <cell r="J1842" t="str">
            <v/>
          </cell>
          <cell r="K1842" t="str">
            <v/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-5.1279999999999999E-2</v>
          </cell>
          <cell r="R1842">
            <v>-5.1279999999999999E-2</v>
          </cell>
          <cell r="S1842">
            <v>-5.1279999999999999E-2</v>
          </cell>
          <cell r="T1842">
            <v>-5.1279999999999999E-2</v>
          </cell>
          <cell r="U1842">
            <v>-5.1279999999999999E-2</v>
          </cell>
          <cell r="V1842">
            <v>0</v>
          </cell>
          <cell r="W1842">
            <v>0</v>
          </cell>
          <cell r="X1842">
            <v>0</v>
          </cell>
          <cell r="Y1842">
            <v>-2.1367000000000001E-2</v>
          </cell>
        </row>
        <row r="1843">
          <cell r="B1843">
            <v>681620</v>
          </cell>
          <cell r="C1843" t="str">
            <v>NOT USED</v>
          </cell>
          <cell r="D1843" t="str">
            <v>BENEFITS-OTHER BENEFITS</v>
          </cell>
          <cell r="E1843" t="str">
            <v/>
          </cell>
          <cell r="F1843" t="str">
            <v/>
          </cell>
          <cell r="G1843" t="str">
            <v/>
          </cell>
          <cell r="H1843" t="str">
            <v/>
          </cell>
          <cell r="I1843" t="str">
            <v/>
          </cell>
          <cell r="J1843" t="str">
            <v/>
          </cell>
          <cell r="K1843" t="str">
            <v/>
          </cell>
          <cell r="L1843">
            <v>-1567.70462</v>
          </cell>
          <cell r="M1843">
            <v>-179.19818000000001</v>
          </cell>
          <cell r="N1843">
            <v>-365.23459000000003</v>
          </cell>
          <cell r="O1843">
            <v>-561.30269999999996</v>
          </cell>
          <cell r="P1843">
            <v>-735.82159000000001</v>
          </cell>
          <cell r="Q1843">
            <v>3872.2195700000002</v>
          </cell>
          <cell r="R1843">
            <v>4695.5038000000004</v>
          </cell>
          <cell r="S1843">
            <v>5540.2518300000002</v>
          </cell>
          <cell r="T1843">
            <v>6374.1537900000003</v>
          </cell>
          <cell r="U1843">
            <v>7581.6054700000004</v>
          </cell>
          <cell r="V1843">
            <v>-1699.50459</v>
          </cell>
          <cell r="W1843">
            <v>-1880.3377399999999</v>
          </cell>
          <cell r="X1843">
            <v>-2109.7220000000002</v>
          </cell>
          <cell r="Y1843">
            <v>1733.635147</v>
          </cell>
        </row>
        <row r="1844">
          <cell r="B1844">
            <v>681621</v>
          </cell>
          <cell r="C1844" t="str">
            <v>NOT USED</v>
          </cell>
          <cell r="D1844" t="str">
            <v>BENEFITS-PAYROLL TAXES</v>
          </cell>
          <cell r="E1844" t="str">
            <v/>
          </cell>
          <cell r="F1844" t="str">
            <v/>
          </cell>
          <cell r="G1844" t="str">
            <v/>
          </cell>
          <cell r="H1844" t="str">
            <v/>
          </cell>
          <cell r="I1844" t="str">
            <v/>
          </cell>
          <cell r="J1844" t="str">
            <v/>
          </cell>
          <cell r="K1844" t="str">
            <v/>
          </cell>
          <cell r="L1844">
            <v>-773.34486000000004</v>
          </cell>
          <cell r="M1844">
            <v>-84.073930000000004</v>
          </cell>
          <cell r="N1844">
            <v>-163.8432</v>
          </cell>
          <cell r="O1844">
            <v>-252.03283999999999</v>
          </cell>
          <cell r="P1844">
            <v>-330.57089999999999</v>
          </cell>
          <cell r="Q1844">
            <v>1747.2172700000001</v>
          </cell>
          <cell r="R1844">
            <v>2131.0367799999999</v>
          </cell>
          <cell r="S1844">
            <v>2506.5244499999999</v>
          </cell>
          <cell r="T1844">
            <v>2884.94182</v>
          </cell>
          <cell r="U1844">
            <v>3433.3435199999999</v>
          </cell>
          <cell r="V1844">
            <v>-753.56750999999997</v>
          </cell>
          <cell r="W1844">
            <v>-798.44916000000001</v>
          </cell>
          <cell r="X1844">
            <v>-851.56964000000005</v>
          </cell>
          <cell r="Y1844">
            <v>792.33908799999995</v>
          </cell>
        </row>
        <row r="1845">
          <cell r="B1845">
            <v>681622</v>
          </cell>
          <cell r="C1845" t="str">
            <v>NOT USED</v>
          </cell>
          <cell r="D1845" t="str">
            <v>BENEFITS-PENSIONS-SERVICES</v>
          </cell>
          <cell r="E1845" t="str">
            <v/>
          </cell>
          <cell r="F1845" t="str">
            <v/>
          </cell>
          <cell r="G1845" t="str">
            <v/>
          </cell>
          <cell r="H1845" t="str">
            <v/>
          </cell>
          <cell r="I1845" t="str">
            <v/>
          </cell>
          <cell r="J1845" t="str">
            <v/>
          </cell>
          <cell r="K1845" t="str">
            <v/>
          </cell>
          <cell r="L1845">
            <v>-320.75222000000002</v>
          </cell>
          <cell r="M1845">
            <v>-122.70706</v>
          </cell>
          <cell r="N1845">
            <v>-197.51155</v>
          </cell>
          <cell r="O1845">
            <v>-258.34964000000002</v>
          </cell>
          <cell r="P1845">
            <v>-313.17223999999999</v>
          </cell>
          <cell r="Q1845">
            <v>1533.5944</v>
          </cell>
          <cell r="R1845">
            <v>1799.05972</v>
          </cell>
          <cell r="S1845">
            <v>2054.8880600000002</v>
          </cell>
          <cell r="T1845">
            <v>2283.9272299999998</v>
          </cell>
          <cell r="U1845">
            <v>2618.4690399999999</v>
          </cell>
          <cell r="V1845">
            <v>-596.99663999999996</v>
          </cell>
          <cell r="W1845">
            <v>-627.50305000000003</v>
          </cell>
          <cell r="X1845">
            <v>-663.70740999999998</v>
          </cell>
          <cell r="Y1845">
            <v>640.12237100000004</v>
          </cell>
        </row>
        <row r="1846">
          <cell r="B1846">
            <v>681623</v>
          </cell>
          <cell r="C1846" t="str">
            <v>NOT USED</v>
          </cell>
          <cell r="D1846" t="str">
            <v>BENEFITS-PENSIONS-INTEREST</v>
          </cell>
          <cell r="E1846" t="str">
            <v/>
          </cell>
          <cell r="F1846" t="str">
            <v/>
          </cell>
          <cell r="G1846" t="str">
            <v/>
          </cell>
          <cell r="H1846" t="str">
            <v/>
          </cell>
          <cell r="I1846" t="str">
            <v/>
          </cell>
          <cell r="J1846" t="str">
            <v/>
          </cell>
          <cell r="K1846" t="str">
            <v/>
          </cell>
          <cell r="L1846">
            <v>-1646.89615</v>
          </cell>
          <cell r="M1846">
            <v>-386.45866000000001</v>
          </cell>
          <cell r="N1846">
            <v>-754.18150000000003</v>
          </cell>
          <cell r="O1846">
            <v>-1105.12033</v>
          </cell>
          <cell r="P1846">
            <v>-1425.2400500000001</v>
          </cell>
          <cell r="Q1846">
            <v>7436.4170800000002</v>
          </cell>
          <cell r="R1846">
            <v>8969.0983300000007</v>
          </cell>
          <cell r="S1846">
            <v>10445.5591</v>
          </cell>
          <cell r="T1846">
            <v>11909.19016</v>
          </cell>
          <cell r="U1846">
            <v>14034.739589999999</v>
          </cell>
          <cell r="V1846">
            <v>-3133.6312200000002</v>
          </cell>
          <cell r="W1846">
            <v>-3344.4949000000001</v>
          </cell>
          <cell r="X1846">
            <v>-3620.9133499999998</v>
          </cell>
          <cell r="Y1846">
            <v>3334.3310710000001</v>
          </cell>
        </row>
        <row r="1847">
          <cell r="B1847">
            <v>681624</v>
          </cell>
          <cell r="C1847" t="str">
            <v>NOT USED</v>
          </cell>
          <cell r="D1847" t="str">
            <v>BENEFITS-PENSIONS-RETURN ON ASSETS-ROA</v>
          </cell>
          <cell r="E1847" t="str">
            <v/>
          </cell>
          <cell r="F1847" t="str">
            <v/>
          </cell>
          <cell r="G1847" t="str">
            <v/>
          </cell>
          <cell r="H1847" t="str">
            <v/>
          </cell>
          <cell r="I1847" t="str">
            <v/>
          </cell>
          <cell r="J1847" t="str">
            <v/>
          </cell>
          <cell r="K1847" t="str">
            <v/>
          </cell>
          <cell r="L1847">
            <v>2510.8121000000001</v>
          </cell>
          <cell r="M1847">
            <v>567.57737999999995</v>
          </cell>
          <cell r="N1847">
            <v>1109.0362</v>
          </cell>
          <cell r="O1847">
            <v>1625.0636400000001</v>
          </cell>
          <cell r="P1847">
            <v>2157.35124</v>
          </cell>
          <cell r="Q1847">
            <v>-11409.682790000001</v>
          </cell>
          <cell r="R1847">
            <v>-14059.37693</v>
          </cell>
          <cell r="S1847">
            <v>-16611.930349999999</v>
          </cell>
          <cell r="T1847">
            <v>-19160.020110000001</v>
          </cell>
          <cell r="U1847">
            <v>-22866.104240000001</v>
          </cell>
          <cell r="V1847">
            <v>5118.0707000000002</v>
          </cell>
          <cell r="W1847">
            <v>5485.1874900000003</v>
          </cell>
          <cell r="X1847">
            <v>5962.6344200000003</v>
          </cell>
          <cell r="Y1847">
            <v>-5317.3420429999996</v>
          </cell>
        </row>
        <row r="1848">
          <cell r="B1848">
            <v>681625</v>
          </cell>
          <cell r="C1848" t="str">
            <v>NOT USED</v>
          </cell>
          <cell r="D1848" t="str">
            <v>BENEFITS-PENSIONS-AMORTIZATION GAIN/LOSS</v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  <cell r="I1848" t="str">
            <v/>
          </cell>
          <cell r="J1848" t="str">
            <v/>
          </cell>
          <cell r="K1848" t="str">
            <v/>
          </cell>
          <cell r="L1848">
            <v>-671.74995000000001</v>
          </cell>
          <cell r="M1848">
            <v>-206.40505999999999</v>
          </cell>
          <cell r="N1848">
            <v>-405.14238</v>
          </cell>
          <cell r="O1848">
            <v>-594.00319999999999</v>
          </cell>
          <cell r="P1848">
            <v>-761.38773000000003</v>
          </cell>
          <cell r="Q1848">
            <v>3766.8312900000001</v>
          </cell>
          <cell r="R1848">
            <v>4495.3360599999996</v>
          </cell>
          <cell r="S1848">
            <v>5197.6067400000002</v>
          </cell>
          <cell r="T1848">
            <v>5888.3341700000001</v>
          </cell>
          <cell r="U1848">
            <v>6902.8292000000001</v>
          </cell>
          <cell r="V1848">
            <v>-1631.2580700000001</v>
          </cell>
          <cell r="W1848">
            <v>-1737.9703400000001</v>
          </cell>
          <cell r="X1848">
            <v>-1878.8805500000001</v>
          </cell>
          <cell r="Y1848">
            <v>1636.6212860000001</v>
          </cell>
        </row>
        <row r="1849">
          <cell r="B1849">
            <v>681626</v>
          </cell>
          <cell r="C1849" t="str">
            <v>NOT USED</v>
          </cell>
          <cell r="D1849" t="str">
            <v>BENEFITS-OPEB-SERVICE</v>
          </cell>
          <cell r="E1849" t="str">
            <v/>
          </cell>
          <cell r="F1849" t="str">
            <v/>
          </cell>
          <cell r="G1849" t="str">
            <v/>
          </cell>
          <cell r="H1849" t="str">
            <v/>
          </cell>
          <cell r="I1849" t="str">
            <v/>
          </cell>
          <cell r="J1849" t="str">
            <v/>
          </cell>
          <cell r="K1849" t="str">
            <v/>
          </cell>
          <cell r="L1849">
            <v>-262.89972999999998</v>
          </cell>
          <cell r="M1849">
            <v>-12.23274</v>
          </cell>
          <cell r="N1849">
            <v>-23.83417</v>
          </cell>
          <cell r="O1849">
            <v>-33.924509999999998</v>
          </cell>
          <cell r="P1849">
            <v>-41.967210000000001</v>
          </cell>
          <cell r="Q1849">
            <v>210.96666999999999</v>
          </cell>
          <cell r="R1849">
            <v>247.31328999999999</v>
          </cell>
          <cell r="S1849">
            <v>282.38531999999998</v>
          </cell>
          <cell r="T1849">
            <v>316.32996000000003</v>
          </cell>
          <cell r="U1849">
            <v>366.05412999999999</v>
          </cell>
          <cell r="V1849">
            <v>-83.090209999999999</v>
          </cell>
          <cell r="W1849">
            <v>-87.71987</v>
          </cell>
          <cell r="X1849">
            <v>-93.466440000000006</v>
          </cell>
          <cell r="Y1849">
            <v>80.174797999999996</v>
          </cell>
        </row>
        <row r="1850">
          <cell r="B1850">
            <v>681627</v>
          </cell>
          <cell r="C1850" t="str">
            <v>NOT USED</v>
          </cell>
          <cell r="D1850" t="str">
            <v>BENEFITS-OPEB-INTEREST</v>
          </cell>
          <cell r="E1850" t="str">
            <v/>
          </cell>
          <cell r="F1850" t="str">
            <v/>
          </cell>
          <cell r="G1850" t="str">
            <v/>
          </cell>
          <cell r="H1850" t="str">
            <v/>
          </cell>
          <cell r="I1850" t="str">
            <v/>
          </cell>
          <cell r="J1850" t="str">
            <v/>
          </cell>
          <cell r="K1850" t="str">
            <v/>
          </cell>
          <cell r="L1850">
            <v>-533.87052000000006</v>
          </cell>
          <cell r="M1850">
            <v>-73.759680000000003</v>
          </cell>
          <cell r="N1850">
            <v>-143.85875999999999</v>
          </cell>
          <cell r="O1850">
            <v>-210.85034999999999</v>
          </cell>
          <cell r="P1850">
            <v>-273.04825</v>
          </cell>
          <cell r="Q1850">
            <v>1432.3942300000001</v>
          </cell>
          <cell r="R1850">
            <v>1733.7236499999999</v>
          </cell>
          <cell r="S1850">
            <v>2024.0577699999999</v>
          </cell>
          <cell r="T1850">
            <v>2314.1461800000002</v>
          </cell>
          <cell r="U1850">
            <v>2735.3752100000002</v>
          </cell>
          <cell r="V1850">
            <v>-608.56649000000004</v>
          </cell>
          <cell r="W1850">
            <v>-649.83853999999997</v>
          </cell>
          <cell r="X1850">
            <v>-703.7473</v>
          </cell>
          <cell r="Y1850">
            <v>638.41383800000006</v>
          </cell>
        </row>
        <row r="1851">
          <cell r="B1851">
            <v>681628</v>
          </cell>
          <cell r="C1851" t="str">
            <v>NOT USED</v>
          </cell>
          <cell r="D1851" t="str">
            <v>BENEFITS-OPEB-RETURN ON ASSET-ROA</v>
          </cell>
          <cell r="E1851" t="str">
            <v/>
          </cell>
          <cell r="F1851" t="str">
            <v/>
          </cell>
          <cell r="G1851" t="str">
            <v/>
          </cell>
          <cell r="H1851" t="str">
            <v/>
          </cell>
          <cell r="I1851" t="str">
            <v/>
          </cell>
          <cell r="J1851" t="str">
            <v/>
          </cell>
          <cell r="K1851" t="str">
            <v/>
          </cell>
          <cell r="L1851">
            <v>6.1270199999999999</v>
          </cell>
          <cell r="M1851">
            <v>0.67123999999999995</v>
          </cell>
          <cell r="N1851">
            <v>1.56226</v>
          </cell>
          <cell r="O1851">
            <v>2.3073100000000002</v>
          </cell>
          <cell r="P1851">
            <v>3.37818</v>
          </cell>
          <cell r="Q1851">
            <v>4.1542300000000001</v>
          </cell>
          <cell r="R1851">
            <v>5.1182999999999996</v>
          </cell>
          <cell r="S1851">
            <v>5.93567</v>
          </cell>
          <cell r="T1851">
            <v>7.5796299999999999</v>
          </cell>
          <cell r="U1851">
            <v>8.3603000000000005</v>
          </cell>
          <cell r="V1851">
            <v>9.1187699999999996</v>
          </cell>
          <cell r="W1851">
            <v>9.8337199999999996</v>
          </cell>
          <cell r="X1851">
            <v>10.96116</v>
          </cell>
          <cell r="Y1851">
            <v>5.5469749999999998</v>
          </cell>
        </row>
        <row r="1852">
          <cell r="B1852">
            <v>681629</v>
          </cell>
          <cell r="C1852" t="str">
            <v>NOT USED</v>
          </cell>
          <cell r="D1852" t="str">
            <v>BENEFITS-OPEB-AMORTIZATION GAIN/LOSS</v>
          </cell>
          <cell r="E1852" t="str">
            <v/>
          </cell>
          <cell r="F1852" t="str">
            <v/>
          </cell>
          <cell r="G1852" t="str">
            <v/>
          </cell>
          <cell r="H1852" t="str">
            <v/>
          </cell>
          <cell r="I1852" t="str">
            <v/>
          </cell>
          <cell r="J1852" t="str">
            <v/>
          </cell>
          <cell r="K1852" t="str">
            <v/>
          </cell>
          <cell r="L1852">
            <v>-81.50215</v>
          </cell>
          <cell r="M1852">
            <v>-23.298079999999999</v>
          </cell>
          <cell r="N1852">
            <v>-46.175609999999999</v>
          </cell>
          <cell r="O1852">
            <v>-39.413879999999999</v>
          </cell>
          <cell r="P1852">
            <v>-59.231499999999997</v>
          </cell>
          <cell r="Q1852">
            <v>288.50499000000002</v>
          </cell>
          <cell r="R1852">
            <v>366.98599999999999</v>
          </cell>
          <cell r="S1852">
            <v>442.57447999999999</v>
          </cell>
          <cell r="T1852">
            <v>517.05317000000002</v>
          </cell>
          <cell r="U1852">
            <v>627.03700000000003</v>
          </cell>
          <cell r="V1852">
            <v>-157.83600000000001</v>
          </cell>
          <cell r="W1852">
            <v>-169.93467999999999</v>
          </cell>
          <cell r="X1852">
            <v>-185.96203</v>
          </cell>
          <cell r="Y1852">
            <v>134.37781699999999</v>
          </cell>
        </row>
        <row r="1853">
          <cell r="B1853">
            <v>682111</v>
          </cell>
          <cell r="C1853" t="str">
            <v>NOT USED</v>
          </cell>
          <cell r="D1853" t="str">
            <v>GAIN ON DISP OF PROP-ELEC</v>
          </cell>
          <cell r="E1853" t="str">
            <v/>
          </cell>
          <cell r="F1853" t="str">
            <v/>
          </cell>
          <cell r="G1853" t="str">
            <v/>
          </cell>
          <cell r="H1853" t="str">
            <v/>
          </cell>
          <cell r="I1853" t="str">
            <v/>
          </cell>
          <cell r="J1853" t="str">
            <v/>
          </cell>
          <cell r="K1853" t="str">
            <v/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</row>
        <row r="1854">
          <cell r="B1854">
            <v>682121</v>
          </cell>
          <cell r="C1854" t="str">
            <v>NOT USED</v>
          </cell>
          <cell r="D1854" t="str">
            <v>LOSS ON DISP OF PROP-ELEC</v>
          </cell>
          <cell r="E1854" t="str">
            <v/>
          </cell>
          <cell r="F1854" t="str">
            <v/>
          </cell>
          <cell r="G1854" t="str">
            <v/>
          </cell>
          <cell r="H1854" t="str">
            <v/>
          </cell>
          <cell r="I1854" t="str">
            <v/>
          </cell>
          <cell r="J1854" t="str">
            <v/>
          </cell>
          <cell r="K1854" t="str">
            <v/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</row>
        <row r="1855">
          <cell r="B1855">
            <v>682300</v>
          </cell>
          <cell r="C1855" t="str">
            <v>NOT USED</v>
          </cell>
          <cell r="D1855" t="str">
            <v>CONTRACTORS-ACCTG/AUDIT</v>
          </cell>
          <cell r="E1855" t="str">
            <v/>
          </cell>
          <cell r="F1855" t="str">
            <v/>
          </cell>
          <cell r="G1855" t="str">
            <v/>
          </cell>
          <cell r="H1855" t="str">
            <v/>
          </cell>
          <cell r="I1855" t="str">
            <v/>
          </cell>
          <cell r="J1855" t="str">
            <v/>
          </cell>
          <cell r="K1855" t="str">
            <v/>
          </cell>
          <cell r="L1855">
            <v>-10.175000000000001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-0.423958</v>
          </cell>
        </row>
        <row r="1856">
          <cell r="B1856">
            <v>682301</v>
          </cell>
          <cell r="C1856" t="str">
            <v>NOT USED</v>
          </cell>
          <cell r="D1856" t="str">
            <v>USSC SUPPORT</v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  <cell r="I1856" t="str">
            <v/>
          </cell>
          <cell r="J1856" t="str">
            <v/>
          </cell>
          <cell r="K1856" t="str">
            <v/>
          </cell>
          <cell r="L1856">
            <v>-489.46319</v>
          </cell>
          <cell r="M1856">
            <v>7.5501399999999999</v>
          </cell>
          <cell r="N1856">
            <v>3.9854799999999999</v>
          </cell>
          <cell r="O1856">
            <v>-1.01396</v>
          </cell>
          <cell r="P1856">
            <v>-18.524519999999999</v>
          </cell>
          <cell r="Q1856">
            <v>-44.987870000000001</v>
          </cell>
          <cell r="R1856">
            <v>-71.825720000000004</v>
          </cell>
          <cell r="S1856">
            <v>-165.40867</v>
          </cell>
          <cell r="T1856">
            <v>-449.98935999999998</v>
          </cell>
          <cell r="U1856">
            <v>-486.07738999999998</v>
          </cell>
          <cell r="V1856">
            <v>-621.06574999999998</v>
          </cell>
          <cell r="W1856">
            <v>-719.76950999999997</v>
          </cell>
          <cell r="X1856">
            <v>-1578.84995</v>
          </cell>
          <cell r="Y1856">
            <v>-300.10697499999998</v>
          </cell>
        </row>
        <row r="1857">
          <cell r="B1857">
            <v>682302</v>
          </cell>
          <cell r="C1857" t="str">
            <v>NOT USED</v>
          </cell>
          <cell r="D1857" t="str">
            <v>CONTRACTORS-SECURITY</v>
          </cell>
          <cell r="E1857" t="str">
            <v/>
          </cell>
          <cell r="F1857" t="str">
            <v/>
          </cell>
          <cell r="G1857" t="str">
            <v/>
          </cell>
          <cell r="H1857" t="str">
            <v/>
          </cell>
          <cell r="I1857" t="str">
            <v/>
          </cell>
          <cell r="J1857" t="str">
            <v/>
          </cell>
          <cell r="K1857" t="str">
            <v/>
          </cell>
          <cell r="L1857">
            <v>-768.50617999999997</v>
          </cell>
          <cell r="M1857">
            <v>-75.863969999999995</v>
          </cell>
          <cell r="N1857">
            <v>-91.158169999999998</v>
          </cell>
          <cell r="O1857">
            <v>-62.078629999999997</v>
          </cell>
          <cell r="P1857">
            <v>-137.99967000000001</v>
          </cell>
          <cell r="Q1857">
            <v>-208.89931999999999</v>
          </cell>
          <cell r="R1857">
            <v>-302.54162000000002</v>
          </cell>
          <cell r="S1857">
            <v>-301.58803</v>
          </cell>
          <cell r="T1857">
            <v>-301.37862000000001</v>
          </cell>
          <cell r="U1857">
            <v>-301.37862000000001</v>
          </cell>
          <cell r="V1857">
            <v>-423.41829000000001</v>
          </cell>
          <cell r="W1857">
            <v>-449.62583999999998</v>
          </cell>
          <cell r="X1857">
            <v>-469.40841999999998</v>
          </cell>
          <cell r="Y1857">
            <v>-272.90733999999998</v>
          </cell>
        </row>
        <row r="1858">
          <cell r="B1858">
            <v>682600</v>
          </cell>
          <cell r="C1858" t="str">
            <v>NOT USED</v>
          </cell>
          <cell r="D1858" t="str">
            <v>BENEFITS</v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  <cell r="I1858" t="str">
            <v/>
          </cell>
          <cell r="J1858" t="str">
            <v/>
          </cell>
          <cell r="K1858" t="str">
            <v/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-12.47237</v>
          </cell>
          <cell r="R1858">
            <v>-14.489750000000001</v>
          </cell>
          <cell r="S1858">
            <v>-16.59093</v>
          </cell>
          <cell r="T1858">
            <v>-18.499359999999999</v>
          </cell>
          <cell r="U1858">
            <v>-21.18421</v>
          </cell>
          <cell r="V1858">
            <v>0</v>
          </cell>
          <cell r="W1858">
            <v>0</v>
          </cell>
          <cell r="X1858">
            <v>0</v>
          </cell>
          <cell r="Y1858">
            <v>-6.9363849999999996</v>
          </cell>
        </row>
        <row r="1859">
          <cell r="B1859">
            <v>682616</v>
          </cell>
          <cell r="C1859" t="str">
            <v>NOT USED</v>
          </cell>
          <cell r="D1859" t="str">
            <v>BENEFITS-FAS 112</v>
          </cell>
          <cell r="E1859" t="str">
            <v/>
          </cell>
          <cell r="F1859" t="str">
            <v/>
          </cell>
          <cell r="G1859" t="str">
            <v/>
          </cell>
          <cell r="H1859" t="str">
            <v/>
          </cell>
          <cell r="I1859" t="str">
            <v/>
          </cell>
          <cell r="J1859" t="str">
            <v/>
          </cell>
          <cell r="K1859" t="str">
            <v/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-478.66665999999998</v>
          </cell>
          <cell r="U1859">
            <v>-538.49999000000003</v>
          </cell>
          <cell r="V1859">
            <v>0</v>
          </cell>
          <cell r="W1859">
            <v>0</v>
          </cell>
          <cell r="X1859">
            <v>0</v>
          </cell>
          <cell r="Y1859">
            <v>-84.763887999999994</v>
          </cell>
        </row>
        <row r="1860">
          <cell r="B1860">
            <v>682660</v>
          </cell>
          <cell r="C1860" t="str">
            <v>NOT USED</v>
          </cell>
          <cell r="D1860" t="str">
            <v>BENEFITS-OPEB-SERVICE</v>
          </cell>
          <cell r="E1860" t="str">
            <v/>
          </cell>
          <cell r="F1860" t="str">
            <v/>
          </cell>
          <cell r="G1860" t="str">
            <v/>
          </cell>
          <cell r="H1860" t="str">
            <v/>
          </cell>
          <cell r="I1860" t="str">
            <v/>
          </cell>
          <cell r="J1860" t="str">
            <v/>
          </cell>
          <cell r="K1860" t="str">
            <v/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-253.32832999999999</v>
          </cell>
          <cell r="R1860">
            <v>-303.99400000000003</v>
          </cell>
          <cell r="S1860">
            <v>-354.65967000000001</v>
          </cell>
          <cell r="T1860">
            <v>-405.32533999999998</v>
          </cell>
          <cell r="U1860">
            <v>-455.99101000000002</v>
          </cell>
          <cell r="V1860">
            <v>0</v>
          </cell>
          <cell r="W1860">
            <v>0</v>
          </cell>
          <cell r="X1860">
            <v>0</v>
          </cell>
          <cell r="Y1860">
            <v>-147.77486300000001</v>
          </cell>
        </row>
        <row r="1861">
          <cell r="B1861">
            <v>682661</v>
          </cell>
          <cell r="C1861" t="str">
            <v>NOT USED</v>
          </cell>
          <cell r="D1861" t="str">
            <v>BENEFITS-OPEB-INTEREST</v>
          </cell>
          <cell r="E1861" t="str">
            <v/>
          </cell>
          <cell r="F1861" t="str">
            <v/>
          </cell>
          <cell r="G1861" t="str">
            <v/>
          </cell>
          <cell r="H1861" t="str">
            <v/>
          </cell>
          <cell r="I1861" t="str">
            <v/>
          </cell>
          <cell r="J1861" t="str">
            <v/>
          </cell>
          <cell r="K1861" t="str">
            <v/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-1761.6587500000001</v>
          </cell>
          <cell r="R1861">
            <v>-2113.9904999999999</v>
          </cell>
          <cell r="S1861">
            <v>-2466.3222500000002</v>
          </cell>
          <cell r="T1861">
            <v>-2818.654</v>
          </cell>
          <cell r="U1861">
            <v>-3170.9857499999998</v>
          </cell>
          <cell r="V1861">
            <v>0</v>
          </cell>
          <cell r="W1861">
            <v>0</v>
          </cell>
          <cell r="X1861">
            <v>0</v>
          </cell>
          <cell r="Y1861">
            <v>-1027.6342709999999</v>
          </cell>
        </row>
        <row r="1862">
          <cell r="B1862">
            <v>682663</v>
          </cell>
          <cell r="C1862" t="str">
            <v>NOT USED</v>
          </cell>
          <cell r="D1862" t="str">
            <v>BENEFITS-OPEB-AMORTIZATION GAIN/LOSS</v>
          </cell>
          <cell r="E1862" t="str">
            <v/>
          </cell>
          <cell r="F1862" t="str">
            <v/>
          </cell>
          <cell r="G1862" t="str">
            <v/>
          </cell>
          <cell r="H1862" t="str">
            <v/>
          </cell>
          <cell r="I1862" t="str">
            <v/>
          </cell>
          <cell r="J1862" t="str">
            <v/>
          </cell>
          <cell r="K1862" t="str">
            <v/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-423.79374999999999</v>
          </cell>
          <cell r="R1862">
            <v>-508.55250000000001</v>
          </cell>
          <cell r="S1862">
            <v>-593.31124999999997</v>
          </cell>
          <cell r="T1862">
            <v>-678.07</v>
          </cell>
          <cell r="U1862">
            <v>-762.82875000000001</v>
          </cell>
          <cell r="V1862">
            <v>0</v>
          </cell>
          <cell r="W1862">
            <v>0</v>
          </cell>
          <cell r="X1862">
            <v>0</v>
          </cell>
          <cell r="Y1862">
            <v>-247.213021</v>
          </cell>
        </row>
        <row r="1863">
          <cell r="B1863">
            <v>682801</v>
          </cell>
          <cell r="C1863" t="str">
            <v>NOT USED</v>
          </cell>
          <cell r="D1863" t="str">
            <v>REGULATORY ASSESSMENT</v>
          </cell>
          <cell r="E1863" t="str">
            <v/>
          </cell>
          <cell r="F1863" t="str">
            <v/>
          </cell>
          <cell r="G1863" t="str">
            <v/>
          </cell>
          <cell r="H1863" t="str">
            <v/>
          </cell>
          <cell r="I1863" t="str">
            <v/>
          </cell>
          <cell r="J1863" t="str">
            <v/>
          </cell>
          <cell r="K1863" t="str">
            <v/>
          </cell>
          <cell r="L1863">
            <v>-2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-8.3333000000000004E-2</v>
          </cell>
        </row>
        <row r="1864">
          <cell r="B1864">
            <v>682900</v>
          </cell>
          <cell r="C1864" t="str">
            <v>NOT USED</v>
          </cell>
          <cell r="D1864" t="str">
            <v>AMORT OF DEBT-PREMIUM</v>
          </cell>
          <cell r="E1864" t="str">
            <v/>
          </cell>
          <cell r="F1864" t="str">
            <v/>
          </cell>
          <cell r="G1864" t="str">
            <v/>
          </cell>
          <cell r="H1864" t="str">
            <v/>
          </cell>
          <cell r="I1864" t="str">
            <v/>
          </cell>
          <cell r="J1864" t="str">
            <v/>
          </cell>
          <cell r="K1864" t="str">
            <v/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</row>
        <row r="1865">
          <cell r="B1865">
            <v>683019</v>
          </cell>
          <cell r="C1865" t="str">
            <v>NOT USED</v>
          </cell>
          <cell r="D1865" t="str">
            <v>FEES-BANK</v>
          </cell>
          <cell r="E1865" t="str">
            <v/>
          </cell>
          <cell r="F1865" t="str">
            <v/>
          </cell>
          <cell r="G1865" t="str">
            <v/>
          </cell>
          <cell r="H1865" t="str">
            <v/>
          </cell>
          <cell r="I1865" t="str">
            <v/>
          </cell>
          <cell r="J1865" t="str">
            <v/>
          </cell>
          <cell r="K1865" t="str">
            <v/>
          </cell>
          <cell r="L1865">
            <v>-0.06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-2.5000000000000001E-3</v>
          </cell>
        </row>
        <row r="1866">
          <cell r="B1866">
            <v>683023</v>
          </cell>
          <cell r="C1866" t="str">
            <v>NOT USED</v>
          </cell>
          <cell r="D1866" t="str">
            <v>MEMBERSHIPS &amp; SUBSCRIPTIONS</v>
          </cell>
          <cell r="E1866">
            <v>0</v>
          </cell>
        </row>
        <row r="1867">
          <cell r="B1867">
            <v>683024</v>
          </cell>
          <cell r="C1867" t="str">
            <v>NOT USED</v>
          </cell>
          <cell r="D1867" t="str">
            <v>EEMC SUPPORT</v>
          </cell>
          <cell r="E1867" t="str">
            <v/>
          </cell>
          <cell r="F1867" t="str">
            <v/>
          </cell>
          <cell r="G1867" t="str">
            <v/>
          </cell>
          <cell r="H1867" t="str">
            <v/>
          </cell>
          <cell r="I1867" t="str">
            <v/>
          </cell>
          <cell r="J1867" t="str">
            <v/>
          </cell>
          <cell r="K1867" t="str">
            <v/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</row>
        <row r="1868">
          <cell r="B1868">
            <v>683102</v>
          </cell>
          <cell r="C1868" t="str">
            <v>NOT USED</v>
          </cell>
          <cell r="D1868" t="str">
            <v>FEES-LATE PAYMENT</v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  <cell r="I1868" t="str">
            <v/>
          </cell>
          <cell r="J1868" t="str">
            <v/>
          </cell>
          <cell r="K1868" t="str">
            <v/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</row>
        <row r="1869">
          <cell r="B1869">
            <v>683250</v>
          </cell>
          <cell r="C1869" t="str">
            <v>NOT USED</v>
          </cell>
          <cell r="D1869" t="str">
            <v>EMPLOYEE MEMBERSHIP DUES</v>
          </cell>
          <cell r="E1869" t="str">
            <v/>
          </cell>
          <cell r="F1869" t="str">
            <v/>
          </cell>
          <cell r="G1869" t="str">
            <v/>
          </cell>
          <cell r="H1869" t="str">
            <v/>
          </cell>
          <cell r="I1869" t="str">
            <v/>
          </cell>
          <cell r="J1869" t="str">
            <v/>
          </cell>
          <cell r="K1869" t="str">
            <v/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0.127</v>
          </cell>
          <cell r="Y1869">
            <v>5.2919999999999998E-3</v>
          </cell>
        </row>
        <row r="1870">
          <cell r="B1870">
            <v>683255</v>
          </cell>
          <cell r="C1870" t="str">
            <v>NOT USED</v>
          </cell>
          <cell r="D1870" t="str">
            <v>EMPLOYEE - ENTERTAINMENT EXPENSES</v>
          </cell>
          <cell r="E1870" t="str">
            <v/>
          </cell>
          <cell r="F1870" t="str">
            <v/>
          </cell>
          <cell r="G1870" t="str">
            <v/>
          </cell>
          <cell r="H1870" t="str">
            <v/>
          </cell>
          <cell r="I1870" t="str">
            <v/>
          </cell>
          <cell r="J1870" t="str">
            <v/>
          </cell>
          <cell r="K1870" t="str">
            <v/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</row>
        <row r="1871">
          <cell r="B1871">
            <v>684700</v>
          </cell>
          <cell r="C1871" t="str">
            <v>NOT USED</v>
          </cell>
          <cell r="D1871" t="str">
            <v>FUEL-DIESEL FOR GEN-IC</v>
          </cell>
          <cell r="E1871" t="str">
            <v/>
          </cell>
          <cell r="F1871" t="str">
            <v/>
          </cell>
          <cell r="G1871" t="str">
            <v/>
          </cell>
          <cell r="H1871" t="str">
            <v/>
          </cell>
          <cell r="I1871" t="str">
            <v/>
          </cell>
          <cell r="J1871" t="str">
            <v/>
          </cell>
          <cell r="K1871" t="str">
            <v/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</row>
        <row r="1872">
          <cell r="B1872">
            <v>689250</v>
          </cell>
          <cell r="C1872" t="str">
            <v>NOT USED</v>
          </cell>
          <cell r="D1872" t="str">
            <v>INJURY &amp; DAMAGES</v>
          </cell>
          <cell r="E1872" t="str">
            <v/>
          </cell>
          <cell r="F1872" t="str">
            <v/>
          </cell>
          <cell r="G1872" t="str">
            <v/>
          </cell>
          <cell r="H1872" t="str">
            <v/>
          </cell>
          <cell r="I1872" t="str">
            <v/>
          </cell>
          <cell r="J1872" t="str">
            <v/>
          </cell>
          <cell r="K1872" t="str">
            <v/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</row>
        <row r="1873">
          <cell r="B1873">
            <v>689261</v>
          </cell>
          <cell r="C1873" t="str">
            <v>NOT USED</v>
          </cell>
          <cell r="D1873" t="str">
            <v>BENEFITS-PENSION</v>
          </cell>
          <cell r="E1873" t="str">
            <v/>
          </cell>
          <cell r="F1873" t="str">
            <v/>
          </cell>
          <cell r="G1873" t="str">
            <v/>
          </cell>
          <cell r="H1873" t="str">
            <v/>
          </cell>
          <cell r="I1873" t="str">
            <v/>
          </cell>
          <cell r="J1873" t="str">
            <v/>
          </cell>
          <cell r="K1873" t="str">
            <v/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18.312899999999999</v>
          </cell>
          <cell r="R1873">
            <v>21.975480000000001</v>
          </cell>
          <cell r="S1873">
            <v>25.638059999999999</v>
          </cell>
          <cell r="T1873">
            <v>37.183059999999998</v>
          </cell>
          <cell r="U1873">
            <v>41.831060000000001</v>
          </cell>
          <cell r="V1873">
            <v>0</v>
          </cell>
          <cell r="W1873">
            <v>0</v>
          </cell>
          <cell r="X1873">
            <v>0</v>
          </cell>
          <cell r="Y1873">
            <v>12.078379999999999</v>
          </cell>
        </row>
        <row r="1874">
          <cell r="B1874">
            <v>689280</v>
          </cell>
          <cell r="C1874" t="str">
            <v>NOT USED</v>
          </cell>
          <cell r="D1874" t="str">
            <v>REGULATORY EXP</v>
          </cell>
          <cell r="E1874" t="str">
            <v/>
          </cell>
          <cell r="F1874" t="str">
            <v/>
          </cell>
          <cell r="G1874" t="str">
            <v/>
          </cell>
          <cell r="H1874" t="str">
            <v/>
          </cell>
          <cell r="I1874" t="str">
            <v/>
          </cell>
          <cell r="J1874" t="str">
            <v/>
          </cell>
          <cell r="K1874" t="str">
            <v/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</row>
        <row r="1875">
          <cell r="B1875">
            <v>689999</v>
          </cell>
          <cell r="C1875" t="str">
            <v>NOT USED</v>
          </cell>
          <cell r="D1875" t="str">
            <v>FXA RECONCILATION</v>
          </cell>
          <cell r="E1875" t="str">
            <v/>
          </cell>
          <cell r="F1875" t="str">
            <v/>
          </cell>
          <cell r="G1875" t="str">
            <v/>
          </cell>
          <cell r="H1875" t="str">
            <v/>
          </cell>
          <cell r="I1875" t="str">
            <v/>
          </cell>
          <cell r="J1875" t="str">
            <v/>
          </cell>
          <cell r="K1875" t="str">
            <v/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</row>
        <row r="1876">
          <cell r="B1876">
            <v>690050</v>
          </cell>
          <cell r="C1876" t="str">
            <v>NOT USED</v>
          </cell>
          <cell r="D1876" t="str">
            <v>LABOR</v>
          </cell>
          <cell r="E1876" t="str">
            <v/>
          </cell>
          <cell r="F1876" t="str">
            <v/>
          </cell>
          <cell r="G1876" t="str">
            <v/>
          </cell>
          <cell r="H1876" t="str">
            <v/>
          </cell>
          <cell r="I1876" t="str">
            <v/>
          </cell>
          <cell r="J1876" t="str">
            <v/>
          </cell>
          <cell r="K1876" t="str">
            <v/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</row>
        <row r="1877">
          <cell r="B1877">
            <v>690070</v>
          </cell>
          <cell r="C1877" t="str">
            <v>NOT USED</v>
          </cell>
          <cell r="D1877" t="str">
            <v>BENEFITS</v>
          </cell>
          <cell r="E1877" t="str">
            <v/>
          </cell>
          <cell r="F1877" t="str">
            <v/>
          </cell>
          <cell r="G1877" t="str">
            <v/>
          </cell>
          <cell r="H1877" t="str">
            <v/>
          </cell>
          <cell r="I1877" t="str">
            <v/>
          </cell>
          <cell r="J1877" t="str">
            <v/>
          </cell>
          <cell r="K1877" t="str">
            <v/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</row>
        <row r="1878">
          <cell r="B1878">
            <v>690090</v>
          </cell>
          <cell r="C1878" t="str">
            <v>NOT USED</v>
          </cell>
          <cell r="D1878" t="str">
            <v>CONTRACTORS</v>
          </cell>
          <cell r="E1878" t="str">
            <v/>
          </cell>
          <cell r="F1878" t="str">
            <v/>
          </cell>
          <cell r="G1878" t="str">
            <v/>
          </cell>
          <cell r="H1878" t="str">
            <v/>
          </cell>
          <cell r="I1878" t="str">
            <v/>
          </cell>
          <cell r="J1878" t="str">
            <v/>
          </cell>
          <cell r="K1878" t="str">
            <v/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</row>
        <row r="1879">
          <cell r="B1879">
            <v>690120</v>
          </cell>
          <cell r="C1879" t="str">
            <v>NOT USED</v>
          </cell>
          <cell r="D1879" t="str">
            <v>MATERIALS</v>
          </cell>
          <cell r="E1879" t="str">
            <v/>
          </cell>
          <cell r="F1879" t="str">
            <v/>
          </cell>
          <cell r="G1879" t="str">
            <v/>
          </cell>
          <cell r="H1879" t="str">
            <v/>
          </cell>
          <cell r="I1879" t="str">
            <v/>
          </cell>
          <cell r="J1879" t="str">
            <v/>
          </cell>
          <cell r="K1879" t="str">
            <v/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</row>
        <row r="1880">
          <cell r="B1880">
            <v>690130</v>
          </cell>
          <cell r="C1880" t="str">
            <v>NOT USED</v>
          </cell>
          <cell r="D1880" t="str">
            <v>FUEL</v>
          </cell>
          <cell r="E1880" t="str">
            <v/>
          </cell>
          <cell r="F1880" t="str">
            <v/>
          </cell>
          <cell r="G1880" t="str">
            <v/>
          </cell>
          <cell r="H1880" t="str">
            <v/>
          </cell>
          <cell r="I1880" t="str">
            <v/>
          </cell>
          <cell r="J1880" t="str">
            <v/>
          </cell>
          <cell r="K1880" t="str">
            <v/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</row>
        <row r="1881">
          <cell r="B1881">
            <v>690140</v>
          </cell>
          <cell r="C1881" t="str">
            <v>NOT USED</v>
          </cell>
          <cell r="D1881" t="str">
            <v>RENTS-LEASES</v>
          </cell>
          <cell r="E1881" t="str">
            <v/>
          </cell>
          <cell r="F1881" t="str">
            <v/>
          </cell>
          <cell r="G1881" t="str">
            <v/>
          </cell>
          <cell r="H1881" t="str">
            <v/>
          </cell>
          <cell r="I1881" t="str">
            <v/>
          </cell>
          <cell r="J1881" t="str">
            <v/>
          </cell>
          <cell r="K1881" t="str">
            <v/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</row>
        <row r="1882">
          <cell r="B1882">
            <v>690160</v>
          </cell>
          <cell r="C1882" t="str">
            <v>NOT USED</v>
          </cell>
          <cell r="D1882" t="str">
            <v>INJURY DAMAGES</v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  <cell r="I1882" t="str">
            <v/>
          </cell>
          <cell r="J1882" t="str">
            <v/>
          </cell>
          <cell r="K1882" t="str">
            <v/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</row>
        <row r="1883">
          <cell r="B1883">
            <v>690170</v>
          </cell>
          <cell r="C1883" t="str">
            <v>NOT USED</v>
          </cell>
          <cell r="D1883" t="str">
            <v>TRAVEL</v>
          </cell>
          <cell r="E1883" t="str">
            <v/>
          </cell>
          <cell r="F1883" t="str">
            <v/>
          </cell>
          <cell r="G1883" t="str">
            <v/>
          </cell>
          <cell r="H1883" t="str">
            <v/>
          </cell>
          <cell r="I1883" t="str">
            <v/>
          </cell>
          <cell r="J1883" t="str">
            <v/>
          </cell>
          <cell r="K1883" t="str">
            <v/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</row>
        <row r="1884">
          <cell r="B1884">
            <v>690180</v>
          </cell>
          <cell r="C1884" t="str">
            <v>NOT USED</v>
          </cell>
          <cell r="D1884" t="str">
            <v>GENERAL EXPENSES</v>
          </cell>
          <cell r="E1884" t="str">
            <v/>
          </cell>
          <cell r="F1884" t="str">
            <v/>
          </cell>
          <cell r="G1884" t="str">
            <v/>
          </cell>
          <cell r="H1884" t="str">
            <v/>
          </cell>
          <cell r="I1884" t="str">
            <v/>
          </cell>
          <cell r="J1884" t="str">
            <v/>
          </cell>
          <cell r="K1884" t="str">
            <v/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</row>
        <row r="1885">
          <cell r="B1885">
            <v>690190</v>
          </cell>
          <cell r="C1885" t="str">
            <v>NOT USED</v>
          </cell>
          <cell r="D1885" t="str">
            <v>REGULATORY EXPENSES</v>
          </cell>
          <cell r="E1885" t="str">
            <v/>
          </cell>
          <cell r="F1885" t="str">
            <v/>
          </cell>
          <cell r="G1885" t="str">
            <v/>
          </cell>
          <cell r="H1885" t="str">
            <v/>
          </cell>
          <cell r="I1885" t="str">
            <v/>
          </cell>
          <cell r="J1885" t="str">
            <v/>
          </cell>
          <cell r="K1885" t="str">
            <v/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</row>
        <row r="1886">
          <cell r="B1886">
            <v>690220</v>
          </cell>
          <cell r="C1886" t="str">
            <v>NOT USED</v>
          </cell>
          <cell r="D1886" t="str">
            <v>CORPORATE TAXES</v>
          </cell>
          <cell r="E1886" t="str">
            <v/>
          </cell>
          <cell r="F1886" t="str">
            <v/>
          </cell>
          <cell r="G1886" t="str">
            <v/>
          </cell>
          <cell r="H1886" t="str">
            <v/>
          </cell>
          <cell r="I1886" t="str">
            <v/>
          </cell>
          <cell r="J1886" t="str">
            <v/>
          </cell>
          <cell r="K1886" t="str">
            <v/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</row>
        <row r="1887">
          <cell r="B1887">
            <v>690270</v>
          </cell>
          <cell r="C1887" t="str">
            <v>NOT USED</v>
          </cell>
          <cell r="D1887" t="str">
            <v>INTEREST - OTHER</v>
          </cell>
          <cell r="E1887" t="str">
            <v/>
          </cell>
          <cell r="F1887" t="str">
            <v/>
          </cell>
          <cell r="G1887" t="str">
            <v/>
          </cell>
          <cell r="H1887" t="str">
            <v/>
          </cell>
          <cell r="I1887" t="str">
            <v/>
          </cell>
          <cell r="J1887" t="str">
            <v/>
          </cell>
          <cell r="K1887" t="str">
            <v/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</row>
        <row r="1888">
          <cell r="B1888">
            <v>700000</v>
          </cell>
          <cell r="C1888" t="str">
            <v>NOT USED</v>
          </cell>
          <cell r="D1888" t="str">
            <v>MATERIALS - SETTLEMENT TO DEFERRED DEBITS</v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  <cell r="I1888" t="str">
            <v/>
          </cell>
          <cell r="J1888" t="str">
            <v/>
          </cell>
          <cell r="K1888" t="str">
            <v/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</row>
        <row r="1889">
          <cell r="B1889">
            <v>700001</v>
          </cell>
          <cell r="C1889" t="str">
            <v>NOT USED</v>
          </cell>
          <cell r="D1889" t="str">
            <v>LABOR &amp; BENEFITS - SETTLEMENT TO DEFERRED DEBITS</v>
          </cell>
          <cell r="E1889" t="str">
            <v/>
          </cell>
          <cell r="F1889" t="str">
            <v/>
          </cell>
          <cell r="G1889" t="str">
            <v/>
          </cell>
          <cell r="H1889" t="str">
            <v/>
          </cell>
          <cell r="I1889" t="str">
            <v/>
          </cell>
          <cell r="J1889" t="str">
            <v/>
          </cell>
          <cell r="K1889" t="str">
            <v/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</row>
        <row r="1890">
          <cell r="B1890">
            <v>700002</v>
          </cell>
          <cell r="C1890" t="str">
            <v>NOT USED</v>
          </cell>
          <cell r="D1890" t="str">
            <v>OUTSIDE SERVICES - SETTLEMENT TO DEFERRED DEBITS</v>
          </cell>
          <cell r="E1890" t="str">
            <v/>
          </cell>
          <cell r="F1890" t="str">
            <v/>
          </cell>
          <cell r="G1890" t="str">
            <v/>
          </cell>
          <cell r="H1890" t="str">
            <v/>
          </cell>
          <cell r="I1890" t="str">
            <v/>
          </cell>
          <cell r="J1890" t="str">
            <v/>
          </cell>
          <cell r="K1890" t="str">
            <v/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</row>
        <row r="1891">
          <cell r="B1891">
            <v>700005</v>
          </cell>
          <cell r="C1891" t="str">
            <v>NOT USED</v>
          </cell>
          <cell r="D1891" t="str">
            <v>OTHER - SETTLEMENT TO DEFERRED DEBITS</v>
          </cell>
          <cell r="E1891" t="str">
            <v/>
          </cell>
          <cell r="F1891" t="str">
            <v/>
          </cell>
          <cell r="G1891" t="str">
            <v/>
          </cell>
          <cell r="H1891" t="str">
            <v/>
          </cell>
          <cell r="I1891" t="str">
            <v/>
          </cell>
          <cell r="J1891" t="str">
            <v/>
          </cell>
          <cell r="K1891" t="str">
            <v/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</row>
        <row r="1892">
          <cell r="B1892">
            <v>700006</v>
          </cell>
          <cell r="C1892" t="str">
            <v>NOT USED</v>
          </cell>
          <cell r="D1892" t="str">
            <v>CIAC - SETTLEMENT TO DEFERRED DEBITS</v>
          </cell>
          <cell r="E1892" t="str">
            <v/>
          </cell>
          <cell r="F1892" t="str">
            <v/>
          </cell>
          <cell r="G1892" t="str">
            <v/>
          </cell>
          <cell r="H1892" t="str">
            <v/>
          </cell>
          <cell r="I1892" t="str">
            <v/>
          </cell>
          <cell r="J1892" t="str">
            <v/>
          </cell>
          <cell r="K1892" t="str">
            <v/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</row>
        <row r="1893">
          <cell r="B1893">
            <v>700009</v>
          </cell>
          <cell r="C1893" t="str">
            <v>NOT USED</v>
          </cell>
          <cell r="D1893" t="str">
            <v>LEGAL - SETTLEMENT TO DEFERRED DEBITS</v>
          </cell>
          <cell r="E1893" t="str">
            <v/>
          </cell>
          <cell r="F1893" t="str">
            <v/>
          </cell>
          <cell r="G1893" t="str">
            <v/>
          </cell>
          <cell r="H1893" t="str">
            <v/>
          </cell>
          <cell r="I1893" t="str">
            <v/>
          </cell>
          <cell r="J1893" t="str">
            <v/>
          </cell>
          <cell r="K1893" t="str">
            <v/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</row>
        <row r="1894">
          <cell r="B1894">
            <v>780043</v>
          </cell>
          <cell r="C1894" t="str">
            <v>NOT USED</v>
          </cell>
          <cell r="D1894" t="str">
            <v>BENEFITS-PENSIONS-AMORTIZATION GAIN/LOSS</v>
          </cell>
          <cell r="E1894" t="str">
            <v/>
          </cell>
          <cell r="F1894" t="str">
            <v/>
          </cell>
          <cell r="G1894" t="str">
            <v/>
          </cell>
          <cell r="H1894" t="str">
            <v/>
          </cell>
          <cell r="I1894" t="str">
            <v/>
          </cell>
          <cell r="J1894" t="str">
            <v/>
          </cell>
          <cell r="K1894" t="str">
            <v/>
          </cell>
          <cell r="V1894">
            <v>-8916.7441799999997</v>
          </cell>
          <cell r="W1894">
            <v>-9808.4186000000009</v>
          </cell>
          <cell r="X1894">
            <v>-10700.09302</v>
          </cell>
          <cell r="Y1894">
            <v>-2006.267441</v>
          </cell>
        </row>
        <row r="1895">
          <cell r="B1895">
            <v>780049</v>
          </cell>
          <cell r="C1895" t="str">
            <v>NOT USED</v>
          </cell>
          <cell r="D1895" t="str">
            <v>BENEFITS - WORKMEN'S COMPENSATION</v>
          </cell>
          <cell r="E1895" t="str">
            <v/>
          </cell>
          <cell r="F1895" t="str">
            <v/>
          </cell>
          <cell r="G1895" t="str">
            <v/>
          </cell>
          <cell r="H1895" t="str">
            <v/>
          </cell>
          <cell r="I1895" t="str">
            <v/>
          </cell>
          <cell r="J1895" t="str">
            <v/>
          </cell>
          <cell r="K1895" t="str">
            <v/>
          </cell>
          <cell r="V1895">
            <v>-1941.3440399999999</v>
          </cell>
          <cell r="W1895">
            <v>-1979.6424500000001</v>
          </cell>
          <cell r="X1895">
            <v>-2161.71819</v>
          </cell>
          <cell r="Y1895">
            <v>-416.82046500000001</v>
          </cell>
        </row>
        <row r="1896">
          <cell r="B1896">
            <v>780050</v>
          </cell>
          <cell r="C1896" t="str">
            <v>NOT USED</v>
          </cell>
          <cell r="D1896" t="str">
            <v>BENEFITS-OTHER</v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  <cell r="I1896" t="str">
            <v/>
          </cell>
          <cell r="J1896" t="str">
            <v/>
          </cell>
          <cell r="K1896" t="str">
            <v/>
          </cell>
          <cell r="V1896">
            <v>-6546.5406700000003</v>
          </cell>
          <cell r="W1896">
            <v>-7178.4982799999998</v>
          </cell>
          <cell r="X1896">
            <v>-8162.5899099999997</v>
          </cell>
          <cell r="Y1896">
            <v>-1483.861159</v>
          </cell>
        </row>
        <row r="1897">
          <cell r="B1897">
            <v>780048</v>
          </cell>
          <cell r="C1897" t="str">
            <v>NOT USED</v>
          </cell>
          <cell r="D1897" t="str">
            <v>BENEFITS-OPEB</v>
          </cell>
          <cell r="E1897">
            <v>0</v>
          </cell>
        </row>
        <row r="1898">
          <cell r="B1898">
            <v>780051</v>
          </cell>
          <cell r="C1898" t="str">
            <v>NOT USED</v>
          </cell>
          <cell r="D1898" t="str">
            <v>BENEFITS-R &amp; R</v>
          </cell>
          <cell r="E1898" t="str">
            <v/>
          </cell>
          <cell r="F1898" t="str">
            <v/>
          </cell>
          <cell r="G1898" t="str">
            <v/>
          </cell>
          <cell r="H1898" t="str">
            <v/>
          </cell>
          <cell r="I1898" t="str">
            <v/>
          </cell>
          <cell r="J1898" t="str">
            <v/>
          </cell>
          <cell r="K1898" t="str">
            <v/>
          </cell>
          <cell r="L1898">
            <v>-3</v>
          </cell>
          <cell r="M1898">
            <v>0</v>
          </cell>
          <cell r="N1898">
            <v>-7.5</v>
          </cell>
          <cell r="O1898">
            <v>-7.5</v>
          </cell>
          <cell r="P1898">
            <v>-7.5</v>
          </cell>
          <cell r="Q1898">
            <v>-7.5</v>
          </cell>
          <cell r="R1898">
            <v>-7.5</v>
          </cell>
          <cell r="S1898">
            <v>-7.5</v>
          </cell>
          <cell r="T1898">
            <v>-7.5</v>
          </cell>
          <cell r="U1898">
            <v>-7.5</v>
          </cell>
          <cell r="V1898">
            <v>-7.5</v>
          </cell>
          <cell r="W1898">
            <v>-5</v>
          </cell>
          <cell r="X1898">
            <v>-5</v>
          </cell>
          <cell r="Y1898">
            <v>-6.375</v>
          </cell>
        </row>
        <row r="1899">
          <cell r="B1899">
            <v>780052</v>
          </cell>
          <cell r="C1899" t="str">
            <v>NOT USED</v>
          </cell>
          <cell r="D1899" t="str">
            <v>BENEFITS-PENSIONS-SERVICES</v>
          </cell>
          <cell r="E1899" t="str">
            <v/>
          </cell>
          <cell r="F1899" t="str">
            <v/>
          </cell>
          <cell r="G1899" t="str">
            <v/>
          </cell>
          <cell r="H1899" t="str">
            <v/>
          </cell>
          <cell r="I1899" t="str">
            <v/>
          </cell>
          <cell r="J1899" t="str">
            <v/>
          </cell>
          <cell r="K1899" t="str">
            <v/>
          </cell>
          <cell r="V1899">
            <v>-3229.4666900000002</v>
          </cell>
          <cell r="W1899">
            <v>-3552.4133499999998</v>
          </cell>
          <cell r="X1899">
            <v>-3875.3600099999999</v>
          </cell>
          <cell r="Y1899">
            <v>-726.63000399999999</v>
          </cell>
        </row>
        <row r="1900">
          <cell r="B1900">
            <v>780053</v>
          </cell>
          <cell r="C1900" t="str">
            <v>NOT USED</v>
          </cell>
          <cell r="D1900" t="str">
            <v>BENEFITS-PENSIONS-INTEREST</v>
          </cell>
          <cell r="E1900" t="str">
            <v/>
          </cell>
          <cell r="F1900" t="str">
            <v/>
          </cell>
          <cell r="G1900" t="str">
            <v/>
          </cell>
          <cell r="H1900" t="str">
            <v/>
          </cell>
          <cell r="I1900" t="str">
            <v/>
          </cell>
          <cell r="J1900" t="str">
            <v/>
          </cell>
          <cell r="K1900" t="str">
            <v/>
          </cell>
          <cell r="V1900">
            <v>-18082.78</v>
          </cell>
          <cell r="W1900">
            <v>-19891.058000000001</v>
          </cell>
          <cell r="X1900">
            <v>-21699.335999999999</v>
          </cell>
          <cell r="Y1900">
            <v>-4068.6255000000001</v>
          </cell>
        </row>
        <row r="1901">
          <cell r="B1901">
            <v>780054</v>
          </cell>
          <cell r="C1901" t="str">
            <v>NOT USED</v>
          </cell>
          <cell r="D1901" t="str">
            <v>BENEFITS-PENSIONS-RETURN ON ASSETS-ROA</v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  <cell r="I1901" t="str">
            <v/>
          </cell>
          <cell r="J1901" t="str">
            <v/>
          </cell>
          <cell r="K1901" t="str">
            <v/>
          </cell>
          <cell r="V1901">
            <v>29803.119180000002</v>
          </cell>
          <cell r="W1901">
            <v>32783.431100000002</v>
          </cell>
          <cell r="X1901">
            <v>35763.743020000002</v>
          </cell>
          <cell r="Y1901">
            <v>6705.7018159999998</v>
          </cell>
        </row>
        <row r="1902">
          <cell r="B1902">
            <v>780058</v>
          </cell>
          <cell r="C1902" t="str">
            <v>NOT USED</v>
          </cell>
          <cell r="D1902" t="str">
            <v>PAYROLL-ALL EMPLOYEE INCENTIVE PROGRAM</v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  <cell r="I1902" t="str">
            <v/>
          </cell>
          <cell r="J1902" t="str">
            <v/>
          </cell>
          <cell r="K1902" t="str">
            <v/>
          </cell>
          <cell r="V1902">
            <v>-1250.61886</v>
          </cell>
          <cell r="W1902">
            <v>-1369.0478599999999</v>
          </cell>
          <cell r="X1902">
            <v>-1990.4509700000001</v>
          </cell>
          <cell r="Y1902">
            <v>-301.241017</v>
          </cell>
        </row>
        <row r="1903">
          <cell r="B1903">
            <v>780059</v>
          </cell>
          <cell r="C1903" t="str">
            <v>NOT USED</v>
          </cell>
          <cell r="D1903" t="str">
            <v>BENEFITS - WORKMEN'S COMPENSATION-ACCRUAL</v>
          </cell>
          <cell r="E1903" t="str">
            <v/>
          </cell>
          <cell r="F1903" t="str">
            <v/>
          </cell>
          <cell r="G1903" t="str">
            <v/>
          </cell>
          <cell r="H1903" t="str">
            <v/>
          </cell>
          <cell r="I1903" t="str">
            <v/>
          </cell>
          <cell r="J1903" t="str">
            <v/>
          </cell>
          <cell r="K1903" t="str">
            <v/>
          </cell>
          <cell r="V1903">
            <v>-354.01326</v>
          </cell>
          <cell r="W1903">
            <v>-389.81061999999997</v>
          </cell>
          <cell r="X1903">
            <v>-425.58744999999999</v>
          </cell>
          <cell r="Y1903">
            <v>-79.718134000000006</v>
          </cell>
        </row>
        <row r="1904">
          <cell r="B1904">
            <v>780060</v>
          </cell>
          <cell r="C1904" t="str">
            <v>NOT USED</v>
          </cell>
          <cell r="D1904" t="str">
            <v>BILLING</v>
          </cell>
          <cell r="E1904" t="str">
            <v/>
          </cell>
          <cell r="F1904" t="str">
            <v/>
          </cell>
          <cell r="G1904" t="str">
            <v/>
          </cell>
          <cell r="H1904" t="str">
            <v/>
          </cell>
          <cell r="I1904" t="str">
            <v/>
          </cell>
          <cell r="J1904" t="str">
            <v/>
          </cell>
          <cell r="K1904" t="str">
            <v/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</row>
        <row r="1905">
          <cell r="B1905">
            <v>780070</v>
          </cell>
          <cell r="C1905" t="str">
            <v>NOT USED</v>
          </cell>
          <cell r="D1905" t="str">
            <v>CASH SUNDRIES</v>
          </cell>
          <cell r="E1905" t="str">
            <v/>
          </cell>
          <cell r="F1905" t="str">
            <v/>
          </cell>
          <cell r="G1905" t="str">
            <v/>
          </cell>
          <cell r="H1905" t="str">
            <v/>
          </cell>
          <cell r="I1905" t="str">
            <v/>
          </cell>
          <cell r="J1905" t="str">
            <v/>
          </cell>
          <cell r="K1905" t="str">
            <v/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</row>
        <row r="1906">
          <cell r="B1906">
            <v>780090</v>
          </cell>
          <cell r="C1906" t="str">
            <v>NOT USED</v>
          </cell>
          <cell r="D1906" t="str">
            <v>CONTRACTORS / OUTSIDE SERVICES</v>
          </cell>
          <cell r="E1906" t="str">
            <v/>
          </cell>
          <cell r="F1906" t="str">
            <v/>
          </cell>
          <cell r="G1906" t="str">
            <v/>
          </cell>
          <cell r="H1906" t="str">
            <v/>
          </cell>
          <cell r="I1906" t="str">
            <v/>
          </cell>
          <cell r="J1906" t="str">
            <v/>
          </cell>
          <cell r="K1906" t="str">
            <v/>
          </cell>
          <cell r="L1906">
            <v>-1907.83815</v>
          </cell>
          <cell r="M1906">
            <v>-232.40629000000001</v>
          </cell>
          <cell r="N1906">
            <v>-583.74636999999996</v>
          </cell>
          <cell r="O1906">
            <v>-960.23542999999995</v>
          </cell>
          <cell r="P1906">
            <v>-1159.7092399999999</v>
          </cell>
          <cell r="Q1906">
            <v>-1722.90067</v>
          </cell>
          <cell r="R1906">
            <v>-2086.9501300000002</v>
          </cell>
          <cell r="S1906">
            <v>-2089.7137299999999</v>
          </cell>
          <cell r="T1906">
            <v>-2096.9267300000001</v>
          </cell>
          <cell r="U1906">
            <v>-2109.62383</v>
          </cell>
          <cell r="V1906">
            <v>-2122.4839299999999</v>
          </cell>
          <cell r="W1906">
            <v>-2137.6671299999998</v>
          </cell>
          <cell r="X1906">
            <v>-2154.3011299999998</v>
          </cell>
          <cell r="Y1906">
            <v>-1611.1194270000001</v>
          </cell>
        </row>
        <row r="1907">
          <cell r="B1907">
            <v>780095</v>
          </cell>
          <cell r="C1907" t="str">
            <v>NOT USED</v>
          </cell>
          <cell r="D1907" t="str">
            <v>CONTRACTORS LEGAL</v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  <cell r="I1907" t="str">
            <v/>
          </cell>
          <cell r="J1907" t="str">
            <v/>
          </cell>
          <cell r="K1907" t="str">
            <v/>
          </cell>
          <cell r="L1907">
            <v>-193.87858</v>
          </cell>
          <cell r="M1907">
            <v>-0.47682000000000002</v>
          </cell>
          <cell r="N1907">
            <v>-4.5649199999999999</v>
          </cell>
          <cell r="O1907">
            <v>-12.064920000000001</v>
          </cell>
          <cell r="P1907">
            <v>-13.91107</v>
          </cell>
          <cell r="Q1907">
            <v>-15.95532</v>
          </cell>
          <cell r="R1907">
            <v>-15.95532</v>
          </cell>
          <cell r="S1907">
            <v>-16.618320000000001</v>
          </cell>
          <cell r="T1907">
            <v>-18.662569999999999</v>
          </cell>
          <cell r="U1907">
            <v>-28.662569999999999</v>
          </cell>
          <cell r="V1907">
            <v>-37.226320000000001</v>
          </cell>
          <cell r="W1907">
            <v>-47.392319999999998</v>
          </cell>
          <cell r="X1907">
            <v>-76.802160000000001</v>
          </cell>
          <cell r="Y1907">
            <v>-28.902570000000001</v>
          </cell>
        </row>
        <row r="1908">
          <cell r="B1908">
            <v>780097</v>
          </cell>
          <cell r="C1908" t="str">
            <v>NOT USED</v>
          </cell>
          <cell r="D1908" t="str">
            <v>CONTRACTORS-ENVIRONMENTAL SERVICES</v>
          </cell>
          <cell r="E1908" t="str">
            <v/>
          </cell>
          <cell r="F1908" t="str">
            <v/>
          </cell>
          <cell r="G1908" t="str">
            <v/>
          </cell>
          <cell r="H1908" t="str">
            <v/>
          </cell>
          <cell r="I1908" t="str">
            <v/>
          </cell>
          <cell r="J1908" t="str">
            <v/>
          </cell>
          <cell r="K1908" t="str">
            <v/>
          </cell>
          <cell r="L1908">
            <v>-17.01924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-0.70913499999999996</v>
          </cell>
        </row>
        <row r="1909">
          <cell r="B1909">
            <v>780098</v>
          </cell>
          <cell r="C1909" t="str">
            <v>NOT USED</v>
          </cell>
          <cell r="D1909" t="str">
            <v>CONTRACTORS-ELECT CONSTRUCTION AND MAINT SERVICES</v>
          </cell>
          <cell r="E1909" t="str">
            <v/>
          </cell>
          <cell r="F1909" t="str">
            <v/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/>
          </cell>
          <cell r="L1909">
            <v>-208.57685000000001</v>
          </cell>
          <cell r="M1909">
            <v>-0.79745999999999995</v>
          </cell>
          <cell r="N1909">
            <v>-16.649069999999998</v>
          </cell>
          <cell r="O1909">
            <v>-9.5637000000000008</v>
          </cell>
          <cell r="P1909">
            <v>-23.034050000000001</v>
          </cell>
          <cell r="Q1909">
            <v>-36.440440000000002</v>
          </cell>
          <cell r="R1909">
            <v>-51.306089999999998</v>
          </cell>
          <cell r="S1909">
            <v>-45.606090000000002</v>
          </cell>
          <cell r="T1909">
            <v>-94.202089999999998</v>
          </cell>
          <cell r="U1909">
            <v>-134.54787999999999</v>
          </cell>
          <cell r="V1909">
            <v>-172.87588</v>
          </cell>
          <cell r="W1909">
            <v>-230.79687999999999</v>
          </cell>
          <cell r="X1909">
            <v>-276.23424999999997</v>
          </cell>
          <cell r="Y1909">
            <v>-88.185432000000006</v>
          </cell>
        </row>
        <row r="1910">
          <cell r="B1910">
            <v>780099</v>
          </cell>
          <cell r="C1910" t="str">
            <v>NOT USED</v>
          </cell>
          <cell r="D1910" t="str">
            <v>CONTRACTORS-GAS CONSTRUCTION SERVICES</v>
          </cell>
          <cell r="E1910" t="str">
            <v/>
          </cell>
          <cell r="F1910" t="str">
            <v/>
          </cell>
          <cell r="G1910" t="str">
            <v/>
          </cell>
          <cell r="H1910" t="str">
            <v/>
          </cell>
          <cell r="I1910" t="str">
            <v/>
          </cell>
          <cell r="J1910" t="str">
            <v/>
          </cell>
          <cell r="K1910" t="str">
            <v/>
          </cell>
          <cell r="L1910">
            <v>-780.95748000000003</v>
          </cell>
          <cell r="M1910">
            <v>0</v>
          </cell>
          <cell r="N1910">
            <v>-3.7450000000000001</v>
          </cell>
          <cell r="O1910">
            <v>-29.090150000000001</v>
          </cell>
          <cell r="P1910">
            <v>-44.877650000000003</v>
          </cell>
          <cell r="Q1910">
            <v>-69.689800000000005</v>
          </cell>
          <cell r="R1910">
            <v>-100.7753</v>
          </cell>
          <cell r="S1910">
            <v>-114.17343</v>
          </cell>
          <cell r="T1910">
            <v>-117.84093</v>
          </cell>
          <cell r="U1910">
            <v>-166.58691999999999</v>
          </cell>
          <cell r="V1910">
            <v>-168.16413</v>
          </cell>
          <cell r="W1910">
            <v>-169.97538</v>
          </cell>
          <cell r="X1910">
            <v>-174.99748</v>
          </cell>
          <cell r="Y1910">
            <v>-121.90801399999999</v>
          </cell>
        </row>
        <row r="1911">
          <cell r="B1911">
            <v>780130</v>
          </cell>
          <cell r="C1911" t="str">
            <v>NOT USED</v>
          </cell>
          <cell r="D1911" t="str">
            <v>FEES-OTHER</v>
          </cell>
          <cell r="E1911" t="str">
            <v/>
          </cell>
          <cell r="F1911" t="str">
            <v/>
          </cell>
          <cell r="G1911" t="str">
            <v/>
          </cell>
          <cell r="H1911" t="str">
            <v/>
          </cell>
          <cell r="I1911" t="str">
            <v/>
          </cell>
          <cell r="J1911" t="str">
            <v/>
          </cell>
          <cell r="K1911" t="str">
            <v/>
          </cell>
          <cell r="L1911">
            <v>-1.2549999999999999</v>
          </cell>
          <cell r="M1911">
            <v>-2.39</v>
          </cell>
          <cell r="N1911">
            <v>-2.5148999999999999</v>
          </cell>
          <cell r="O1911">
            <v>-2.7399</v>
          </cell>
          <cell r="P1911">
            <v>-2.7399</v>
          </cell>
          <cell r="Q1911">
            <v>-2.3004500000000001</v>
          </cell>
          <cell r="R1911">
            <v>-2.3004500000000001</v>
          </cell>
          <cell r="S1911">
            <v>-2.3504499999999999</v>
          </cell>
          <cell r="T1911">
            <v>-8.9214500000000001</v>
          </cell>
          <cell r="U1911">
            <v>-10.336449999999999</v>
          </cell>
          <cell r="V1911">
            <v>-10.541449999999999</v>
          </cell>
          <cell r="W1911">
            <v>-19.059950000000001</v>
          </cell>
          <cell r="X1911">
            <v>-19.164950000000001</v>
          </cell>
          <cell r="Y1911">
            <v>-6.3671100000000003</v>
          </cell>
        </row>
        <row r="1912">
          <cell r="B1912">
            <v>780147</v>
          </cell>
          <cell r="C1912" t="str">
            <v>NOT USED</v>
          </cell>
          <cell r="D1912" t="str">
            <v>CONTRACTORS OTHERS</v>
          </cell>
          <cell r="E1912">
            <v>0</v>
          </cell>
        </row>
        <row r="1913">
          <cell r="B1913">
            <v>780180</v>
          </cell>
          <cell r="C1913" t="str">
            <v>NOT USED</v>
          </cell>
          <cell r="D1913" t="str">
            <v>FUEL -DIESEL FOR VEHICLE</v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  <cell r="I1913" t="str">
            <v/>
          </cell>
          <cell r="J1913" t="str">
            <v/>
          </cell>
          <cell r="K1913" t="str">
            <v/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</row>
        <row r="1914">
          <cell r="B1914">
            <v>780190</v>
          </cell>
          <cell r="C1914" t="str">
            <v>NOT USED</v>
          </cell>
          <cell r="D1914" t="str">
            <v>FUEL - GASOLINE FOR VEHICLE</v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  <cell r="I1914" t="str">
            <v/>
          </cell>
          <cell r="J1914" t="str">
            <v/>
          </cell>
          <cell r="K1914" t="str">
            <v/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</row>
        <row r="1915">
          <cell r="B1915">
            <v>780205</v>
          </cell>
          <cell r="C1915" t="str">
            <v>NOT USED</v>
          </cell>
          <cell r="D1915" t="str">
            <v>HARDWARE</v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  <cell r="I1915" t="str">
            <v/>
          </cell>
          <cell r="J1915" t="str">
            <v/>
          </cell>
          <cell r="K1915" t="str">
            <v/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-0.47699999999999998</v>
          </cell>
          <cell r="Q1915">
            <v>-0.47699999999999998</v>
          </cell>
          <cell r="R1915">
            <v>-0.49619999999999997</v>
          </cell>
          <cell r="S1915">
            <v>-0.49619999999999997</v>
          </cell>
          <cell r="T1915">
            <v>-0.49619999999999997</v>
          </cell>
          <cell r="U1915">
            <v>-0.49619999999999997</v>
          </cell>
          <cell r="V1915">
            <v>0</v>
          </cell>
          <cell r="W1915">
            <v>0</v>
          </cell>
          <cell r="X1915">
            <v>0</v>
          </cell>
          <cell r="Y1915">
            <v>-0.24490000000000001</v>
          </cell>
        </row>
        <row r="1916">
          <cell r="B1916">
            <v>780240</v>
          </cell>
          <cell r="C1916" t="str">
            <v>NOT USED</v>
          </cell>
          <cell r="D1916" t="str">
            <v>LABOR-STRAIGHT TIME</v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  <cell r="I1916" t="str">
            <v/>
          </cell>
          <cell r="J1916" t="str">
            <v/>
          </cell>
          <cell r="K1916" t="str">
            <v/>
          </cell>
          <cell r="L1916">
            <v>-2186.6947799999998</v>
          </cell>
          <cell r="M1916">
            <v>-210.74548999999999</v>
          </cell>
          <cell r="N1916">
            <v>-398.73867000000001</v>
          </cell>
          <cell r="O1916">
            <v>-593.60240999999996</v>
          </cell>
          <cell r="P1916">
            <v>-784.91894000000002</v>
          </cell>
          <cell r="Q1916">
            <v>-1000.18326</v>
          </cell>
          <cell r="R1916">
            <v>-1191.65672</v>
          </cell>
          <cell r="S1916">
            <v>-1398.00902</v>
          </cell>
          <cell r="T1916">
            <v>-1649.4737500000001</v>
          </cell>
          <cell r="U1916">
            <v>-1832.18948</v>
          </cell>
          <cell r="V1916">
            <v>-2133.05935</v>
          </cell>
          <cell r="W1916">
            <v>-2347.7580699999999</v>
          </cell>
          <cell r="X1916">
            <v>-2590.3182200000001</v>
          </cell>
          <cell r="Y1916">
            <v>-1327.403472</v>
          </cell>
        </row>
        <row r="1917">
          <cell r="B1917">
            <v>780250</v>
          </cell>
          <cell r="C1917" t="str">
            <v>NOT USED</v>
          </cell>
          <cell r="D1917" t="str">
            <v>LABOR-OVERTIME</v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  <cell r="I1917" t="str">
            <v/>
          </cell>
          <cell r="J1917" t="str">
            <v/>
          </cell>
          <cell r="K1917" t="str">
            <v/>
          </cell>
          <cell r="L1917">
            <v>-42.259920000000001</v>
          </cell>
          <cell r="M1917">
            <v>-9.4873600000000007</v>
          </cell>
          <cell r="N1917">
            <v>-17.35895</v>
          </cell>
          <cell r="O1917">
            <v>-26.196480000000001</v>
          </cell>
          <cell r="P1917">
            <v>-32.520090000000003</v>
          </cell>
          <cell r="Q1917">
            <v>-41.966189999999997</v>
          </cell>
          <cell r="R1917">
            <v>-48.208449999999999</v>
          </cell>
          <cell r="S1917">
            <v>-55.922199999999997</v>
          </cell>
          <cell r="T1917">
            <v>-64.182389999999998</v>
          </cell>
          <cell r="U1917">
            <v>-75.110420000000005</v>
          </cell>
          <cell r="V1917">
            <v>-86.2119</v>
          </cell>
          <cell r="W1917">
            <v>-95.559790000000007</v>
          </cell>
          <cell r="X1917">
            <v>-106.58355</v>
          </cell>
          <cell r="Y1917">
            <v>-52.262163000000001</v>
          </cell>
        </row>
        <row r="1918">
          <cell r="B1918">
            <v>780255</v>
          </cell>
          <cell r="C1918" t="str">
            <v>NOT USED</v>
          </cell>
          <cell r="D1918" t="str">
            <v>LABOR RECL - OVERTIME</v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  <cell r="I1918" t="str">
            <v/>
          </cell>
          <cell r="J1918" t="str">
            <v/>
          </cell>
          <cell r="K1918" t="str">
            <v/>
          </cell>
          <cell r="N1918">
            <v>-1.618E-2</v>
          </cell>
          <cell r="O1918">
            <v>-1.618E-2</v>
          </cell>
          <cell r="P1918">
            <v>-1.618E-2</v>
          </cell>
          <cell r="Q1918">
            <v>-1.618E-2</v>
          </cell>
          <cell r="R1918">
            <v>-1.618E-2</v>
          </cell>
          <cell r="S1918">
            <v>-1.618E-2</v>
          </cell>
          <cell r="T1918">
            <v>-1.618E-2</v>
          </cell>
          <cell r="U1918">
            <v>-1.618E-2</v>
          </cell>
          <cell r="V1918">
            <v>-1.618E-2</v>
          </cell>
          <cell r="W1918">
            <v>-1.618E-2</v>
          </cell>
          <cell r="X1918">
            <v>-1.618E-2</v>
          </cell>
          <cell r="Y1918">
            <v>-1.4158E-2</v>
          </cell>
        </row>
        <row r="1919">
          <cell r="B1919">
            <v>780260</v>
          </cell>
          <cell r="C1919" t="str">
            <v>NOT USED</v>
          </cell>
          <cell r="D1919" t="str">
            <v>LABOR-DOUBLE OVERTIME</v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  <cell r="I1919" t="str">
            <v/>
          </cell>
          <cell r="J1919" t="str">
            <v/>
          </cell>
          <cell r="K1919" t="str">
            <v/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</row>
        <row r="1920">
          <cell r="B1920">
            <v>780298</v>
          </cell>
          <cell r="C1920" t="str">
            <v>NOT USED</v>
          </cell>
          <cell r="D1920" t="str">
            <v>LABOR-STRAIGHT TIME - OT @ 1.0</v>
          </cell>
          <cell r="E1920">
            <v>0</v>
          </cell>
          <cell r="X1920">
            <v>-10.990170000000001</v>
          </cell>
          <cell r="Y1920">
            <v>-0.457924</v>
          </cell>
        </row>
        <row r="1921">
          <cell r="B1921">
            <v>780300</v>
          </cell>
          <cell r="C1921" t="str">
            <v>NOT USED</v>
          </cell>
          <cell r="D1921" t="str">
            <v>LABOR-PERSONAL MILES</v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  <cell r="I1921" t="str">
            <v/>
          </cell>
          <cell r="J1921" t="str">
            <v/>
          </cell>
          <cell r="K1921" t="str">
            <v/>
          </cell>
          <cell r="L1921">
            <v>-63.964449999999999</v>
          </cell>
          <cell r="M1921">
            <v>-4.4364499999999998</v>
          </cell>
          <cell r="N1921">
            <v>-8.1268100000000008</v>
          </cell>
          <cell r="O1921">
            <v>-12.02627</v>
          </cell>
          <cell r="P1921">
            <v>-16.662680000000002</v>
          </cell>
          <cell r="Q1921">
            <v>-21.395990000000001</v>
          </cell>
          <cell r="R1921">
            <v>-25.01699</v>
          </cell>
          <cell r="S1921">
            <v>-29.915870000000002</v>
          </cell>
          <cell r="T1921">
            <v>-36.138030000000001</v>
          </cell>
          <cell r="U1921">
            <v>-40.572110000000002</v>
          </cell>
          <cell r="V1921">
            <v>-45.911149999999999</v>
          </cell>
          <cell r="W1921">
            <v>-51.71443</v>
          </cell>
          <cell r="X1921">
            <v>-57.760820000000002</v>
          </cell>
          <cell r="Y1921">
            <v>-29.398285000000001</v>
          </cell>
        </row>
        <row r="1922">
          <cell r="B1922">
            <v>780310</v>
          </cell>
          <cell r="C1922" t="str">
            <v>NOT USED</v>
          </cell>
          <cell r="D1922" t="str">
            <v>MATERIALS-STOCK</v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  <cell r="I1922" t="str">
            <v/>
          </cell>
          <cell r="J1922" t="str">
            <v/>
          </cell>
          <cell r="K1922" t="str">
            <v/>
          </cell>
          <cell r="L1922">
            <v>17.249199999999998</v>
          </cell>
          <cell r="M1922">
            <v>-9.4371100000000006</v>
          </cell>
          <cell r="N1922">
            <v>5.3439699999999997</v>
          </cell>
          <cell r="O1922">
            <v>-27.071429999999999</v>
          </cell>
          <cell r="P1922">
            <v>-28.488679999999999</v>
          </cell>
          <cell r="Q1922">
            <v>-28.594349999999999</v>
          </cell>
          <cell r="R1922">
            <v>-33.878610000000002</v>
          </cell>
          <cell r="S1922">
            <v>-32.61063</v>
          </cell>
          <cell r="T1922">
            <v>-39.796849999999999</v>
          </cell>
          <cell r="U1922">
            <v>-16.059059999999999</v>
          </cell>
          <cell r="V1922">
            <v>19.152370000000001</v>
          </cell>
          <cell r="W1922">
            <v>7.95648</v>
          </cell>
          <cell r="X1922">
            <v>27.12726</v>
          </cell>
          <cell r="Y1922">
            <v>-13.441306000000001</v>
          </cell>
        </row>
        <row r="1923">
          <cell r="B1923">
            <v>780320</v>
          </cell>
          <cell r="C1923" t="str">
            <v>NOT USED</v>
          </cell>
          <cell r="D1923" t="str">
            <v>MATERIALS - NON-STOCK</v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/>
          </cell>
          <cell r="L1923">
            <v>-25.55846</v>
          </cell>
          <cell r="M1923">
            <v>-0.26805000000000001</v>
          </cell>
          <cell r="N1923">
            <v>-0.77171000000000001</v>
          </cell>
          <cell r="O1923">
            <v>-0.77171000000000001</v>
          </cell>
          <cell r="P1923">
            <v>-0.76422000000000001</v>
          </cell>
          <cell r="Q1923">
            <v>-2.1542300000000001</v>
          </cell>
          <cell r="R1923">
            <v>-2.98184</v>
          </cell>
          <cell r="S1923">
            <v>-2.9868399999999999</v>
          </cell>
          <cell r="T1923">
            <v>-10.409890000000001</v>
          </cell>
          <cell r="U1923">
            <v>-11.210140000000001</v>
          </cell>
          <cell r="V1923">
            <v>-13.527749999999999</v>
          </cell>
          <cell r="W1923">
            <v>-14.45506</v>
          </cell>
          <cell r="X1923">
            <v>-17.411729999999999</v>
          </cell>
          <cell r="Y1923">
            <v>-6.8155450000000002</v>
          </cell>
        </row>
        <row r="1924">
          <cell r="B1924">
            <v>780370</v>
          </cell>
          <cell r="C1924" t="str">
            <v>NOT USED</v>
          </cell>
          <cell r="D1924" t="str">
            <v>MATERIALS-TRANSFORMERS/REGULATORS/METERS</v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  <cell r="I1924" t="str">
            <v/>
          </cell>
          <cell r="J1924" t="str">
            <v/>
          </cell>
          <cell r="K1924" t="str">
            <v/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</row>
        <row r="1925">
          <cell r="B1925">
            <v>780380</v>
          </cell>
          <cell r="C1925" t="str">
            <v>NOT USED</v>
          </cell>
          <cell r="D1925" t="str">
            <v>OFFICE SUPPLIES</v>
          </cell>
          <cell r="E1925" t="str">
            <v/>
          </cell>
          <cell r="F1925" t="str">
            <v/>
          </cell>
          <cell r="G1925" t="str">
            <v/>
          </cell>
          <cell r="H1925" t="str">
            <v/>
          </cell>
          <cell r="I1925" t="str">
            <v/>
          </cell>
          <cell r="J1925" t="str">
            <v/>
          </cell>
          <cell r="K1925" t="str">
            <v/>
          </cell>
          <cell r="L1925">
            <v>-0.68530000000000002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-3.1060000000000001E-2</v>
          </cell>
          <cell r="S1925">
            <v>-3.1060000000000001E-2</v>
          </cell>
          <cell r="T1925">
            <v>-3.1060000000000001E-2</v>
          </cell>
          <cell r="U1925">
            <v>-8.1059999999999993E-2</v>
          </cell>
          <cell r="V1925">
            <v>-8.1059999999999993E-2</v>
          </cell>
          <cell r="W1925">
            <v>-6.2149999999999997E-2</v>
          </cell>
          <cell r="X1925">
            <v>-6.2149999999999997E-2</v>
          </cell>
          <cell r="Y1925">
            <v>-5.7598000000000003E-2</v>
          </cell>
        </row>
        <row r="1926">
          <cell r="B1926">
            <v>780385</v>
          </cell>
          <cell r="C1926" t="str">
            <v>NOT USED</v>
          </cell>
          <cell r="D1926" t="str">
            <v>GENERAL  -FURNITURE &amp; EQUIPMENT</v>
          </cell>
          <cell r="E1926" t="str">
            <v/>
          </cell>
          <cell r="F1926" t="str">
            <v/>
          </cell>
          <cell r="G1926" t="str">
            <v/>
          </cell>
          <cell r="H1926" t="str">
            <v/>
          </cell>
          <cell r="I1926" t="str">
            <v/>
          </cell>
          <cell r="J1926" t="str">
            <v/>
          </cell>
          <cell r="K1926" t="str">
            <v/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</row>
        <row r="1927">
          <cell r="B1927">
            <v>780390</v>
          </cell>
          <cell r="C1927" t="str">
            <v>NOT USED</v>
          </cell>
          <cell r="D1927" t="str">
            <v>OTHER GENERAL EXPENSES</v>
          </cell>
          <cell r="E1927" t="str">
            <v/>
          </cell>
          <cell r="F1927" t="str">
            <v/>
          </cell>
          <cell r="G1927" t="str">
            <v/>
          </cell>
          <cell r="H1927" t="str">
            <v/>
          </cell>
          <cell r="I1927" t="str">
            <v/>
          </cell>
          <cell r="J1927" t="str">
            <v/>
          </cell>
          <cell r="K1927" t="str">
            <v/>
          </cell>
          <cell r="L1927">
            <v>-120.99301</v>
          </cell>
          <cell r="M1927">
            <v>-5.0000000000000001E-3</v>
          </cell>
          <cell r="N1927">
            <v>-1.9796899999999999</v>
          </cell>
          <cell r="O1927">
            <v>-135.14266000000001</v>
          </cell>
          <cell r="P1927">
            <v>-154.29940999999999</v>
          </cell>
          <cell r="Q1927">
            <v>-157.65226999999999</v>
          </cell>
          <cell r="R1927">
            <v>-218.08385999999999</v>
          </cell>
          <cell r="S1927">
            <v>-153.98624000000001</v>
          </cell>
          <cell r="T1927">
            <v>-153.79574</v>
          </cell>
          <cell r="U1927">
            <v>-136.78559000000001</v>
          </cell>
          <cell r="V1927">
            <v>-34.100670000000001</v>
          </cell>
          <cell r="W1927">
            <v>-36.466090000000001</v>
          </cell>
          <cell r="X1927">
            <v>6.2013699999999998</v>
          </cell>
          <cell r="Y1927">
            <v>-103.30775300000001</v>
          </cell>
        </row>
        <row r="1928">
          <cell r="B1928">
            <v>780391</v>
          </cell>
          <cell r="C1928" t="str">
            <v>NOT USED</v>
          </cell>
          <cell r="D1928" t="str">
            <v>GENERAL EXPENSES - SAFETY APPAREL</v>
          </cell>
          <cell r="E1928">
            <v>0</v>
          </cell>
        </row>
        <row r="1929">
          <cell r="B1929">
            <v>780410</v>
          </cell>
          <cell r="C1929" t="str">
            <v>NOT USED</v>
          </cell>
          <cell r="D1929" t="str">
            <v>LICENSES &amp; PERMITS</v>
          </cell>
          <cell r="E1929" t="str">
            <v/>
          </cell>
          <cell r="F1929" t="str">
            <v/>
          </cell>
          <cell r="G1929" t="str">
            <v/>
          </cell>
          <cell r="H1929" t="str">
            <v/>
          </cell>
          <cell r="I1929" t="str">
            <v/>
          </cell>
          <cell r="J1929" t="str">
            <v/>
          </cell>
          <cell r="K1929" t="str">
            <v/>
          </cell>
          <cell r="L1929">
            <v>-2.4350000000000001</v>
          </cell>
          <cell r="M1929">
            <v>0</v>
          </cell>
          <cell r="N1929">
            <v>0</v>
          </cell>
          <cell r="O1929">
            <v>-3.8755299999999999</v>
          </cell>
          <cell r="P1929">
            <v>-3.8755299999999999</v>
          </cell>
          <cell r="Q1929">
            <v>-3.8755299999999999</v>
          </cell>
          <cell r="R1929">
            <v>-4.1730299999999998</v>
          </cell>
          <cell r="S1929">
            <v>-4.1730299999999998</v>
          </cell>
          <cell r="T1929">
            <v>-4.1730299999999998</v>
          </cell>
          <cell r="U1929">
            <v>-4.1730299999999998</v>
          </cell>
          <cell r="V1929">
            <v>-4.1730299999999998</v>
          </cell>
          <cell r="W1929">
            <v>-4.1730299999999998</v>
          </cell>
          <cell r="X1929">
            <v>-4.1730299999999998</v>
          </cell>
          <cell r="Y1929">
            <v>-3.3307319999999998</v>
          </cell>
        </row>
        <row r="1930">
          <cell r="B1930">
            <v>780420</v>
          </cell>
          <cell r="C1930" t="str">
            <v>NOT USED</v>
          </cell>
          <cell r="D1930" t="str">
            <v>TELEPHONE</v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  <cell r="I1930" t="str">
            <v/>
          </cell>
          <cell r="J1930" t="str">
            <v/>
          </cell>
          <cell r="K1930" t="str">
            <v/>
          </cell>
          <cell r="L1930">
            <v>0</v>
          </cell>
          <cell r="M1930">
            <v>0</v>
          </cell>
          <cell r="N1930">
            <v>-1.295E-2</v>
          </cell>
          <cell r="O1930">
            <v>-1.295E-2</v>
          </cell>
          <cell r="P1930">
            <v>-1.295E-2</v>
          </cell>
          <cell r="Q1930">
            <v>-1.295E-2</v>
          </cell>
          <cell r="R1930">
            <v>-1.295E-2</v>
          </cell>
          <cell r="S1930">
            <v>-1.295E-2</v>
          </cell>
          <cell r="T1930">
            <v>-1.295E-2</v>
          </cell>
          <cell r="U1930">
            <v>-1.295E-2</v>
          </cell>
          <cell r="V1930">
            <v>-1.295E-2</v>
          </cell>
          <cell r="W1930">
            <v>-1.295E-2</v>
          </cell>
          <cell r="X1930">
            <v>-1.295E-2</v>
          </cell>
          <cell r="Y1930">
            <v>-1.1331000000000001E-2</v>
          </cell>
        </row>
        <row r="1931">
          <cell r="B1931">
            <v>780430</v>
          </cell>
          <cell r="C1931" t="str">
            <v>NOT USED</v>
          </cell>
          <cell r="D1931" t="str">
            <v>POSTAGE</v>
          </cell>
          <cell r="E1931" t="str">
            <v/>
          </cell>
          <cell r="F1931" t="str">
            <v/>
          </cell>
          <cell r="G1931" t="str">
            <v/>
          </cell>
          <cell r="H1931" t="str">
            <v/>
          </cell>
          <cell r="I1931" t="str">
            <v/>
          </cell>
          <cell r="J1931" t="str">
            <v/>
          </cell>
          <cell r="K1931" t="str">
            <v/>
          </cell>
          <cell r="L1931">
            <v>-0.30162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-1.2567999999999999E-2</v>
          </cell>
        </row>
        <row r="1932">
          <cell r="B1932">
            <v>780440</v>
          </cell>
          <cell r="C1932" t="str">
            <v>NOT USED</v>
          </cell>
          <cell r="D1932" t="str">
            <v>R&amp;D</v>
          </cell>
          <cell r="E1932" t="str">
            <v/>
          </cell>
          <cell r="F1932" t="str">
            <v/>
          </cell>
          <cell r="G1932" t="str">
            <v/>
          </cell>
          <cell r="H1932" t="str">
            <v/>
          </cell>
          <cell r="I1932" t="str">
            <v/>
          </cell>
          <cell r="J1932" t="str">
            <v/>
          </cell>
          <cell r="K1932" t="str">
            <v/>
          </cell>
          <cell r="L1932">
            <v>-862.85455999999999</v>
          </cell>
          <cell r="M1932">
            <v>-67.283730000000006</v>
          </cell>
          <cell r="N1932">
            <v>-134.56746000000001</v>
          </cell>
          <cell r="O1932">
            <v>-201.85120000000001</v>
          </cell>
          <cell r="P1932">
            <v>-277.60385000000002</v>
          </cell>
          <cell r="Q1932">
            <v>-353.35649999999998</v>
          </cell>
          <cell r="R1932">
            <v>-429.10915</v>
          </cell>
          <cell r="S1932">
            <v>-504.86180000000002</v>
          </cell>
          <cell r="T1932">
            <v>-580.61445000000003</v>
          </cell>
          <cell r="U1932">
            <v>-656.36710000000005</v>
          </cell>
          <cell r="V1932">
            <v>-732.11974999999995</v>
          </cell>
          <cell r="W1932">
            <v>-737.49037999999996</v>
          </cell>
          <cell r="X1932">
            <v>-813.24302999999998</v>
          </cell>
          <cell r="Y1932">
            <v>-459.43951399999997</v>
          </cell>
        </row>
        <row r="1933">
          <cell r="B1933">
            <v>780445</v>
          </cell>
          <cell r="C1933" t="str">
            <v>NOT USED</v>
          </cell>
          <cell r="D1933" t="str">
            <v>RECLASS-OTHER</v>
          </cell>
          <cell r="E1933" t="str">
            <v/>
          </cell>
          <cell r="F1933" t="str">
            <v/>
          </cell>
          <cell r="G1933" t="str">
            <v/>
          </cell>
          <cell r="H1933" t="str">
            <v/>
          </cell>
          <cell r="I1933" t="str">
            <v/>
          </cell>
          <cell r="J1933" t="str">
            <v/>
          </cell>
          <cell r="K1933" t="str">
            <v/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</row>
        <row r="1934">
          <cell r="B1934">
            <v>780446</v>
          </cell>
          <cell r="C1934" t="str">
            <v>NOT USED</v>
          </cell>
          <cell r="D1934" t="str">
            <v>RECLASS-OTHER-GENERAL</v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  <cell r="I1934" t="str">
            <v/>
          </cell>
          <cell r="J1934" t="str">
            <v/>
          </cell>
          <cell r="K1934" t="str">
            <v/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</row>
        <row r="1935">
          <cell r="B1935">
            <v>780470</v>
          </cell>
          <cell r="C1935" t="str">
            <v>NOT USED</v>
          </cell>
          <cell r="D1935" t="str">
            <v>RENTS/LEASES - OTHER</v>
          </cell>
          <cell r="E1935" t="str">
            <v/>
          </cell>
          <cell r="F1935" t="str">
            <v/>
          </cell>
          <cell r="G1935" t="str">
            <v/>
          </cell>
          <cell r="H1935" t="str">
            <v/>
          </cell>
          <cell r="I1935" t="str">
            <v/>
          </cell>
          <cell r="J1935" t="str">
            <v/>
          </cell>
          <cell r="K1935" t="str">
            <v/>
          </cell>
          <cell r="L1935">
            <v>-1.1006800000000001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-4.5862E-2</v>
          </cell>
        </row>
        <row r="1936">
          <cell r="B1936">
            <v>780490</v>
          </cell>
          <cell r="C1936" t="str">
            <v>NOT USED</v>
          </cell>
          <cell r="D1936" t="str">
            <v>SOFTWARE</v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  <cell r="I1936" t="str">
            <v/>
          </cell>
          <cell r="J1936" t="str">
            <v/>
          </cell>
          <cell r="K1936" t="str">
            <v/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</row>
        <row r="1937">
          <cell r="B1937">
            <v>780500</v>
          </cell>
          <cell r="C1937" t="str">
            <v>NOT USED</v>
          </cell>
          <cell r="D1937" t="str">
            <v>TRAINING</v>
          </cell>
          <cell r="E1937" t="str">
            <v/>
          </cell>
          <cell r="F1937" t="str">
            <v/>
          </cell>
          <cell r="G1937" t="str">
            <v/>
          </cell>
          <cell r="H1937" t="str">
            <v/>
          </cell>
          <cell r="I1937" t="str">
            <v/>
          </cell>
          <cell r="J1937" t="str">
            <v/>
          </cell>
          <cell r="K1937" t="str">
            <v/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</row>
        <row r="1938">
          <cell r="B1938">
            <v>780505</v>
          </cell>
          <cell r="C1938" t="str">
            <v>NOT USED</v>
          </cell>
          <cell r="D1938" t="str">
            <v>EMPLOYEE REGISTRATION FEES</v>
          </cell>
          <cell r="E1938" t="str">
            <v/>
          </cell>
          <cell r="F1938" t="str">
            <v/>
          </cell>
          <cell r="G1938" t="str">
            <v/>
          </cell>
          <cell r="H1938" t="str">
            <v/>
          </cell>
          <cell r="I1938" t="str">
            <v/>
          </cell>
          <cell r="J1938" t="str">
            <v/>
          </cell>
          <cell r="K1938" t="str">
            <v/>
          </cell>
          <cell r="L1938">
            <v>-0.05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-2.0830000000000002E-3</v>
          </cell>
        </row>
        <row r="1939">
          <cell r="B1939">
            <v>780510</v>
          </cell>
          <cell r="C1939" t="str">
            <v>NOT USED</v>
          </cell>
          <cell r="D1939" t="str">
            <v>TRAVEL-MEALS &amp; ENTERTAINMENT-TAXABLE</v>
          </cell>
          <cell r="E1939" t="str">
            <v/>
          </cell>
          <cell r="F1939" t="str">
            <v/>
          </cell>
          <cell r="G1939" t="str">
            <v/>
          </cell>
          <cell r="H1939" t="str">
            <v/>
          </cell>
          <cell r="I1939" t="str">
            <v/>
          </cell>
          <cell r="J1939" t="str">
            <v/>
          </cell>
          <cell r="K1939" t="str">
            <v/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</row>
        <row r="1940">
          <cell r="B1940">
            <v>780525</v>
          </cell>
          <cell r="C1940" t="str">
            <v>NOT USED</v>
          </cell>
          <cell r="D1940" t="str">
            <v>EMPLOYEE - MEALS</v>
          </cell>
          <cell r="E1940" t="str">
            <v/>
          </cell>
          <cell r="F1940" t="str">
            <v/>
          </cell>
          <cell r="G1940" t="str">
            <v/>
          </cell>
          <cell r="H1940" t="str">
            <v/>
          </cell>
          <cell r="I1940" t="str">
            <v/>
          </cell>
          <cell r="J1940" t="str">
            <v/>
          </cell>
          <cell r="K1940" t="str">
            <v/>
          </cell>
          <cell r="L1940">
            <v>-5.5712299999999999</v>
          </cell>
          <cell r="M1940">
            <v>0</v>
          </cell>
          <cell r="N1940">
            <v>-1.0838000000000001</v>
          </cell>
          <cell r="O1940">
            <v>-1.4224399999999999</v>
          </cell>
          <cell r="P1940">
            <v>-1.649</v>
          </cell>
          <cell r="Q1940">
            <v>-2.0585399999999998</v>
          </cell>
          <cell r="R1940">
            <v>-2.0892300000000001</v>
          </cell>
          <cell r="S1940">
            <v>-2.0892300000000001</v>
          </cell>
          <cell r="T1940">
            <v>-2.35</v>
          </cell>
          <cell r="U1940">
            <v>-2.4440400000000002</v>
          </cell>
          <cell r="V1940">
            <v>-2.7347700000000001</v>
          </cell>
          <cell r="W1940">
            <v>-2.9389799999999999</v>
          </cell>
          <cell r="X1940">
            <v>-3.7261199999999999</v>
          </cell>
          <cell r="Y1940">
            <v>-2.1257250000000001</v>
          </cell>
        </row>
        <row r="1941">
          <cell r="B1941">
            <v>780530</v>
          </cell>
          <cell r="C1941" t="str">
            <v>NOT USED</v>
          </cell>
          <cell r="D1941" t="str">
            <v>TRAVEL-MEALS &amp; ENTERTAINMENT</v>
          </cell>
          <cell r="E1941" t="str">
            <v/>
          </cell>
          <cell r="F1941" t="str">
            <v/>
          </cell>
          <cell r="G1941" t="str">
            <v/>
          </cell>
          <cell r="H1941" t="str">
            <v/>
          </cell>
          <cell r="I1941" t="str">
            <v/>
          </cell>
          <cell r="J1941" t="str">
            <v/>
          </cell>
          <cell r="K1941" t="str">
            <v/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</row>
        <row r="1942">
          <cell r="B1942">
            <v>780550</v>
          </cell>
          <cell r="C1942" t="str">
            <v>NOT USED</v>
          </cell>
          <cell r="D1942" t="str">
            <v>TRAVEL-EXCLUDING MEALS &amp; ENTERTAINMENT</v>
          </cell>
          <cell r="E1942" t="str">
            <v/>
          </cell>
          <cell r="F1942" t="str">
            <v/>
          </cell>
          <cell r="G1942" t="str">
            <v/>
          </cell>
          <cell r="H1942" t="str">
            <v/>
          </cell>
          <cell r="I1942" t="str">
            <v/>
          </cell>
          <cell r="J1942" t="str">
            <v/>
          </cell>
          <cell r="K1942" t="str">
            <v/>
          </cell>
          <cell r="L1942">
            <v>-10.39982</v>
          </cell>
          <cell r="M1942">
            <v>0</v>
          </cell>
          <cell r="N1942">
            <v>-1.99441</v>
          </cell>
          <cell r="O1942">
            <v>-2.02881</v>
          </cell>
          <cell r="P1942">
            <v>-2.1688999999999998</v>
          </cell>
          <cell r="Q1942">
            <v>-2.6080899999999998</v>
          </cell>
          <cell r="R1942">
            <v>-2.9971800000000002</v>
          </cell>
          <cell r="S1942">
            <v>-3.47058</v>
          </cell>
          <cell r="T1942">
            <v>-3.47058</v>
          </cell>
          <cell r="U1942">
            <v>-3.5462199999999999</v>
          </cell>
          <cell r="V1942">
            <v>-5.3456599999999996</v>
          </cell>
          <cell r="W1942">
            <v>-5.60764</v>
          </cell>
          <cell r="X1942">
            <v>-6.7390400000000001</v>
          </cell>
          <cell r="Y1942">
            <v>-3.4839579999999999</v>
          </cell>
        </row>
        <row r="1943">
          <cell r="B1943">
            <v>780555</v>
          </cell>
          <cell r="C1943" t="str">
            <v>NOT USED</v>
          </cell>
          <cell r="D1943" t="str">
            <v>EMPLOYEE -LODGING</v>
          </cell>
          <cell r="E1943" t="str">
            <v/>
          </cell>
          <cell r="F1943" t="str">
            <v/>
          </cell>
          <cell r="G1943" t="str">
            <v/>
          </cell>
          <cell r="H1943" t="str">
            <v/>
          </cell>
          <cell r="I1943" t="str">
            <v/>
          </cell>
          <cell r="J1943" t="str">
            <v/>
          </cell>
          <cell r="K1943" t="str">
            <v/>
          </cell>
          <cell r="L1943">
            <v>-7.1438300000000003</v>
          </cell>
          <cell r="M1943">
            <v>0</v>
          </cell>
          <cell r="N1943">
            <v>-2.1384699999999999</v>
          </cell>
          <cell r="O1943">
            <v>-2.1384699999999999</v>
          </cell>
          <cell r="P1943">
            <v>-2.4351600000000002</v>
          </cell>
          <cell r="Q1943">
            <v>-2.59416</v>
          </cell>
          <cell r="R1943">
            <v>-3.3455499999999998</v>
          </cell>
          <cell r="S1943">
            <v>-3.3455499999999998</v>
          </cell>
          <cell r="T1943">
            <v>-3.3455499999999998</v>
          </cell>
          <cell r="U1943">
            <v>-3.8601299999999998</v>
          </cell>
          <cell r="V1943">
            <v>-4.8069100000000002</v>
          </cell>
          <cell r="W1943">
            <v>-5.3883099999999997</v>
          </cell>
          <cell r="X1943">
            <v>-6.00108</v>
          </cell>
          <cell r="Y1943">
            <v>-3.3308930000000001</v>
          </cell>
        </row>
        <row r="1944">
          <cell r="B1944">
            <v>780600</v>
          </cell>
          <cell r="C1944" t="str">
            <v>NOT USED</v>
          </cell>
          <cell r="D1944" t="str">
            <v>TRANSPORTATION UTILIZATION</v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  <cell r="I1944" t="str">
            <v/>
          </cell>
          <cell r="J1944" t="str">
            <v/>
          </cell>
          <cell r="K1944" t="str">
            <v/>
          </cell>
          <cell r="L1944">
            <v>-13.48437</v>
          </cell>
          <cell r="M1944">
            <v>-1.0940799999999999</v>
          </cell>
          <cell r="N1944">
            <v>-1.5885800000000001</v>
          </cell>
          <cell r="O1944">
            <v>-2.7170000000000001</v>
          </cell>
          <cell r="P1944">
            <v>-3.7754599999999998</v>
          </cell>
          <cell r="Q1944">
            <v>-4.53538</v>
          </cell>
          <cell r="R1944">
            <v>-5.07578</v>
          </cell>
          <cell r="S1944">
            <v>-5.9298500000000001</v>
          </cell>
          <cell r="T1944">
            <v>-7.1736000000000004</v>
          </cell>
          <cell r="U1944">
            <v>-7.8105000000000002</v>
          </cell>
          <cell r="V1944">
            <v>-19.76585</v>
          </cell>
          <cell r="W1944">
            <v>-20.654330000000002</v>
          </cell>
          <cell r="X1944">
            <v>-24.348669999999998</v>
          </cell>
          <cell r="Y1944">
            <v>-8.2530780000000004</v>
          </cell>
        </row>
        <row r="1945">
          <cell r="B1945">
            <v>780615</v>
          </cell>
          <cell r="C1945" t="str">
            <v>NOT USED</v>
          </cell>
          <cell r="D1945" t="str">
            <v>RESIDUALS FROM VEH CLASS COST CTRS</v>
          </cell>
          <cell r="E1945" t="str">
            <v/>
          </cell>
          <cell r="F1945" t="str">
            <v/>
          </cell>
          <cell r="G1945" t="str">
            <v/>
          </cell>
          <cell r="H1945" t="str">
            <v/>
          </cell>
          <cell r="I1945" t="str">
            <v/>
          </cell>
          <cell r="J1945" t="str">
            <v/>
          </cell>
          <cell r="K1945" t="str">
            <v/>
          </cell>
          <cell r="L1945">
            <v>-54.405340000000002</v>
          </cell>
          <cell r="M1945">
            <v>-2.6293099999999998</v>
          </cell>
          <cell r="N1945">
            <v>2.46821</v>
          </cell>
          <cell r="O1945">
            <v>-48.88579</v>
          </cell>
          <cell r="P1945">
            <v>-104.31068999999999</v>
          </cell>
          <cell r="Q1945">
            <v>-82.068889999999996</v>
          </cell>
          <cell r="R1945">
            <v>-169.29738</v>
          </cell>
          <cell r="S1945">
            <v>-164.69466</v>
          </cell>
          <cell r="T1945">
            <v>-73.840419999999995</v>
          </cell>
          <cell r="U1945">
            <v>-139.18154000000001</v>
          </cell>
          <cell r="V1945">
            <v>-89.454310000000007</v>
          </cell>
          <cell r="W1945">
            <v>-59.585160000000002</v>
          </cell>
          <cell r="X1945">
            <v>524.1952</v>
          </cell>
          <cell r="Y1945">
            <v>-58.048751000000003</v>
          </cell>
        </row>
        <row r="1946">
          <cell r="B1946">
            <v>780620</v>
          </cell>
          <cell r="C1946" t="str">
            <v>NOT USED</v>
          </cell>
          <cell r="D1946" t="str">
            <v>BENEFITS LOADER</v>
          </cell>
          <cell r="E1946" t="str">
            <v/>
          </cell>
          <cell r="F1946" t="str">
            <v/>
          </cell>
          <cell r="G1946" t="str">
            <v/>
          </cell>
          <cell r="H1946" t="str">
            <v/>
          </cell>
          <cell r="I1946" t="str">
            <v/>
          </cell>
          <cell r="J1946" t="str">
            <v/>
          </cell>
          <cell r="K1946" t="str">
            <v/>
          </cell>
          <cell r="L1946">
            <v>5.5434799999999997</v>
          </cell>
          <cell r="M1946">
            <v>356.26553999999999</v>
          </cell>
          <cell r="N1946">
            <v>366.85048999999998</v>
          </cell>
          <cell r="O1946">
            <v>-575.72100999999998</v>
          </cell>
          <cell r="P1946">
            <v>-830.27963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-56.676073000000002</v>
          </cell>
        </row>
        <row r="1947">
          <cell r="B1947">
            <v>780621</v>
          </cell>
          <cell r="C1947" t="str">
            <v>NOT USED</v>
          </cell>
          <cell r="D1947" t="str">
            <v>BENEFITS LOADER-CO RECLASS</v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  <cell r="I1947" t="str">
            <v/>
          </cell>
          <cell r="J1947" t="str">
            <v/>
          </cell>
          <cell r="K1947" t="str">
            <v/>
          </cell>
          <cell r="V1947">
            <v>-23.78134</v>
          </cell>
          <cell r="W1947">
            <v>-23.78134</v>
          </cell>
          <cell r="X1947">
            <v>-30.286180000000002</v>
          </cell>
          <cell r="Y1947">
            <v>-5.2254810000000003</v>
          </cell>
        </row>
        <row r="1948">
          <cell r="B1948">
            <v>780640</v>
          </cell>
          <cell r="C1948" t="str">
            <v>NOT USED</v>
          </cell>
          <cell r="D1948" t="str">
            <v>OCCUPANCY LOADER</v>
          </cell>
          <cell r="E1948" t="str">
            <v/>
          </cell>
          <cell r="F1948" t="str">
            <v/>
          </cell>
          <cell r="G1948" t="str">
            <v/>
          </cell>
          <cell r="H1948" t="str">
            <v/>
          </cell>
          <cell r="I1948" t="str">
            <v/>
          </cell>
          <cell r="J1948" t="str">
            <v/>
          </cell>
          <cell r="K1948" t="str">
            <v/>
          </cell>
          <cell r="L1948">
            <v>-44.540730000000003</v>
          </cell>
          <cell r="M1948">
            <v>-4.1787900000000002</v>
          </cell>
          <cell r="N1948">
            <v>-8.4996799999999997</v>
          </cell>
          <cell r="O1948">
            <v>-13.02359</v>
          </cell>
          <cell r="P1948">
            <v>-17.082529999999998</v>
          </cell>
          <cell r="Q1948">
            <v>-23.38092</v>
          </cell>
          <cell r="R1948">
            <v>-29.624369999999999</v>
          </cell>
          <cell r="S1948">
            <v>-36.020609999999998</v>
          </cell>
          <cell r="T1948">
            <v>-43.689369999999997</v>
          </cell>
          <cell r="U1948">
            <v>-48.477220000000003</v>
          </cell>
          <cell r="V1948">
            <v>-55.468060000000001</v>
          </cell>
          <cell r="W1948">
            <v>-64.065749999999994</v>
          </cell>
          <cell r="X1948">
            <v>-70.516729999999995</v>
          </cell>
          <cell r="Y1948">
            <v>-33.419967999999997</v>
          </cell>
        </row>
        <row r="1949">
          <cell r="B1949">
            <v>780650</v>
          </cell>
          <cell r="C1949" t="str">
            <v>NOT USED</v>
          </cell>
          <cell r="D1949" t="str">
            <v>STORES LOADER</v>
          </cell>
          <cell r="E1949" t="str">
            <v/>
          </cell>
          <cell r="F1949" t="str">
            <v/>
          </cell>
          <cell r="G1949" t="str">
            <v/>
          </cell>
          <cell r="H1949" t="str">
            <v/>
          </cell>
          <cell r="I1949" t="str">
            <v/>
          </cell>
          <cell r="J1949" t="str">
            <v/>
          </cell>
          <cell r="K1949" t="str">
            <v/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</row>
        <row r="1950">
          <cell r="B1950">
            <v>780660</v>
          </cell>
          <cell r="C1950" t="str">
            <v>NOT USED</v>
          </cell>
          <cell r="D1950" t="str">
            <v>CAPITALIZED PRELIMINARY ENGINEERING</v>
          </cell>
          <cell r="E1950" t="str">
            <v/>
          </cell>
          <cell r="F1950" t="str">
            <v/>
          </cell>
          <cell r="G1950" t="str">
            <v/>
          </cell>
          <cell r="H1950" t="str">
            <v/>
          </cell>
          <cell r="I1950" t="str">
            <v/>
          </cell>
          <cell r="J1950" t="str">
            <v/>
          </cell>
          <cell r="K1950" t="str">
            <v/>
          </cell>
          <cell r="L1950">
            <v>6107.6367300000002</v>
          </cell>
          <cell r="M1950">
            <v>129.22300999999999</v>
          </cell>
          <cell r="N1950">
            <v>270.65613000000002</v>
          </cell>
          <cell r="O1950">
            <v>1165.0068200000001</v>
          </cell>
          <cell r="P1950">
            <v>1673.99711</v>
          </cell>
          <cell r="Q1950">
            <v>2129.8348700000001</v>
          </cell>
          <cell r="R1950">
            <v>2596.46756</v>
          </cell>
          <cell r="S1950">
            <v>2989.59222</v>
          </cell>
          <cell r="T1950">
            <v>3423.7883400000001</v>
          </cell>
          <cell r="U1950">
            <v>3717.3172</v>
          </cell>
          <cell r="V1950">
            <v>4264.9666500000003</v>
          </cell>
          <cell r="W1950">
            <v>4540.8385500000004</v>
          </cell>
          <cell r="X1950">
            <v>5193.9237800000001</v>
          </cell>
          <cell r="Y1950">
            <v>2712.7057260000001</v>
          </cell>
        </row>
        <row r="1951">
          <cell r="B1951">
            <v>780670</v>
          </cell>
          <cell r="C1951" t="str">
            <v>NOT USED</v>
          </cell>
          <cell r="D1951" t="str">
            <v>CAPITALIZED GEN &amp; ADMIN EXP</v>
          </cell>
          <cell r="E1951" t="str">
            <v/>
          </cell>
          <cell r="F1951" t="str">
            <v/>
          </cell>
          <cell r="G1951" t="str">
            <v/>
          </cell>
          <cell r="H1951" t="str">
            <v/>
          </cell>
          <cell r="I1951" t="str">
            <v/>
          </cell>
          <cell r="J1951" t="str">
            <v/>
          </cell>
          <cell r="K1951" t="str">
            <v/>
          </cell>
          <cell r="L1951">
            <v>644.98181999999997</v>
          </cell>
          <cell r="M1951">
            <v>-25.26512</v>
          </cell>
          <cell r="N1951">
            <v>172.85158999999999</v>
          </cell>
          <cell r="O1951">
            <v>512.87288999999998</v>
          </cell>
          <cell r="P1951">
            <v>734.13325999999995</v>
          </cell>
          <cell r="Q1951">
            <v>1022.42652</v>
          </cell>
          <cell r="R1951">
            <v>1532.09312</v>
          </cell>
          <cell r="S1951">
            <v>1962.2149400000001</v>
          </cell>
          <cell r="T1951">
            <v>2611.1496499999998</v>
          </cell>
          <cell r="U1951">
            <v>3085.3867100000002</v>
          </cell>
          <cell r="V1951">
            <v>3443.70262</v>
          </cell>
          <cell r="W1951">
            <v>3551.2486100000001</v>
          </cell>
          <cell r="X1951">
            <v>3707.51494</v>
          </cell>
          <cell r="Y1951">
            <v>1731.588598</v>
          </cell>
        </row>
        <row r="1952">
          <cell r="B1952">
            <v>780690</v>
          </cell>
          <cell r="C1952" t="str">
            <v>NOT USED</v>
          </cell>
          <cell r="D1952" t="str">
            <v>INTEREST EXPENSE-AFUDC</v>
          </cell>
          <cell r="E1952" t="str">
            <v/>
          </cell>
          <cell r="F1952" t="str">
            <v/>
          </cell>
          <cell r="G1952" t="str">
            <v/>
          </cell>
          <cell r="H1952" t="str">
            <v/>
          </cell>
          <cell r="I1952" t="str">
            <v/>
          </cell>
          <cell r="J1952" t="str">
            <v/>
          </cell>
          <cell r="K1952" t="str">
            <v/>
          </cell>
          <cell r="V1952">
            <v>-1E-3</v>
          </cell>
          <cell r="W1952">
            <v>-5.8500000000000002E-3</v>
          </cell>
          <cell r="X1952">
            <v>-0.14471000000000001</v>
          </cell>
          <cell r="Y1952">
            <v>-6.6E-3</v>
          </cell>
        </row>
        <row r="1953">
          <cell r="B1953">
            <v>780691</v>
          </cell>
          <cell r="C1953" t="str">
            <v>NOT USED</v>
          </cell>
          <cell r="D1953" t="str">
            <v>CONTRACTORS - ENGINEERING</v>
          </cell>
          <cell r="E1953" t="str">
            <v/>
          </cell>
          <cell r="F1953" t="str">
            <v/>
          </cell>
          <cell r="G1953" t="str">
            <v/>
          </cell>
          <cell r="H1953" t="str">
            <v/>
          </cell>
          <cell r="I1953" t="str">
            <v/>
          </cell>
          <cell r="J1953" t="str">
            <v/>
          </cell>
          <cell r="K1953" t="str">
            <v/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-658.51571000000001</v>
          </cell>
          <cell r="T1953">
            <v>-827.49788999999998</v>
          </cell>
          <cell r="U1953">
            <v>-1141.4349</v>
          </cell>
          <cell r="V1953">
            <v>-1200.56862</v>
          </cell>
          <cell r="W1953">
            <v>-1619.3138200000001</v>
          </cell>
          <cell r="X1953">
            <v>-2033.45632</v>
          </cell>
          <cell r="Y1953">
            <v>-538.67159200000003</v>
          </cell>
        </row>
        <row r="1954">
          <cell r="B1954">
            <v>780692</v>
          </cell>
          <cell r="C1954" t="str">
            <v>NOT USED</v>
          </cell>
          <cell r="D1954" t="str">
            <v>CONTRACTORS - FACILITY</v>
          </cell>
          <cell r="E1954" t="str">
            <v/>
          </cell>
          <cell r="F1954" t="str">
            <v/>
          </cell>
          <cell r="G1954" t="str">
            <v/>
          </cell>
          <cell r="H1954" t="str">
            <v/>
          </cell>
          <cell r="I1954" t="str">
            <v/>
          </cell>
          <cell r="J1954" t="str">
            <v/>
          </cell>
          <cell r="K1954" t="str">
            <v/>
          </cell>
          <cell r="U1954">
            <v>-0.3</v>
          </cell>
          <cell r="V1954">
            <v>-0.3</v>
          </cell>
          <cell r="W1954">
            <v>-0.3</v>
          </cell>
          <cell r="X1954">
            <v>-1.2</v>
          </cell>
          <cell r="Y1954">
            <v>-0.125</v>
          </cell>
        </row>
        <row r="1955">
          <cell r="B1955">
            <v>780693</v>
          </cell>
          <cell r="C1955" t="str">
            <v>NOT USED</v>
          </cell>
          <cell r="D1955" t="str">
            <v>CONTRACTORS - TEMPORARY LABOR SERVICES</v>
          </cell>
          <cell r="E1955" t="str">
            <v/>
          </cell>
          <cell r="F1955" t="str">
            <v/>
          </cell>
          <cell r="G1955" t="str">
            <v/>
          </cell>
          <cell r="H1955" t="str">
            <v/>
          </cell>
          <cell r="I1955" t="str">
            <v/>
          </cell>
          <cell r="J1955" t="str">
            <v/>
          </cell>
          <cell r="K1955" t="str">
            <v/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-66.133300000000006</v>
          </cell>
          <cell r="T1955">
            <v>-98.9529</v>
          </cell>
          <cell r="U1955">
            <v>-124.10865</v>
          </cell>
          <cell r="V1955">
            <v>-177.37555</v>
          </cell>
          <cell r="W1955">
            <v>-235.47575000000001</v>
          </cell>
          <cell r="X1955">
            <v>-292.33564999999999</v>
          </cell>
          <cell r="Y1955">
            <v>-70.684498000000005</v>
          </cell>
        </row>
        <row r="1956">
          <cell r="B1956">
            <v>780710</v>
          </cell>
          <cell r="C1956" t="str">
            <v>NOT USED</v>
          </cell>
          <cell r="D1956" t="str">
            <v>CIAC - TAXABLE</v>
          </cell>
          <cell r="E1956" t="str">
            <v/>
          </cell>
          <cell r="F1956" t="str">
            <v/>
          </cell>
          <cell r="G1956" t="str">
            <v/>
          </cell>
          <cell r="H1956" t="str">
            <v/>
          </cell>
          <cell r="I1956" t="str">
            <v/>
          </cell>
          <cell r="J1956" t="str">
            <v/>
          </cell>
          <cell r="K1956" t="str">
            <v/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</row>
        <row r="1957">
          <cell r="B1957">
            <v>780802</v>
          </cell>
          <cell r="C1957" t="str">
            <v>NOT USED</v>
          </cell>
          <cell r="D1957" t="str">
            <v>CORP TAXES-GAS OTHER</v>
          </cell>
          <cell r="E1957" t="str">
            <v/>
          </cell>
          <cell r="F1957" t="str">
            <v/>
          </cell>
          <cell r="G1957" t="str">
            <v/>
          </cell>
          <cell r="H1957" t="str">
            <v/>
          </cell>
          <cell r="I1957" t="str">
            <v/>
          </cell>
          <cell r="J1957" t="str">
            <v/>
          </cell>
          <cell r="K1957" t="str">
            <v/>
          </cell>
          <cell r="L1957">
            <v>-1.64995</v>
          </cell>
          <cell r="M1957">
            <v>-3.0790000000000001E-2</v>
          </cell>
          <cell r="N1957">
            <v>26.96921</v>
          </cell>
          <cell r="O1957">
            <v>26.96921</v>
          </cell>
          <cell r="P1957">
            <v>-0.63751999999999998</v>
          </cell>
          <cell r="Q1957">
            <v>-0.63751999999999998</v>
          </cell>
          <cell r="R1957">
            <v>-0.63751999999999998</v>
          </cell>
          <cell r="S1957">
            <v>-1.5754300000000001</v>
          </cell>
          <cell r="T1957">
            <v>-1.8170900000000001</v>
          </cell>
          <cell r="U1957">
            <v>-2.71149</v>
          </cell>
          <cell r="V1957">
            <v>-4.1561399999999997</v>
          </cell>
          <cell r="W1957">
            <v>-3.97756</v>
          </cell>
          <cell r="X1957">
            <v>-5.1831399999999999</v>
          </cell>
          <cell r="Y1957">
            <v>2.8617349999999999</v>
          </cell>
        </row>
        <row r="1958">
          <cell r="B1958">
            <v>780819</v>
          </cell>
          <cell r="C1958" t="str">
            <v>NOT USED</v>
          </cell>
          <cell r="D1958" t="str">
            <v>CORPORATE TAXES-ELEC OTHER</v>
          </cell>
          <cell r="E1958" t="str">
            <v/>
          </cell>
          <cell r="F1958" t="str">
            <v/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/>
          </cell>
          <cell r="L1958">
            <v>-1.5850500000000001</v>
          </cell>
          <cell r="M1958">
            <v>-3.3349999999999998E-2</v>
          </cell>
          <cell r="N1958">
            <v>53.966650000000001</v>
          </cell>
          <cell r="O1958">
            <v>53.966650000000001</v>
          </cell>
          <cell r="P1958">
            <v>-3.8789999999999998E-2</v>
          </cell>
          <cell r="Q1958">
            <v>-3.8789999999999998E-2</v>
          </cell>
          <cell r="R1958">
            <v>-3.8789999999999998E-2</v>
          </cell>
          <cell r="S1958">
            <v>-3.8789999999999998E-2</v>
          </cell>
          <cell r="T1958">
            <v>-3.8789999999999998E-2</v>
          </cell>
          <cell r="U1958">
            <v>-3.8789999999999998E-2</v>
          </cell>
          <cell r="V1958">
            <v>-3.8789999999999998E-2</v>
          </cell>
          <cell r="W1958">
            <v>-3.8789999999999998E-2</v>
          </cell>
          <cell r="X1958">
            <v>-0.47342000000000001</v>
          </cell>
          <cell r="Y1958">
            <v>8.8800329999999992</v>
          </cell>
        </row>
        <row r="1959">
          <cell r="B1959">
            <v>780825</v>
          </cell>
          <cell r="C1959" t="str">
            <v>NOT USED</v>
          </cell>
          <cell r="D1959" t="str">
            <v>BENEFITS-FEDERAL / STATE UNEMPLOYMENT INSURANCE</v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  <cell r="I1959" t="str">
            <v/>
          </cell>
          <cell r="J1959" t="str">
            <v/>
          </cell>
          <cell r="K1959" t="str">
            <v/>
          </cell>
          <cell r="V1959">
            <v>-180.34183999999999</v>
          </cell>
          <cell r="W1959">
            <v>-180.79300000000001</v>
          </cell>
          <cell r="X1959">
            <v>-181.66673</v>
          </cell>
          <cell r="Y1959">
            <v>-37.664017000000001</v>
          </cell>
        </row>
        <row r="1960">
          <cell r="B1960">
            <v>780826</v>
          </cell>
          <cell r="C1960" t="str">
            <v>NOT USED</v>
          </cell>
          <cell r="D1960" t="str">
            <v>BENEFITS-FICA / MEDICARE</v>
          </cell>
          <cell r="E1960" t="str">
            <v/>
          </cell>
          <cell r="F1960" t="str">
            <v/>
          </cell>
          <cell r="G1960" t="str">
            <v/>
          </cell>
          <cell r="H1960" t="str">
            <v/>
          </cell>
          <cell r="I1960" t="str">
            <v/>
          </cell>
          <cell r="J1960" t="str">
            <v/>
          </cell>
          <cell r="K1960" t="str">
            <v/>
          </cell>
          <cell r="V1960">
            <v>-4283.6859599999998</v>
          </cell>
          <cell r="W1960">
            <v>-4654.50245</v>
          </cell>
          <cell r="X1960">
            <v>-4983.3729700000004</v>
          </cell>
          <cell r="Y1960">
            <v>-952.48957499999995</v>
          </cell>
        </row>
        <row r="1961">
          <cell r="B1961">
            <v>780835</v>
          </cell>
          <cell r="C1961" t="str">
            <v>NOT USED</v>
          </cell>
          <cell r="D1961" t="str">
            <v>BENEFITS - MTA PAYROLL TAX</v>
          </cell>
          <cell r="E1961" t="str">
            <v/>
          </cell>
          <cell r="F1961" t="str">
            <v/>
          </cell>
          <cell r="G1961" t="str">
            <v/>
          </cell>
          <cell r="H1961" t="str">
            <v/>
          </cell>
          <cell r="I1961" t="str">
            <v/>
          </cell>
          <cell r="J1961" t="str">
            <v/>
          </cell>
          <cell r="K1961" t="str">
            <v/>
          </cell>
          <cell r="V1961">
            <v>-5.1279999999999999E-2</v>
          </cell>
          <cell r="W1961">
            <v>-5.1279999999999999E-2</v>
          </cell>
          <cell r="X1961">
            <v>-5.1279999999999999E-2</v>
          </cell>
          <cell r="Y1961">
            <v>-1.0683E-2</v>
          </cell>
        </row>
        <row r="1962">
          <cell r="B1962">
            <v>781520</v>
          </cell>
          <cell r="C1962" t="str">
            <v>NOT USED</v>
          </cell>
          <cell r="D1962" t="str">
            <v>BENEFITS-OTHER BENEFITS-P</v>
          </cell>
          <cell r="E1962" t="str">
            <v/>
          </cell>
          <cell r="F1962" t="str">
            <v/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/>
          </cell>
          <cell r="W1962">
            <v>1409.95433</v>
          </cell>
          <cell r="X1962">
            <v>2855.91579</v>
          </cell>
          <cell r="Y1962">
            <v>236.49268499999999</v>
          </cell>
        </row>
        <row r="1963">
          <cell r="B1963">
            <v>781521</v>
          </cell>
          <cell r="C1963" t="str">
            <v>NOT USED</v>
          </cell>
          <cell r="D1963" t="str">
            <v>BENEFITS-PAYROLL TAXES-P</v>
          </cell>
          <cell r="E1963" t="str">
            <v/>
          </cell>
          <cell r="F1963" t="str">
            <v/>
          </cell>
          <cell r="G1963" t="str">
            <v/>
          </cell>
          <cell r="H1963" t="str">
            <v/>
          </cell>
          <cell r="I1963" t="str">
            <v/>
          </cell>
          <cell r="J1963" t="str">
            <v/>
          </cell>
          <cell r="K1963" t="str">
            <v/>
          </cell>
          <cell r="W1963">
            <v>345.25880999999998</v>
          </cell>
          <cell r="X1963">
            <v>661.30062999999996</v>
          </cell>
          <cell r="Y1963">
            <v>56.325760000000002</v>
          </cell>
        </row>
        <row r="1964">
          <cell r="B1964">
            <v>781522</v>
          </cell>
          <cell r="C1964" t="str">
            <v>NOT USED</v>
          </cell>
          <cell r="D1964" t="str">
            <v>BENEFITS-PENSIONS-SERVICES-P</v>
          </cell>
          <cell r="E1964" t="str">
            <v/>
          </cell>
          <cell r="F1964" t="str">
            <v/>
          </cell>
          <cell r="G1964" t="str">
            <v/>
          </cell>
          <cell r="H1964" t="str">
            <v/>
          </cell>
          <cell r="I1964" t="str">
            <v/>
          </cell>
          <cell r="J1964" t="str">
            <v/>
          </cell>
          <cell r="K1964" t="str">
            <v/>
          </cell>
          <cell r="W1964">
            <v>227.2216</v>
          </cell>
          <cell r="X1964">
            <v>433.06833</v>
          </cell>
          <cell r="Y1964">
            <v>36.979647</v>
          </cell>
        </row>
        <row r="1965">
          <cell r="B1965">
            <v>781523</v>
          </cell>
          <cell r="C1965" t="str">
            <v>NOT USED</v>
          </cell>
          <cell r="D1965" t="str">
            <v>BENEFITS-PENSIONS-INTEREST-P</v>
          </cell>
          <cell r="E1965" t="str">
            <v/>
          </cell>
          <cell r="F1965" t="str">
            <v/>
          </cell>
          <cell r="G1965" t="str">
            <v/>
          </cell>
          <cell r="H1965" t="str">
            <v/>
          </cell>
          <cell r="I1965" t="str">
            <v/>
          </cell>
          <cell r="J1965" t="str">
            <v/>
          </cell>
          <cell r="K1965" t="str">
            <v/>
          </cell>
          <cell r="W1965">
            <v>1604.7157400000001</v>
          </cell>
          <cell r="X1965">
            <v>3222.4025999999999</v>
          </cell>
          <cell r="Y1965">
            <v>267.993087</v>
          </cell>
        </row>
        <row r="1966">
          <cell r="B1966">
            <v>781524</v>
          </cell>
          <cell r="C1966" t="str">
            <v>NOT USED</v>
          </cell>
          <cell r="D1966" t="str">
            <v>BENEFITS-PENSIONS-RETURN ON ASSETS-ROA-P</v>
          </cell>
          <cell r="E1966" t="str">
            <v/>
          </cell>
          <cell r="F1966" t="str">
            <v/>
          </cell>
          <cell r="G1966" t="str">
            <v/>
          </cell>
          <cell r="H1966" t="str">
            <v/>
          </cell>
          <cell r="I1966" t="str">
            <v/>
          </cell>
          <cell r="J1966" t="str">
            <v/>
          </cell>
          <cell r="K1966" t="str">
            <v/>
          </cell>
          <cell r="W1966">
            <v>-2770.92317</v>
          </cell>
          <cell r="X1966">
            <v>-5538.6667699999998</v>
          </cell>
          <cell r="Y1966">
            <v>-461.68804599999999</v>
          </cell>
        </row>
        <row r="1967">
          <cell r="B1967">
            <v>781525</v>
          </cell>
          <cell r="C1967" t="str">
            <v>NOT USED</v>
          </cell>
          <cell r="D1967" t="str">
            <v>BENEFITS-PENSIONS-AMORTIZATION GAIN/LOSS-P</v>
          </cell>
          <cell r="E1967" t="str">
            <v/>
          </cell>
          <cell r="F1967" t="str">
            <v/>
          </cell>
          <cell r="G1967" t="str">
            <v/>
          </cell>
          <cell r="H1967" t="str">
            <v/>
          </cell>
          <cell r="I1967" t="str">
            <v/>
          </cell>
          <cell r="J1967" t="str">
            <v/>
          </cell>
          <cell r="K1967" t="str">
            <v/>
          </cell>
          <cell r="W1967">
            <v>769.60253999999998</v>
          </cell>
          <cell r="X1967">
            <v>1544.3245999999999</v>
          </cell>
          <cell r="Y1967">
            <v>128.480403</v>
          </cell>
        </row>
        <row r="1968">
          <cell r="B1968">
            <v>781526</v>
          </cell>
          <cell r="C1968" t="str">
            <v>NOT USED</v>
          </cell>
          <cell r="D1968" t="str">
            <v>BENEFITS-OPEB-SERVICE-P</v>
          </cell>
          <cell r="E1968" t="str">
            <v/>
          </cell>
          <cell r="F1968" t="str">
            <v/>
          </cell>
          <cell r="G1968" t="str">
            <v/>
          </cell>
          <cell r="H1968" t="str">
            <v/>
          </cell>
          <cell r="I1968" t="str">
            <v/>
          </cell>
          <cell r="J1968" t="str">
            <v/>
          </cell>
          <cell r="K1968" t="str">
            <v/>
          </cell>
          <cell r="W1968">
            <v>36.591479999999997</v>
          </cell>
          <cell r="X1968">
            <v>72.950289999999995</v>
          </cell>
          <cell r="Y1968">
            <v>6.0888850000000003</v>
          </cell>
        </row>
        <row r="1969">
          <cell r="B1969">
            <v>781527</v>
          </cell>
          <cell r="C1969" t="str">
            <v>NOT USED</v>
          </cell>
          <cell r="D1969" t="str">
            <v>BENEFITS-OPEB-INTEREST-P</v>
          </cell>
          <cell r="E1969" t="str">
            <v/>
          </cell>
          <cell r="F1969" t="str">
            <v/>
          </cell>
          <cell r="G1969" t="str">
            <v/>
          </cell>
          <cell r="H1969" t="str">
            <v/>
          </cell>
          <cell r="I1969" t="str">
            <v/>
          </cell>
          <cell r="J1969" t="str">
            <v/>
          </cell>
          <cell r="K1969" t="str">
            <v/>
          </cell>
          <cell r="W1969">
            <v>314.56912999999997</v>
          </cell>
          <cell r="X1969">
            <v>629.49225999999999</v>
          </cell>
          <cell r="Y1969">
            <v>52.442937999999998</v>
          </cell>
        </row>
        <row r="1970">
          <cell r="B1970">
            <v>781529</v>
          </cell>
          <cell r="C1970" t="str">
            <v>NOT USED</v>
          </cell>
          <cell r="D1970" t="str">
            <v>BENEFITS-OPEB-AMORTIZATION GAIN/LOSS-P</v>
          </cell>
          <cell r="E1970" t="str">
            <v/>
          </cell>
          <cell r="F1970" t="str">
            <v/>
          </cell>
          <cell r="G1970" t="str">
            <v/>
          </cell>
          <cell r="H1970" t="str">
            <v/>
          </cell>
          <cell r="I1970" t="str">
            <v/>
          </cell>
          <cell r="J1970" t="str">
            <v/>
          </cell>
          <cell r="K1970" t="str">
            <v/>
          </cell>
          <cell r="W1970">
            <v>83.216260000000005</v>
          </cell>
          <cell r="X1970">
            <v>166.00248999999999</v>
          </cell>
          <cell r="Y1970">
            <v>13.851459</v>
          </cell>
        </row>
        <row r="1971">
          <cell r="B1971">
            <v>781620</v>
          </cell>
          <cell r="C1971" t="str">
            <v>NOT USED</v>
          </cell>
          <cell r="D1971" t="str">
            <v>BENEFITS-OTHER BENEFITS</v>
          </cell>
          <cell r="E1971" t="str">
            <v/>
          </cell>
          <cell r="F1971" t="str">
            <v/>
          </cell>
          <cell r="G1971" t="str">
            <v/>
          </cell>
          <cell r="H1971" t="str">
            <v/>
          </cell>
          <cell r="I1971" t="str">
            <v/>
          </cell>
          <cell r="J1971" t="str">
            <v/>
          </cell>
          <cell r="K1971" t="str">
            <v/>
          </cell>
          <cell r="L1971">
            <v>-336.34595999999999</v>
          </cell>
          <cell r="M1971">
            <v>103.75131</v>
          </cell>
          <cell r="N1971">
            <v>67.158789999999996</v>
          </cell>
          <cell r="O1971">
            <v>29.924469999999999</v>
          </cell>
          <cell r="P1971">
            <v>-6.23705</v>
          </cell>
          <cell r="Q1971">
            <v>-44.369909999999997</v>
          </cell>
          <cell r="R1971">
            <v>-77.076779999999999</v>
          </cell>
          <cell r="S1971">
            <v>-114.43065</v>
          </cell>
          <cell r="T1971">
            <v>-159.24450999999999</v>
          </cell>
          <cell r="U1971">
            <v>-193.08672999999999</v>
          </cell>
          <cell r="V1971">
            <v>9899.3355100000008</v>
          </cell>
          <cell r="W1971">
            <v>9857.9936099999995</v>
          </cell>
          <cell r="X1971">
            <v>10790.921700000001</v>
          </cell>
          <cell r="Y1971">
            <v>2049.2504939999999</v>
          </cell>
        </row>
        <row r="1972">
          <cell r="B1972">
            <v>781621</v>
          </cell>
          <cell r="C1972" t="str">
            <v>NOT USED</v>
          </cell>
          <cell r="D1972" t="str">
            <v>BENEFITS-PAYROLL TAXES</v>
          </cell>
          <cell r="E1972" t="str">
            <v/>
          </cell>
          <cell r="F1972" t="str">
            <v/>
          </cell>
          <cell r="G1972" t="str">
            <v/>
          </cell>
          <cell r="H1972" t="str">
            <v/>
          </cell>
          <cell r="I1972" t="str">
            <v/>
          </cell>
          <cell r="J1972" t="str">
            <v/>
          </cell>
          <cell r="K1972" t="str">
            <v/>
          </cell>
          <cell r="L1972">
            <v>-173.13567</v>
          </cell>
          <cell r="M1972">
            <v>-17.405570000000001</v>
          </cell>
          <cell r="N1972">
            <v>-32.886800000000001</v>
          </cell>
          <cell r="O1972">
            <v>-49.718730000000001</v>
          </cell>
          <cell r="P1972">
            <v>-66.056749999999994</v>
          </cell>
          <cell r="Q1972">
            <v>-83.77946</v>
          </cell>
          <cell r="R1972">
            <v>-99.306830000000005</v>
          </cell>
          <cell r="S1972">
            <v>-116.31778</v>
          </cell>
          <cell r="T1972">
            <v>-137.27406999999999</v>
          </cell>
          <cell r="U1972">
            <v>-152.93833000000001</v>
          </cell>
          <cell r="V1972">
            <v>4331.2821100000001</v>
          </cell>
          <cell r="W1972">
            <v>4320.4342100000003</v>
          </cell>
          <cell r="X1972">
            <v>4312.1349499999997</v>
          </cell>
          <cell r="Y1972">
            <v>830.46096999999997</v>
          </cell>
        </row>
        <row r="1973">
          <cell r="B1973">
            <v>781622</v>
          </cell>
          <cell r="C1973" t="str">
            <v>NOT USED</v>
          </cell>
          <cell r="D1973" t="str">
            <v>BENEFITS-PENSIONS-SERVICES</v>
          </cell>
          <cell r="E1973" t="str">
            <v/>
          </cell>
          <cell r="F1973" t="str">
            <v/>
          </cell>
          <cell r="G1973" t="str">
            <v/>
          </cell>
          <cell r="H1973" t="str">
            <v/>
          </cell>
          <cell r="I1973" t="str">
            <v/>
          </cell>
          <cell r="J1973" t="str">
            <v/>
          </cell>
          <cell r="K1973" t="str">
            <v/>
          </cell>
          <cell r="L1973">
            <v>-58.041130000000003</v>
          </cell>
          <cell r="M1973">
            <v>-25.162040000000001</v>
          </cell>
          <cell r="N1973">
            <v>-40.210419999999999</v>
          </cell>
          <cell r="O1973">
            <v>-52.610280000000003</v>
          </cell>
          <cell r="P1973">
            <v>-64.832070000000002</v>
          </cell>
          <cell r="Q1973">
            <v>-78.630750000000006</v>
          </cell>
          <cell r="R1973">
            <v>-90.532150000000001</v>
          </cell>
          <cell r="S1973">
            <v>-103.2931</v>
          </cell>
          <cell r="T1973">
            <v>-118.77200000000001</v>
          </cell>
          <cell r="U1973">
            <v>-129.71155999999999</v>
          </cell>
          <cell r="V1973">
            <v>3264.7203800000002</v>
          </cell>
          <cell r="W1973">
            <v>3256.6794799999998</v>
          </cell>
          <cell r="X1973">
            <v>3250.2175999999999</v>
          </cell>
          <cell r="Y1973">
            <v>617.81114400000001</v>
          </cell>
        </row>
        <row r="1974">
          <cell r="B1974">
            <v>781623</v>
          </cell>
          <cell r="C1974" t="str">
            <v>NOT USED</v>
          </cell>
          <cell r="D1974" t="str">
            <v>BENEFITS-PENSIONS-INTEREST</v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  <cell r="I1974" t="str">
            <v/>
          </cell>
          <cell r="J1974" t="str">
            <v/>
          </cell>
          <cell r="K1974" t="str">
            <v/>
          </cell>
          <cell r="L1974">
            <v>-286.17317000000003</v>
          </cell>
          <cell r="M1974">
            <v>-81.932839999999999</v>
          </cell>
          <cell r="N1974">
            <v>-154.83760000000001</v>
          </cell>
          <cell r="O1974">
            <v>-223.52382</v>
          </cell>
          <cell r="P1974">
            <v>-291.88556</v>
          </cell>
          <cell r="Q1974">
            <v>-369.21926999999999</v>
          </cell>
          <cell r="R1974">
            <v>-432.48322999999999</v>
          </cell>
          <cell r="S1974">
            <v>-500.79388</v>
          </cell>
          <cell r="T1974">
            <v>-587.08941000000004</v>
          </cell>
          <cell r="U1974">
            <v>-650.34217000000001</v>
          </cell>
          <cell r="V1974">
            <v>17729.519509999998</v>
          </cell>
          <cell r="W1974">
            <v>17677.696800000002</v>
          </cell>
          <cell r="X1974">
            <v>17632.45549</v>
          </cell>
          <cell r="Y1974">
            <v>3399.0208080000002</v>
          </cell>
        </row>
        <row r="1975">
          <cell r="B1975">
            <v>781624</v>
          </cell>
          <cell r="C1975" t="str">
            <v>NOT USED</v>
          </cell>
          <cell r="D1975" t="str">
            <v>BENEFITS-PENSIONS-RETURN ON ASSETS-ROA</v>
          </cell>
          <cell r="E1975" t="str">
            <v/>
          </cell>
          <cell r="F1975" t="str">
            <v/>
          </cell>
          <cell r="G1975" t="str">
            <v/>
          </cell>
          <cell r="H1975" t="str">
            <v/>
          </cell>
          <cell r="I1975" t="str">
            <v/>
          </cell>
          <cell r="J1975" t="str">
            <v/>
          </cell>
          <cell r="K1975" t="str">
            <v/>
          </cell>
          <cell r="L1975">
            <v>439.90469999999999</v>
          </cell>
          <cell r="M1975">
            <v>123.02169000000001</v>
          </cell>
          <cell r="N1975">
            <v>232.56181000000001</v>
          </cell>
          <cell r="O1975">
            <v>336.16915999999998</v>
          </cell>
          <cell r="P1975">
            <v>452.17892999999998</v>
          </cell>
          <cell r="Q1975">
            <v>581.91818999999998</v>
          </cell>
          <cell r="R1975">
            <v>695.34987999999998</v>
          </cell>
          <cell r="S1975">
            <v>817.69173999999998</v>
          </cell>
          <cell r="T1975">
            <v>974.62279999999998</v>
          </cell>
          <cell r="U1975">
            <v>1088.14003</v>
          </cell>
          <cell r="V1975">
            <v>-28991.68115</v>
          </cell>
          <cell r="W1975">
            <v>-28899.617900000001</v>
          </cell>
          <cell r="X1975">
            <v>-28819.606309999999</v>
          </cell>
          <cell r="Y1975">
            <v>-5564.957969</v>
          </cell>
        </row>
        <row r="1976">
          <cell r="B1976">
            <v>781625</v>
          </cell>
          <cell r="C1976" t="str">
            <v>NOT USED</v>
          </cell>
          <cell r="D1976" t="str">
            <v>BENEFITS-PENSIONS-AMORTIZATION GAIN/LOSS</v>
          </cell>
          <cell r="E1976" t="str">
            <v/>
          </cell>
          <cell r="F1976" t="str">
            <v/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/>
          </cell>
          <cell r="L1976">
            <v>-121.45007</v>
          </cell>
          <cell r="M1976">
            <v>-48.74832</v>
          </cell>
          <cell r="N1976">
            <v>-92.399320000000003</v>
          </cell>
          <cell r="O1976">
            <v>-134.55591000000001</v>
          </cell>
          <cell r="P1976">
            <v>-174.51723999999999</v>
          </cell>
          <cell r="Q1976">
            <v>-221.82785999999999</v>
          </cell>
          <cell r="R1976">
            <v>-259.59133000000003</v>
          </cell>
          <cell r="S1976">
            <v>-299.83582000000001</v>
          </cell>
          <cell r="T1976">
            <v>-353.05243999999999</v>
          </cell>
          <cell r="U1976">
            <v>-389.37484000000001</v>
          </cell>
          <cell r="V1976">
            <v>8715.0421999999999</v>
          </cell>
          <cell r="W1976">
            <v>8684.6163799999995</v>
          </cell>
          <cell r="X1976">
            <v>8657.2650799999992</v>
          </cell>
          <cell r="Y1976">
            <v>1641.138584</v>
          </cell>
        </row>
        <row r="1977">
          <cell r="B1977">
            <v>781626</v>
          </cell>
          <cell r="C1977" t="str">
            <v>NOT USED</v>
          </cell>
          <cell r="D1977" t="str">
            <v>BENEFITS-OPEB-SERVICE</v>
          </cell>
          <cell r="E1977" t="str">
            <v/>
          </cell>
          <cell r="F1977" t="str">
            <v/>
          </cell>
          <cell r="G1977" t="str">
            <v/>
          </cell>
          <cell r="H1977" t="str">
            <v/>
          </cell>
          <cell r="I1977" t="str">
            <v/>
          </cell>
          <cell r="J1977" t="str">
            <v/>
          </cell>
          <cell r="K1977" t="str">
            <v/>
          </cell>
          <cell r="L1977">
            <v>-67.588399999999993</v>
          </cell>
          <cell r="M1977">
            <v>-31.182880000000001</v>
          </cell>
          <cell r="N1977">
            <v>-33.534019999999998</v>
          </cell>
          <cell r="O1977">
            <v>-35.528260000000003</v>
          </cell>
          <cell r="P1977">
            <v>-37.244430000000001</v>
          </cell>
          <cell r="Q1977">
            <v>-39.192979999999999</v>
          </cell>
          <cell r="R1977">
            <v>-40.743400000000001</v>
          </cell>
          <cell r="S1977">
            <v>-42.41122</v>
          </cell>
          <cell r="T1977">
            <v>-44.706899999999997</v>
          </cell>
          <cell r="U1977">
            <v>-46.350560000000002</v>
          </cell>
          <cell r="V1977">
            <v>430.20398</v>
          </cell>
          <cell r="W1977">
            <v>429.02328999999997</v>
          </cell>
          <cell r="X1977">
            <v>428.24847999999997</v>
          </cell>
          <cell r="Y1977">
            <v>57.388554999999997</v>
          </cell>
        </row>
        <row r="1978">
          <cell r="B1978">
            <v>781627</v>
          </cell>
          <cell r="C1978" t="str">
            <v>NOT USED</v>
          </cell>
          <cell r="D1978" t="str">
            <v>BENEFITS-OPEB-INTEREST</v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  <cell r="I1978" t="str">
            <v/>
          </cell>
          <cell r="J1978" t="str">
            <v/>
          </cell>
          <cell r="K1978" t="str">
            <v/>
          </cell>
          <cell r="L1978">
            <v>-93.287229999999994</v>
          </cell>
          <cell r="M1978">
            <v>-277.55399</v>
          </cell>
          <cell r="N1978">
            <v>-291.4178</v>
          </cell>
          <cell r="O1978">
            <v>-304.44333999999998</v>
          </cell>
          <cell r="P1978">
            <v>-317.65231</v>
          </cell>
          <cell r="Q1978">
            <v>-332.38675000000001</v>
          </cell>
          <cell r="R1978">
            <v>-344.75993999999997</v>
          </cell>
          <cell r="S1978">
            <v>-358.13078999999999</v>
          </cell>
          <cell r="T1978">
            <v>-374.94918999999999</v>
          </cell>
          <cell r="U1978">
            <v>-387.36977000000002</v>
          </cell>
          <cell r="V1978">
            <v>3195.0704799999999</v>
          </cell>
          <cell r="W1978">
            <v>3184.7779700000001</v>
          </cell>
          <cell r="X1978">
            <v>3175.8323300000002</v>
          </cell>
          <cell r="Y1978">
            <v>411.038093</v>
          </cell>
        </row>
        <row r="1979">
          <cell r="B1979">
            <v>781628</v>
          </cell>
          <cell r="C1979" t="str">
            <v>NOT USED</v>
          </cell>
          <cell r="D1979" t="str">
            <v>BENEFITS-OPEB-RETURN ON ASSET-ROA</v>
          </cell>
          <cell r="E1979" t="str">
            <v/>
          </cell>
          <cell r="F1979" t="str">
            <v/>
          </cell>
          <cell r="G1979" t="str">
            <v/>
          </cell>
          <cell r="H1979" t="str">
            <v/>
          </cell>
          <cell r="I1979" t="str">
            <v/>
          </cell>
          <cell r="J1979" t="str">
            <v/>
          </cell>
          <cell r="K1979" t="str">
            <v/>
          </cell>
          <cell r="L1979">
            <v>0.67605999999999999</v>
          </cell>
          <cell r="M1979">
            <v>-1.4274500000000001</v>
          </cell>
          <cell r="N1979">
            <v>-0.70440999999999998</v>
          </cell>
          <cell r="O1979">
            <v>5.7110000000000001E-2</v>
          </cell>
          <cell r="P1979">
            <v>0.83333000000000002</v>
          </cell>
          <cell r="Q1979">
            <v>1.8512200000000001</v>
          </cell>
          <cell r="R1979">
            <v>2.8239000000000001</v>
          </cell>
          <cell r="S1979">
            <v>3.8062900000000002</v>
          </cell>
          <cell r="T1979">
            <v>5.3159000000000001</v>
          </cell>
          <cell r="U1979">
            <v>6.0986099999999999</v>
          </cell>
          <cell r="V1979">
            <v>6.9095000000000004</v>
          </cell>
          <cell r="W1979">
            <v>7.7444199999999999</v>
          </cell>
          <cell r="X1979">
            <v>8.5465900000000001</v>
          </cell>
          <cell r="Y1979">
            <v>3.1599789999999999</v>
          </cell>
        </row>
        <row r="1980">
          <cell r="B1980">
            <v>781629</v>
          </cell>
          <cell r="C1980" t="str">
            <v>NOT USED</v>
          </cell>
          <cell r="D1980" t="str">
            <v>BENEFITS-OPEB-AMORTIZATION GAIN/LOSS</v>
          </cell>
          <cell r="E1980" t="str">
            <v/>
          </cell>
          <cell r="F1980" t="str">
            <v/>
          </cell>
          <cell r="G1980" t="str">
            <v/>
          </cell>
          <cell r="H1980" t="str">
            <v/>
          </cell>
          <cell r="I1980" t="str">
            <v/>
          </cell>
          <cell r="J1980" t="str">
            <v/>
          </cell>
          <cell r="K1980" t="str">
            <v/>
          </cell>
          <cell r="L1980">
            <v>-19.943570000000001</v>
          </cell>
          <cell r="M1980">
            <v>-36.56729</v>
          </cell>
          <cell r="N1980">
            <v>-42.132399999999997</v>
          </cell>
          <cell r="O1980">
            <v>-42.859009999999998</v>
          </cell>
          <cell r="P1980">
            <v>-48.022689999999997</v>
          </cell>
          <cell r="Q1980">
            <v>-54.068959999999997</v>
          </cell>
          <cell r="R1980">
            <v>-58.786430000000003</v>
          </cell>
          <cell r="S1980">
            <v>-63.805990000000001</v>
          </cell>
          <cell r="T1980">
            <v>-70.525099999999995</v>
          </cell>
          <cell r="U1980">
            <v>-74.904489999999996</v>
          </cell>
          <cell r="V1980">
            <v>771.12171000000001</v>
          </cell>
          <cell r="W1980">
            <v>767.53255999999999</v>
          </cell>
          <cell r="X1980">
            <v>764.17484000000002</v>
          </cell>
          <cell r="Y1980">
            <v>118.258129</v>
          </cell>
        </row>
        <row r="1981">
          <cell r="B1981">
            <v>782301</v>
          </cell>
          <cell r="C1981" t="str">
            <v>NOT USED</v>
          </cell>
          <cell r="D1981" t="str">
            <v>BENEFITS-OPEB-AMORTIZATION GAIN/LOSS</v>
          </cell>
          <cell r="E1981" t="str">
            <v/>
          </cell>
          <cell r="F1981" t="str">
            <v/>
          </cell>
          <cell r="G1981" t="str">
            <v/>
          </cell>
          <cell r="H1981" t="str">
            <v/>
          </cell>
          <cell r="I1981" t="str">
            <v/>
          </cell>
          <cell r="J1981" t="str">
            <v/>
          </cell>
          <cell r="K1981" t="str">
            <v/>
          </cell>
          <cell r="L1981">
            <v>-88.81223</v>
          </cell>
          <cell r="M1981">
            <v>-5.7082899999999999</v>
          </cell>
          <cell r="N1981">
            <v>-11.032019999999999</v>
          </cell>
          <cell r="O1981">
            <v>-16.778880000000001</v>
          </cell>
          <cell r="P1981">
            <v>-20.420590000000001</v>
          </cell>
          <cell r="Q1981">
            <v>-25.388590000000001</v>
          </cell>
          <cell r="R1981">
            <v>-29.430479999999999</v>
          </cell>
          <cell r="S1981">
            <v>-32.654240000000001</v>
          </cell>
          <cell r="T1981">
            <v>-35.869459999999997</v>
          </cell>
          <cell r="U1981">
            <v>-37.75056</v>
          </cell>
          <cell r="V1981">
            <v>-201.97327000000001</v>
          </cell>
          <cell r="W1981">
            <v>-223.38481999999999</v>
          </cell>
          <cell r="X1981">
            <v>-243.42544000000001</v>
          </cell>
          <cell r="Y1981">
            <v>-67.20917</v>
          </cell>
        </row>
        <row r="1982">
          <cell r="B1982">
            <v>782302</v>
          </cell>
          <cell r="C1982" t="str">
            <v>NOT USED</v>
          </cell>
          <cell r="D1982" t="str">
            <v>USSC SUPPORT</v>
          </cell>
          <cell r="E1982">
            <v>0</v>
          </cell>
          <cell r="X1982">
            <v>-9.67</v>
          </cell>
          <cell r="Y1982">
            <v>-0.40291700000000003</v>
          </cell>
        </row>
        <row r="1983">
          <cell r="B1983">
            <v>782400</v>
          </cell>
          <cell r="C1983" t="str">
            <v>NOT USED</v>
          </cell>
          <cell r="D1983" t="str">
            <v>USSC SUPPORT</v>
          </cell>
          <cell r="E1983" t="str">
            <v/>
          </cell>
          <cell r="F1983" t="str">
            <v/>
          </cell>
          <cell r="G1983" t="str">
            <v/>
          </cell>
          <cell r="H1983" t="str">
            <v/>
          </cell>
          <cell r="I1983" t="str">
            <v/>
          </cell>
          <cell r="J1983" t="str">
            <v/>
          </cell>
          <cell r="K1983" t="str">
            <v/>
          </cell>
          <cell r="V1983">
            <v>-13.84747</v>
          </cell>
          <cell r="W1983">
            <v>-13.84747</v>
          </cell>
          <cell r="X1983">
            <v>-18.25929</v>
          </cell>
          <cell r="Y1983">
            <v>-3.0687150000000001</v>
          </cell>
        </row>
        <row r="1984">
          <cell r="B1984">
            <v>782600</v>
          </cell>
          <cell r="C1984" t="str">
            <v>NOT USED</v>
          </cell>
          <cell r="D1984" t="str">
            <v>INSURANCE-PROPERTY</v>
          </cell>
          <cell r="E1984" t="str">
            <v/>
          </cell>
          <cell r="F1984" t="str">
            <v/>
          </cell>
          <cell r="G1984" t="str">
            <v/>
          </cell>
          <cell r="H1984" t="str">
            <v/>
          </cell>
          <cell r="I1984" t="str">
            <v/>
          </cell>
          <cell r="J1984" t="str">
            <v/>
          </cell>
          <cell r="K1984" t="str">
            <v/>
          </cell>
          <cell r="V1984">
            <v>-23.036960000000001</v>
          </cell>
          <cell r="W1984">
            <v>-24.320589999999999</v>
          </cell>
          <cell r="X1984">
            <v>-27.29222</v>
          </cell>
          <cell r="Y1984">
            <v>-5.0836379999999997</v>
          </cell>
        </row>
        <row r="1985">
          <cell r="B1985">
            <v>782616</v>
          </cell>
          <cell r="C1985" t="str">
            <v>NOT USED</v>
          </cell>
          <cell r="D1985" t="str">
            <v>BENEFITS</v>
          </cell>
          <cell r="E1985" t="str">
            <v/>
          </cell>
          <cell r="F1985" t="str">
            <v/>
          </cell>
          <cell r="G1985" t="str">
            <v/>
          </cell>
          <cell r="H1985" t="str">
            <v/>
          </cell>
          <cell r="I1985" t="str">
            <v/>
          </cell>
          <cell r="J1985" t="str">
            <v/>
          </cell>
          <cell r="K1985" t="str">
            <v/>
          </cell>
          <cell r="V1985">
            <v>-598.33331999999996</v>
          </cell>
          <cell r="W1985">
            <v>-658.16665</v>
          </cell>
          <cell r="X1985">
            <v>-184.42151000000001</v>
          </cell>
          <cell r="Y1985">
            <v>-112.39256</v>
          </cell>
        </row>
        <row r="1986">
          <cell r="B1986">
            <v>782660</v>
          </cell>
          <cell r="C1986" t="str">
            <v>NOT USED</v>
          </cell>
          <cell r="D1986" t="str">
            <v>BENEFITS-FAS 112</v>
          </cell>
          <cell r="E1986" t="str">
            <v/>
          </cell>
          <cell r="F1986" t="str">
            <v/>
          </cell>
          <cell r="G1986" t="str">
            <v/>
          </cell>
          <cell r="H1986" t="str">
            <v/>
          </cell>
          <cell r="I1986" t="str">
            <v/>
          </cell>
          <cell r="J1986" t="str">
            <v/>
          </cell>
          <cell r="K1986" t="str">
            <v/>
          </cell>
          <cell r="V1986">
            <v>-506.65667999999999</v>
          </cell>
          <cell r="W1986">
            <v>-557.32235000000003</v>
          </cell>
          <cell r="X1986">
            <v>-607.98802000000001</v>
          </cell>
          <cell r="Y1986">
            <v>-113.997753</v>
          </cell>
        </row>
        <row r="1987">
          <cell r="B1987">
            <v>782661</v>
          </cell>
          <cell r="C1987" t="str">
            <v>NOT USED</v>
          </cell>
          <cell r="D1987" t="str">
            <v>BENEFITS-OPEB-SERVICE</v>
          </cell>
          <cell r="E1987" t="str">
            <v/>
          </cell>
          <cell r="F1987" t="str">
            <v/>
          </cell>
          <cell r="G1987" t="str">
            <v/>
          </cell>
          <cell r="H1987" t="str">
            <v/>
          </cell>
          <cell r="I1987" t="str">
            <v/>
          </cell>
          <cell r="J1987" t="str">
            <v/>
          </cell>
          <cell r="K1987" t="str">
            <v/>
          </cell>
          <cell r="V1987">
            <v>-3523.3175000000001</v>
          </cell>
          <cell r="W1987">
            <v>-3875.6492499999999</v>
          </cell>
          <cell r="X1987">
            <v>-4227.9809999999998</v>
          </cell>
          <cell r="Y1987">
            <v>-792.74643800000001</v>
          </cell>
        </row>
        <row r="1988">
          <cell r="B1988">
            <v>782663</v>
          </cell>
          <cell r="C1988" t="str">
            <v>NOT USED</v>
          </cell>
          <cell r="D1988" t="str">
            <v>BENEFITS-OPEB-INTEREST</v>
          </cell>
          <cell r="E1988" t="str">
            <v/>
          </cell>
          <cell r="F1988" t="str">
            <v/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V1988">
            <v>-847.58749999999998</v>
          </cell>
          <cell r="W1988">
            <v>-932.34625000000005</v>
          </cell>
          <cell r="X1988">
            <v>-1017.105</v>
          </cell>
          <cell r="Y1988">
            <v>-190.707188</v>
          </cell>
        </row>
        <row r="1989">
          <cell r="B1989">
            <v>782400</v>
          </cell>
          <cell r="C1989" t="str">
            <v>NOT USED</v>
          </cell>
          <cell r="D1989" t="str">
            <v>USSC SUPPORT</v>
          </cell>
          <cell r="E1989" t="str">
            <v/>
          </cell>
          <cell r="F1989" t="str">
            <v/>
          </cell>
          <cell r="G1989" t="str">
            <v/>
          </cell>
          <cell r="H1989" t="str">
            <v/>
          </cell>
          <cell r="I1989" t="str">
            <v/>
          </cell>
          <cell r="J1989" t="str">
            <v/>
          </cell>
          <cell r="K1989" t="str">
            <v/>
          </cell>
          <cell r="L1989">
            <v>-14.53618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-9.2316500000000001</v>
          </cell>
          <cell r="S1989">
            <v>-9.2316500000000001</v>
          </cell>
          <cell r="T1989">
            <v>-9.2316500000000001</v>
          </cell>
          <cell r="U1989">
            <v>-13.84747</v>
          </cell>
          <cell r="V1989">
            <v>-13.84747</v>
          </cell>
          <cell r="W1989">
            <v>-13.84747</v>
          </cell>
          <cell r="X1989">
            <v>-18.25929</v>
          </cell>
          <cell r="Y1989">
            <v>-7.1362579999999998</v>
          </cell>
        </row>
        <row r="1990">
          <cell r="B1990">
            <v>783023</v>
          </cell>
          <cell r="C1990" t="str">
            <v>NOT USED</v>
          </cell>
          <cell r="D1990" t="str">
            <v>USSC SUPPORT</v>
          </cell>
          <cell r="E1990" t="str">
            <v/>
          </cell>
          <cell r="F1990" t="str">
            <v/>
          </cell>
          <cell r="G1990" t="str">
            <v/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</row>
        <row r="1991">
          <cell r="B1991">
            <v>783255</v>
          </cell>
          <cell r="C1991" t="str">
            <v>NOT USED</v>
          </cell>
          <cell r="D1991" t="str">
            <v>MEMBERSHIPS &amp; SUBSCRIPTIONS</v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  <cell r="I1991" t="str">
            <v/>
          </cell>
          <cell r="J1991" t="str">
            <v/>
          </cell>
          <cell r="K1991" t="str">
            <v/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</row>
        <row r="1992">
          <cell r="B1992">
            <v>788170</v>
          </cell>
          <cell r="C1992" t="str">
            <v>NOT USED</v>
          </cell>
          <cell r="D1992" t="str">
            <v>EMPLOYEE - ENTERTAINMENT EXPENSES</v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</row>
        <row r="1993">
          <cell r="B1993">
            <v>789261</v>
          </cell>
          <cell r="C1993" t="str">
            <v>NOT USED</v>
          </cell>
          <cell r="D1993" t="str">
            <v>PURCHASED GAS EXP</v>
          </cell>
          <cell r="E1993" t="str">
            <v/>
          </cell>
          <cell r="F1993" t="str">
            <v/>
          </cell>
          <cell r="G1993" t="str">
            <v/>
          </cell>
          <cell r="H1993" t="str">
            <v/>
          </cell>
          <cell r="I1993" t="str">
            <v/>
          </cell>
          <cell r="J1993" t="str">
            <v/>
          </cell>
          <cell r="K1993" t="str">
            <v/>
          </cell>
          <cell r="V1993">
            <v>46.479059999999997</v>
          </cell>
          <cell r="W1993">
            <v>51.12706</v>
          </cell>
          <cell r="X1993">
            <v>55.775060000000003</v>
          </cell>
          <cell r="Y1993">
            <v>10.457803999999999</v>
          </cell>
        </row>
        <row r="1994">
          <cell r="B1994">
            <v>789280</v>
          </cell>
          <cell r="C1994" t="str">
            <v>NOT USED</v>
          </cell>
          <cell r="D1994" t="str">
            <v>PURCHASED GAS EXP</v>
          </cell>
          <cell r="E1994" t="str">
            <v/>
          </cell>
          <cell r="F1994" t="str">
            <v/>
          </cell>
          <cell r="G1994" t="str">
            <v/>
          </cell>
          <cell r="H1994" t="str">
            <v/>
          </cell>
          <cell r="I1994" t="str">
            <v/>
          </cell>
          <cell r="J1994" t="str">
            <v/>
          </cell>
          <cell r="K1994" t="str">
            <v/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</row>
        <row r="1995">
          <cell r="B1995">
            <v>789999</v>
          </cell>
          <cell r="C1995" t="str">
            <v>NOT USED</v>
          </cell>
          <cell r="D1995" t="str">
            <v>REGULATORY - OTHER</v>
          </cell>
          <cell r="E1995" t="str">
            <v/>
          </cell>
          <cell r="F1995" t="str">
            <v/>
          </cell>
          <cell r="G1995" t="str">
            <v/>
          </cell>
          <cell r="H1995" t="str">
            <v/>
          </cell>
          <cell r="I1995" t="str">
            <v/>
          </cell>
          <cell r="J1995" t="str">
            <v/>
          </cell>
          <cell r="K1995" t="str">
            <v/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</row>
        <row r="1996">
          <cell r="B1996">
            <v>790050</v>
          </cell>
          <cell r="C1996" t="str">
            <v>NOT USED</v>
          </cell>
          <cell r="D1996" t="str">
            <v>G/L RECONCILATION</v>
          </cell>
          <cell r="E1996" t="str">
            <v/>
          </cell>
          <cell r="F1996" t="str">
            <v/>
          </cell>
          <cell r="G1996" t="str">
            <v/>
          </cell>
          <cell r="H1996" t="str">
            <v/>
          </cell>
          <cell r="I1996" t="str">
            <v/>
          </cell>
          <cell r="J1996" t="str">
            <v/>
          </cell>
          <cell r="K1996" t="str">
            <v/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</row>
        <row r="1997">
          <cell r="B1997">
            <v>790070</v>
          </cell>
          <cell r="C1997" t="str">
            <v>NOT USED</v>
          </cell>
          <cell r="D1997" t="str">
            <v>LABOR</v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  <cell r="I1997" t="str">
            <v/>
          </cell>
          <cell r="J1997" t="str">
            <v/>
          </cell>
          <cell r="K1997" t="str">
            <v/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B1998">
            <v>790075</v>
          </cell>
          <cell r="C1998" t="str">
            <v>NOT USED</v>
          </cell>
          <cell r="D1998" t="str">
            <v>BENEFITS</v>
          </cell>
          <cell r="E1998" t="str">
            <v/>
          </cell>
          <cell r="F1998" t="str">
            <v/>
          </cell>
          <cell r="G1998" t="str">
            <v/>
          </cell>
          <cell r="H1998" t="str">
            <v/>
          </cell>
          <cell r="I1998" t="str">
            <v/>
          </cell>
          <cell r="J1998" t="str">
            <v/>
          </cell>
          <cell r="K1998" t="str">
            <v/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B1999">
            <v>790090</v>
          </cell>
          <cell r="C1999" t="str">
            <v>NOT USED</v>
          </cell>
          <cell r="D1999" t="str">
            <v>BENEFITS TO CLEARING ACCOUNT</v>
          </cell>
          <cell r="E1999" t="str">
            <v/>
          </cell>
          <cell r="F1999" t="str">
            <v/>
          </cell>
          <cell r="G1999" t="str">
            <v/>
          </cell>
          <cell r="H1999" t="str">
            <v/>
          </cell>
          <cell r="I1999" t="str">
            <v/>
          </cell>
          <cell r="J1999" t="str">
            <v/>
          </cell>
          <cell r="K1999" t="str">
            <v/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B2000">
            <v>790120</v>
          </cell>
          <cell r="C2000" t="str">
            <v>NOT USED</v>
          </cell>
          <cell r="D2000" t="str">
            <v>CONTRACTORS</v>
          </cell>
          <cell r="E2000" t="str">
            <v/>
          </cell>
          <cell r="F2000" t="str">
            <v/>
          </cell>
          <cell r="G2000" t="str">
            <v/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B2001">
            <v>790130</v>
          </cell>
          <cell r="C2001" t="str">
            <v>NOT USED</v>
          </cell>
          <cell r="D2001" t="str">
            <v>MATERIALS</v>
          </cell>
          <cell r="E2001" t="str">
            <v/>
          </cell>
          <cell r="F2001" t="str">
            <v/>
          </cell>
          <cell r="G2001" t="str">
            <v/>
          </cell>
          <cell r="H2001" t="str">
            <v/>
          </cell>
          <cell r="I2001" t="str">
            <v/>
          </cell>
          <cell r="J2001" t="str">
            <v/>
          </cell>
          <cell r="K2001" t="str">
            <v/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</row>
        <row r="2002">
          <cell r="B2002">
            <v>790140</v>
          </cell>
          <cell r="C2002" t="str">
            <v>NOT USED</v>
          </cell>
          <cell r="D2002" t="str">
            <v>FUEL</v>
          </cell>
          <cell r="E2002" t="str">
            <v/>
          </cell>
          <cell r="F2002" t="str">
            <v/>
          </cell>
          <cell r="G2002" t="str">
            <v/>
          </cell>
          <cell r="H2002" t="str">
            <v/>
          </cell>
          <cell r="I2002" t="str">
            <v/>
          </cell>
          <cell r="J2002" t="str">
            <v/>
          </cell>
          <cell r="K2002" t="str">
            <v/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</row>
        <row r="2003">
          <cell r="B2003">
            <v>790170</v>
          </cell>
          <cell r="C2003" t="str">
            <v>NOT USED</v>
          </cell>
          <cell r="D2003" t="str">
            <v>RENTS-LEASES</v>
          </cell>
          <cell r="E2003" t="str">
            <v/>
          </cell>
          <cell r="F2003" t="str">
            <v/>
          </cell>
          <cell r="G2003" t="str">
            <v/>
          </cell>
          <cell r="H2003" t="str">
            <v/>
          </cell>
          <cell r="I2003" t="str">
            <v/>
          </cell>
          <cell r="J2003" t="str">
            <v/>
          </cell>
          <cell r="K2003" t="str">
            <v/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</row>
        <row r="2004">
          <cell r="B2004">
            <v>790180</v>
          </cell>
          <cell r="C2004" t="str">
            <v>NOT USED</v>
          </cell>
          <cell r="D2004" t="str">
            <v>TRAVEL</v>
          </cell>
          <cell r="E2004" t="str">
            <v/>
          </cell>
          <cell r="F2004" t="str">
            <v/>
          </cell>
          <cell r="G2004" t="str">
            <v/>
          </cell>
          <cell r="H2004" t="str">
            <v/>
          </cell>
          <cell r="I2004" t="str">
            <v/>
          </cell>
          <cell r="J2004" t="str">
            <v/>
          </cell>
          <cell r="K2004" t="str">
            <v/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</row>
        <row r="2005">
          <cell r="B2005">
            <v>790190</v>
          </cell>
          <cell r="C2005" t="str">
            <v>NOT USED</v>
          </cell>
          <cell r="D2005" t="str">
            <v>GENERAL EXPENSES</v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I2005" t="str">
            <v/>
          </cell>
          <cell r="J2005" t="str">
            <v/>
          </cell>
          <cell r="K2005" t="str">
            <v/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</row>
        <row r="2006">
          <cell r="B2006">
            <v>790220</v>
          </cell>
          <cell r="C2006" t="str">
            <v>NOT USED</v>
          </cell>
          <cell r="D2006" t="str">
            <v>REGULATORY EXPENSES</v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I2006" t="str">
            <v/>
          </cell>
          <cell r="J2006" t="str">
            <v/>
          </cell>
          <cell r="K2006" t="str">
            <v/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</row>
        <row r="2007">
          <cell r="B2007">
            <v>790280</v>
          </cell>
          <cell r="C2007" t="str">
            <v>NOT USED</v>
          </cell>
          <cell r="D2007" t="str">
            <v>OTHER TAXES - ELECTRIC</v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I2007" t="str">
            <v/>
          </cell>
          <cell r="J2007" t="str">
            <v/>
          </cell>
          <cell r="K2007" t="str">
            <v/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</row>
        <row r="2008">
          <cell r="B2008">
            <v>880099</v>
          </cell>
          <cell r="C2008" t="str">
            <v>NOT USED</v>
          </cell>
          <cell r="D2008" t="str">
            <v>OID - OTHER INCOME &amp; DEDUCTIONS</v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I2008" t="str">
            <v/>
          </cell>
          <cell r="J2008" t="str">
            <v/>
          </cell>
          <cell r="K2008" t="str">
            <v/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</row>
        <row r="2009">
          <cell r="B2009">
            <v>899996</v>
          </cell>
          <cell r="C2009" t="str">
            <v>NOT USED</v>
          </cell>
          <cell r="D2009" t="str">
            <v>OTHER GAS EXPENSE - INTERCOMPANY</v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I2009" t="str">
            <v/>
          </cell>
          <cell r="J2009" t="str">
            <v/>
          </cell>
          <cell r="K2009" t="str">
            <v/>
          </cell>
          <cell r="L2009">
            <v>-9747.3158100000001</v>
          </cell>
          <cell r="M2009">
            <v>-950.28994999999998</v>
          </cell>
          <cell r="N2009">
            <v>-1801.56115</v>
          </cell>
          <cell r="O2009">
            <v>-2954.3021399999998</v>
          </cell>
          <cell r="P2009">
            <v>-3774.33581</v>
          </cell>
          <cell r="Q2009">
            <v>-4760.1494899999998</v>
          </cell>
          <cell r="R2009">
            <v>-6008.4121299999997</v>
          </cell>
          <cell r="S2009">
            <v>-6768.0539200000003</v>
          </cell>
          <cell r="T2009">
            <v>-7712.9694799999997</v>
          </cell>
          <cell r="U2009">
            <v>-11816.954820000001</v>
          </cell>
          <cell r="V2009">
            <v>-12691.66455</v>
          </cell>
          <cell r="W2009">
            <v>-14432.09294</v>
          </cell>
          <cell r="X2009">
            <v>-15199.60212</v>
          </cell>
          <cell r="Y2009">
            <v>-7178.6871119999996</v>
          </cell>
        </row>
        <row r="2010">
          <cell r="B2010">
            <v>899997</v>
          </cell>
          <cell r="C2010" t="str">
            <v>NOT USED</v>
          </cell>
          <cell r="D2010" t="str">
            <v>DIRECT LABOR  &amp; OVERHEAD BILLINGS-INTERCO (CREDIT</v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I2010" t="str">
            <v/>
          </cell>
          <cell r="J2010" t="str">
            <v/>
          </cell>
          <cell r="K2010" t="str">
            <v/>
          </cell>
          <cell r="L2010">
            <v>7554.9081200000001</v>
          </cell>
          <cell r="M2010">
            <v>742.03859999999997</v>
          </cell>
          <cell r="N2010">
            <v>1371.3530000000001</v>
          </cell>
          <cell r="O2010">
            <v>2043.36598</v>
          </cell>
          <cell r="P2010">
            <v>2660.0998100000002</v>
          </cell>
          <cell r="Q2010">
            <v>3355.03181</v>
          </cell>
          <cell r="R2010">
            <v>3996.5994300000002</v>
          </cell>
          <cell r="S2010">
            <v>4630.3611600000004</v>
          </cell>
          <cell r="T2010">
            <v>5411.8580700000002</v>
          </cell>
          <cell r="U2010">
            <v>5951.7057100000002</v>
          </cell>
          <cell r="V2010">
            <v>6579.7800999999999</v>
          </cell>
          <cell r="W2010">
            <v>7146.0975099999996</v>
          </cell>
          <cell r="X2010">
            <v>7794.3723600000003</v>
          </cell>
          <cell r="Y2010">
            <v>4296.9109520000002</v>
          </cell>
        </row>
        <row r="2011">
          <cell r="B2011">
            <v>899998</v>
          </cell>
          <cell r="C2011" t="str">
            <v>NOT USED</v>
          </cell>
          <cell r="D2011" t="str">
            <v>DIRECT LABOR  &amp; OVERHEAD CHARGES-INTERCO (DEBITS)</v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I2011" t="str">
            <v/>
          </cell>
          <cell r="J2011" t="str">
            <v/>
          </cell>
          <cell r="K2011" t="str">
            <v/>
          </cell>
          <cell r="L2011">
            <v>-9.5187399999999993</v>
          </cell>
          <cell r="M2011">
            <v>0</v>
          </cell>
          <cell r="N2011">
            <v>-5.48916</v>
          </cell>
          <cell r="O2011">
            <v>-85.658619999999999</v>
          </cell>
          <cell r="P2011">
            <v>-95.242310000000003</v>
          </cell>
          <cell r="Q2011">
            <v>-103.52070000000001</v>
          </cell>
          <cell r="R2011">
            <v>-137.35493</v>
          </cell>
          <cell r="S2011">
            <v>-430.58103</v>
          </cell>
          <cell r="T2011">
            <v>-948.88170000000002</v>
          </cell>
          <cell r="U2011">
            <v>-994.83741999999995</v>
          </cell>
          <cell r="V2011">
            <v>-1003.6620799999999</v>
          </cell>
          <cell r="W2011">
            <v>-1041.06017</v>
          </cell>
          <cell r="X2011">
            <v>-1204.9519499999999</v>
          </cell>
          <cell r="Y2011">
            <v>-454.46028899999999</v>
          </cell>
        </row>
        <row r="2012">
          <cell r="B2012">
            <v>899999</v>
          </cell>
          <cell r="C2012" t="str">
            <v>NOT USED</v>
          </cell>
          <cell r="D2012" t="str">
            <v>INDIRECT BILLINGS - INTERCOMPANY (CREDIT)</v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I2012" t="str">
            <v/>
          </cell>
          <cell r="J2012" t="str">
            <v/>
          </cell>
          <cell r="K2012" t="str">
            <v/>
          </cell>
          <cell r="L2012">
            <v>23679.174589999999</v>
          </cell>
          <cell r="M2012">
            <v>1331.8144</v>
          </cell>
          <cell r="N2012">
            <v>3298.31916</v>
          </cell>
          <cell r="O2012">
            <v>4852.9183700000003</v>
          </cell>
          <cell r="P2012">
            <v>6263.0986700000003</v>
          </cell>
          <cell r="Q2012">
            <v>7873.17767</v>
          </cell>
          <cell r="R2012">
            <v>10023.04083</v>
          </cell>
          <cell r="S2012">
            <v>12183.873820000001</v>
          </cell>
          <cell r="T2012">
            <v>14465.945229999999</v>
          </cell>
          <cell r="U2012">
            <v>16935.972969999999</v>
          </cell>
          <cell r="V2012">
            <v>19196.898969999998</v>
          </cell>
          <cell r="W2012">
            <v>21471.896840000001</v>
          </cell>
          <cell r="X2012">
            <v>26189.67139</v>
          </cell>
          <cell r="Y2012">
            <v>11902.614992999999</v>
          </cell>
        </row>
        <row r="2013">
          <cell r="B2013" t="str">
            <v>S81998</v>
          </cell>
          <cell r="C2013" t="str">
            <v>NOT USED</v>
          </cell>
          <cell r="D2013" t="str">
            <v>LABOR RECLASSIFICATION OVERTIME - CO</v>
          </cell>
          <cell r="E2013">
            <v>0</v>
          </cell>
        </row>
        <row r="2014">
          <cell r="B2014" t="str">
            <v>S81999</v>
          </cell>
          <cell r="C2014" t="str">
            <v>NOT USED</v>
          </cell>
          <cell r="D2014" t="str">
            <v>LABOR RECLASSIFICATION - CO</v>
          </cell>
          <cell r="E2014">
            <v>0</v>
          </cell>
        </row>
        <row r="2015">
          <cell r="B2015" t="str">
            <v>S82999</v>
          </cell>
          <cell r="C2015" t="str">
            <v>NOT USED</v>
          </cell>
          <cell r="D2015" t="str">
            <v>VEHICLE UTILIZATION RECLASS - CO</v>
          </cell>
          <cell r="E2015">
            <v>0</v>
          </cell>
        </row>
        <row r="2016">
          <cell r="B2016" t="str">
            <v>S88101</v>
          </cell>
          <cell r="C2016" t="str">
            <v>NOT USED</v>
          </cell>
          <cell r="D2016" t="str">
            <v>INSTALLATION LOADER - CO RECLASS</v>
          </cell>
          <cell r="E2016">
            <v>0</v>
          </cell>
        </row>
        <row r="2017">
          <cell r="B2017" t="str">
            <v>S88111</v>
          </cell>
          <cell r="C2017" t="str">
            <v>NOT USED</v>
          </cell>
          <cell r="D2017" t="str">
            <v>PAYROLL OVERHEAD LOADER - CO RECLASS</v>
          </cell>
          <cell r="E2017">
            <v>0</v>
          </cell>
        </row>
        <row r="2018">
          <cell r="B2018" t="str">
            <v>S88141</v>
          </cell>
          <cell r="C2018" t="str">
            <v>NOT USED</v>
          </cell>
          <cell r="D2018" t="str">
            <v>OCCUPANCY LOADER - CO RECLASS</v>
          </cell>
          <cell r="E2018">
            <v>0</v>
          </cell>
        </row>
        <row r="2019">
          <cell r="B2019" t="str">
            <v>S88166</v>
          </cell>
          <cell r="C2019" t="str">
            <v>NOT USED</v>
          </cell>
          <cell r="D2019" t="str">
            <v>CAPITALIZED PRELIM ENGINEERING - CO RECLASS</v>
          </cell>
          <cell r="E2019">
            <v>0</v>
          </cell>
        </row>
        <row r="2020">
          <cell r="B2020" t="str">
            <v>S88176</v>
          </cell>
          <cell r="C2020" t="str">
            <v>NOT USED</v>
          </cell>
          <cell r="D2020" t="str">
            <v>CAPITALIZED GENERAL &amp; SUPERVISION EXP - CO RECLASS</v>
          </cell>
          <cell r="E2020">
            <v>0</v>
          </cell>
        </row>
        <row r="2021">
          <cell r="B2021" t="str">
            <v>S88410</v>
          </cell>
          <cell r="C2021" t="str">
            <v>NOT USED</v>
          </cell>
          <cell r="D2021" t="str">
            <v>BEN-OTHER BENEFITS-RECLASS-S88310</v>
          </cell>
          <cell r="E2021">
            <v>0</v>
          </cell>
        </row>
        <row r="2022">
          <cell r="B2022" t="str">
            <v>S88420</v>
          </cell>
          <cell r="C2022" t="str">
            <v>NOT USED</v>
          </cell>
          <cell r="D2022" t="str">
            <v>BEN-PAYROLL TAXES-RECLASS-S88320</v>
          </cell>
          <cell r="E2022">
            <v>0</v>
          </cell>
        </row>
        <row r="2023">
          <cell r="B2023" t="str">
            <v>S88431</v>
          </cell>
          <cell r="C2023" t="str">
            <v>NOT USED</v>
          </cell>
          <cell r="D2023" t="str">
            <v>BEN-PENSIONS-SERVICES-RECLASS-S88331</v>
          </cell>
          <cell r="E2023">
            <v>0</v>
          </cell>
        </row>
        <row r="2024">
          <cell r="B2024" t="str">
            <v>S88432</v>
          </cell>
          <cell r="C2024" t="str">
            <v>NOT USED</v>
          </cell>
          <cell r="D2024" t="str">
            <v>BEN-PENSIONS-INTEREST-RECLASS-S88332</v>
          </cell>
          <cell r="E2024">
            <v>0</v>
          </cell>
        </row>
        <row r="2025">
          <cell r="B2025" t="str">
            <v>S88433</v>
          </cell>
          <cell r="C2025" t="str">
            <v>NOT USED</v>
          </cell>
          <cell r="D2025" t="str">
            <v>BEN-PENSIONS-RETURN ON ASSET-RECL-S88333</v>
          </cell>
          <cell r="E2025">
            <v>0</v>
          </cell>
        </row>
        <row r="2026">
          <cell r="B2026" t="str">
            <v>S88434</v>
          </cell>
          <cell r="C2026" t="str">
            <v>NOT USED</v>
          </cell>
          <cell r="D2026" t="str">
            <v>BEN-PENSIONS-AMORT GAIN/LOSS-RECL-S88334</v>
          </cell>
          <cell r="E2026">
            <v>0</v>
          </cell>
        </row>
        <row r="2027">
          <cell r="B2027" t="str">
            <v>S88441</v>
          </cell>
          <cell r="C2027" t="str">
            <v>NOT USED</v>
          </cell>
          <cell r="D2027" t="str">
            <v>BEN-OPEB-SERVICE-RECLASS-S88341</v>
          </cell>
          <cell r="E2027">
            <v>0</v>
          </cell>
        </row>
        <row r="2028">
          <cell r="B2028" t="str">
            <v>S88442</v>
          </cell>
          <cell r="C2028" t="str">
            <v>NOT USED</v>
          </cell>
          <cell r="D2028" t="str">
            <v>BEN-OPEB-INTEREST-RECLASS-S88342</v>
          </cell>
          <cell r="E2028">
            <v>0</v>
          </cell>
        </row>
        <row r="2029">
          <cell r="B2029" t="str">
            <v>S88443</v>
          </cell>
          <cell r="C2029" t="str">
            <v>NOT USED</v>
          </cell>
          <cell r="D2029" t="str">
            <v>BEN-OPEB-RETURN ON ASSET-RECLASS-S88343</v>
          </cell>
          <cell r="E2029">
            <v>0</v>
          </cell>
        </row>
        <row r="2030">
          <cell r="B2030" t="str">
            <v>S88444</v>
          </cell>
          <cell r="C2030" t="str">
            <v>NOT USED</v>
          </cell>
          <cell r="D2030" t="str">
            <v>BEN-OPEB-AMORT GAIN/LOSS-RECLASS-S88344</v>
          </cell>
          <cell r="E2030">
            <v>0</v>
          </cell>
        </row>
        <row r="2031">
          <cell r="B2031">
            <v>0</v>
          </cell>
          <cell r="D2031">
            <v>0</v>
          </cell>
          <cell r="E2031">
            <v>0</v>
          </cell>
        </row>
        <row r="2032">
          <cell r="B2032">
            <v>0</v>
          </cell>
          <cell r="D2032">
            <v>0</v>
          </cell>
          <cell r="E2032">
            <v>0</v>
          </cell>
        </row>
        <row r="2033">
          <cell r="B2033">
            <v>0</v>
          </cell>
          <cell r="D2033">
            <v>0</v>
          </cell>
          <cell r="E2033">
            <v>0</v>
          </cell>
        </row>
        <row r="2034">
          <cell r="B2034">
            <v>0</v>
          </cell>
          <cell r="D2034">
            <v>0</v>
          </cell>
          <cell r="E2034">
            <v>0</v>
          </cell>
        </row>
        <row r="2035">
          <cell r="B2035">
            <v>0</v>
          </cell>
          <cell r="D2035">
            <v>0</v>
          </cell>
          <cell r="E2035">
            <v>0</v>
          </cell>
        </row>
        <row r="2036">
          <cell r="B2036">
            <v>0</v>
          </cell>
          <cell r="D2036">
            <v>0</v>
          </cell>
          <cell r="E2036">
            <v>0</v>
          </cell>
        </row>
        <row r="2037">
          <cell r="B2037">
            <v>0</v>
          </cell>
          <cell r="D2037">
            <v>0</v>
          </cell>
          <cell r="E2037">
            <v>0</v>
          </cell>
        </row>
        <row r="2038">
          <cell r="B2038">
            <v>0</v>
          </cell>
          <cell r="D2038">
            <v>0</v>
          </cell>
          <cell r="E2038">
            <v>0</v>
          </cell>
        </row>
        <row r="2039">
          <cell r="D2039">
            <v>0</v>
          </cell>
          <cell r="E2039">
            <v>0</v>
          </cell>
        </row>
        <row r="2040">
          <cell r="D2040">
            <v>0</v>
          </cell>
          <cell r="E2040">
            <v>0</v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</row>
        <row r="2042">
          <cell r="B2042" t="str">
            <v>Total</v>
          </cell>
          <cell r="L2042">
            <v>3100.7879899974905</v>
          </cell>
          <cell r="M2042">
            <v>-1.5963299997449667</v>
          </cell>
          <cell r="N2042">
            <v>146.50167000107376</v>
          </cell>
          <cell r="O2042">
            <v>307.21873000148389</v>
          </cell>
          <cell r="P2042">
            <v>484.62074999956621</v>
          </cell>
          <cell r="Q2042">
            <v>658.34673000131806</v>
          </cell>
          <cell r="R2042">
            <v>903.85763999992014</v>
          </cell>
          <cell r="S2042">
            <v>1086.2573100030113</v>
          </cell>
          <cell r="T2042">
            <v>1169.0797300007707</v>
          </cell>
          <cell r="U2042">
            <v>1305.012730000004</v>
          </cell>
          <cell r="V2042">
            <v>1446.8907399995951</v>
          </cell>
          <cell r="W2042">
            <v>1608.3237399988575</v>
          </cell>
          <cell r="X2042">
            <v>7809.5410100009613</v>
          </cell>
          <cell r="Y2042">
            <v>1214.1398280000001</v>
          </cell>
        </row>
        <row r="2044">
          <cell r="B2044" t="str">
            <v>Average Cumulative Income</v>
          </cell>
          <cell r="C2044">
            <v>0</v>
          </cell>
          <cell r="D2044" t="str">
            <v>Average Cumulative Income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-51235.755709999983</v>
          </cell>
          <cell r="M2044">
            <v>-11756.070109999986</v>
          </cell>
          <cell r="N2044">
            <v>-18527.70064999989</v>
          </cell>
          <cell r="O2044">
            <v>-25703.548689999719</v>
          </cell>
          <cell r="P2044">
            <v>-31182.771059999948</v>
          </cell>
          <cell r="Q2044">
            <v>-36819.648259999871</v>
          </cell>
          <cell r="R2044">
            <v>-39142.91891999996</v>
          </cell>
          <cell r="S2044">
            <v>-45110.416309999317</v>
          </cell>
          <cell r="T2044">
            <v>-49736.150519999646</v>
          </cell>
          <cell r="U2044">
            <v>-54917.02580000009</v>
          </cell>
          <cell r="V2044">
            <v>-55679.821029999541</v>
          </cell>
          <cell r="W2044">
            <v>-48232.617530000207</v>
          </cell>
          <cell r="X2044">
            <v>-53181.44112999989</v>
          </cell>
          <cell r="Y2044">
            <v>-39084.773942999964</v>
          </cell>
        </row>
        <row r="2045"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</row>
        <row r="2046"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</row>
        <row r="2047"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</row>
        <row r="2048">
          <cell r="C2048">
            <v>0</v>
          </cell>
          <cell r="D2048" t="str">
            <v>Sum of BS Accts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L2048">
            <v>54336.543699997477</v>
          </cell>
          <cell r="M2048">
            <v>11754.473780000264</v>
          </cell>
          <cell r="N2048">
            <v>18674.202320001023</v>
          </cell>
          <cell r="O2048">
            <v>26010.767420001263</v>
          </cell>
          <cell r="P2048">
            <v>31667.391809999601</v>
          </cell>
          <cell r="Q2048">
            <v>37477.994990001331</v>
          </cell>
          <cell r="R2048">
            <v>40046.776559999867</v>
          </cell>
          <cell r="S2048">
            <v>46196.673620002912</v>
          </cell>
          <cell r="T2048">
            <v>50905.230250000837</v>
          </cell>
          <cell r="U2048">
            <v>56222.038530000063</v>
          </cell>
          <cell r="V2048">
            <v>57126.711769999747</v>
          </cell>
          <cell r="W2048">
            <v>49840.94126999905</v>
          </cell>
          <cell r="X2048">
            <v>60990.982140000415</v>
          </cell>
          <cell r="Y2048">
            <v>40298.91376400055</v>
          </cell>
        </row>
        <row r="2049">
          <cell r="B2049">
            <v>0</v>
          </cell>
          <cell r="C2049">
            <v>0</v>
          </cell>
          <cell r="D2049" t="str">
            <v>Sum of IS Accts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-51235.755709999983</v>
          </cell>
          <cell r="M2049">
            <v>-11756.070109999986</v>
          </cell>
          <cell r="N2049">
            <v>-18527.70064999989</v>
          </cell>
          <cell r="O2049">
            <v>-25703.548689999719</v>
          </cell>
          <cell r="P2049">
            <v>-31182.771059999948</v>
          </cell>
          <cell r="Q2049">
            <v>-36819.648259999871</v>
          </cell>
          <cell r="R2049">
            <v>-39142.91891999996</v>
          </cell>
          <cell r="S2049">
            <v>-45110.416309999317</v>
          </cell>
          <cell r="T2049">
            <v>-49736.150519999646</v>
          </cell>
          <cell r="U2049">
            <v>-54917.02580000009</v>
          </cell>
          <cell r="V2049">
            <v>-55679.821029999541</v>
          </cell>
          <cell r="W2049">
            <v>-48232.617530000207</v>
          </cell>
          <cell r="X2049">
            <v>-53181.44112999989</v>
          </cell>
          <cell r="Y2049">
            <v>-39084.773942999964</v>
          </cell>
        </row>
        <row r="2050">
          <cell r="B2050">
            <v>0</v>
          </cell>
          <cell r="C2050">
            <v>0</v>
          </cell>
          <cell r="D2050" t="str">
            <v>Difference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3100.7879899974942</v>
          </cell>
          <cell r="M2050">
            <v>-1.596329999722002</v>
          </cell>
          <cell r="N2050">
            <v>146.50167000113288</v>
          </cell>
          <cell r="O2050">
            <v>307.21873000154301</v>
          </cell>
          <cell r="P2050">
            <v>484.62074999965262</v>
          </cell>
          <cell r="Q2050">
            <v>658.34673000145995</v>
          </cell>
          <cell r="R2050">
            <v>903.85763999990741</v>
          </cell>
          <cell r="S2050">
            <v>1086.2573100035952</v>
          </cell>
          <cell r="T2050">
            <v>1169.0797300011909</v>
          </cell>
          <cell r="U2050">
            <v>1305.0127299999731</v>
          </cell>
          <cell r="V2050">
            <v>1446.8907400002063</v>
          </cell>
          <cell r="W2050">
            <v>1608.3237399988429</v>
          </cell>
          <cell r="X2050">
            <v>7809.5410100005247</v>
          </cell>
          <cell r="Y2050">
            <v>1214.1398210005864</v>
          </cell>
        </row>
        <row r="2051"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</row>
        <row r="2052">
          <cell r="B2052">
            <v>0</v>
          </cell>
          <cell r="C2052">
            <v>0</v>
          </cell>
          <cell r="D2052" t="str">
            <v>Net Income from RP12GAAP</v>
          </cell>
          <cell r="E2052">
            <v>0</v>
          </cell>
          <cell r="M2052">
            <v>-11754.47416</v>
          </cell>
          <cell r="N2052">
            <v>-6919.7285399999992</v>
          </cell>
          <cell r="O2052">
            <v>-7336.5647200000003</v>
          </cell>
          <cell r="P2052">
            <v>-5656.6243800000011</v>
          </cell>
          <cell r="Q2052">
            <v>-5810.6031900000007</v>
          </cell>
          <cell r="R2052">
            <v>-2568.7815700000001</v>
          </cell>
          <cell r="S2052">
            <v>-6149.8970600000002</v>
          </cell>
          <cell r="T2052">
            <v>-4708.55663</v>
          </cell>
          <cell r="U2052">
            <v>-5316.8082799999993</v>
          </cell>
          <cell r="V2052">
            <v>-904.67323999999996</v>
          </cell>
          <cell r="W2052">
            <v>7285.7704999999996</v>
          </cell>
          <cell r="X2052">
            <v>-11150.040869999999</v>
          </cell>
        </row>
        <row r="2053">
          <cell r="B2053">
            <v>0</v>
          </cell>
          <cell r="C2053">
            <v>0</v>
          </cell>
          <cell r="D2053" t="str">
            <v>cumulative</v>
          </cell>
          <cell r="E2053">
            <v>0</v>
          </cell>
          <cell r="M2053">
            <v>-11754.47416</v>
          </cell>
          <cell r="N2053">
            <v>-18674.202699999998</v>
          </cell>
          <cell r="O2053">
            <v>-26010.767419999996</v>
          </cell>
          <cell r="P2053">
            <v>-31667.391799999998</v>
          </cell>
          <cell r="Q2053">
            <v>-37477.994989999999</v>
          </cell>
          <cell r="R2053">
            <v>-40046.776559999998</v>
          </cell>
          <cell r="S2053">
            <v>-46196.673620000001</v>
          </cell>
          <cell r="T2053">
            <v>-50905.230250000001</v>
          </cell>
          <cell r="U2053">
            <v>-56222.038529999998</v>
          </cell>
          <cell r="V2053">
            <v>-57126.711769999994</v>
          </cell>
          <cell r="W2053">
            <v>-49840.941269999996</v>
          </cell>
          <cell r="X2053">
            <v>-60990.982139999993</v>
          </cell>
        </row>
        <row r="2054">
          <cell r="B2054">
            <v>0</v>
          </cell>
          <cell r="C2054">
            <v>0</v>
          </cell>
          <cell r="D2054">
            <v>0</v>
          </cell>
          <cell r="E2054">
            <v>0</v>
          </cell>
        </row>
        <row r="2055">
          <cell r="B2055">
            <v>0</v>
          </cell>
          <cell r="C2055">
            <v>0</v>
          </cell>
          <cell r="D2055">
            <v>0</v>
          </cell>
          <cell r="E2055">
            <v>0</v>
          </cell>
        </row>
        <row r="2056"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</row>
        <row r="2057"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</row>
        <row r="2058">
          <cell r="B2058">
            <v>0</v>
          </cell>
        </row>
        <row r="2059">
          <cell r="B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</row>
        <row r="2060"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</row>
        <row r="2061">
          <cell r="B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</row>
        <row r="2062"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</row>
        <row r="2063"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</row>
        <row r="2064"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</row>
        <row r="2065"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</row>
        <row r="2066"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</row>
        <row r="2067"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</row>
        <row r="2068"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</row>
        <row r="2069"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</row>
        <row r="2070"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</row>
        <row r="2071"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</row>
        <row r="2072"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</row>
        <row r="2073"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</row>
        <row r="2075"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</row>
        <row r="2076"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</row>
        <row r="2077"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</row>
        <row r="2078"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</row>
        <row r="2079"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</row>
        <row r="2080"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</row>
        <row r="2081"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</row>
        <row r="2082"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</row>
        <row r="2083"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</row>
        <row r="2084"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</row>
        <row r="2085"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</row>
        <row r="2086"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</row>
        <row r="2087"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</row>
        <row r="2088"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</row>
        <row r="2089"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</row>
        <row r="2090"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</row>
        <row r="2091"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</row>
        <row r="2092"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</row>
        <row r="2093"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</row>
        <row r="2094"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</row>
        <row r="2095"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</row>
        <row r="2096"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</row>
        <row r="2097"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</row>
        <row r="2098"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</row>
        <row r="2099"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</row>
        <row r="2100"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</row>
        <row r="2101"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</row>
        <row r="2102"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</row>
        <row r="2103"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</row>
        <row r="2104"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</row>
        <row r="2105"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</row>
        <row r="2106"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</row>
        <row r="2107"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</row>
        <row r="2108"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</row>
        <row r="2109"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</row>
        <row r="2110"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</row>
        <row r="2111"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</row>
        <row r="2112"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</row>
      </sheetData>
      <sheetData sheetId="1">
        <row r="36">
          <cell r="K36">
            <v>-115948.677</v>
          </cell>
        </row>
      </sheetData>
      <sheetData sheetId="2">
        <row r="43">
          <cell r="P43">
            <v>167075.25088674613</v>
          </cell>
        </row>
      </sheetData>
      <sheetData sheetId="3">
        <row r="1">
          <cell r="AO1" t="str">
            <v>Year End December 2011 Monthly Average</v>
          </cell>
        </row>
      </sheetData>
      <sheetData sheetId="4"/>
      <sheetData sheetId="5">
        <row r="1384">
          <cell r="M1384">
            <v>-1533.74</v>
          </cell>
        </row>
      </sheetData>
      <sheetData sheetId="6"/>
      <sheetData sheetId="7">
        <row r="80">
          <cell r="M80">
            <v>257307.07</v>
          </cell>
        </row>
      </sheetData>
      <sheetData sheetId="8">
        <row r="12">
          <cell r="G12">
            <v>247187809</v>
          </cell>
        </row>
      </sheetData>
      <sheetData sheetId="9">
        <row r="14">
          <cell r="E14">
            <v>6532110.1116666701</v>
          </cell>
        </row>
      </sheetData>
      <sheetData sheetId="10"/>
      <sheetData sheetId="11"/>
      <sheetData sheetId="12"/>
      <sheetData sheetId="13"/>
      <sheetData sheetId="14">
        <row r="5">
          <cell r="E5">
            <v>225380.421</v>
          </cell>
        </row>
      </sheetData>
      <sheetData sheetId="15">
        <row r="162">
          <cell r="F162">
            <v>0.56340000000000001</v>
          </cell>
        </row>
      </sheetData>
      <sheetData sheetId="16">
        <row r="193">
          <cell r="I193">
            <v>19253.731333398355</v>
          </cell>
        </row>
      </sheetData>
      <sheetData sheetId="17">
        <row r="5">
          <cell r="B5" t="str">
            <v>12 Months Ended December 31, 2011</v>
          </cell>
        </row>
      </sheetData>
      <sheetData sheetId="18"/>
      <sheetData sheetId="19">
        <row r="60">
          <cell r="O60">
            <v>319896</v>
          </cell>
        </row>
      </sheetData>
      <sheetData sheetId="20"/>
      <sheetData sheetId="21">
        <row r="8">
          <cell r="B8" t="str">
            <v>Common</v>
          </cell>
          <cell r="C8">
            <v>0</v>
          </cell>
          <cell r="D8">
            <v>0</v>
          </cell>
          <cell r="E8">
            <v>0</v>
          </cell>
          <cell r="F8">
            <v>0.68590693138126746</v>
          </cell>
        </row>
        <row r="9">
          <cell r="B9" t="str">
            <v>CTA</v>
          </cell>
          <cell r="C9">
            <v>0</v>
          </cell>
          <cell r="D9">
            <v>0</v>
          </cell>
          <cell r="F9">
            <v>0.84530000000000005</v>
          </cell>
        </row>
        <row r="10">
          <cell r="B10" t="str">
            <v>Customers</v>
          </cell>
          <cell r="C10">
            <v>0</v>
          </cell>
          <cell r="D10">
            <v>0</v>
          </cell>
          <cell r="F10">
            <v>0.58986531372414497</v>
          </cell>
        </row>
        <row r="11">
          <cell r="B11" t="str">
            <v>Electric</v>
          </cell>
          <cell r="C11">
            <v>0</v>
          </cell>
          <cell r="D11">
            <v>0</v>
          </cell>
          <cell r="F11">
            <v>1</v>
          </cell>
        </row>
        <row r="12">
          <cell r="B12" t="str">
            <v>Gas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Net Plant</v>
          </cell>
          <cell r="C13">
            <v>0</v>
          </cell>
          <cell r="D13">
            <v>0</v>
          </cell>
          <cell r="F13">
            <v>0.70860000000000001</v>
          </cell>
        </row>
        <row r="14">
          <cell r="B14" t="str">
            <v>Payroll</v>
          </cell>
          <cell r="C14">
            <v>0</v>
          </cell>
          <cell r="D14">
            <v>0</v>
          </cell>
          <cell r="F14">
            <v>0.61329999999999996</v>
          </cell>
        </row>
        <row r="15">
          <cell r="B15" t="str">
            <v>Property Tax</v>
          </cell>
          <cell r="C15">
            <v>0</v>
          </cell>
          <cell r="D15">
            <v>0</v>
          </cell>
          <cell r="F15">
            <v>0.70879999999999999</v>
          </cell>
        </row>
        <row r="16">
          <cell r="B16" t="str">
            <v>PSC Assessment</v>
          </cell>
          <cell r="C16">
            <v>0</v>
          </cell>
          <cell r="D16">
            <v>0</v>
          </cell>
          <cell r="F16">
            <v>0.56340000000000001</v>
          </cell>
        </row>
        <row r="17">
          <cell r="B17">
            <v>0.2</v>
          </cell>
          <cell r="C17">
            <v>0</v>
          </cell>
          <cell r="D17">
            <v>0</v>
          </cell>
          <cell r="F17">
            <v>0.2</v>
          </cell>
        </row>
        <row r="18">
          <cell r="B18">
            <v>0.7</v>
          </cell>
          <cell r="C18">
            <v>0</v>
          </cell>
          <cell r="D18">
            <v>0</v>
          </cell>
          <cell r="F18">
            <v>0.7</v>
          </cell>
        </row>
        <row r="19">
          <cell r="C19">
            <v>0</v>
          </cell>
          <cell r="D19">
            <v>0</v>
          </cell>
        </row>
      </sheetData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ISS INPUTS"/>
      <sheetName val="DTI"/>
      <sheetName val="TCO "/>
      <sheetName val="TGP "/>
      <sheetName val="PLATT "/>
      <sheetName val="TRANS CHGS."/>
      <sheetName val="DAILY BALANCING"/>
    </sheetNames>
    <sheetDataSet>
      <sheetData sheetId="0" refreshError="1"/>
      <sheetData sheetId="1" refreshError="1">
        <row r="14">
          <cell r="H14" t="str">
            <v>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Margin Forecast Rpt"/>
      <sheetName val="JP Compare"/>
      <sheetName val="Delivery_Commodity"/>
      <sheetName val="Input Template"/>
      <sheetName val="NY Sales NYSEG Gas"/>
      <sheetName val="NYSEG Gas Margin Plan"/>
      <sheetName val="NYSEG Gas RDM"/>
      <sheetName val="NYSEG Gas Del Rev Exh Billed"/>
      <sheetName val="Non-Cash and Other"/>
      <sheetName val="Misc Revenue"/>
      <sheetName val="NYSEG Gas - Projection"/>
      <sheetName val="Template Revenues"/>
      <sheetName val="Template Fuel Expense"/>
      <sheetName val="Dth &amp; Rev by RC Rpt"/>
      <sheetName val="P Gas detail"/>
      <sheetName val="TSAS"/>
      <sheetName val="Mary Haskell"/>
      <sheetName val="NYSEG Gas Dth"/>
      <sheetName val="NYSEG Gas Revenues"/>
      <sheetName val="NYSEG Gas Customers"/>
      <sheetName val="NYSEG Purchased Gas Expense"/>
      <sheetName val="Dth Rpt"/>
      <sheetName val="$ Rpt"/>
      <sheetName val="Customers Rpt"/>
      <sheetName val="GL Billed Rpt"/>
      <sheetName val="GL UnBilled Rpt"/>
      <sheetName val="Exhibit Customer"/>
      <sheetName val="Exhibit Calendar Sales"/>
      <sheetName val="Exhibit Base Del Rev Cal"/>
      <sheetName val="Exhibit Base Del Rev Billed"/>
      <sheetName val="Del Rev &amp; Dth Billed"/>
      <sheetName val="Del Rev Unbilled Accrual"/>
      <sheetName val="Del Rev &amp; Dth Calendar"/>
      <sheetName val="BSC &amp; Vol Del"/>
      <sheetName val="Vol Del ADID"/>
      <sheetName val="Supply Forecast"/>
      <sheetName val="TS Billed"/>
      <sheetName val="TS UnBilled"/>
      <sheetName val="TS Calendar"/>
      <sheetName val="Balancing"/>
      <sheetName val="Commodity Billed"/>
      <sheetName val="Commodity UnBilled"/>
      <sheetName val="Commodity Bill &amp; Unb"/>
      <sheetName val="Interrupt Gas Cost"/>
      <sheetName val="Demand Deferral &amp; TS"/>
      <sheetName val="Expense"/>
      <sheetName val="Cash 4cast"/>
      <sheetName val="MFC rates"/>
      <sheetName val="MFC Billed"/>
      <sheetName val="MFC UnBilled"/>
      <sheetName val="MFC Billed &amp; UnBil"/>
      <sheetName val="MFC Deferral"/>
      <sheetName val="POR Deferral"/>
      <sheetName val="Storage Bal Forecast"/>
      <sheetName val="GCIM's"/>
      <sheetName val="BIPP"/>
      <sheetName val="Low Income"/>
      <sheetName val="Economic Development"/>
      <sheetName val="EEPS Billed"/>
      <sheetName val="EEPS UnBilled"/>
      <sheetName val="EEPS Calendar"/>
      <sheetName val="RDM Deferral"/>
      <sheetName val="RDM Revenues"/>
      <sheetName val="TSAS Billed"/>
      <sheetName val="TSAS UnBilled"/>
      <sheetName val="TSAS Calendar"/>
      <sheetName val="Other Revenues"/>
      <sheetName val="SC to RC Billed"/>
      <sheetName val="SC to RC UnBilled"/>
      <sheetName val="SC to RC Billed &amp; Unbil"/>
      <sheetName val="Customers ADID SC"/>
      <sheetName val="Customers by RC"/>
      <sheetName val="Dth ADID SC"/>
      <sheetName val="Transp by SC and RC"/>
      <sheetName val="Total Rev Detail"/>
      <sheetName val="Use Per Customer"/>
      <sheetName val="Forec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ssumptions"/>
      <sheetName val="Pg 1 Assumptions"/>
      <sheetName val="Pg 2. Electric"/>
      <sheetName val="Pg 3. Gas"/>
      <sheetName val="Total"/>
      <sheetName val="Gas"/>
      <sheetName val="Electric"/>
      <sheetName val="Settlement Adjs"/>
      <sheetName val="Summary"/>
      <sheetName val="Calendar Earnings"/>
      <sheetName val="Earnings Analysis"/>
      <sheetName val="ASGA"/>
      <sheetName val="Special Account"/>
      <sheetName val="Customer Impacts"/>
      <sheetName val="Monthly Impacts"/>
      <sheetName val="Gain"/>
      <sheetName val="Cap Struct"/>
      <sheetName val="Proceeds Utilization"/>
      <sheetName val="Ginna Sale"/>
      <sheetName val="Sheet5"/>
      <sheetName val="Delivery"/>
      <sheetName val="NBC + Fixed Supply"/>
      <sheetName val="NBC"/>
      <sheetName val="Supply"/>
      <sheetName val="Variable"/>
      <sheetName val="Fixed - Total"/>
      <sheetName val="Fixed - Ginna"/>
      <sheetName val="Fixed - Russell"/>
      <sheetName val="Fixed - Other"/>
      <sheetName val="Fixed Gen O&amp;M"/>
      <sheetName val="Purchased Power"/>
      <sheetName val="Summaries"/>
      <sheetName val="Ginna Salex"/>
      <sheetName val="Retire Russell"/>
      <sheetName val="Commodity"/>
      <sheetName val="Rate Adjs"/>
      <sheetName val="Elec Adjs"/>
      <sheetName val="Gas Adjs"/>
      <sheetName val="Supply Rate Adjustments"/>
      <sheetName val="Ginna Replacement Power"/>
      <sheetName val="Ginna Depreciation"/>
      <sheetName val="Russell Depreciation"/>
      <sheetName val="Pension &amp; OPEBs"/>
      <sheetName val="Pension"/>
      <sheetName val="Capital Spending"/>
      <sheetName val="JP Merger Savings"/>
      <sheetName val="Merger Synergies"/>
      <sheetName val="A. Income Statement"/>
      <sheetName val="B. Revenues"/>
      <sheetName val="C. Power Supply"/>
      <sheetName val="D. O&amp;M"/>
      <sheetName val="E.  Amortizations"/>
      <sheetName val="F. Depreciation"/>
      <sheetName val="G1. Taxes Other than Income Tax"/>
      <sheetName val="G2. GRT"/>
      <sheetName val="H. Income Taxes"/>
      <sheetName val="I. RTBS"/>
      <sheetName val="Capitalization"/>
      <sheetName val="Cap Cost"/>
      <sheetName val="K. Rev Req"/>
      <sheetName val="Allocation Factors"/>
      <sheetName val="Inflators"/>
      <sheetName val="Drivers"/>
      <sheetName val="Reconcile RevReq"/>
      <sheetName val="Reconcile Fixed Gen"/>
      <sheetName val="Existing Revenues"/>
      <sheetName val="App B Fixed Generation"/>
      <sheetName val="Superceded App B Fixed Gen"/>
      <sheetName val="Sheet3"/>
      <sheetName val="App C ESR"/>
      <sheetName val="App D Targets"/>
      <sheetName val="Sheet4"/>
      <sheetName val="App F Ginna Replacement Pwr"/>
      <sheetName val="Sheet1"/>
      <sheetName val="Comments"/>
      <sheetName val="Old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>
        <row r="14">
          <cell r="B14">
            <v>0</v>
          </cell>
          <cell r="C14" t="str">
            <v>Zero Inflation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</v>
          </cell>
          <cell r="C15" t="str">
            <v>General Inflation</v>
          </cell>
          <cell r="F15">
            <v>3.554407118806284E-2</v>
          </cell>
          <cell r="G15">
            <v>1.5100000000000001E-2</v>
          </cell>
          <cell r="H15">
            <v>0.03</v>
          </cell>
          <cell r="I15">
            <v>0.03</v>
          </cell>
          <cell r="J15">
            <v>0.03</v>
          </cell>
          <cell r="K15">
            <v>0.03</v>
          </cell>
        </row>
        <row r="16">
          <cell r="B16">
            <v>2</v>
          </cell>
          <cell r="C16" t="str">
            <v>Payroll - Net of Productivity</v>
          </cell>
          <cell r="F16">
            <v>2.3399999999999997E-2</v>
          </cell>
          <cell r="G16">
            <v>1.1599999999999999E-2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</row>
        <row r="17">
          <cell r="B17">
            <v>3</v>
          </cell>
          <cell r="C17" t="str">
            <v>Medical Costs</v>
          </cell>
          <cell r="F17">
            <v>0.23199999999999998</v>
          </cell>
          <cell r="G17">
            <v>9.6000000000000002E-2</v>
          </cell>
          <cell r="H17">
            <v>0.15</v>
          </cell>
          <cell r="I17">
            <v>0.15</v>
          </cell>
          <cell r="J17">
            <v>0.15</v>
          </cell>
          <cell r="K17">
            <v>0.15</v>
          </cell>
        </row>
        <row r="18">
          <cell r="B18">
            <v>4</v>
          </cell>
          <cell r="C18" t="str">
            <v>Property Taxes</v>
          </cell>
          <cell r="D18" t="str">
            <v>Elec</v>
          </cell>
          <cell r="F18">
            <v>0.16847909948316608</v>
          </cell>
          <cell r="G18">
            <v>7.7499999999999999E-2</v>
          </cell>
          <cell r="H18">
            <v>0.04</v>
          </cell>
          <cell r="I18">
            <v>0.04</v>
          </cell>
          <cell r="J18">
            <v>0.04</v>
          </cell>
          <cell r="K18">
            <v>0.04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APBEXqueries"/>
      <sheetName val="SAPBEXfilters"/>
      <sheetName val="notes"/>
      <sheetName val="INPUT-mwh"/>
      <sheetName val="OUTPUT-kwh"/>
      <sheetName val="OUTPUT-pivot"/>
      <sheetName val="residential"/>
      <sheetName val="Commercial (2)"/>
      <sheetName val="Industrial (2)"/>
      <sheetName val="Municipal (2)"/>
      <sheetName val="Street Light (2)"/>
      <sheetName val="Interdept (2)"/>
      <sheetName val="Borderline (2)"/>
      <sheetName val="pivot"/>
      <sheetName val="chart"/>
      <sheetName val="chartdata"/>
      <sheetName val="RevisedData"/>
      <sheetName val="Orginal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6">
          <cell r="H6">
            <v>65568713</v>
          </cell>
        </row>
        <row r="7">
          <cell r="H7">
            <v>1411623</v>
          </cell>
        </row>
        <row r="8">
          <cell r="H8">
            <v>2311090</v>
          </cell>
        </row>
        <row r="9">
          <cell r="H9">
            <v>10616312</v>
          </cell>
        </row>
        <row r="10">
          <cell r="H10">
            <v>365939</v>
          </cell>
        </row>
        <row r="11">
          <cell r="H11">
            <v>2910681</v>
          </cell>
        </row>
        <row r="12">
          <cell r="H12">
            <v>482472</v>
          </cell>
        </row>
        <row r="13">
          <cell r="H13">
            <v>9520</v>
          </cell>
        </row>
        <row r="14">
          <cell r="H14">
            <v>6322542</v>
          </cell>
        </row>
        <row r="15">
          <cell r="H15">
            <v>13790399</v>
          </cell>
        </row>
        <row r="16">
          <cell r="H16">
            <v>247596</v>
          </cell>
        </row>
        <row r="17">
          <cell r="H17">
            <v>614033</v>
          </cell>
        </row>
        <row r="18">
          <cell r="H18">
            <v>34356810</v>
          </cell>
        </row>
        <row r="19">
          <cell r="H19">
            <v>289786</v>
          </cell>
        </row>
        <row r="20">
          <cell r="H20">
            <v>886214</v>
          </cell>
        </row>
        <row r="21">
          <cell r="H21">
            <v>5365636</v>
          </cell>
        </row>
        <row r="22">
          <cell r="H22">
            <v>2026298</v>
          </cell>
        </row>
        <row r="23">
          <cell r="H23">
            <v>125394</v>
          </cell>
        </row>
        <row r="24">
          <cell r="H24">
            <v>41170</v>
          </cell>
        </row>
        <row r="25">
          <cell r="H25">
            <v>2754164</v>
          </cell>
        </row>
        <row r="26">
          <cell r="H26">
            <v>8624952</v>
          </cell>
        </row>
        <row r="27">
          <cell r="H27">
            <v>17627399</v>
          </cell>
        </row>
        <row r="28">
          <cell r="H28">
            <v>323551</v>
          </cell>
        </row>
        <row r="29">
          <cell r="H29">
            <v>683481</v>
          </cell>
        </row>
        <row r="30">
          <cell r="H30">
            <v>5896934</v>
          </cell>
        </row>
        <row r="31">
          <cell r="H31">
            <v>986689</v>
          </cell>
        </row>
        <row r="32">
          <cell r="H32">
            <v>70580</v>
          </cell>
        </row>
        <row r="33">
          <cell r="H33">
            <v>12480</v>
          </cell>
        </row>
        <row r="34">
          <cell r="H34">
            <v>2956505</v>
          </cell>
        </row>
        <row r="35">
          <cell r="H35">
            <v>14904524</v>
          </cell>
        </row>
        <row r="36">
          <cell r="H36">
            <v>-1188</v>
          </cell>
        </row>
        <row r="37">
          <cell r="H37">
            <v>139932</v>
          </cell>
        </row>
        <row r="38">
          <cell r="H38">
            <v>211952</v>
          </cell>
        </row>
        <row r="39">
          <cell r="H39">
            <v>19680</v>
          </cell>
        </row>
        <row r="40">
          <cell r="H40">
            <v>172660</v>
          </cell>
        </row>
        <row r="41">
          <cell r="H41">
            <v>1893343</v>
          </cell>
        </row>
        <row r="43">
          <cell r="H43">
            <v>938330</v>
          </cell>
        </row>
        <row r="44">
          <cell r="H44">
            <v>168780</v>
          </cell>
        </row>
        <row r="45">
          <cell r="H45">
            <v>754180</v>
          </cell>
        </row>
        <row r="46">
          <cell r="H46">
            <v>5634</v>
          </cell>
        </row>
        <row r="47">
          <cell r="H47">
            <v>1283825</v>
          </cell>
        </row>
        <row r="48">
          <cell r="H48">
            <v>17200</v>
          </cell>
        </row>
        <row r="49">
          <cell r="H49">
            <v>280240</v>
          </cell>
        </row>
        <row r="55">
          <cell r="H55">
            <v>181566</v>
          </cell>
        </row>
        <row r="56">
          <cell r="H56">
            <v>7680</v>
          </cell>
        </row>
        <row r="57">
          <cell r="H57">
            <v>28463</v>
          </cell>
        </row>
        <row r="58">
          <cell r="H58">
            <v>104789</v>
          </cell>
        </row>
        <row r="59">
          <cell r="H59">
            <v>1195</v>
          </cell>
        </row>
        <row r="60">
          <cell r="H60">
            <v>3840</v>
          </cell>
        </row>
        <row r="61">
          <cell r="H61">
            <v>60431</v>
          </cell>
        </row>
        <row r="62">
          <cell r="H62">
            <v>12900</v>
          </cell>
        </row>
        <row r="63">
          <cell r="H63">
            <v>70976</v>
          </cell>
        </row>
        <row r="64">
          <cell r="H64">
            <v>29147</v>
          </cell>
        </row>
        <row r="65">
          <cell r="H65">
            <v>2330</v>
          </cell>
        </row>
        <row r="66">
          <cell r="H66">
            <v>10476</v>
          </cell>
        </row>
        <row r="67">
          <cell r="H67">
            <v>16890</v>
          </cell>
        </row>
        <row r="68">
          <cell r="H68">
            <v>11420</v>
          </cell>
        </row>
        <row r="71">
          <cell r="H71">
            <v>19851</v>
          </cell>
        </row>
        <row r="75">
          <cell r="H75">
            <v>13584</v>
          </cell>
        </row>
        <row r="77">
          <cell r="H77">
            <v>18</v>
          </cell>
        </row>
        <row r="81">
          <cell r="H81">
            <v>3000</v>
          </cell>
        </row>
        <row r="83">
          <cell r="H83">
            <v>2126417</v>
          </cell>
        </row>
        <row r="84">
          <cell r="H84">
            <v>53962</v>
          </cell>
        </row>
        <row r="85">
          <cell r="H85">
            <v>142477</v>
          </cell>
        </row>
        <row r="86">
          <cell r="H86">
            <v>939232</v>
          </cell>
        </row>
        <row r="88">
          <cell r="H88">
            <v>117538</v>
          </cell>
        </row>
        <row r="90">
          <cell r="H90">
            <v>1278</v>
          </cell>
        </row>
        <row r="91">
          <cell r="H91">
            <v>211348</v>
          </cell>
        </row>
        <row r="92">
          <cell r="H92">
            <v>1576252</v>
          </cell>
        </row>
        <row r="93">
          <cell r="H93">
            <v>28215</v>
          </cell>
        </row>
        <row r="95">
          <cell r="H95">
            <v>4960</v>
          </cell>
        </row>
        <row r="97">
          <cell r="H97">
            <v>1092980</v>
          </cell>
        </row>
        <row r="98">
          <cell r="H98">
            <v>136800</v>
          </cell>
        </row>
        <row r="99">
          <cell r="H99">
            <v>93320</v>
          </cell>
        </row>
        <row r="100">
          <cell r="H100">
            <v>65200</v>
          </cell>
        </row>
        <row r="101">
          <cell r="H101">
            <v>421130</v>
          </cell>
        </row>
        <row r="102">
          <cell r="H102">
            <v>82320</v>
          </cell>
        </row>
        <row r="103">
          <cell r="H103">
            <v>692080</v>
          </cell>
        </row>
        <row r="104">
          <cell r="H104">
            <v>272480</v>
          </cell>
        </row>
        <row r="105">
          <cell r="H105">
            <v>66000</v>
          </cell>
        </row>
        <row r="106">
          <cell r="H106">
            <v>127500</v>
          </cell>
        </row>
        <row r="107">
          <cell r="H107">
            <v>489508</v>
          </cell>
        </row>
        <row r="108">
          <cell r="H108">
            <v>662980</v>
          </cell>
        </row>
        <row r="110">
          <cell r="H110">
            <v>129240</v>
          </cell>
        </row>
        <row r="111">
          <cell r="H111">
            <v>831360</v>
          </cell>
        </row>
        <row r="113">
          <cell r="H113">
            <v>523100</v>
          </cell>
        </row>
        <row r="114">
          <cell r="H114">
            <v>2459750</v>
          </cell>
        </row>
        <row r="115">
          <cell r="H115">
            <v>212100</v>
          </cell>
        </row>
        <row r="116">
          <cell r="H116">
            <v>162000</v>
          </cell>
        </row>
        <row r="117">
          <cell r="H117">
            <v>112000</v>
          </cell>
        </row>
        <row r="119">
          <cell r="H119">
            <v>792900</v>
          </cell>
        </row>
        <row r="120">
          <cell r="H120">
            <v>7200</v>
          </cell>
        </row>
        <row r="122">
          <cell r="H122">
            <v>635692</v>
          </cell>
        </row>
        <row r="124">
          <cell r="H124">
            <v>19800</v>
          </cell>
        </row>
        <row r="125">
          <cell r="H125">
            <v>400960</v>
          </cell>
        </row>
        <row r="126">
          <cell r="H126">
            <v>1135980</v>
          </cell>
        </row>
        <row r="127">
          <cell r="H127">
            <v>9240</v>
          </cell>
        </row>
        <row r="128">
          <cell r="H128">
            <v>3000</v>
          </cell>
        </row>
        <row r="129">
          <cell r="H129">
            <v>17755</v>
          </cell>
        </row>
        <row r="130">
          <cell r="H130">
            <v>12750</v>
          </cell>
        </row>
        <row r="131">
          <cell r="H131">
            <v>29440</v>
          </cell>
        </row>
        <row r="132">
          <cell r="H132">
            <v>53600</v>
          </cell>
        </row>
        <row r="133">
          <cell r="H133">
            <v>149</v>
          </cell>
        </row>
        <row r="134">
          <cell r="H134">
            <v>9320</v>
          </cell>
        </row>
        <row r="136">
          <cell r="H136">
            <v>212042</v>
          </cell>
        </row>
        <row r="137">
          <cell r="H137">
            <v>11411432</v>
          </cell>
        </row>
        <row r="138">
          <cell r="H138">
            <v>32285</v>
          </cell>
        </row>
        <row r="139">
          <cell r="H139">
            <v>717373</v>
          </cell>
        </row>
        <row r="140">
          <cell r="H140">
            <v>1104640</v>
          </cell>
        </row>
        <row r="141">
          <cell r="H141">
            <v>22334</v>
          </cell>
        </row>
        <row r="142">
          <cell r="H142">
            <v>93906</v>
          </cell>
        </row>
        <row r="143">
          <cell r="H143">
            <v>2966</v>
          </cell>
        </row>
        <row r="144">
          <cell r="H144">
            <v>6442</v>
          </cell>
        </row>
        <row r="145">
          <cell r="H145">
            <v>14613</v>
          </cell>
        </row>
        <row r="146">
          <cell r="H146">
            <v>900854</v>
          </cell>
        </row>
        <row r="147">
          <cell r="H147">
            <v>348093</v>
          </cell>
        </row>
        <row r="148">
          <cell r="H148">
            <v>356502</v>
          </cell>
        </row>
        <row r="149">
          <cell r="H149">
            <v>2028</v>
          </cell>
        </row>
        <row r="150">
          <cell r="H150">
            <v>110044</v>
          </cell>
        </row>
        <row r="151">
          <cell r="H151">
            <v>1962385</v>
          </cell>
        </row>
        <row r="152">
          <cell r="H152">
            <v>3601</v>
          </cell>
        </row>
        <row r="153">
          <cell r="H153">
            <v>182354</v>
          </cell>
        </row>
        <row r="154">
          <cell r="H154">
            <v>338605</v>
          </cell>
        </row>
        <row r="155">
          <cell r="H155">
            <v>7708</v>
          </cell>
        </row>
        <row r="156">
          <cell r="H156">
            <v>360</v>
          </cell>
        </row>
        <row r="157">
          <cell r="H157">
            <v>3256</v>
          </cell>
        </row>
        <row r="158">
          <cell r="H158">
            <v>298389</v>
          </cell>
        </row>
        <row r="159">
          <cell r="H159">
            <v>945</v>
          </cell>
        </row>
        <row r="175">
          <cell r="H175">
            <v>1138975</v>
          </cell>
        </row>
        <row r="176">
          <cell r="H176">
            <v>5849</v>
          </cell>
        </row>
        <row r="177">
          <cell r="H177">
            <v>172888</v>
          </cell>
        </row>
        <row r="178">
          <cell r="H178">
            <v>257580</v>
          </cell>
        </row>
        <row r="179">
          <cell r="H179">
            <v>18612</v>
          </cell>
        </row>
        <row r="180">
          <cell r="H180">
            <v>1774</v>
          </cell>
        </row>
        <row r="181">
          <cell r="H181">
            <v>23158</v>
          </cell>
        </row>
        <row r="182">
          <cell r="H182">
            <v>491799</v>
          </cell>
        </row>
        <row r="183">
          <cell r="H183">
            <v>401</v>
          </cell>
        </row>
        <row r="184">
          <cell r="H184">
            <v>360064</v>
          </cell>
        </row>
        <row r="185">
          <cell r="H185">
            <v>623</v>
          </cell>
        </row>
        <row r="186">
          <cell r="H186">
            <v>28891</v>
          </cell>
        </row>
        <row r="187">
          <cell r="H187">
            <v>86567</v>
          </cell>
        </row>
        <row r="188">
          <cell r="H188">
            <v>523</v>
          </cell>
        </row>
        <row r="189">
          <cell r="H189">
            <v>713</v>
          </cell>
        </row>
        <row r="190">
          <cell r="H190">
            <v>1464</v>
          </cell>
        </row>
        <row r="191">
          <cell r="H191">
            <v>71817</v>
          </cell>
        </row>
        <row r="192">
          <cell r="H192">
            <v>990</v>
          </cell>
        </row>
        <row r="193">
          <cell r="H193">
            <v>487</v>
          </cell>
        </row>
        <row r="194">
          <cell r="H194">
            <v>823</v>
          </cell>
        </row>
        <row r="195">
          <cell r="H195">
            <v>795837</v>
          </cell>
        </row>
        <row r="196">
          <cell r="H196">
            <v>1330</v>
          </cell>
        </row>
        <row r="197">
          <cell r="H197">
            <v>31575</v>
          </cell>
        </row>
        <row r="198">
          <cell r="H198">
            <v>103510</v>
          </cell>
        </row>
        <row r="199">
          <cell r="H199">
            <v>433</v>
          </cell>
        </row>
        <row r="200">
          <cell r="H200">
            <v>881</v>
          </cell>
        </row>
        <row r="201">
          <cell r="H201">
            <v>160</v>
          </cell>
        </row>
        <row r="202">
          <cell r="H202">
            <v>36088</v>
          </cell>
        </row>
        <row r="203">
          <cell r="H203">
            <v>1388</v>
          </cell>
        </row>
        <row r="204">
          <cell r="H204">
            <v>29123</v>
          </cell>
        </row>
        <row r="205">
          <cell r="H205">
            <v>501</v>
          </cell>
        </row>
        <row r="206">
          <cell r="H206">
            <v>2611</v>
          </cell>
        </row>
        <row r="207">
          <cell r="H207">
            <v>38669</v>
          </cell>
        </row>
        <row r="209">
          <cell r="H209">
            <v>14191</v>
          </cell>
        </row>
        <row r="210">
          <cell r="H210">
            <v>-453</v>
          </cell>
        </row>
        <row r="211">
          <cell r="H211">
            <v>11342</v>
          </cell>
        </row>
        <row r="221">
          <cell r="H221">
            <v>46069</v>
          </cell>
        </row>
        <row r="223">
          <cell r="H223">
            <v>9417</v>
          </cell>
        </row>
        <row r="224">
          <cell r="H224">
            <v>20557</v>
          </cell>
        </row>
        <row r="225">
          <cell r="H225">
            <v>183</v>
          </cell>
        </row>
        <row r="226">
          <cell r="H226">
            <v>7391</v>
          </cell>
        </row>
        <row r="227">
          <cell r="H227">
            <v>25811</v>
          </cell>
        </row>
        <row r="230">
          <cell r="H230">
            <v>28178</v>
          </cell>
        </row>
        <row r="231">
          <cell r="H231">
            <v>253</v>
          </cell>
        </row>
        <row r="232">
          <cell r="H232">
            <v>725</v>
          </cell>
        </row>
        <row r="233">
          <cell r="H233">
            <v>2701</v>
          </cell>
        </row>
        <row r="234">
          <cell r="H234">
            <v>8575</v>
          </cell>
        </row>
        <row r="235">
          <cell r="H235">
            <v>9763</v>
          </cell>
        </row>
        <row r="236">
          <cell r="H236">
            <v>16788552</v>
          </cell>
        </row>
        <row r="237">
          <cell r="H237">
            <v>141625</v>
          </cell>
        </row>
        <row r="238">
          <cell r="H238">
            <v>25214</v>
          </cell>
        </row>
        <row r="240">
          <cell r="H240">
            <v>140421</v>
          </cell>
        </row>
        <row r="241">
          <cell r="H241">
            <v>33</v>
          </cell>
        </row>
        <row r="242">
          <cell r="H242">
            <v>86919</v>
          </cell>
        </row>
        <row r="246">
          <cell r="H246">
            <v>700</v>
          </cell>
        </row>
        <row r="247">
          <cell r="H247">
            <v>65982</v>
          </cell>
        </row>
        <row r="248">
          <cell r="H248">
            <v>2360</v>
          </cell>
        </row>
        <row r="249">
          <cell r="H249">
            <v>67465</v>
          </cell>
        </row>
        <row r="250">
          <cell r="H250">
            <v>60257</v>
          </cell>
        </row>
        <row r="251">
          <cell r="H251">
            <v>200442</v>
          </cell>
        </row>
        <row r="252">
          <cell r="H252">
            <v>87732</v>
          </cell>
        </row>
        <row r="254">
          <cell r="H254">
            <v>322449</v>
          </cell>
        </row>
        <row r="255">
          <cell r="H255">
            <v>1138138</v>
          </cell>
        </row>
        <row r="256">
          <cell r="H256">
            <v>103086</v>
          </cell>
        </row>
        <row r="257">
          <cell r="H257">
            <v>133560</v>
          </cell>
        </row>
        <row r="258">
          <cell r="H258">
            <v>259885</v>
          </cell>
        </row>
        <row r="259">
          <cell r="H259">
            <v>360135</v>
          </cell>
        </row>
        <row r="263">
          <cell r="H263">
            <v>812035</v>
          </cell>
        </row>
        <row r="264">
          <cell r="H264">
            <v>66941</v>
          </cell>
        </row>
        <row r="265">
          <cell r="H265">
            <v>13149</v>
          </cell>
        </row>
        <row r="267">
          <cell r="H267">
            <v>1</v>
          </cell>
        </row>
        <row r="268">
          <cell r="H268">
            <v>2460</v>
          </cell>
        </row>
        <row r="269">
          <cell r="H269">
            <v>124</v>
          </cell>
        </row>
        <row r="270">
          <cell r="H270">
            <v>26258</v>
          </cell>
        </row>
        <row r="271">
          <cell r="H271">
            <v>77549</v>
          </cell>
        </row>
        <row r="272">
          <cell r="H272">
            <v>26723</v>
          </cell>
        </row>
        <row r="273">
          <cell r="H273">
            <v>13049</v>
          </cell>
        </row>
        <row r="274">
          <cell r="H274">
            <v>738899</v>
          </cell>
        </row>
        <row r="275">
          <cell r="H275">
            <v>110304</v>
          </cell>
        </row>
        <row r="276">
          <cell r="H276">
            <v>17706232</v>
          </cell>
        </row>
        <row r="277">
          <cell r="H277">
            <v>1903597</v>
          </cell>
        </row>
        <row r="278">
          <cell r="H278">
            <v>933904</v>
          </cell>
        </row>
        <row r="279">
          <cell r="H279">
            <v>5273452</v>
          </cell>
        </row>
        <row r="280">
          <cell r="H280">
            <v>287700</v>
          </cell>
        </row>
        <row r="281">
          <cell r="H281">
            <v>1629325</v>
          </cell>
        </row>
        <row r="282">
          <cell r="H282">
            <v>692800</v>
          </cell>
        </row>
        <row r="283">
          <cell r="H283">
            <v>15360</v>
          </cell>
        </row>
        <row r="284">
          <cell r="H284">
            <v>8086861</v>
          </cell>
        </row>
        <row r="285">
          <cell r="H285">
            <v>5899775</v>
          </cell>
        </row>
        <row r="286">
          <cell r="H286">
            <v>26301</v>
          </cell>
        </row>
        <row r="287">
          <cell r="H287">
            <v>119280</v>
          </cell>
        </row>
        <row r="288">
          <cell r="H288">
            <v>25892087</v>
          </cell>
        </row>
        <row r="289">
          <cell r="H289">
            <v>343318</v>
          </cell>
        </row>
        <row r="290">
          <cell r="H290">
            <v>650568</v>
          </cell>
        </row>
        <row r="291">
          <cell r="H291">
            <v>5531780</v>
          </cell>
        </row>
        <row r="292">
          <cell r="H292">
            <v>552159</v>
          </cell>
        </row>
        <row r="293">
          <cell r="H293">
            <v>79200</v>
          </cell>
        </row>
        <row r="294">
          <cell r="H294">
            <v>4832427</v>
          </cell>
        </row>
        <row r="295">
          <cell r="H295">
            <v>6077631</v>
          </cell>
        </row>
        <row r="297">
          <cell r="H297">
            <v>14340659</v>
          </cell>
        </row>
        <row r="298">
          <cell r="H298">
            <v>1889830</v>
          </cell>
        </row>
        <row r="299">
          <cell r="H299">
            <v>752078</v>
          </cell>
        </row>
        <row r="300">
          <cell r="H300">
            <v>4483533</v>
          </cell>
        </row>
        <row r="301">
          <cell r="H301">
            <v>686720</v>
          </cell>
        </row>
        <row r="303">
          <cell r="H303">
            <v>3219384</v>
          </cell>
        </row>
        <row r="304">
          <cell r="H304">
            <v>7591850</v>
          </cell>
        </row>
        <row r="305">
          <cell r="H305">
            <v>2240</v>
          </cell>
        </row>
        <row r="306">
          <cell r="H306">
            <v>9843</v>
          </cell>
        </row>
        <row r="307">
          <cell r="H307">
            <v>97000</v>
          </cell>
        </row>
        <row r="308">
          <cell r="H308">
            <v>3566012</v>
          </cell>
        </row>
        <row r="309">
          <cell r="H309">
            <v>1875950</v>
          </cell>
        </row>
        <row r="310">
          <cell r="H310">
            <v>841100</v>
          </cell>
        </row>
        <row r="311">
          <cell r="H311">
            <v>63900</v>
          </cell>
        </row>
        <row r="312">
          <cell r="H312">
            <v>6785016</v>
          </cell>
        </row>
        <row r="313">
          <cell r="H313">
            <v>41345</v>
          </cell>
        </row>
        <row r="314">
          <cell r="H314">
            <v>1278750</v>
          </cell>
        </row>
        <row r="316">
          <cell r="H316">
            <v>2154850</v>
          </cell>
        </row>
        <row r="318">
          <cell r="H318">
            <v>832250</v>
          </cell>
        </row>
        <row r="319">
          <cell r="H319">
            <v>227950</v>
          </cell>
        </row>
        <row r="323">
          <cell r="H323">
            <v>481693</v>
          </cell>
        </row>
        <row r="324">
          <cell r="H324">
            <v>4202</v>
          </cell>
        </row>
        <row r="325">
          <cell r="H325">
            <v>20215</v>
          </cell>
        </row>
        <row r="326">
          <cell r="H326">
            <v>439149</v>
          </cell>
        </row>
        <row r="329">
          <cell r="H329">
            <v>31020</v>
          </cell>
        </row>
        <row r="331">
          <cell r="H331">
            <v>84375</v>
          </cell>
        </row>
        <row r="332">
          <cell r="H332">
            <v>366375</v>
          </cell>
        </row>
        <row r="335">
          <cell r="H335">
            <v>824333</v>
          </cell>
        </row>
        <row r="336">
          <cell r="H336">
            <v>1038979</v>
          </cell>
        </row>
        <row r="337">
          <cell r="H337">
            <v>899900</v>
          </cell>
        </row>
        <row r="338">
          <cell r="H338">
            <v>697429</v>
          </cell>
        </row>
        <row r="339">
          <cell r="H339">
            <v>142000</v>
          </cell>
        </row>
        <row r="340">
          <cell r="H340">
            <v>7267623</v>
          </cell>
        </row>
        <row r="341">
          <cell r="H341">
            <v>1869200</v>
          </cell>
        </row>
        <row r="342">
          <cell r="H342">
            <v>363100</v>
          </cell>
        </row>
        <row r="343">
          <cell r="H343">
            <v>1738050</v>
          </cell>
        </row>
        <row r="344">
          <cell r="H344">
            <v>302400</v>
          </cell>
        </row>
        <row r="345">
          <cell r="H345">
            <v>123000</v>
          </cell>
        </row>
        <row r="346">
          <cell r="H346">
            <v>5144757</v>
          </cell>
        </row>
        <row r="348">
          <cell r="H348">
            <v>459720</v>
          </cell>
        </row>
        <row r="349">
          <cell r="H349">
            <v>4837924</v>
          </cell>
        </row>
        <row r="350">
          <cell r="H350">
            <v>5204310</v>
          </cell>
        </row>
        <row r="351">
          <cell r="H351">
            <v>1664640</v>
          </cell>
        </row>
        <row r="353">
          <cell r="H353">
            <v>5058060</v>
          </cell>
        </row>
        <row r="354">
          <cell r="H354">
            <v>9600</v>
          </cell>
        </row>
        <row r="355">
          <cell r="H355">
            <v>2245003</v>
          </cell>
        </row>
        <row r="356">
          <cell r="H356">
            <v>8158682</v>
          </cell>
        </row>
        <row r="357">
          <cell r="H357">
            <v>104000</v>
          </cell>
        </row>
        <row r="358">
          <cell r="H358">
            <v>770400</v>
          </cell>
        </row>
        <row r="359">
          <cell r="H359">
            <v>4757004</v>
          </cell>
        </row>
        <row r="360">
          <cell r="H360">
            <v>295200</v>
          </cell>
        </row>
        <row r="361">
          <cell r="H361">
            <v>1278850</v>
          </cell>
        </row>
        <row r="362">
          <cell r="H362">
            <v>16141065</v>
          </cell>
        </row>
        <row r="363">
          <cell r="H363">
            <v>570300</v>
          </cell>
        </row>
        <row r="364">
          <cell r="H364">
            <v>2100720</v>
          </cell>
        </row>
        <row r="365">
          <cell r="H365">
            <v>2317600</v>
          </cell>
        </row>
        <row r="366">
          <cell r="H366">
            <v>488400</v>
          </cell>
        </row>
        <row r="367">
          <cell r="H367">
            <v>31911795</v>
          </cell>
        </row>
        <row r="368">
          <cell r="H368">
            <v>593520</v>
          </cell>
        </row>
        <row r="371">
          <cell r="H371">
            <v>3410226</v>
          </cell>
        </row>
        <row r="372">
          <cell r="H372">
            <v>1359950</v>
          </cell>
        </row>
        <row r="373">
          <cell r="H373">
            <v>340700</v>
          </cell>
        </row>
        <row r="374">
          <cell r="H374">
            <v>92750</v>
          </cell>
        </row>
        <row r="375">
          <cell r="H375">
            <v>718080</v>
          </cell>
        </row>
        <row r="377">
          <cell r="H377">
            <v>546120</v>
          </cell>
        </row>
        <row r="378">
          <cell r="H378">
            <v>9600</v>
          </cell>
        </row>
        <row r="379">
          <cell r="H379">
            <v>2359979</v>
          </cell>
        </row>
        <row r="380">
          <cell r="H380">
            <v>11897650</v>
          </cell>
        </row>
        <row r="384">
          <cell r="H384">
            <v>216000</v>
          </cell>
        </row>
        <row r="385">
          <cell r="H385">
            <v>117183</v>
          </cell>
        </row>
        <row r="386">
          <cell r="H386">
            <v>32550</v>
          </cell>
        </row>
        <row r="387">
          <cell r="H387">
            <v>3430969</v>
          </cell>
        </row>
        <row r="388">
          <cell r="H388">
            <v>691600</v>
          </cell>
        </row>
        <row r="389">
          <cell r="H389">
            <v>851475</v>
          </cell>
        </row>
        <row r="390">
          <cell r="H390">
            <v>247792</v>
          </cell>
        </row>
        <row r="391">
          <cell r="H391">
            <v>7809700</v>
          </cell>
        </row>
        <row r="392">
          <cell r="H392">
            <v>2800300</v>
          </cell>
        </row>
        <row r="393">
          <cell r="H393">
            <v>241500</v>
          </cell>
        </row>
        <row r="394">
          <cell r="H394">
            <v>2789675</v>
          </cell>
        </row>
        <row r="395">
          <cell r="H395">
            <v>60900</v>
          </cell>
        </row>
        <row r="396">
          <cell r="H396">
            <v>1155917</v>
          </cell>
        </row>
        <row r="397">
          <cell r="H397">
            <v>2033036</v>
          </cell>
        </row>
        <row r="398">
          <cell r="H398">
            <v>648614</v>
          </cell>
        </row>
        <row r="399">
          <cell r="H399">
            <v>1298700</v>
          </cell>
        </row>
        <row r="400">
          <cell r="H400">
            <v>15576166</v>
          </cell>
        </row>
        <row r="401">
          <cell r="H401">
            <v>2141092</v>
          </cell>
        </row>
        <row r="403">
          <cell r="H403">
            <v>2126250</v>
          </cell>
        </row>
        <row r="404">
          <cell r="H404">
            <v>3493550</v>
          </cell>
        </row>
        <row r="405">
          <cell r="H405">
            <v>42193851</v>
          </cell>
        </row>
        <row r="406">
          <cell r="H406">
            <v>460250</v>
          </cell>
        </row>
        <row r="407">
          <cell r="H407">
            <v>7315729</v>
          </cell>
        </row>
        <row r="409">
          <cell r="H409">
            <v>596450</v>
          </cell>
        </row>
        <row r="410">
          <cell r="H410">
            <v>310400</v>
          </cell>
        </row>
        <row r="412">
          <cell r="H412">
            <v>6076530</v>
          </cell>
        </row>
        <row r="413">
          <cell r="H413">
            <v>1410500</v>
          </cell>
        </row>
        <row r="414">
          <cell r="H414">
            <v>1574295</v>
          </cell>
        </row>
        <row r="415">
          <cell r="H415">
            <v>2263198</v>
          </cell>
        </row>
        <row r="416">
          <cell r="H416">
            <v>863428</v>
          </cell>
        </row>
        <row r="417">
          <cell r="H417">
            <v>7374986</v>
          </cell>
        </row>
        <row r="418">
          <cell r="H418">
            <v>8957270</v>
          </cell>
        </row>
        <row r="421">
          <cell r="H421">
            <v>-16635</v>
          </cell>
        </row>
        <row r="422">
          <cell r="H422">
            <v>501925</v>
          </cell>
        </row>
        <row r="423">
          <cell r="H423">
            <v>6423</v>
          </cell>
        </row>
        <row r="424">
          <cell r="H424">
            <v>35596</v>
          </cell>
        </row>
        <row r="425">
          <cell r="H425">
            <v>51707</v>
          </cell>
        </row>
        <row r="426">
          <cell r="H426">
            <v>284</v>
          </cell>
        </row>
        <row r="427">
          <cell r="H427">
            <v>14041</v>
          </cell>
        </row>
        <row r="428">
          <cell r="H428">
            <v>1516</v>
          </cell>
        </row>
        <row r="429">
          <cell r="H429">
            <v>24541</v>
          </cell>
        </row>
        <row r="430">
          <cell r="H430">
            <v>65475</v>
          </cell>
        </row>
        <row r="431">
          <cell r="H431">
            <v>131686</v>
          </cell>
        </row>
        <row r="432">
          <cell r="H432">
            <v>31035</v>
          </cell>
        </row>
        <row r="433">
          <cell r="H433">
            <v>7455</v>
          </cell>
        </row>
        <row r="434">
          <cell r="H434">
            <v>133878</v>
          </cell>
        </row>
        <row r="435">
          <cell r="H435">
            <v>1284</v>
          </cell>
        </row>
        <row r="436">
          <cell r="H436">
            <v>4461</v>
          </cell>
        </row>
        <row r="437">
          <cell r="H437">
            <v>29836</v>
          </cell>
        </row>
        <row r="438">
          <cell r="H438">
            <v>9617</v>
          </cell>
        </row>
        <row r="439">
          <cell r="H439">
            <v>604</v>
          </cell>
        </row>
        <row r="440">
          <cell r="H440">
            <v>17200</v>
          </cell>
        </row>
        <row r="441">
          <cell r="H441">
            <v>29212</v>
          </cell>
        </row>
        <row r="442">
          <cell r="H442">
            <v>5519</v>
          </cell>
        </row>
        <row r="443">
          <cell r="H443">
            <v>3739</v>
          </cell>
        </row>
        <row r="444">
          <cell r="H444">
            <v>168848</v>
          </cell>
        </row>
        <row r="445">
          <cell r="H445">
            <v>818</v>
          </cell>
        </row>
        <row r="446">
          <cell r="H446">
            <v>8810</v>
          </cell>
        </row>
        <row r="447">
          <cell r="H447">
            <v>18082</v>
          </cell>
        </row>
        <row r="448">
          <cell r="H448">
            <v>4687</v>
          </cell>
        </row>
        <row r="449">
          <cell r="H449">
            <v>264</v>
          </cell>
        </row>
        <row r="450">
          <cell r="H450">
            <v>2547</v>
          </cell>
        </row>
        <row r="451">
          <cell r="H451">
            <v>29236</v>
          </cell>
        </row>
        <row r="452">
          <cell r="H452">
            <v>6007</v>
          </cell>
        </row>
        <row r="453">
          <cell r="H453">
            <v>2130</v>
          </cell>
        </row>
        <row r="454">
          <cell r="H454">
            <v>23259</v>
          </cell>
        </row>
        <row r="455">
          <cell r="H455">
            <v>1334</v>
          </cell>
        </row>
        <row r="456">
          <cell r="H456">
            <v>2557</v>
          </cell>
        </row>
        <row r="457">
          <cell r="H457">
            <v>213</v>
          </cell>
        </row>
        <row r="458">
          <cell r="H458">
            <v>347</v>
          </cell>
        </row>
        <row r="459">
          <cell r="H459">
            <v>8558</v>
          </cell>
        </row>
        <row r="460">
          <cell r="H460">
            <v>90</v>
          </cell>
        </row>
        <row r="461">
          <cell r="H461">
            <v>6729</v>
          </cell>
        </row>
        <row r="462">
          <cell r="H462">
            <v>2853</v>
          </cell>
        </row>
        <row r="476">
          <cell r="H476">
            <v>168880</v>
          </cell>
        </row>
        <row r="478">
          <cell r="H478">
            <v>887</v>
          </cell>
        </row>
        <row r="479">
          <cell r="H479">
            <v>2971</v>
          </cell>
        </row>
        <row r="481">
          <cell r="H481">
            <v>79166</v>
          </cell>
        </row>
        <row r="482">
          <cell r="H482">
            <v>1361</v>
          </cell>
        </row>
        <row r="483">
          <cell r="H483">
            <v>256764842</v>
          </cell>
        </row>
        <row r="484">
          <cell r="H484">
            <v>3180305</v>
          </cell>
        </row>
        <row r="485">
          <cell r="H485">
            <v>1436</v>
          </cell>
        </row>
        <row r="486">
          <cell r="H486">
            <v>108877</v>
          </cell>
        </row>
        <row r="487">
          <cell r="H487">
            <v>7702791</v>
          </cell>
        </row>
        <row r="488">
          <cell r="H488">
            <v>475593</v>
          </cell>
        </row>
        <row r="497">
          <cell r="H497">
            <v>691</v>
          </cell>
        </row>
        <row r="500">
          <cell r="H500">
            <v>13755</v>
          </cell>
        </row>
        <row r="501">
          <cell r="H501">
            <v>17235643</v>
          </cell>
        </row>
        <row r="502">
          <cell r="H502">
            <v>409259</v>
          </cell>
        </row>
        <row r="505">
          <cell r="H505">
            <v>639822</v>
          </cell>
        </row>
        <row r="506">
          <cell r="H506">
            <v>901</v>
          </cell>
        </row>
        <row r="507">
          <cell r="H507">
            <v>16543</v>
          </cell>
        </row>
        <row r="508">
          <cell r="H508">
            <v>3120</v>
          </cell>
        </row>
        <row r="509">
          <cell r="H509">
            <v>1758</v>
          </cell>
        </row>
        <row r="510">
          <cell r="H510">
            <v>14112</v>
          </cell>
        </row>
        <row r="511">
          <cell r="H511">
            <v>80132</v>
          </cell>
        </row>
        <row r="512">
          <cell r="H512">
            <v>54808</v>
          </cell>
        </row>
        <row r="513">
          <cell r="H513">
            <v>14885056</v>
          </cell>
        </row>
        <row r="514">
          <cell r="H514">
            <v>202968</v>
          </cell>
        </row>
        <row r="515">
          <cell r="H515">
            <v>36429</v>
          </cell>
        </row>
        <row r="516">
          <cell r="H516">
            <v>16571</v>
          </cell>
        </row>
        <row r="518">
          <cell r="H518">
            <v>42166</v>
          </cell>
        </row>
        <row r="519">
          <cell r="H519">
            <v>3010</v>
          </cell>
        </row>
        <row r="520">
          <cell r="H520">
            <v>94777326</v>
          </cell>
        </row>
        <row r="521">
          <cell r="H521">
            <v>1854118</v>
          </cell>
        </row>
        <row r="522">
          <cell r="H522">
            <v>10486</v>
          </cell>
        </row>
        <row r="523">
          <cell r="H523">
            <v>2825493</v>
          </cell>
        </row>
        <row r="524">
          <cell r="H524">
            <v>345751</v>
          </cell>
        </row>
        <row r="532">
          <cell r="H532">
            <v>131</v>
          </cell>
        </row>
        <row r="535">
          <cell r="H535">
            <v>6355200</v>
          </cell>
        </row>
        <row r="536">
          <cell r="H536">
            <v>228689</v>
          </cell>
        </row>
        <row r="537">
          <cell r="H537">
            <v>188055</v>
          </cell>
        </row>
        <row r="538">
          <cell r="H538">
            <v>2173</v>
          </cell>
        </row>
        <row r="539">
          <cell r="H539">
            <v>-797</v>
          </cell>
        </row>
        <row r="540">
          <cell r="H540">
            <v>142346</v>
          </cell>
        </row>
        <row r="541">
          <cell r="H541">
            <v>24386</v>
          </cell>
        </row>
        <row r="542">
          <cell r="H542">
            <v>5732907</v>
          </cell>
        </row>
        <row r="543">
          <cell r="H543">
            <v>144446</v>
          </cell>
        </row>
        <row r="544">
          <cell r="H544">
            <v>2100</v>
          </cell>
        </row>
        <row r="545">
          <cell r="H545">
            <v>9040</v>
          </cell>
        </row>
        <row r="546">
          <cell r="H546">
            <v>4762</v>
          </cell>
        </row>
        <row r="547">
          <cell r="H547">
            <v>11967606</v>
          </cell>
        </row>
        <row r="548">
          <cell r="H548">
            <v>4858496</v>
          </cell>
        </row>
        <row r="549">
          <cell r="H549">
            <v>18359</v>
          </cell>
        </row>
        <row r="550">
          <cell r="H550">
            <v>1016164</v>
          </cell>
        </row>
        <row r="551">
          <cell r="H551">
            <v>1822293</v>
          </cell>
        </row>
        <row r="557">
          <cell r="H557">
            <v>11880</v>
          </cell>
        </row>
        <row r="558">
          <cell r="H558">
            <v>507979</v>
          </cell>
        </row>
        <row r="559">
          <cell r="H559">
            <v>878263</v>
          </cell>
        </row>
        <row r="560">
          <cell r="H560">
            <v>9440</v>
          </cell>
        </row>
        <row r="561">
          <cell r="H561">
            <v>17590</v>
          </cell>
        </row>
        <row r="562">
          <cell r="H562">
            <v>795904</v>
          </cell>
        </row>
        <row r="563">
          <cell r="H563">
            <v>544586</v>
          </cell>
        </row>
        <row r="564">
          <cell r="H564">
            <v>7707000</v>
          </cell>
        </row>
        <row r="565">
          <cell r="H565">
            <v>202800</v>
          </cell>
        </row>
        <row r="566">
          <cell r="H566">
            <v>3312000</v>
          </cell>
        </row>
        <row r="567">
          <cell r="H567">
            <v>63000</v>
          </cell>
        </row>
        <row r="568">
          <cell r="H568">
            <v>3187200</v>
          </cell>
        </row>
        <row r="569">
          <cell r="H569">
            <v>505800</v>
          </cell>
        </row>
        <row r="571">
          <cell r="H571">
            <v>25400528</v>
          </cell>
        </row>
        <row r="573">
          <cell r="H573">
            <v>11675</v>
          </cell>
        </row>
        <row r="574">
          <cell r="H574">
            <v>178</v>
          </cell>
        </row>
        <row r="575">
          <cell r="H575">
            <v>13121</v>
          </cell>
        </row>
        <row r="579">
          <cell r="H579">
            <v>75189</v>
          </cell>
        </row>
        <row r="580">
          <cell r="H580">
            <v>275093</v>
          </cell>
        </row>
        <row r="581">
          <cell r="H581">
            <v>1326714</v>
          </cell>
        </row>
        <row r="582">
          <cell r="H582">
            <v>97</v>
          </cell>
        </row>
        <row r="583">
          <cell r="H583">
            <v>6469</v>
          </cell>
        </row>
        <row r="587">
          <cell r="H587">
            <v>1515702</v>
          </cell>
        </row>
        <row r="588">
          <cell r="H588">
            <v>632234</v>
          </cell>
        </row>
        <row r="590">
          <cell r="H590">
            <v>1849701</v>
          </cell>
        </row>
        <row r="592">
          <cell r="H592">
            <v>41574</v>
          </cell>
        </row>
      </sheetData>
      <sheetData sheetId="1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ummary Statements"/>
      <sheetName val="Cover"/>
      <sheetName val="7H"/>
      <sheetName val="LFA"/>
      <sheetName val="MFC"/>
      <sheetName val="Storage"/>
      <sheetName val="TBS"/>
      <sheetName val="Balancing"/>
      <sheetName val="Standby"/>
      <sheetName val="DCG"/>
      <sheetName val="Cashout"/>
      <sheetName val="Cap Surcharge"/>
      <sheetName val="TS"/>
      <sheetName val="TS Worksheet"/>
      <sheetName val="TS SRS"/>
      <sheetName val="CSCC"/>
      <sheetName val="WNQ"/>
      <sheetName val="Bill Mit"/>
      <sheetName val="R&amp;D"/>
      <sheetName val="GCSA1"/>
      <sheetName val="GCSA2"/>
      <sheetName val="Merger"/>
      <sheetName val="Query"/>
      <sheetName val="Bill Mit Combined"/>
      <sheetName val="Bill Mit Champlain"/>
      <sheetName val="Bill Mit Elmira"/>
      <sheetName val="Bill Mit Goshen"/>
      <sheetName val="CSCC Input"/>
      <sheetName val="CSCC Dmd Chgs"/>
      <sheetName val="CSCC Credits"/>
      <sheetName val="Forecast"/>
      <sheetName val="GSC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 enableFormatConditionsCalculation="0"/>
  <dimension ref="A1:L212"/>
  <sheetViews>
    <sheetView tabSelected="1" view="pageBreakPreview" zoomScaleNormal="100" zoomScaleSheetLayoutView="100" workbookViewId="0">
      <pane xSplit="6" ySplit="7" topLeftCell="G8" activePane="bottomRight" state="frozen"/>
      <selection sqref="A1:IV65536"/>
      <selection pane="topRight" sqref="A1:IV65536"/>
      <selection pane="bottomLeft" sqref="A1:IV65536"/>
      <selection pane="bottomRight" activeCell="B2" sqref="B2"/>
    </sheetView>
  </sheetViews>
  <sheetFormatPr defaultRowHeight="12.75"/>
  <cols>
    <col min="1" max="1" width="3.140625" style="769" customWidth="1"/>
    <col min="2" max="2" width="3.140625" style="716" customWidth="1"/>
    <col min="3" max="3" width="4.42578125" style="148" customWidth="1"/>
    <col min="4" max="4" width="3.7109375" style="148" customWidth="1"/>
    <col min="5" max="5" width="14.42578125" style="148" customWidth="1"/>
    <col min="6" max="6" width="49.7109375" style="148" customWidth="1"/>
    <col min="7" max="7" width="13.140625" style="148" customWidth="1"/>
    <col min="8" max="8" width="12.7109375" style="148" customWidth="1"/>
    <col min="9" max="9" width="12.5703125" style="148" customWidth="1"/>
    <col min="10" max="10" width="3.85546875" style="148" customWidth="1"/>
    <col min="11" max="16384" width="9.140625" style="135"/>
  </cols>
  <sheetData>
    <row r="1" spans="1:10" ht="15.75">
      <c r="B1" s="779"/>
      <c r="C1" s="780"/>
      <c r="D1" s="781"/>
      <c r="E1" s="781"/>
      <c r="F1" s="133"/>
      <c r="G1" s="133"/>
      <c r="H1" s="133"/>
      <c r="I1" s="133"/>
      <c r="J1" s="133"/>
    </row>
    <row r="2" spans="1:10" s="783" customFormat="1" ht="15.75">
      <c r="A2" s="854"/>
      <c r="B2" s="784" t="s">
        <v>1646</v>
      </c>
      <c r="C2" s="784"/>
      <c r="D2" s="784"/>
      <c r="E2" s="784"/>
      <c r="F2" s="784"/>
      <c r="G2" s="784"/>
      <c r="H2" s="784"/>
      <c r="I2" s="784"/>
      <c r="J2" s="784"/>
    </row>
    <row r="3" spans="1:10" s="783" customFormat="1" ht="15.75">
      <c r="A3" s="854"/>
      <c r="B3" s="855" t="s">
        <v>2678</v>
      </c>
      <c r="C3" s="786"/>
      <c r="D3" s="786"/>
      <c r="E3" s="786"/>
      <c r="F3" s="786"/>
      <c r="G3" s="786"/>
      <c r="H3" s="786"/>
      <c r="I3" s="786"/>
      <c r="J3" s="786"/>
    </row>
    <row r="4" spans="1:10" s="783" customFormat="1" ht="15.75">
      <c r="A4" s="854"/>
      <c r="B4" s="788" t="s">
        <v>4924</v>
      </c>
      <c r="C4" s="789"/>
      <c r="D4" s="789"/>
      <c r="E4" s="789"/>
      <c r="F4" s="789"/>
      <c r="G4" s="789"/>
      <c r="H4" s="789"/>
      <c r="I4" s="789"/>
      <c r="J4" s="789"/>
    </row>
    <row r="5" spans="1:10" s="783" customFormat="1" ht="15.75">
      <c r="A5" s="854"/>
      <c r="B5" s="791" t="s">
        <v>1648</v>
      </c>
      <c r="C5" s="789"/>
      <c r="D5" s="789"/>
      <c r="E5" s="789"/>
      <c r="F5" s="789"/>
      <c r="G5" s="789"/>
      <c r="H5" s="789"/>
      <c r="I5" s="789"/>
      <c r="J5" s="789"/>
    </row>
    <row r="7" spans="1:10" s="132" customFormat="1" ht="18" customHeight="1">
      <c r="A7" s="749"/>
      <c r="B7" s="792"/>
      <c r="C7" s="856"/>
      <c r="D7" s="617"/>
      <c r="E7" s="617"/>
      <c r="F7" s="617"/>
      <c r="G7" s="857" t="s">
        <v>1177</v>
      </c>
      <c r="H7" s="857" t="s">
        <v>1178</v>
      </c>
      <c r="I7" s="857" t="s">
        <v>1179</v>
      </c>
      <c r="J7" s="617"/>
    </row>
    <row r="8" spans="1:10" s="132" customFormat="1" ht="18" customHeight="1">
      <c r="A8" s="749"/>
      <c r="B8" s="792"/>
      <c r="C8" s="856"/>
      <c r="D8" s="617"/>
      <c r="E8" s="617"/>
      <c r="F8" s="617"/>
      <c r="G8" s="617" t="s">
        <v>2863</v>
      </c>
      <c r="H8" s="617"/>
      <c r="I8" s="617"/>
      <c r="J8" s="617"/>
    </row>
    <row r="9" spans="1:10">
      <c r="A9" s="716" t="s">
        <v>56</v>
      </c>
      <c r="B9" s="135"/>
      <c r="F9" s="858"/>
      <c r="G9" s="858"/>
      <c r="H9" s="858"/>
      <c r="I9" s="858"/>
      <c r="J9" s="858"/>
    </row>
    <row r="10" spans="1:10">
      <c r="B10" s="148" t="s">
        <v>1892</v>
      </c>
      <c r="F10" s="859" t="str">
        <f>+A38</f>
        <v>(a)</v>
      </c>
      <c r="G10" s="381">
        <f>+G38</f>
        <v>3836506.5094806668</v>
      </c>
      <c r="H10" s="381">
        <f>+H38</f>
        <v>933495.27462808089</v>
      </c>
      <c r="I10" s="381">
        <f t="shared" ref="I10:I20" si="0">SUM(G10:H10)</f>
        <v>4770001.7841087477</v>
      </c>
      <c r="J10" s="859"/>
    </row>
    <row r="11" spans="1:10">
      <c r="B11" s="148" t="s">
        <v>1820</v>
      </c>
      <c r="F11" s="858" t="s">
        <v>1819</v>
      </c>
      <c r="G11" s="722">
        <f>SUMIF('Balance Sheet Detail'!$C:$C,$F11,'Balance Sheet Detail'!U:U)</f>
        <v>-2001093.2911065009</v>
      </c>
      <c r="H11" s="722">
        <f>SUMIF('Balance Sheet Detail'!$C:$C,$F11,'Balance Sheet Detail'!V:V)</f>
        <v>-357037.74551224947</v>
      </c>
      <c r="I11" s="369">
        <f t="shared" si="0"/>
        <v>-2358131.0366187505</v>
      </c>
      <c r="J11" s="858"/>
    </row>
    <row r="12" spans="1:10">
      <c r="B12" s="148" t="s">
        <v>3833</v>
      </c>
      <c r="F12" s="858" t="s">
        <v>1823</v>
      </c>
      <c r="G12" s="137">
        <f>'Rate Base Detail'!H111</f>
        <v>0</v>
      </c>
      <c r="H12" s="137">
        <f>'Rate Base Detail'!I111</f>
        <v>18738.230879583331</v>
      </c>
      <c r="I12" s="369">
        <f>SUM(G12:H12)</f>
        <v>18738.230879583331</v>
      </c>
      <c r="J12" s="858"/>
    </row>
    <row r="13" spans="1:10">
      <c r="B13" s="148" t="s">
        <v>2277</v>
      </c>
      <c r="F13" s="858" t="s">
        <v>213</v>
      </c>
      <c r="G13" s="137">
        <f>'Rate Base Detail'!H125</f>
        <v>10691.05118215199</v>
      </c>
      <c r="H13" s="137">
        <f>'Rate Base Detail'!I125</f>
        <v>3362.8090432646763</v>
      </c>
      <c r="I13" s="369">
        <f t="shared" si="0"/>
        <v>14053.860225416667</v>
      </c>
      <c r="J13" s="858"/>
    </row>
    <row r="14" spans="1:10">
      <c r="B14" s="148" t="s">
        <v>2509</v>
      </c>
      <c r="F14" s="858" t="s">
        <v>733</v>
      </c>
      <c r="G14" s="137">
        <f>'Rate Base Detail'!H136</f>
        <v>33347.473866472006</v>
      </c>
      <c r="H14" s="137">
        <f>'Rate Base Detail'!I136</f>
        <v>8130.1045431113289</v>
      </c>
      <c r="I14" s="369">
        <f t="shared" si="0"/>
        <v>41477.578409583337</v>
      </c>
      <c r="J14" s="858"/>
    </row>
    <row r="15" spans="1:10">
      <c r="B15" s="148" t="s">
        <v>949</v>
      </c>
      <c r="F15" s="860"/>
      <c r="G15" s="137">
        <f>+'Rate Base Detail'!H177</f>
        <v>63380.404629575372</v>
      </c>
      <c r="H15" s="137">
        <f>+'Rate Base Detail'!I177</f>
        <v>9715.8207362499979</v>
      </c>
      <c r="I15" s="688">
        <f t="shared" si="0"/>
        <v>73096.225365825376</v>
      </c>
      <c r="J15" s="860"/>
    </row>
    <row r="16" spans="1:10">
      <c r="B16" s="148" t="s">
        <v>2689</v>
      </c>
      <c r="F16" s="860"/>
      <c r="G16" s="137">
        <v>0</v>
      </c>
      <c r="H16" s="137">
        <v>0</v>
      </c>
      <c r="I16" s="688">
        <f t="shared" si="0"/>
        <v>0</v>
      </c>
      <c r="J16" s="860"/>
    </row>
    <row r="17" spans="1:10">
      <c r="B17" s="148" t="s">
        <v>1170</v>
      </c>
      <c r="F17" s="858" t="s">
        <v>950</v>
      </c>
      <c r="G17" s="722">
        <f>SUMIF('Balance Sheet Detail'!$C:$C,$F17,'Balance Sheet Detail'!U:U)</f>
        <v>-1100.0996024072299</v>
      </c>
      <c r="H17" s="722">
        <f>SUMIF('Balance Sheet Detail'!$C:$C,$F17,'Balance Sheet Detail'!V:V)</f>
        <v>-346.03004217609998</v>
      </c>
      <c r="I17" s="688">
        <f t="shared" si="0"/>
        <v>-1446.12964458333</v>
      </c>
      <c r="J17" s="858"/>
    </row>
    <row r="18" spans="1:10">
      <c r="B18" s="148" t="s">
        <v>1894</v>
      </c>
      <c r="F18" s="861" t="str">
        <f>+A94</f>
        <v>(d)</v>
      </c>
      <c r="G18" s="137">
        <f>+G94</f>
        <v>288267.54914970207</v>
      </c>
      <c r="H18" s="137">
        <f>+H94</f>
        <v>82776.336281964177</v>
      </c>
      <c r="I18" s="688">
        <f t="shared" si="0"/>
        <v>371043.88543166628</v>
      </c>
      <c r="J18" s="861"/>
    </row>
    <row r="19" spans="1:10">
      <c r="B19" s="148" t="s">
        <v>453</v>
      </c>
      <c r="F19" s="861" t="str">
        <f>+A167</f>
        <v>(e)</v>
      </c>
      <c r="G19" s="137">
        <f>+G167</f>
        <v>-424650.28484284529</v>
      </c>
      <c r="H19" s="137">
        <f>+H167</f>
        <v>-172882.1171827548</v>
      </c>
      <c r="I19" s="688">
        <f t="shared" si="0"/>
        <v>-597532.40202560008</v>
      </c>
      <c r="J19" s="861"/>
    </row>
    <row r="20" spans="1:10" ht="15">
      <c r="B20" s="148" t="s">
        <v>455</v>
      </c>
      <c r="F20" s="858" t="s">
        <v>454</v>
      </c>
      <c r="G20" s="862">
        <f>SUMIF('Balance Sheet Detail'!$C:$C,$F20,'Balance Sheet Detail'!U:U)</f>
        <v>-14721.00654</v>
      </c>
      <c r="H20" s="862">
        <f>SUMIF('Balance Sheet Detail'!$C:$C,$F20,'Balance Sheet Detail'!V:V)</f>
        <v>-738.62359583333398</v>
      </c>
      <c r="I20" s="709">
        <f t="shared" si="0"/>
        <v>-15459.630135833335</v>
      </c>
      <c r="J20" s="858"/>
    </row>
    <row r="21" spans="1:10">
      <c r="B21" s="148"/>
      <c r="F21" s="858"/>
      <c r="G21" s="688"/>
      <c r="H21" s="688"/>
      <c r="I21" s="688"/>
      <c r="J21" s="858"/>
    </row>
    <row r="22" spans="1:10">
      <c r="B22" s="148" t="s">
        <v>2589</v>
      </c>
      <c r="F22" s="858"/>
      <c r="G22" s="688">
        <f>SUM(G9:G21)</f>
        <v>1790628.3062168148</v>
      </c>
      <c r="H22" s="688">
        <f>SUM(H9:H21)</f>
        <v>525214.05977924075</v>
      </c>
      <c r="I22" s="688">
        <f>SUM(I9:I21)</f>
        <v>2315842.3659960558</v>
      </c>
      <c r="J22" s="858"/>
    </row>
    <row r="23" spans="1:10">
      <c r="B23" s="148" t="s">
        <v>1816</v>
      </c>
      <c r="F23" s="858"/>
      <c r="G23" s="688">
        <f>I$23*(G22/I22)</f>
        <v>5780.151703161092</v>
      </c>
      <c r="H23" s="688">
        <f>I23-G23</f>
        <v>1695.3920205646218</v>
      </c>
      <c r="I23" s="688">
        <f>I26-I22</f>
        <v>7475.5437237257138</v>
      </c>
      <c r="J23" s="858"/>
    </row>
    <row r="24" spans="1:10" ht="3.75" customHeight="1">
      <c r="B24" s="148"/>
      <c r="F24" s="858"/>
      <c r="G24" s="709">
        <v>0</v>
      </c>
      <c r="H24" s="709">
        <v>0</v>
      </c>
      <c r="I24" s="709">
        <v>0</v>
      </c>
      <c r="J24" s="858"/>
    </row>
    <row r="25" spans="1:10">
      <c r="B25" s="148"/>
      <c r="F25" s="858"/>
      <c r="G25" s="688"/>
      <c r="H25" s="688"/>
      <c r="I25" s="688"/>
      <c r="J25" s="858"/>
    </row>
    <row r="26" spans="1:10">
      <c r="B26" s="148" t="s">
        <v>1827</v>
      </c>
      <c r="F26" s="858"/>
      <c r="G26" s="381">
        <f>SUM(G22:G25)</f>
        <v>1796408.457919976</v>
      </c>
      <c r="H26" s="381">
        <f>SUM(H22:H25)</f>
        <v>526909.45179980539</v>
      </c>
      <c r="I26" s="688">
        <f>+I29-I27</f>
        <v>2323317.9097197815</v>
      </c>
      <c r="J26" s="858"/>
    </row>
    <row r="27" spans="1:10" ht="15">
      <c r="B27" s="148" t="s">
        <v>575</v>
      </c>
      <c r="F27" s="858"/>
      <c r="G27" s="709"/>
      <c r="H27" s="863"/>
      <c r="I27" s="709">
        <f>+I192</f>
        <v>36445.071156885475</v>
      </c>
      <c r="J27" s="858"/>
    </row>
    <row r="28" spans="1:10">
      <c r="B28" s="148"/>
      <c r="G28" s="864"/>
      <c r="H28" s="864"/>
      <c r="I28" s="864"/>
    </row>
    <row r="29" spans="1:10">
      <c r="B29" s="148" t="s">
        <v>2590</v>
      </c>
      <c r="G29" s="139"/>
      <c r="H29" s="139"/>
      <c r="I29" s="139">
        <f>Capitalization!J17</f>
        <v>2359762.980876667</v>
      </c>
    </row>
    <row r="30" spans="1:10">
      <c r="G30" s="135"/>
      <c r="H30" s="135"/>
      <c r="I30" s="137"/>
    </row>
    <row r="31" spans="1:10" s="606" customFormat="1">
      <c r="A31" s="865"/>
      <c r="B31" s="135"/>
      <c r="C31" s="380"/>
      <c r="D31" s="380"/>
      <c r="E31" s="380"/>
      <c r="F31" s="380"/>
      <c r="J31" s="380"/>
    </row>
    <row r="32" spans="1:10">
      <c r="G32" s="135"/>
      <c r="H32" s="135"/>
      <c r="I32" s="135"/>
    </row>
    <row r="33" spans="1:12" ht="14.1" customHeight="1">
      <c r="B33" s="716" t="s">
        <v>2591</v>
      </c>
      <c r="D33" s="135"/>
      <c r="E33" s="135"/>
      <c r="F33" s="866"/>
      <c r="G33" s="137"/>
      <c r="H33" s="137"/>
      <c r="I33" s="135"/>
      <c r="J33" s="866"/>
    </row>
    <row r="34" spans="1:12" ht="14.1" customHeight="1">
      <c r="B34" s="755"/>
      <c r="C34" s="148" t="s">
        <v>1892</v>
      </c>
      <c r="D34" s="135"/>
      <c r="E34" s="135"/>
      <c r="F34" s="867" t="s">
        <v>1890</v>
      </c>
      <c r="G34" s="722">
        <f>SUMIF('Balance Sheet Detail'!$C:$C,$F34,'Balance Sheet Detail'!U:U)</f>
        <v>3832145.2582288715</v>
      </c>
      <c r="H34" s="722">
        <f>SUMIF('Balance Sheet Detail'!$C:$C,$F34,'Balance Sheet Detail'!V:V)</f>
        <v>932984.67615820921</v>
      </c>
      <c r="I34" s="369">
        <f>SUM(G34:H34)</f>
        <v>4765129.9343870804</v>
      </c>
      <c r="J34" s="867"/>
    </row>
    <row r="35" spans="1:12" ht="14.1" customHeight="1">
      <c r="B35" s="755"/>
      <c r="C35" s="148" t="s">
        <v>998</v>
      </c>
      <c r="D35" s="135"/>
      <c r="E35" s="135"/>
      <c r="F35" s="867" t="s">
        <v>1817</v>
      </c>
      <c r="G35" s="722">
        <f>SUMIF('Balance Sheet Detail'!$C:$C,$F35,'Balance Sheet Detail'!U:U)</f>
        <v>152918.81776598401</v>
      </c>
      <c r="H35" s="722">
        <f>SUMIF('Balance Sheet Detail'!$C:$C,$F35,'Balance Sheet Detail'!V:V)</f>
        <v>12673.37909568302</v>
      </c>
      <c r="I35" s="369">
        <f>SUM(G35:H35)</f>
        <v>165592.19686166703</v>
      </c>
      <c r="J35" s="867"/>
    </row>
    <row r="36" spans="1:12" ht="14.1" customHeight="1">
      <c r="B36" s="755"/>
      <c r="C36" s="148" t="s">
        <v>2592</v>
      </c>
      <c r="D36" s="135"/>
      <c r="E36" s="135"/>
      <c r="F36" s="133"/>
      <c r="G36" s="868">
        <f>'Rate Base Detail'!H38</f>
        <v>-148557.56651418869</v>
      </c>
      <c r="H36" s="868">
        <f>'Rate Base Detail'!I38</f>
        <v>-12162.78062581132</v>
      </c>
      <c r="I36" s="800">
        <f>SUM(G36:H36)</f>
        <v>-160720.34714</v>
      </c>
      <c r="J36" s="869"/>
      <c r="K36" s="133"/>
      <c r="L36" s="133"/>
    </row>
    <row r="37" spans="1:12" ht="14.1" customHeight="1">
      <c r="B37" s="755"/>
      <c r="C37" s="822"/>
      <c r="D37" s="135"/>
      <c r="E37" s="135"/>
      <c r="F37" s="816"/>
      <c r="G37" s="137"/>
      <c r="H37" s="137"/>
      <c r="I37" s="135"/>
      <c r="J37" s="816"/>
    </row>
    <row r="38" spans="1:12" ht="14.1" customHeight="1">
      <c r="A38" s="870" t="s">
        <v>2875</v>
      </c>
      <c r="B38" s="755"/>
      <c r="C38" s="822" t="s">
        <v>2591</v>
      </c>
      <c r="D38" s="135"/>
      <c r="E38" s="135"/>
      <c r="F38" s="816"/>
      <c r="G38" s="139">
        <f>SUM(G33:G37)</f>
        <v>3836506.5094806668</v>
      </c>
      <c r="H38" s="139">
        <f>SUM(H33:H37)</f>
        <v>933495.27462808089</v>
      </c>
      <c r="I38" s="139">
        <f>SUM(I33:I37)</f>
        <v>4770001.7841087468</v>
      </c>
      <c r="J38" s="816"/>
    </row>
    <row r="39" spans="1:12">
      <c r="G39" s="135"/>
      <c r="H39" s="135"/>
      <c r="I39" s="135"/>
    </row>
    <row r="40" spans="1:12">
      <c r="C40" s="376"/>
      <c r="G40" s="135"/>
      <c r="H40" s="135"/>
      <c r="I40" s="135"/>
    </row>
    <row r="41" spans="1:12">
      <c r="B41" s="716" t="s">
        <v>1894</v>
      </c>
      <c r="C41" s="376"/>
      <c r="G41" s="135"/>
      <c r="H41" s="135"/>
      <c r="I41" s="135"/>
    </row>
    <row r="42" spans="1:12">
      <c r="C42" s="716" t="s">
        <v>893</v>
      </c>
      <c r="G42" s="135"/>
      <c r="H42" s="135"/>
      <c r="I42" s="135"/>
    </row>
    <row r="43" spans="1:12">
      <c r="B43" s="871" t="s">
        <v>1875</v>
      </c>
      <c r="C43" s="148" t="s">
        <v>1002</v>
      </c>
      <c r="G43" s="722">
        <f>SUMIF('Balance Sheet Detail'!$AS:$AS,$B43,'Balance Sheet Detail'!U:U)</f>
        <v>393266.39522693231</v>
      </c>
      <c r="H43" s="722">
        <f>SUMIF('Balance Sheet Detail'!$AS:$AS,$B43,'Balance Sheet Detail'!V:V)</f>
        <v>86912.353523900863</v>
      </c>
      <c r="I43" s="369">
        <f>SUM(G43:H43)</f>
        <v>480178.74875083315</v>
      </c>
    </row>
    <row r="44" spans="1:12">
      <c r="B44" s="871" t="s">
        <v>4353</v>
      </c>
      <c r="C44" s="148" t="s">
        <v>4352</v>
      </c>
      <c r="G44" s="722">
        <f>SUMIF('Balance Sheet Detail'!$AS:$AS,$B44,'Balance Sheet Detail'!U:U)</f>
        <v>-2947.8847126507899</v>
      </c>
      <c r="H44" s="722">
        <f>SUMIF('Balance Sheet Detail'!$AS:$AS,$B44,'Balance Sheet Detail'!V:V)</f>
        <v>-927.24028734921205</v>
      </c>
      <c r="I44" s="369">
        <f>SUM(G44:H44)</f>
        <v>-3875.1250000000018</v>
      </c>
      <c r="K44" s="137"/>
    </row>
    <row r="45" spans="1:12">
      <c r="B45" s="871" t="s">
        <v>1721</v>
      </c>
      <c r="C45" s="148" t="s">
        <v>794</v>
      </c>
      <c r="G45" s="722">
        <f>SUMIF('Balance Sheet Detail'!$AS:$AS,$B45,'Balance Sheet Detail'!U:U)</f>
        <v>-5187.5</v>
      </c>
      <c r="H45" s="722">
        <f>SUMIF('Balance Sheet Detail'!$AS:$AS,$B45,'Balance Sheet Detail'!V:V)</f>
        <v>0</v>
      </c>
      <c r="I45" s="369">
        <f>SUM(G45:H45)</f>
        <v>-5187.5</v>
      </c>
    </row>
    <row r="46" spans="1:12">
      <c r="B46" s="871"/>
      <c r="C46" s="148" t="s">
        <v>521</v>
      </c>
      <c r="G46" s="137">
        <f>'Rate Base Detail'!H201</f>
        <v>-1.4779288903810084E-11</v>
      </c>
      <c r="H46" s="137">
        <v>0</v>
      </c>
      <c r="I46" s="137">
        <f>SUM(G46:H46)</f>
        <v>-1.4779288903810084E-11</v>
      </c>
      <c r="J46" s="872"/>
    </row>
    <row r="47" spans="1:12">
      <c r="B47" s="871" t="s">
        <v>884</v>
      </c>
      <c r="C47" s="148" t="s">
        <v>1805</v>
      </c>
      <c r="G47" s="722">
        <f>SUMIF('Balance Sheet Detail'!$AS:$AS,$B47,'Balance Sheet Detail'!U:U)</f>
        <v>-7.0000000000000001E-15</v>
      </c>
      <c r="H47" s="722">
        <f>SUMIF('Balance Sheet Detail'!$AS:$AS,$B47,'Balance Sheet Detail'!V:V)</f>
        <v>-8.9999999999999995E-15</v>
      </c>
      <c r="I47" s="369">
        <f t="shared" ref="I47:I84" si="1">SUM(G47:H47)</f>
        <v>-1.6000000000000001E-14</v>
      </c>
    </row>
    <row r="48" spans="1:12">
      <c r="B48" s="871" t="s">
        <v>4675</v>
      </c>
      <c r="C48" s="148" t="s">
        <v>4673</v>
      </c>
      <c r="G48" s="722">
        <f>SUMIF('Balance Sheet Detail'!$AS:$AS,$B48,'Balance Sheet Detail'!U:U)</f>
        <v>3333.75</v>
      </c>
      <c r="H48" s="722">
        <f>SUMIF('Balance Sheet Detail'!$AS:$AS,$B48,'Balance Sheet Detail'!V:V)</f>
        <v>-766.00001999999995</v>
      </c>
      <c r="I48" s="369">
        <f>SUM(G48:H48)</f>
        <v>2567.7499800000001</v>
      </c>
    </row>
    <row r="49" spans="2:9">
      <c r="B49" s="871" t="s">
        <v>2595</v>
      </c>
      <c r="C49" s="148" t="s">
        <v>1151</v>
      </c>
      <c r="G49" s="722">
        <f>SUMIF('Balance Sheet Detail'!$AS:$AS,$B49,'Balance Sheet Detail'!U:U)</f>
        <v>637.37647999999797</v>
      </c>
      <c r="H49" s="722">
        <f>SUMIF('Balance Sheet Detail'!$AS:$AS,$B49,'Balance Sheet Detail'!V:V)</f>
        <v>-72.882869999999301</v>
      </c>
      <c r="I49" s="369">
        <f t="shared" si="1"/>
        <v>564.49360999999863</v>
      </c>
    </row>
    <row r="50" spans="2:9">
      <c r="B50" s="871" t="s">
        <v>2427</v>
      </c>
      <c r="C50" s="148" t="s">
        <v>102</v>
      </c>
      <c r="G50" s="722">
        <f>SUMIF('Balance Sheet Detail'!$AS:$AS,$B50,'Balance Sheet Detail'!U:U)</f>
        <v>0</v>
      </c>
      <c r="H50" s="722">
        <f>SUMIF('Balance Sheet Detail'!$AS:$AS,$B50,'Balance Sheet Detail'!V:V)</f>
        <v>0</v>
      </c>
      <c r="I50" s="369">
        <f t="shared" si="1"/>
        <v>0</v>
      </c>
    </row>
    <row r="51" spans="2:9">
      <c r="B51" s="871" t="s">
        <v>4844</v>
      </c>
      <c r="C51" s="148" t="s">
        <v>1718</v>
      </c>
      <c r="G51" s="722">
        <f>SUMIF('Balance Sheet Detail'!$AS:$AS,$B51,'Balance Sheet Detail'!U:U)</f>
        <v>179.58066875</v>
      </c>
      <c r="H51" s="722">
        <f>SUMIF('Balance Sheet Detail'!$AS:$AS,$B51,'Balance Sheet Detail'!V:V)</f>
        <v>69.601404166666697</v>
      </c>
      <c r="I51" s="369">
        <f t="shared" ref="I51" si="2">SUM(G51:H51)</f>
        <v>249.1820729166667</v>
      </c>
    </row>
    <row r="52" spans="2:9">
      <c r="B52" s="871" t="s">
        <v>214</v>
      </c>
      <c r="C52" s="148" t="s">
        <v>2915</v>
      </c>
      <c r="G52" s="722">
        <f>SUMIF('Balance Sheet Detail'!$AS:$AS,$B52,'Balance Sheet Detail'!U:U)</f>
        <v>15522.336699166701</v>
      </c>
      <c r="H52" s="722">
        <f>SUMIF('Balance Sheet Detail'!$AS:$AS,$B52,'Balance Sheet Detail'!V:V)</f>
        <v>0</v>
      </c>
      <c r="I52" s="369">
        <f t="shared" si="1"/>
        <v>15522.336699166701</v>
      </c>
    </row>
    <row r="53" spans="2:9">
      <c r="B53" s="871" t="s">
        <v>2428</v>
      </c>
      <c r="C53" s="148" t="s">
        <v>2369</v>
      </c>
      <c r="F53" s="148" t="s">
        <v>2429</v>
      </c>
      <c r="G53" s="722">
        <f>SUMIF('Balance Sheet Detail'!$AS:$AS,$B53,'Balance Sheet Detail'!U:U)</f>
        <v>-3.3155345136037795E-10</v>
      </c>
      <c r="H53" s="722">
        <f>SUMIF('Balance Sheet Detail'!$AS:$AS,$B53,'Balance Sheet Detail'!V:V)</f>
        <v>-3.6397021382728706E-11</v>
      </c>
      <c r="I53" s="369">
        <f t="shared" si="1"/>
        <v>-3.6795047274310667E-10</v>
      </c>
    </row>
    <row r="54" spans="2:9">
      <c r="B54" s="871" t="s">
        <v>2596</v>
      </c>
      <c r="C54" s="148" t="s">
        <v>967</v>
      </c>
      <c r="G54" s="722">
        <f>SUMIF('Balance Sheet Detail'!$AS:$AS,$B54,'Balance Sheet Detail'!U:U)</f>
        <v>0</v>
      </c>
      <c r="H54" s="722">
        <f>SUMIF('Balance Sheet Detail'!$AS:$AS,$B54,'Balance Sheet Detail'!V:V)</f>
        <v>-8.3333333300000003E-7</v>
      </c>
      <c r="I54" s="369">
        <f t="shared" si="1"/>
        <v>-8.3333333300000003E-7</v>
      </c>
    </row>
    <row r="55" spans="2:9">
      <c r="B55" s="871" t="s">
        <v>4768</v>
      </c>
      <c r="C55" s="148" t="s">
        <v>4761</v>
      </c>
      <c r="G55" s="722">
        <f>SUMIF('Balance Sheet Detail'!$AS:$AS,$B55,'Balance Sheet Detail'!U:U)</f>
        <v>-5784.8333333333303</v>
      </c>
      <c r="H55" s="722">
        <f>SUMIF('Balance Sheet Detail'!$AS:$AS,$B55,'Balance Sheet Detail'!V:V)</f>
        <v>-1304.0833333333301</v>
      </c>
      <c r="I55" s="369">
        <f>SUM(G55:H55)</f>
        <v>-7088.9166666666606</v>
      </c>
    </row>
    <row r="56" spans="2:9">
      <c r="B56" s="871" t="s">
        <v>4567</v>
      </c>
      <c r="C56" s="148" t="s">
        <v>4564</v>
      </c>
      <c r="G56" s="722">
        <f>SUMIF('Balance Sheet Detail'!$AS:$AS,$B56,'Balance Sheet Detail'!U:U)</f>
        <v>32476.840811666701</v>
      </c>
      <c r="H56" s="722">
        <f>SUMIF('Balance Sheet Detail'!$AS:$AS,$B56,'Balance Sheet Detail'!V:V)</f>
        <v>22741.6279629167</v>
      </c>
      <c r="I56" s="369">
        <f>SUM(G56:H56)</f>
        <v>55218.468774583402</v>
      </c>
    </row>
    <row r="57" spans="2:9">
      <c r="B57" s="871" t="s">
        <v>2430</v>
      </c>
      <c r="C57" s="148" t="s">
        <v>1563</v>
      </c>
      <c r="G57" s="722">
        <f>SUMIF('Balance Sheet Detail'!$AS:$AS,$B57,'Balance Sheet Detail'!U:U)</f>
        <v>0</v>
      </c>
      <c r="H57" s="722">
        <f>SUMIF('Balance Sheet Detail'!$AS:$AS,$B57,'Balance Sheet Detail'!V:V)</f>
        <v>52.6</v>
      </c>
      <c r="I57" s="369">
        <f t="shared" si="1"/>
        <v>52.6</v>
      </c>
    </row>
    <row r="58" spans="2:9">
      <c r="B58" s="871" t="s">
        <v>4497</v>
      </c>
      <c r="C58" s="148" t="s">
        <v>1167</v>
      </c>
      <c r="G58" s="722">
        <f>SUMIF('Balance Sheet Detail'!$AS:$AS,$B58,'Balance Sheet Detail'!U:U)</f>
        <v>0</v>
      </c>
      <c r="H58" s="722">
        <f>SUMIF('Balance Sheet Detail'!$AS:$AS,$B58,'Balance Sheet Detail'!V:V)</f>
        <v>0</v>
      </c>
      <c r="I58" s="369">
        <f>SUM(G58:H58)</f>
        <v>0</v>
      </c>
    </row>
    <row r="59" spans="2:9">
      <c r="B59" s="871" t="s">
        <v>1568</v>
      </c>
      <c r="C59" s="148" t="s">
        <v>1567</v>
      </c>
      <c r="G59" s="722">
        <f>SUMIF('Balance Sheet Detail'!$AS:$AS,$B59,'Balance Sheet Detail'!U:U)</f>
        <v>0</v>
      </c>
      <c r="H59" s="722">
        <f>SUMIF('Balance Sheet Detail'!$AS:$AS,$B59,'Balance Sheet Detail'!V:V)</f>
        <v>0</v>
      </c>
      <c r="I59" s="369">
        <f t="shared" si="1"/>
        <v>0</v>
      </c>
    </row>
    <row r="60" spans="2:9">
      <c r="B60" s="871" t="s">
        <v>2431</v>
      </c>
      <c r="C60" s="148" t="s">
        <v>45</v>
      </c>
      <c r="G60" s="722">
        <f>SUMIF('Balance Sheet Detail'!$AS:$AS,$B60,'Balance Sheet Detail'!U:U)</f>
        <v>16253.413368120426</v>
      </c>
      <c r="H60" s="722">
        <f>SUMIF('Balance Sheet Detail'!$AS:$AS,$B60,'Balance Sheet Detail'!V:V)</f>
        <v>5112.4182764629168</v>
      </c>
      <c r="I60" s="369">
        <f t="shared" si="1"/>
        <v>21365.831644583341</v>
      </c>
    </row>
    <row r="61" spans="2:9">
      <c r="B61" s="871" t="s">
        <v>2597</v>
      </c>
      <c r="C61" s="148" t="s">
        <v>539</v>
      </c>
      <c r="G61" s="722">
        <f>SUMIF('Balance Sheet Detail'!$AS:$AS,$B61,'Balance Sheet Detail'!U:U)</f>
        <v>-4925.1014299999997</v>
      </c>
      <c r="H61" s="722">
        <f>SUMIF('Balance Sheet Detail'!$AS:$AS,$B61,'Balance Sheet Detail'!V:V)</f>
        <v>0</v>
      </c>
      <c r="I61" s="369">
        <f t="shared" si="1"/>
        <v>-4925.1014299999997</v>
      </c>
    </row>
    <row r="62" spans="2:9">
      <c r="B62" s="871" t="s">
        <v>4359</v>
      </c>
      <c r="C62" s="148" t="s">
        <v>4358</v>
      </c>
      <c r="G62" s="722">
        <f>SUMIF('Balance Sheet Detail'!$AS:$AS,$B62,'Balance Sheet Detail'!U:U)</f>
        <v>-5584.9519517549898</v>
      </c>
      <c r="H62" s="722">
        <f>SUMIF('Balance Sheet Detail'!$AS:$AS,$B62,'Balance Sheet Detail'!V:V)</f>
        <v>-1756.7147149116799</v>
      </c>
      <c r="I62" s="369">
        <f>SUM(G62:H62)</f>
        <v>-7341.6666666666697</v>
      </c>
    </row>
    <row r="63" spans="2:9">
      <c r="B63" s="871" t="s">
        <v>2432</v>
      </c>
      <c r="C63" s="148" t="s">
        <v>713</v>
      </c>
      <c r="G63" s="722">
        <f>SUMIF('Balance Sheet Detail'!$AS:$AS,$B63,'Balance Sheet Detail'!U:U)</f>
        <v>-11738.91034875</v>
      </c>
      <c r="H63" s="722">
        <f>SUMIF('Balance Sheet Detail'!$AS:$AS,$B63,'Balance Sheet Detail'!V:V)</f>
        <v>0</v>
      </c>
      <c r="I63" s="369">
        <f t="shared" si="1"/>
        <v>-11738.91034875</v>
      </c>
    </row>
    <row r="64" spans="2:9">
      <c r="B64" s="871" t="s">
        <v>2607</v>
      </c>
      <c r="C64" s="148" t="s">
        <v>914</v>
      </c>
      <c r="G64" s="722">
        <f>SUMIF('Balance Sheet Detail'!$AS:$AS,$B64,'Balance Sheet Detail'!U:U)</f>
        <v>272.32982014879963</v>
      </c>
      <c r="H64" s="722">
        <f>SUMIF('Balance Sheet Detail'!$AS:$AS,$B64,'Balance Sheet Detail'!V:V)</f>
        <v>60.185222767920095</v>
      </c>
      <c r="I64" s="369">
        <f t="shared" si="1"/>
        <v>332.51504291671972</v>
      </c>
    </row>
    <row r="65" spans="2:10">
      <c r="B65" s="871" t="s">
        <v>2433</v>
      </c>
      <c r="C65" s="148" t="s">
        <v>1484</v>
      </c>
      <c r="G65" s="722">
        <f>SUMIF('Balance Sheet Detail'!$AS:$AS,$B65,'Balance Sheet Detail'!U:U)</f>
        <v>699.31633461750005</v>
      </c>
      <c r="H65" s="722">
        <f>SUMIF('Balance Sheet Detail'!$AS:$AS,$B65,'Balance Sheet Detail'!V:V)</f>
        <v>62.466164965833109</v>
      </c>
      <c r="I65" s="369">
        <f t="shared" si="1"/>
        <v>761.78249958333311</v>
      </c>
    </row>
    <row r="66" spans="2:10">
      <c r="B66" s="871" t="s">
        <v>2434</v>
      </c>
      <c r="C66" s="148" t="s">
        <v>635</v>
      </c>
      <c r="G66" s="722">
        <f>SUMIF('Balance Sheet Detail'!$AS:$AS,$B66,'Balance Sheet Detail'!U:U)</f>
        <v>-4134.1057662499734</v>
      </c>
      <c r="H66" s="722">
        <f>SUMIF('Balance Sheet Detail'!$AS:$AS,$B66,'Balance Sheet Detail'!V:V)</f>
        <v>0</v>
      </c>
      <c r="I66" s="369">
        <f t="shared" si="1"/>
        <v>-4134.1057662499734</v>
      </c>
    </row>
    <row r="67" spans="2:10">
      <c r="B67" s="871" t="s">
        <v>4522</v>
      </c>
      <c r="C67" s="148" t="s">
        <v>4418</v>
      </c>
      <c r="G67" s="722">
        <f>SUMIF('Balance Sheet Detail'!$AS:$AS,$B67,'Balance Sheet Detail'!U:U)</f>
        <v>0</v>
      </c>
      <c r="H67" s="722">
        <f>SUMIF('Balance Sheet Detail'!$AS:$AS,$B67,'Balance Sheet Detail'!V:V)</f>
        <v>-137.07979166666701</v>
      </c>
      <c r="I67" s="369">
        <f>SUM(G67:H67)</f>
        <v>-137.07979166666701</v>
      </c>
    </row>
    <row r="68" spans="2:10">
      <c r="B68" s="871" t="s">
        <v>2193</v>
      </c>
      <c r="C68" s="148" t="s">
        <v>791</v>
      </c>
      <c r="G68" s="722">
        <f>SUMIF('Balance Sheet Detail'!$AS:$AS,$B68,'Balance Sheet Detail'!U:U)</f>
        <v>0</v>
      </c>
      <c r="H68" s="722">
        <f>SUMIF('Balance Sheet Detail'!$AS:$AS,$B68,'Balance Sheet Detail'!V:V)</f>
        <v>0</v>
      </c>
      <c r="I68" s="369">
        <f t="shared" si="1"/>
        <v>0</v>
      </c>
    </row>
    <row r="69" spans="2:10">
      <c r="B69" s="871" t="s">
        <v>2598</v>
      </c>
      <c r="C69" s="148" t="s">
        <v>1665</v>
      </c>
      <c r="G69" s="722">
        <f>SUMIF('Balance Sheet Detail'!$AS:$AS,$B69,'Balance Sheet Detail'!U:U)</f>
        <v>26.860700000000001</v>
      </c>
      <c r="H69" s="722">
        <f>SUMIF('Balance Sheet Detail'!$AS:$AS,$B69,'Balance Sheet Detail'!V:V)</f>
        <v>0</v>
      </c>
      <c r="I69" s="369">
        <f t="shared" si="1"/>
        <v>26.860700000000001</v>
      </c>
    </row>
    <row r="70" spans="2:10">
      <c r="B70" s="871" t="s">
        <v>2606</v>
      </c>
      <c r="C70" s="148" t="s">
        <v>170</v>
      </c>
      <c r="G70" s="722">
        <f>SUMIF('Balance Sheet Detail'!$AS:$AS,$B70,'Balance Sheet Detail'!U:U)</f>
        <v>-113780.10527690619</v>
      </c>
      <c r="H70" s="722">
        <f>SUMIF('Balance Sheet Detail'!$AS:$AS,$B70,'Balance Sheet Detail'!V:V)</f>
        <v>-25145.542191843771</v>
      </c>
      <c r="I70" s="369">
        <f t="shared" si="1"/>
        <v>-138925.64746874996</v>
      </c>
    </row>
    <row r="71" spans="2:10">
      <c r="B71" s="871" t="s">
        <v>2435</v>
      </c>
      <c r="C71" s="148" t="s">
        <v>1553</v>
      </c>
      <c r="G71" s="722">
        <f>SUMIF('Balance Sheet Detail'!$AS:$AS,$B71,'Balance Sheet Detail'!U:U)</f>
        <v>0</v>
      </c>
      <c r="H71" s="722">
        <f>SUMIF('Balance Sheet Detail'!$AS:$AS,$B71,'Balance Sheet Detail'!V:V)</f>
        <v>0</v>
      </c>
      <c r="I71" s="369">
        <f t="shared" si="1"/>
        <v>0</v>
      </c>
    </row>
    <row r="72" spans="2:10">
      <c r="B72" s="871" t="s">
        <v>2436</v>
      </c>
      <c r="C72" s="148" t="s">
        <v>1917</v>
      </c>
      <c r="G72" s="722">
        <f>SUMIF('Balance Sheet Detail'!$AS:$AS,$B72,'Balance Sheet Detail'!U:U)</f>
        <v>0</v>
      </c>
      <c r="H72" s="722">
        <f>SUMIF('Balance Sheet Detail'!$AS:$AS,$B72,'Balance Sheet Detail'!V:V)</f>
        <v>0</v>
      </c>
      <c r="I72" s="369">
        <f t="shared" si="1"/>
        <v>0</v>
      </c>
    </row>
    <row r="73" spans="2:10">
      <c r="B73" s="871" t="s">
        <v>2599</v>
      </c>
      <c r="C73" s="148" t="s">
        <v>763</v>
      </c>
      <c r="G73" s="722">
        <f>SUMIF('Balance Sheet Detail'!$AS:$AS,$B73,'Balance Sheet Detail'!U:U)</f>
        <v>-13654.55565</v>
      </c>
      <c r="H73" s="722">
        <f>SUMIF('Balance Sheet Detail'!$AS:$AS,$B73,'Balance Sheet Detail'!V:V)</f>
        <v>231.48803999999799</v>
      </c>
      <c r="I73" s="369">
        <f t="shared" si="1"/>
        <v>-13423.067610000002</v>
      </c>
    </row>
    <row r="74" spans="2:10">
      <c r="B74" s="871" t="s">
        <v>4357</v>
      </c>
      <c r="C74" s="148" t="s">
        <v>1811</v>
      </c>
      <c r="G74" s="722">
        <f>SUMIF('Balance Sheet Detail'!$AS:$AS,$B74,'Balance Sheet Detail'!U:U)</f>
        <v>1144.5832275</v>
      </c>
      <c r="H74" s="722">
        <f>SUMIF('Balance Sheet Detail'!$AS:$AS,$B74,'Balance Sheet Detail'!V:V)</f>
        <v>136.44978458333301</v>
      </c>
      <c r="I74" s="369">
        <f>SUM(G74:H74)</f>
        <v>1281.033012083333</v>
      </c>
    </row>
    <row r="75" spans="2:10">
      <c r="B75" s="871" t="s">
        <v>1372</v>
      </c>
      <c r="C75" s="148" t="s">
        <v>815</v>
      </c>
      <c r="G75" s="722">
        <f>SUMIF('Balance Sheet Detail'!$AS:$AS,$B75,'Balance Sheet Detail'!U:U)</f>
        <v>0</v>
      </c>
      <c r="H75" s="722">
        <f>SUMIF('Balance Sheet Detail'!$AS:$AS,$B75,'Balance Sheet Detail'!V:V)</f>
        <v>20.378355000000091</v>
      </c>
      <c r="I75" s="369">
        <f t="shared" si="1"/>
        <v>20.378355000000091</v>
      </c>
    </row>
    <row r="76" spans="2:10">
      <c r="B76" s="871" t="s">
        <v>215</v>
      </c>
      <c r="C76" s="148" t="s">
        <v>1844</v>
      </c>
      <c r="G76" s="137">
        <f>'Rate Base Detail'!H367</f>
        <v>381.54412375000004</v>
      </c>
      <c r="H76" s="137">
        <f>'Rate Base Detail'!I367</f>
        <v>-138.73229708333329</v>
      </c>
      <c r="I76" s="137">
        <f t="shared" si="1"/>
        <v>242.81182666666675</v>
      </c>
      <c r="J76" s="872"/>
    </row>
    <row r="77" spans="2:10">
      <c r="B77" s="871" t="s">
        <v>2600</v>
      </c>
      <c r="C77" s="148" t="s">
        <v>2858</v>
      </c>
      <c r="G77" s="722">
        <f>SUMIF('Balance Sheet Detail'!$AS:$AS,$B77,'Balance Sheet Detail'!U:U)</f>
        <v>-810.62223625000047</v>
      </c>
      <c r="H77" s="722">
        <f>SUMIF('Balance Sheet Detail'!$AS:$AS,$B77,'Balance Sheet Detail'!V:V)</f>
        <v>-106.27664208333371</v>
      </c>
      <c r="I77" s="369">
        <f t="shared" si="1"/>
        <v>-916.89887833333421</v>
      </c>
    </row>
    <row r="78" spans="2:10">
      <c r="B78" s="871" t="s">
        <v>3834</v>
      </c>
      <c r="C78" s="148" t="s">
        <v>341</v>
      </c>
      <c r="G78" s="722">
        <f>SUMIF('Balance Sheet Detail'!$AS:$AS,$B78,'Balance Sheet Detail'!U:U)</f>
        <v>0</v>
      </c>
      <c r="H78" s="722">
        <f>SUMIF('Balance Sheet Detail'!$AS:$AS,$B78,'Balance Sheet Detail'!V:V)</f>
        <v>0</v>
      </c>
      <c r="I78" s="369">
        <f>SUM(G78:H78)</f>
        <v>0</v>
      </c>
    </row>
    <row r="79" spans="2:10">
      <c r="B79" s="871" t="s">
        <v>2601</v>
      </c>
      <c r="C79" s="148" t="s">
        <v>2219</v>
      </c>
      <c r="G79" s="722">
        <f>SUMIF('Balance Sheet Detail'!$AS:$AS,$B79,'Balance Sheet Detail'!U:U)</f>
        <v>0</v>
      </c>
      <c r="H79" s="722">
        <f>SUMIF('Balance Sheet Detail'!$AS:$AS,$B79,'Balance Sheet Detail'!V:V)</f>
        <v>0</v>
      </c>
      <c r="I79" s="369">
        <f t="shared" si="1"/>
        <v>0</v>
      </c>
    </row>
    <row r="80" spans="2:10">
      <c r="B80" s="871" t="s">
        <v>2602</v>
      </c>
      <c r="C80" s="148" t="s">
        <v>3032</v>
      </c>
      <c r="G80" s="722">
        <f>SUMIF('Balance Sheet Detail'!$AS:$AS,$B80,'Balance Sheet Detail'!U:U)</f>
        <v>0</v>
      </c>
      <c r="H80" s="722">
        <f>SUMIF('Balance Sheet Detail'!$AS:$AS,$B80,'Balance Sheet Detail'!V:V)</f>
        <v>182.37376999999998</v>
      </c>
      <c r="I80" s="369">
        <f t="shared" si="1"/>
        <v>182.37376999999998</v>
      </c>
    </row>
    <row r="81" spans="1:10">
      <c r="B81" s="871" t="s">
        <v>2603</v>
      </c>
      <c r="C81" s="148" t="s">
        <v>2714</v>
      </c>
      <c r="G81" s="722">
        <f>SUMIF('Balance Sheet Detail'!$AS:$AS,$B81,'Balance Sheet Detail'!U:U)</f>
        <v>0</v>
      </c>
      <c r="H81" s="722">
        <f>SUMIF('Balance Sheet Detail'!$AS:$AS,$B81,'Balance Sheet Detail'!V:V)</f>
        <v>-212.16536000000093</v>
      </c>
      <c r="I81" s="369">
        <f t="shared" si="1"/>
        <v>-212.16536000000093</v>
      </c>
    </row>
    <row r="82" spans="1:10">
      <c r="B82" s="871" t="s">
        <v>2604</v>
      </c>
      <c r="C82" s="148" t="s">
        <v>1943</v>
      </c>
      <c r="G82" s="722">
        <f>SUMIF('Balance Sheet Detail'!$AS:$AS,$B82,'Balance Sheet Detail'!U:U)</f>
        <v>1.1E-14</v>
      </c>
      <c r="H82" s="722">
        <f>SUMIF('Balance Sheet Detail'!$AS:$AS,$B82,'Balance Sheet Detail'!V:V)</f>
        <v>-4.0000000000000003E-15</v>
      </c>
      <c r="I82" s="369">
        <f t="shared" si="1"/>
        <v>7.0000000000000001E-15</v>
      </c>
    </row>
    <row r="83" spans="1:10">
      <c r="B83" s="871" t="s">
        <v>2437</v>
      </c>
      <c r="C83" s="148" t="s">
        <v>1488</v>
      </c>
      <c r="G83" s="722">
        <f>SUMIF('Balance Sheet Detail'!$AS:$AS,$B83,'Balance Sheet Detail'!U:U)</f>
        <v>-3877.1192226834701</v>
      </c>
      <c r="H83" s="722">
        <f>SUMIF('Balance Sheet Detail'!$AS:$AS,$B83,'Balance Sheet Detail'!V:V)</f>
        <v>-1018.44679231653</v>
      </c>
      <c r="I83" s="369">
        <f t="shared" si="1"/>
        <v>-4895.5660150000003</v>
      </c>
    </row>
    <row r="84" spans="1:10">
      <c r="B84" s="871" t="s">
        <v>2605</v>
      </c>
      <c r="C84" s="148" t="s">
        <v>2857</v>
      </c>
      <c r="G84" s="722">
        <f>SUMIF('Balance Sheet Detail'!$AS:$AS,$B84,'Balance Sheet Detail'!U:U)</f>
        <v>32.084780000004898</v>
      </c>
      <c r="H84" s="722">
        <f>SUMIF('Balance Sheet Detail'!$AS:$AS,$B84,'Balance Sheet Detail'!V:V)</f>
        <v>0</v>
      </c>
      <c r="I84" s="369">
        <f t="shared" si="1"/>
        <v>32.084780000004898</v>
      </c>
    </row>
    <row r="85" spans="1:10">
      <c r="B85" s="871" t="s">
        <v>4361</v>
      </c>
      <c r="C85" s="148" t="s">
        <v>1217</v>
      </c>
      <c r="G85" s="722">
        <f>SUMIF('Balance Sheet Detail'!$AS:$AS,$B85,'Balance Sheet Detail'!U:U)</f>
        <v>-5401.1113086211699</v>
      </c>
      <c r="H85" s="722">
        <f>SUMIF('Balance Sheet Detail'!$AS:$AS,$B85,'Balance Sheet Detail'!V:V)</f>
        <v>-1698.8886913788399</v>
      </c>
      <c r="I85" s="369">
        <f>SUM(G85:H85)</f>
        <v>-7100.00000000001</v>
      </c>
    </row>
    <row r="86" spans="1:10" ht="3" customHeight="1">
      <c r="B86" s="148"/>
      <c r="G86" s="137"/>
      <c r="H86" s="137"/>
      <c r="I86" s="369"/>
    </row>
    <row r="87" spans="1:10" ht="15">
      <c r="C87" s="148" t="s">
        <v>365</v>
      </c>
      <c r="G87" s="800">
        <f>+G89-SUM(G41:G86)</f>
        <v>9.5279937498853542</v>
      </c>
      <c r="H87" s="800">
        <f>+H89-SUM(H41:H86)</f>
        <v>0</v>
      </c>
      <c r="I87" s="800">
        <f>+I89-SUM(I41:I86)</f>
        <v>9.5279937498853542</v>
      </c>
    </row>
    <row r="88" spans="1:10">
      <c r="G88" s="137"/>
      <c r="H88" s="137"/>
      <c r="I88" s="369"/>
    </row>
    <row r="89" spans="1:10" s="597" customFormat="1">
      <c r="B89" s="873"/>
      <c r="C89" s="148" t="s">
        <v>1127</v>
      </c>
      <c r="D89" s="148"/>
      <c r="E89" s="148"/>
      <c r="F89" s="872" t="s">
        <v>1893</v>
      </c>
      <c r="G89" s="874">
        <f>SUMIF('Balance Sheet Detail'!$D:$D,$F89,'Balance Sheet Detail'!U:U)+G46-G91+'Rate Base Detail'!H364</f>
        <v>286409.1389972021</v>
      </c>
      <c r="H89" s="874">
        <f>SUMIF('Balance Sheet Detail'!$D:$D,$F89,'Balance Sheet Detail'!V:V)+H46-H91+'Rate Base Detail'!I365</f>
        <v>82297.889511964167</v>
      </c>
      <c r="I89" s="381">
        <f>SUM(G89:H89)</f>
        <v>368707.02850916627</v>
      </c>
      <c r="J89" s="872"/>
    </row>
    <row r="90" spans="1:10" s="597" customFormat="1">
      <c r="A90" s="870"/>
      <c r="B90" s="873"/>
      <c r="C90" s="716" t="s">
        <v>894</v>
      </c>
      <c r="D90" s="148"/>
      <c r="E90" s="148"/>
      <c r="F90" s="872"/>
      <c r="G90" s="874"/>
      <c r="H90" s="874"/>
      <c r="I90" s="381"/>
      <c r="J90" s="872"/>
    </row>
    <row r="91" spans="1:10">
      <c r="B91" s="871" t="s">
        <v>1852</v>
      </c>
      <c r="C91" s="148" t="s">
        <v>1851</v>
      </c>
      <c r="G91" s="722">
        <f>SUMIF('Balance Sheet Detail'!$AS:$AS,$B91,'Balance Sheet Detail'!U:U)</f>
        <v>0</v>
      </c>
      <c r="H91" s="722">
        <f>SUMIF('Balance Sheet Detail'!$AS:$AS,$B91,'Balance Sheet Detail'!V:V)</f>
        <v>5008.1785808333298</v>
      </c>
      <c r="I91" s="369">
        <f>SUM(G91:H91)</f>
        <v>5008.1785808333298</v>
      </c>
    </row>
    <row r="92" spans="1:10" s="597" customFormat="1">
      <c r="A92" s="870"/>
      <c r="B92" s="873"/>
      <c r="C92" s="148" t="s">
        <v>1663</v>
      </c>
      <c r="D92" s="148"/>
      <c r="E92" s="148"/>
      <c r="F92" s="872"/>
      <c r="G92" s="722">
        <f>'Rate Base Detail'!H221-'Rate Base'!G91</f>
        <v>1858.4101524999999</v>
      </c>
      <c r="H92" s="722">
        <f>'Rate Base Detail'!I221-'Rate Base'!H91</f>
        <v>-4529.7318108333284</v>
      </c>
      <c r="I92" s="137">
        <f>SUM(G92:H92)</f>
        <v>-2671.3216583333287</v>
      </c>
      <c r="J92" s="872"/>
    </row>
    <row r="93" spans="1:10" s="597" customFormat="1">
      <c r="A93" s="870"/>
      <c r="B93" s="873"/>
      <c r="C93" s="148"/>
      <c r="D93" s="148"/>
      <c r="E93" s="148"/>
      <c r="F93" s="872"/>
      <c r="G93" s="875"/>
      <c r="H93" s="875"/>
      <c r="I93" s="826"/>
      <c r="J93" s="872"/>
    </row>
    <row r="94" spans="1:10" s="597" customFormat="1">
      <c r="A94" s="870" t="s">
        <v>2438</v>
      </c>
      <c r="B94" s="873"/>
      <c r="C94" s="148" t="s">
        <v>2012</v>
      </c>
      <c r="D94" s="148"/>
      <c r="E94" s="148"/>
      <c r="F94" s="872"/>
      <c r="G94" s="826">
        <f>SUM(G89:G93)</f>
        <v>288267.54914970207</v>
      </c>
      <c r="H94" s="826">
        <f>SUM(H89:H93)</f>
        <v>82776.336281964177</v>
      </c>
      <c r="I94" s="826">
        <f>SUM(G94:H94)</f>
        <v>371043.88543166628</v>
      </c>
      <c r="J94" s="872"/>
    </row>
    <row r="95" spans="1:10" s="597" customFormat="1">
      <c r="A95" s="870"/>
      <c r="B95" s="873"/>
      <c r="C95" s="148"/>
      <c r="D95" s="148"/>
      <c r="E95" s="148"/>
      <c r="F95" s="872"/>
      <c r="G95" s="875"/>
      <c r="H95" s="875"/>
      <c r="I95" s="826"/>
      <c r="J95" s="872"/>
    </row>
    <row r="96" spans="1:10">
      <c r="G96" s="876"/>
      <c r="H96" s="876"/>
      <c r="I96" s="139"/>
    </row>
    <row r="97" spans="1:9">
      <c r="B97" s="716" t="s">
        <v>2926</v>
      </c>
      <c r="G97" s="876"/>
      <c r="H97" s="876"/>
      <c r="I97" s="139"/>
    </row>
    <row r="98" spans="1:9">
      <c r="G98" s="876"/>
      <c r="H98" s="876"/>
      <c r="I98" s="139"/>
    </row>
    <row r="99" spans="1:9">
      <c r="B99" s="873" t="s">
        <v>2397</v>
      </c>
      <c r="G99" s="876"/>
      <c r="H99" s="876"/>
      <c r="I99" s="139"/>
    </row>
    <row r="100" spans="1:9" s="381" customFormat="1">
      <c r="A100" s="877"/>
      <c r="B100" s="878" t="s">
        <v>2754</v>
      </c>
      <c r="C100" s="879" t="s">
        <v>1364</v>
      </c>
      <c r="D100" s="880"/>
      <c r="G100" s="722">
        <f>SUMIF('Balance Sheet Detail'!$AS:$AS,$B100,'Balance Sheet Detail'!U:U)</f>
        <v>-404606.04482416681</v>
      </c>
      <c r="H100" s="722">
        <f>SUMIF('Balance Sheet Detail'!$AS:$AS,$B100,'Balance Sheet Detail'!V:V)</f>
        <v>-169756.58173291633</v>
      </c>
      <c r="I100" s="369">
        <f t="shared" ref="I100:I112" si="3">SUM(G100:H100)</f>
        <v>-574362.6265570831</v>
      </c>
    </row>
    <row r="101" spans="1:9">
      <c r="B101" s="881" t="s">
        <v>1221</v>
      </c>
      <c r="C101" s="879" t="s">
        <v>2976</v>
      </c>
      <c r="G101" s="722">
        <f>SUMIF('Balance Sheet Detail'!$AS:$AS,$B101,'Balance Sheet Detail'!U:U)</f>
        <v>614.80035625000028</v>
      </c>
      <c r="H101" s="722">
        <f>SUMIF('Balance Sheet Detail'!$AS:$AS,$B101,'Balance Sheet Detail'!V:V)</f>
        <v>-1300.5895470833334</v>
      </c>
      <c r="I101" s="369">
        <f t="shared" si="3"/>
        <v>-685.78919083333312</v>
      </c>
    </row>
    <row r="102" spans="1:9">
      <c r="B102" s="881" t="s">
        <v>1222</v>
      </c>
      <c r="C102" s="879" t="s">
        <v>1799</v>
      </c>
      <c r="G102" s="722">
        <f>SUMIF('Balance Sheet Detail'!$AS:$AS,$B102,'Balance Sheet Detail'!U:U)</f>
        <v>-10854.5349816667</v>
      </c>
      <c r="H102" s="722">
        <f>SUMIF('Balance Sheet Detail'!$AS:$AS,$B102,'Balance Sheet Detail'!V:V)</f>
        <v>-2265.1179999999999</v>
      </c>
      <c r="I102" s="369">
        <f t="shared" si="3"/>
        <v>-13119.652981666701</v>
      </c>
    </row>
    <row r="103" spans="1:9">
      <c r="B103" s="881" t="s">
        <v>4490</v>
      </c>
      <c r="C103" s="879" t="s">
        <v>1166</v>
      </c>
      <c r="G103" s="722">
        <f>SUMIF('Balance Sheet Detail'!$AS:$AS,$B103,'Balance Sheet Detail'!U:U)</f>
        <v>-3531.7955183333343</v>
      </c>
      <c r="H103" s="722">
        <f>SUMIF('Balance Sheet Detail'!$AS:$AS,$B103,'Balance Sheet Detail'!V:V)</f>
        <v>0</v>
      </c>
      <c r="I103" s="369">
        <f>SUM(G103:H103)</f>
        <v>-3531.7955183333343</v>
      </c>
    </row>
    <row r="104" spans="1:9">
      <c r="B104" s="881" t="s">
        <v>3004</v>
      </c>
      <c r="C104" s="879" t="s">
        <v>968</v>
      </c>
      <c r="G104" s="722">
        <f>SUMIF('Balance Sheet Detail'!$AS:$AS,$B104,'Balance Sheet Detail'!U:U)</f>
        <v>-9093.3398212499742</v>
      </c>
      <c r="H104" s="722">
        <f>SUMIF('Balance Sheet Detail'!$AS:$AS,$B104,'Balance Sheet Detail'!V:V)</f>
        <v>0</v>
      </c>
      <c r="I104" s="369">
        <f t="shared" si="3"/>
        <v>-9093.3398212499742</v>
      </c>
    </row>
    <row r="105" spans="1:9">
      <c r="B105" s="881" t="s">
        <v>2722</v>
      </c>
      <c r="C105" s="879" t="s">
        <v>218</v>
      </c>
      <c r="G105" s="722">
        <f>SUMIF('Balance Sheet Detail'!$AS:$AS,$B105,'Balance Sheet Detail'!U:U)</f>
        <v>26726.076039583364</v>
      </c>
      <c r="H105" s="722">
        <f>SUMIF('Balance Sheet Detail'!$AS:$AS,$B105,'Balance Sheet Detail'!V:V)</f>
        <v>6506.5672720833354</v>
      </c>
      <c r="I105" s="369">
        <f t="shared" si="3"/>
        <v>33232.643311666703</v>
      </c>
    </row>
    <row r="106" spans="1:9">
      <c r="B106" s="881" t="s">
        <v>1503</v>
      </c>
      <c r="C106" s="879" t="s">
        <v>2675</v>
      </c>
      <c r="G106" s="722">
        <f>SUMIF('Balance Sheet Detail'!$AS:$AS,$B106,'Balance Sheet Detail'!U:U)</f>
        <v>0</v>
      </c>
      <c r="H106" s="722">
        <f>SUMIF('Balance Sheet Detail'!$AS:$AS,$B106,'Balance Sheet Detail'!V:V)</f>
        <v>0</v>
      </c>
      <c r="I106" s="369">
        <f>SUM(G106:H106)</f>
        <v>0</v>
      </c>
    </row>
    <row r="107" spans="1:9">
      <c r="B107" s="881" t="s">
        <v>1504</v>
      </c>
      <c r="C107" s="879" t="s">
        <v>2674</v>
      </c>
      <c r="G107" s="722">
        <f>SUMIF('Balance Sheet Detail'!$AS:$AS,$B107,'Balance Sheet Detail'!U:U)</f>
        <v>0</v>
      </c>
      <c r="H107" s="722">
        <f>SUMIF('Balance Sheet Detail'!$AS:$AS,$B107,'Balance Sheet Detail'!V:V)</f>
        <v>0</v>
      </c>
      <c r="I107" s="369">
        <f>SUM(G107:H107)</f>
        <v>0</v>
      </c>
    </row>
    <row r="108" spans="1:9">
      <c r="B108" s="881" t="s">
        <v>1505</v>
      </c>
      <c r="C108" s="879" t="s">
        <v>341</v>
      </c>
      <c r="G108" s="722">
        <f>SUMIF('Balance Sheet Detail'!$AS:$AS,$B108,'Balance Sheet Detail'!U:U)</f>
        <v>2498.1191766666661</v>
      </c>
      <c r="H108" s="722">
        <f>SUMIF('Balance Sheet Detail'!$AS:$AS,$B108,'Balance Sheet Detail'!V:V)</f>
        <v>987.15899999999999</v>
      </c>
      <c r="I108" s="369">
        <f>SUM(G108:H108)</f>
        <v>3485.2781766666662</v>
      </c>
    </row>
    <row r="109" spans="1:9">
      <c r="B109" s="881" t="s">
        <v>157</v>
      </c>
      <c r="C109" s="879" t="s">
        <v>970</v>
      </c>
      <c r="G109" s="722">
        <f>SUMIF('Balance Sheet Detail'!$AS:$AS,$B109,'Balance Sheet Detail'!U:U)</f>
        <v>-8262.3464566666698</v>
      </c>
      <c r="H109" s="722">
        <f>SUMIF('Balance Sheet Detail'!$AS:$AS,$B109,'Balance Sheet Detail'!V:V)</f>
        <v>-468.50676999999996</v>
      </c>
      <c r="I109" s="369">
        <f t="shared" si="3"/>
        <v>-8730.8532266666698</v>
      </c>
    </row>
    <row r="110" spans="1:9">
      <c r="B110" s="881" t="s">
        <v>1723</v>
      </c>
      <c r="C110" s="879" t="s">
        <v>1722</v>
      </c>
      <c r="G110" s="722">
        <f>SUMIF('Balance Sheet Detail'!$AS:$AS,$B110,'Balance Sheet Detail'!U:U)</f>
        <v>0</v>
      </c>
      <c r="H110" s="722">
        <f>SUMIF('Balance Sheet Detail'!$AS:$AS,$B110,'Balance Sheet Detail'!V:V)</f>
        <v>11558.51815</v>
      </c>
      <c r="I110" s="369">
        <f>SUM(G110:H110)</f>
        <v>11558.51815</v>
      </c>
    </row>
    <row r="111" spans="1:9">
      <c r="B111" s="881" t="s">
        <v>2393</v>
      </c>
      <c r="C111" s="879" t="s">
        <v>1436</v>
      </c>
      <c r="G111" s="722">
        <f>SUMIF('Balance Sheet Detail'!$AS:$AS,$B111,'Balance Sheet Detail'!U:U)</f>
        <v>-11232.93943875</v>
      </c>
      <c r="H111" s="722">
        <f>SUMIF('Balance Sheet Detail'!$AS:$AS,$B111,'Balance Sheet Detail'!V:V)</f>
        <v>0</v>
      </c>
      <c r="I111" s="369">
        <f t="shared" si="3"/>
        <v>-11232.93943875</v>
      </c>
    </row>
    <row r="112" spans="1:9">
      <c r="B112" s="881" t="s">
        <v>2394</v>
      </c>
      <c r="C112" s="879" t="s">
        <v>649</v>
      </c>
      <c r="G112" s="722">
        <f>SUMIF('Balance Sheet Detail'!$AS:$AS,$B112,'Balance Sheet Detail'!U:U)</f>
        <v>-41860.406230833345</v>
      </c>
      <c r="H112" s="722">
        <f>SUMIF('Balance Sheet Detail'!$AS:$AS,$B112,'Balance Sheet Detail'!V:V)</f>
        <v>-20730.55027</v>
      </c>
      <c r="I112" s="369">
        <f t="shared" si="3"/>
        <v>-62590.956500833345</v>
      </c>
    </row>
    <row r="113" spans="1:9">
      <c r="B113" s="881"/>
      <c r="C113" s="879"/>
      <c r="G113" s="722"/>
      <c r="H113" s="722"/>
      <c r="I113" s="369"/>
    </row>
    <row r="114" spans="1:9">
      <c r="B114" s="873" t="s">
        <v>2396</v>
      </c>
      <c r="C114" s="879"/>
      <c r="G114" s="722"/>
      <c r="H114" s="722"/>
      <c r="I114" s="369"/>
    </row>
    <row r="115" spans="1:9" s="137" customFormat="1">
      <c r="A115" s="882"/>
      <c r="B115" s="883" t="s">
        <v>2755</v>
      </c>
      <c r="C115" s="879" t="s">
        <v>1002</v>
      </c>
      <c r="E115" s="884"/>
      <c r="G115" s="722">
        <f>SUMIF('Balance Sheet Detail'!$AS:$AS,$B115,'Balance Sheet Detail'!U:U)</f>
        <v>-101248.54483004651</v>
      </c>
      <c r="H115" s="722">
        <f>SUMIF('Balance Sheet Detail'!$AS:$AS,$B115,'Balance Sheet Detail'!V:V)</f>
        <v>-22376.052032037092</v>
      </c>
      <c r="I115" s="369">
        <f t="shared" ref="I115:I142" si="4">SUM(G115:H115)</f>
        <v>-123624.59686208359</v>
      </c>
    </row>
    <row r="116" spans="1:9" s="137" customFormat="1">
      <c r="A116" s="882"/>
      <c r="B116" s="883" t="s">
        <v>4354</v>
      </c>
      <c r="C116" s="879" t="s">
        <v>4352</v>
      </c>
      <c r="E116" s="884"/>
      <c r="G116" s="722">
        <f>SUMIF('Balance Sheet Detail'!$AS:$AS,$B116,'Balance Sheet Detail'!U:U)</f>
        <v>1116.4514272732574</v>
      </c>
      <c r="H116" s="722">
        <f>SUMIF('Balance Sheet Detail'!$AS:$AS,$B116,'Balance Sheet Detail'!V:V)</f>
        <v>351.17341522674508</v>
      </c>
      <c r="I116" s="369">
        <f>SUM(G116:H116)</f>
        <v>1467.6248425000026</v>
      </c>
    </row>
    <row r="117" spans="1:9">
      <c r="B117" s="881" t="s">
        <v>1220</v>
      </c>
      <c r="C117" s="879" t="s">
        <v>1805</v>
      </c>
      <c r="G117" s="722">
        <f>SUMIF('Balance Sheet Detail'!$AS:$AS,$B117,'Balance Sheet Detail'!U:U)</f>
        <v>4.2916666436000014E-5</v>
      </c>
      <c r="H117" s="722">
        <f>SUMIF('Balance Sheet Detail'!$AS:$AS,$B117,'Balance Sheet Detail'!V:V)</f>
        <v>-1.8700000000000001E-13</v>
      </c>
      <c r="I117" s="369">
        <f t="shared" si="4"/>
        <v>4.2916666249000015E-5</v>
      </c>
    </row>
    <row r="118" spans="1:9">
      <c r="B118" s="881" t="s">
        <v>4729</v>
      </c>
      <c r="C118" s="879" t="s">
        <v>4673</v>
      </c>
      <c r="G118" s="722">
        <f>SUMIF('Balance Sheet Detail'!$AS:$AS,$B118,'Balance Sheet Detail'!U:U)</f>
        <v>-1339.5317083333298</v>
      </c>
      <c r="H118" s="722">
        <f>SUMIF('Balance Sheet Detail'!$AS:$AS,$B118,'Balance Sheet Detail'!V:V)</f>
        <v>299.23631208333302</v>
      </c>
      <c r="I118" s="369">
        <f>SUM(G118:H118)</f>
        <v>-1040.2953962499969</v>
      </c>
    </row>
    <row r="119" spans="1:9">
      <c r="B119" s="881" t="s">
        <v>2608</v>
      </c>
      <c r="C119" s="879" t="s">
        <v>1151</v>
      </c>
      <c r="G119" s="722">
        <f>SUMIF('Balance Sheet Detail'!$AS:$AS,$B119,'Balance Sheet Detail'!U:U)</f>
        <v>-252.49709000000161</v>
      </c>
      <c r="H119" s="722">
        <f>SUMIF('Balance Sheet Detail'!$AS:$AS,$B119,'Balance Sheet Detail'!V:V)</f>
        <v>28.872539999999439</v>
      </c>
      <c r="I119" s="369">
        <f t="shared" si="4"/>
        <v>-223.62455000000216</v>
      </c>
    </row>
    <row r="120" spans="1:9">
      <c r="B120" s="881" t="s">
        <v>2723</v>
      </c>
      <c r="C120" s="879" t="s">
        <v>102</v>
      </c>
      <c r="G120" s="722">
        <f>SUMIF('Balance Sheet Detail'!$AS:$AS,$B120,'Balance Sheet Detail'!U:U)</f>
        <v>0</v>
      </c>
      <c r="H120" s="722">
        <f>SUMIF('Balance Sheet Detail'!$AS:$AS,$B120,'Balance Sheet Detail'!V:V)</f>
        <v>2.0208200000000049</v>
      </c>
      <c r="I120" s="369">
        <f t="shared" si="4"/>
        <v>2.0208200000000049</v>
      </c>
    </row>
    <row r="121" spans="1:9">
      <c r="B121" s="881" t="s">
        <v>2732</v>
      </c>
      <c r="C121" s="879" t="s">
        <v>2369</v>
      </c>
      <c r="G121" s="722">
        <f>SUMIF('Balance Sheet Detail'!$AS:$AS,$B121,'Balance Sheet Detail'!U:U)</f>
        <v>0</v>
      </c>
      <c r="H121" s="722">
        <f>SUMIF('Balance Sheet Detail'!$AS:$AS,$B121,'Balance Sheet Detail'!V:V)</f>
        <v>0</v>
      </c>
      <c r="I121" s="369">
        <f t="shared" si="4"/>
        <v>0</v>
      </c>
    </row>
    <row r="122" spans="1:9">
      <c r="B122" s="881" t="s">
        <v>2609</v>
      </c>
      <c r="C122" s="879" t="s">
        <v>967</v>
      </c>
      <c r="G122" s="722">
        <f>SUMIF('Balance Sheet Detail'!$AS:$AS,$B122,'Balance Sheet Detail'!U:U)</f>
        <v>-7.0000000038206167E-5</v>
      </c>
      <c r="H122" s="722">
        <f>SUMIF('Balance Sheet Detail'!$AS:$AS,$B122,'Balance Sheet Detail'!V:V)</f>
        <v>-3.2000000001053408E-4</v>
      </c>
      <c r="I122" s="369">
        <f t="shared" si="4"/>
        <v>-3.9000000004874025E-4</v>
      </c>
    </row>
    <row r="123" spans="1:9">
      <c r="B123" s="881" t="s">
        <v>4769</v>
      </c>
      <c r="C123" s="879" t="s">
        <v>4761</v>
      </c>
      <c r="G123" s="722">
        <f>SUMIF('Balance Sheet Detail'!$AS:$AS,$B123,'Balance Sheet Detail'!U:U)</f>
        <v>5785.0783916666605</v>
      </c>
      <c r="H123" s="722">
        <f>SUMIF('Balance Sheet Detail'!$AS:$AS,$B123,'Balance Sheet Detail'!V:V)</f>
        <v>1303.6542791666627</v>
      </c>
      <c r="I123" s="369">
        <f>SUM(G123:H123)</f>
        <v>7088.732670833323</v>
      </c>
    </row>
    <row r="124" spans="1:9">
      <c r="B124" s="881" t="s">
        <v>4566</v>
      </c>
      <c r="C124" s="879" t="s">
        <v>4564</v>
      </c>
      <c r="G124" s="722">
        <f>SUMIF('Balance Sheet Detail'!$AS:$AS,$B124,'Balance Sheet Detail'!U:U)</f>
        <v>-12773.823363333369</v>
      </c>
      <c r="H124" s="722">
        <f>SUMIF('Balance Sheet Detail'!$AS:$AS,$B124,'Balance Sheet Detail'!V:V)</f>
        <v>-9100.9730437500002</v>
      </c>
      <c r="I124" s="369">
        <f>SUM(G124:H124)</f>
        <v>-21874.79640708337</v>
      </c>
    </row>
    <row r="125" spans="1:9">
      <c r="B125" s="881" t="s">
        <v>2735</v>
      </c>
      <c r="C125" s="879" t="s">
        <v>45</v>
      </c>
      <c r="G125" s="722">
        <f>SUMIF('Balance Sheet Detail'!$AS:$AS,$B125,'Balance Sheet Detail'!U:U)</f>
        <v>1217.5342366406442</v>
      </c>
      <c r="H125" s="722">
        <f>SUMIF('Balance Sheet Detail'!$AS:$AS,$B125,'Balance Sheet Detail'!V:V)</f>
        <v>3450.450027942692</v>
      </c>
      <c r="I125" s="369">
        <f t="shared" si="4"/>
        <v>4667.984264583336</v>
      </c>
    </row>
    <row r="126" spans="1:9">
      <c r="B126" s="881" t="s">
        <v>4489</v>
      </c>
      <c r="C126" s="879" t="s">
        <v>1167</v>
      </c>
      <c r="G126" s="722">
        <f>SUMIF('Balance Sheet Detail'!$AS:$AS,$B126,'Balance Sheet Detail'!U:U)</f>
        <v>-622.96953368290337</v>
      </c>
      <c r="H126" s="722">
        <f>SUMIF('Balance Sheet Detail'!$AS:$AS,$B126,'Balance Sheet Detail'!V:V)</f>
        <v>600.19640868290344</v>
      </c>
      <c r="I126" s="369">
        <f>SUM(G126:H126)</f>
        <v>-22.773124999999936</v>
      </c>
    </row>
    <row r="127" spans="1:9">
      <c r="B127" s="881" t="s">
        <v>1863</v>
      </c>
      <c r="C127" s="879" t="s">
        <v>539</v>
      </c>
      <c r="G127" s="722">
        <f>SUMIF('Balance Sheet Detail'!$AS:$AS,$B127,'Balance Sheet Detail'!U:U)</f>
        <v>1951.0783599999991</v>
      </c>
      <c r="H127" s="722">
        <f>SUMIF('Balance Sheet Detail'!$AS:$AS,$B127,'Balance Sheet Detail'!V:V)</f>
        <v>0</v>
      </c>
      <c r="I127" s="369">
        <f t="shared" si="4"/>
        <v>1951.0783599999991</v>
      </c>
    </row>
    <row r="128" spans="1:9">
      <c r="B128" s="881" t="s">
        <v>155</v>
      </c>
      <c r="C128" s="879" t="s">
        <v>713</v>
      </c>
      <c r="G128" s="722">
        <f>SUMIF('Balance Sheet Detail'!$AS:$AS,$B128,'Balance Sheet Detail'!U:U)</f>
        <v>4113.3398225000092</v>
      </c>
      <c r="H128" s="722">
        <f>SUMIF('Balance Sheet Detail'!$AS:$AS,$B128,'Balance Sheet Detail'!V:V)</f>
        <v>0</v>
      </c>
      <c r="I128" s="369">
        <f t="shared" si="4"/>
        <v>4113.3398225000092</v>
      </c>
    </row>
    <row r="129" spans="2:9">
      <c r="B129" s="881" t="s">
        <v>1864</v>
      </c>
      <c r="C129" s="879" t="s">
        <v>914</v>
      </c>
      <c r="G129" s="722">
        <f>SUMIF('Balance Sheet Detail'!$AS:$AS,$B129,'Balance Sheet Detail'!U:U)</f>
        <v>-1203.1379072212483</v>
      </c>
      <c r="H129" s="722">
        <f>SUMIF('Balance Sheet Detail'!$AS:$AS,$B129,'Balance Sheet Detail'!V:V)</f>
        <v>-265.89494652874964</v>
      </c>
      <c r="I129" s="369">
        <f t="shared" si="4"/>
        <v>-1469.0328537499979</v>
      </c>
    </row>
    <row r="130" spans="2:9">
      <c r="B130" s="881" t="s">
        <v>156</v>
      </c>
      <c r="C130" s="879" t="s">
        <v>1484</v>
      </c>
      <c r="G130" s="722">
        <f>SUMIF('Balance Sheet Detail'!$AS:$AS,$B130,'Balance Sheet Detail'!U:U)</f>
        <v>-1270.5378741666671</v>
      </c>
      <c r="H130" s="722">
        <f>SUMIF('Balance Sheet Detail'!$AS:$AS,$B130,'Balance Sheet Detail'!V:V)</f>
        <v>56.360002499999972</v>
      </c>
      <c r="I130" s="369">
        <f t="shared" si="4"/>
        <v>-1214.177871666667</v>
      </c>
    </row>
    <row r="131" spans="2:9">
      <c r="B131" s="881" t="s">
        <v>2530</v>
      </c>
      <c r="C131" s="879" t="s">
        <v>635</v>
      </c>
      <c r="G131" s="722">
        <f>SUMIF('Balance Sheet Detail'!$AS:$AS,$B131,'Balance Sheet Detail'!U:U)</f>
        <v>-5692.5830833333293</v>
      </c>
      <c r="H131" s="722">
        <f>SUMIF('Balance Sheet Detail'!$AS:$AS,$B131,'Balance Sheet Detail'!V:V)</f>
        <v>0</v>
      </c>
      <c r="I131" s="369">
        <f t="shared" si="4"/>
        <v>-5692.5830833333293</v>
      </c>
    </row>
    <row r="132" spans="2:9">
      <c r="B132" s="881" t="s">
        <v>753</v>
      </c>
      <c r="C132" s="879" t="s">
        <v>791</v>
      </c>
      <c r="G132" s="722">
        <f>SUMIF('Balance Sheet Detail'!$AS:$AS,$B132,'Balance Sheet Detail'!U:U)</f>
        <v>0</v>
      </c>
      <c r="H132" s="722">
        <f>SUMIF('Balance Sheet Detail'!$AS:$AS,$B132,'Balance Sheet Detail'!V:V)</f>
        <v>0</v>
      </c>
      <c r="I132" s="369">
        <f t="shared" si="4"/>
        <v>0</v>
      </c>
    </row>
    <row r="133" spans="2:9">
      <c r="B133" s="881" t="s">
        <v>1865</v>
      </c>
      <c r="C133" s="879" t="s">
        <v>1665</v>
      </c>
      <c r="G133" s="722">
        <f>SUMIF('Balance Sheet Detail'!$AS:$AS,$B133,'Balance Sheet Detail'!U:U)</f>
        <v>13.522460000000024</v>
      </c>
      <c r="H133" s="722">
        <f>SUMIF('Balance Sheet Detail'!$AS:$AS,$B133,'Balance Sheet Detail'!V:V)</f>
        <v>0</v>
      </c>
      <c r="I133" s="369">
        <f t="shared" si="4"/>
        <v>13.522460000000024</v>
      </c>
    </row>
    <row r="134" spans="2:9">
      <c r="B134" s="881" t="s">
        <v>1866</v>
      </c>
      <c r="C134" s="879" t="s">
        <v>170</v>
      </c>
      <c r="G134" s="722">
        <f>SUMIF('Balance Sheet Detail'!$AS:$AS,$B134,'Balance Sheet Detail'!U:U)</f>
        <v>27994.31019635249</v>
      </c>
      <c r="H134" s="722">
        <f>SUMIF('Balance Sheet Detail'!$AS:$AS,$B134,'Balance Sheet Detail'!V:V)</f>
        <v>6186.7767344808344</v>
      </c>
      <c r="I134" s="369">
        <f t="shared" si="4"/>
        <v>34181.08693083332</v>
      </c>
    </row>
    <row r="135" spans="2:9">
      <c r="B135" s="881" t="s">
        <v>1867</v>
      </c>
      <c r="C135" s="879" t="s">
        <v>763</v>
      </c>
      <c r="G135" s="722">
        <f>SUMIF('Balance Sheet Detail'!$AS:$AS,$B135,'Balance Sheet Detail'!U:U)</f>
        <v>5409.2522299999737</v>
      </c>
      <c r="H135" s="722">
        <f>SUMIF('Balance Sheet Detail'!$AS:$AS,$B135,'Balance Sheet Detail'!V:V)</f>
        <v>-91.703990000003387</v>
      </c>
      <c r="I135" s="369">
        <f t="shared" si="4"/>
        <v>5317.5482399999701</v>
      </c>
    </row>
    <row r="136" spans="2:9">
      <c r="B136" s="881" t="s">
        <v>1373</v>
      </c>
      <c r="C136" s="879" t="s">
        <v>815</v>
      </c>
      <c r="G136" s="722">
        <f>SUMIF('Balance Sheet Detail'!$AS:$AS,$B136,'Balance Sheet Detail'!U:U)</f>
        <v>0</v>
      </c>
      <c r="H136" s="722">
        <f>SUMIF('Balance Sheet Detail'!$AS:$AS,$B136,'Balance Sheet Detail'!V:V)</f>
        <v>-8.0708458333333404</v>
      </c>
      <c r="I136" s="369">
        <f>SUM(G136:H136)</f>
        <v>-8.0708458333333404</v>
      </c>
    </row>
    <row r="137" spans="2:9">
      <c r="B137" s="881" t="s">
        <v>2388</v>
      </c>
      <c r="C137" s="879" t="s">
        <v>2858</v>
      </c>
      <c r="G137" s="722">
        <f>SUMIF('Balance Sheet Detail'!$AS:$AS,$B137,'Balance Sheet Detail'!U:U)</f>
        <v>321.1757566666663</v>
      </c>
      <c r="H137" s="722">
        <f>SUMIF('Balance Sheet Detail'!$AS:$AS,$B137,'Balance Sheet Detail'!V:V)</f>
        <v>42.101477083333343</v>
      </c>
      <c r="I137" s="369">
        <f t="shared" si="4"/>
        <v>363.27723374999965</v>
      </c>
    </row>
    <row r="138" spans="2:9">
      <c r="B138" s="881" t="s">
        <v>2389</v>
      </c>
      <c r="C138" s="879" t="s">
        <v>3032</v>
      </c>
      <c r="G138" s="722">
        <f>SUMIF('Balance Sheet Detail'!$AS:$AS,$B138,'Balance Sheet Detail'!U:U)</f>
        <v>0</v>
      </c>
      <c r="H138" s="722">
        <f>SUMIF('Balance Sheet Detail'!$AS:$AS,$B138,'Balance Sheet Detail'!V:V)</f>
        <v>-72.245960000000096</v>
      </c>
      <c r="I138" s="369">
        <f t="shared" si="4"/>
        <v>-72.245960000000096</v>
      </c>
    </row>
    <row r="139" spans="2:9">
      <c r="B139" s="881" t="s">
        <v>2390</v>
      </c>
      <c r="C139" s="879" t="s">
        <v>2714</v>
      </c>
      <c r="G139" s="722">
        <f>SUMIF('Balance Sheet Detail'!$AS:$AS,$B139,'Balance Sheet Detail'!U:U)</f>
        <v>0</v>
      </c>
      <c r="H139" s="722">
        <f>SUMIF('Balance Sheet Detail'!$AS:$AS,$B139,'Balance Sheet Detail'!V:V)</f>
        <v>-179.15998999999999</v>
      </c>
      <c r="I139" s="369">
        <f t="shared" si="4"/>
        <v>-179.15998999999999</v>
      </c>
    </row>
    <row r="140" spans="2:9">
      <c r="B140" s="881" t="s">
        <v>2391</v>
      </c>
      <c r="C140" s="879" t="s">
        <v>1943</v>
      </c>
      <c r="G140" s="722">
        <f>SUMIF('Balance Sheet Detail'!$AS:$AS,$B140,'Balance Sheet Detail'!U:U)</f>
        <v>763.45</v>
      </c>
      <c r="H140" s="722">
        <f>SUMIF('Balance Sheet Detail'!$AS:$AS,$B140,'Balance Sheet Detail'!V:V)</f>
        <v>-4.3999999991599999E-4</v>
      </c>
      <c r="I140" s="369">
        <f t="shared" si="4"/>
        <v>763.44956000000013</v>
      </c>
    </row>
    <row r="141" spans="2:9">
      <c r="B141" s="881" t="s">
        <v>2734</v>
      </c>
      <c r="C141" s="879" t="s">
        <v>1488</v>
      </c>
      <c r="G141" s="722">
        <f>SUMIF('Balance Sheet Detail'!$AS:$AS,$B141,'Balance Sheet Detail'!U:U)</f>
        <v>409.40163093375003</v>
      </c>
      <c r="H141" s="722">
        <f>SUMIF('Balance Sheet Detail'!$AS:$AS,$B141,'Balance Sheet Detail'!V:V)</f>
        <v>90.478260316250328</v>
      </c>
      <c r="I141" s="369">
        <f t="shared" si="4"/>
        <v>499.87989125000036</v>
      </c>
    </row>
    <row r="142" spans="2:9">
      <c r="B142" s="881" t="s">
        <v>2392</v>
      </c>
      <c r="C142" s="879" t="s">
        <v>2857</v>
      </c>
      <c r="G142" s="722">
        <f>SUMIF('Balance Sheet Detail'!$AS:$AS,$B142,'Balance Sheet Detail'!U:U)</f>
        <v>0</v>
      </c>
      <c r="H142" s="722">
        <f>SUMIF('Balance Sheet Detail'!$AS:$AS,$B142,'Balance Sheet Detail'!V:V)</f>
        <v>0</v>
      </c>
      <c r="I142" s="369">
        <f t="shared" si="4"/>
        <v>0</v>
      </c>
    </row>
    <row r="143" spans="2:9">
      <c r="B143" s="881" t="s">
        <v>4362</v>
      </c>
      <c r="C143" s="879" t="s">
        <v>1217</v>
      </c>
      <c r="G143" s="722">
        <f>SUMIF('Balance Sheet Detail'!$AS:$AS,$B143,'Balance Sheet Detail'!U:U)</f>
        <v>1929.8657414297127</v>
      </c>
      <c r="H143" s="722">
        <f>SUMIF('Balance Sheet Detail'!$AS:$AS,$B143,'Balance Sheet Detail'!V:V)</f>
        <v>607.02823857028761</v>
      </c>
      <c r="I143" s="369">
        <f>SUM(G143:H143)</f>
        <v>2536.8939800000003</v>
      </c>
    </row>
    <row r="144" spans="2:9">
      <c r="B144" s="881"/>
      <c r="C144" s="879"/>
      <c r="G144" s="722"/>
      <c r="H144" s="722"/>
      <c r="I144" s="369"/>
    </row>
    <row r="145" spans="1:10">
      <c r="B145" s="873" t="s">
        <v>2395</v>
      </c>
      <c r="C145" s="879"/>
      <c r="G145" s="722"/>
      <c r="H145" s="722"/>
      <c r="I145" s="369"/>
    </row>
    <row r="146" spans="1:10">
      <c r="B146" s="881" t="s">
        <v>1219</v>
      </c>
      <c r="C146" s="879" t="s">
        <v>275</v>
      </c>
      <c r="G146" s="722">
        <f>SUMIF('Balance Sheet Detail'!$AS:$AS,$B146,'Balance Sheet Detail'!U:U)</f>
        <v>-6.3E-2</v>
      </c>
      <c r="H146" s="722">
        <f>SUMIF('Balance Sheet Detail'!$AS:$AS,$B146,'Balance Sheet Detail'!V:V)</f>
        <v>0</v>
      </c>
      <c r="I146" s="369">
        <f t="shared" ref="I146:I153" si="5">SUM(G146:H146)</f>
        <v>-6.3E-2</v>
      </c>
    </row>
    <row r="147" spans="1:10">
      <c r="B147" s="881" t="s">
        <v>2724</v>
      </c>
      <c r="C147" s="879" t="s">
        <v>1662</v>
      </c>
      <c r="G147" s="722">
        <f>SUMIF('Balance Sheet Detail'!$AS:$AS,$B147,'Balance Sheet Detail'!U:U)</f>
        <v>-92.292000000000002</v>
      </c>
      <c r="H147" s="722">
        <f>SUMIF('Balance Sheet Detail'!$AS:$AS,$B147,'Balance Sheet Detail'!V:V)</f>
        <v>40.928110000000004</v>
      </c>
      <c r="I147" s="369">
        <f t="shared" si="5"/>
        <v>-51.363889999999998</v>
      </c>
    </row>
    <row r="148" spans="1:10">
      <c r="B148" s="881" t="s">
        <v>2733</v>
      </c>
      <c r="C148" s="879" t="s">
        <v>403</v>
      </c>
      <c r="G148" s="722">
        <f>SUMIF('Balance Sheet Detail'!$AS:$AS,$B148,'Balance Sheet Detail'!U:U)</f>
        <v>0</v>
      </c>
      <c r="H148" s="722">
        <f>SUMIF('Balance Sheet Detail'!$AS:$AS,$B148,'Balance Sheet Detail'!V:V)</f>
        <v>0</v>
      </c>
      <c r="I148" s="369">
        <f t="shared" si="5"/>
        <v>0</v>
      </c>
    </row>
    <row r="149" spans="1:10">
      <c r="B149" s="881" t="s">
        <v>2736</v>
      </c>
      <c r="C149" s="879" t="s">
        <v>1154</v>
      </c>
      <c r="G149" s="722">
        <f>SUMIF('Balance Sheet Detail'!$AS:$AS,$B149,'Balance Sheet Detail'!U:U)</f>
        <v>2.7164999999999999</v>
      </c>
      <c r="H149" s="722">
        <f>SUMIF('Balance Sheet Detail'!$AS:$AS,$B149,'Balance Sheet Detail'!V:V)</f>
        <v>0</v>
      </c>
      <c r="I149" s="369">
        <f t="shared" si="5"/>
        <v>2.7164999999999999</v>
      </c>
    </row>
    <row r="150" spans="1:10">
      <c r="B150" s="881" t="s">
        <v>158</v>
      </c>
      <c r="C150" s="879" t="s">
        <v>1586</v>
      </c>
      <c r="G150" s="722">
        <f>SUMIF('Balance Sheet Detail'!$AS:$AS,$B150,'Balance Sheet Detail'!U:U)</f>
        <v>0</v>
      </c>
      <c r="H150" s="722">
        <f>SUMIF('Balance Sheet Detail'!$AS:$AS,$B150,'Balance Sheet Detail'!V:V)</f>
        <v>0</v>
      </c>
      <c r="I150" s="369">
        <f t="shared" si="5"/>
        <v>0</v>
      </c>
    </row>
    <row r="151" spans="1:10">
      <c r="B151" s="881" t="s">
        <v>159</v>
      </c>
      <c r="C151" s="879" t="s">
        <v>1451</v>
      </c>
      <c r="G151" s="722">
        <f>SUMIF('Balance Sheet Detail'!$AS:$AS,$B151,'Balance Sheet Detail'!U:U)</f>
        <v>0</v>
      </c>
      <c r="H151" s="722">
        <f>SUMIF('Balance Sheet Detail'!$AS:$AS,$B151,'Balance Sheet Detail'!V:V)</f>
        <v>0</v>
      </c>
      <c r="I151" s="369">
        <f t="shared" si="5"/>
        <v>0</v>
      </c>
    </row>
    <row r="152" spans="1:10">
      <c r="B152" s="881" t="s">
        <v>160</v>
      </c>
      <c r="C152" s="879" t="s">
        <v>404</v>
      </c>
      <c r="G152" s="722">
        <f>SUMIF('Balance Sheet Detail'!$AS:$AS,$B152,'Balance Sheet Detail'!U:U)</f>
        <v>-138.75</v>
      </c>
      <c r="H152" s="722">
        <f>SUMIF('Balance Sheet Detail'!$AS:$AS,$B152,'Balance Sheet Detail'!V:V)</f>
        <v>-35.075000000000003</v>
      </c>
      <c r="I152" s="369">
        <f t="shared" si="5"/>
        <v>-173.82499999999999</v>
      </c>
    </row>
    <row r="153" spans="1:10">
      <c r="B153" s="881" t="s">
        <v>161</v>
      </c>
      <c r="C153" s="879" t="s">
        <v>1726</v>
      </c>
      <c r="G153" s="722">
        <f>SUMIF('Balance Sheet Detail'!$AS:$AS,$B153,'Balance Sheet Detail'!U:U)</f>
        <v>-271.50599999999997</v>
      </c>
      <c r="H153" s="722">
        <f>SUMIF('Balance Sheet Detail'!$AS:$AS,$B153,'Balance Sheet Detail'!V:V)</f>
        <v>0</v>
      </c>
      <c r="I153" s="369">
        <f t="shared" si="5"/>
        <v>-271.50599999999997</v>
      </c>
    </row>
    <row r="154" spans="1:10" ht="1.5" customHeight="1">
      <c r="G154" s="137"/>
      <c r="H154" s="137"/>
      <c r="I154" s="369"/>
    </row>
    <row r="155" spans="1:10" ht="15">
      <c r="C155" s="148" t="s">
        <v>365</v>
      </c>
      <c r="G155" s="800">
        <f>+G157-SUM(G100:G154)</f>
        <v>189.03200014971662</v>
      </c>
      <c r="H155" s="800">
        <f>+H157-SUM(H100:H154)</f>
        <v>22.826519433438079</v>
      </c>
      <c r="I155" s="370">
        <f>SUM(G155:H155)</f>
        <v>211.8585195831547</v>
      </c>
    </row>
    <row r="156" spans="1:10">
      <c r="G156" s="137"/>
      <c r="H156" s="137"/>
      <c r="I156" s="369"/>
    </row>
    <row r="157" spans="1:10">
      <c r="B157" s="376"/>
      <c r="C157" s="879" t="s">
        <v>1179</v>
      </c>
      <c r="F157" s="872" t="s">
        <v>1895</v>
      </c>
      <c r="G157" s="874">
        <f>SUMIF('Balance Sheet Detail'!$D:$D,$F157,'Balance Sheet Detail'!U:U)</f>
        <v>-533292.43936275435</v>
      </c>
      <c r="H157" s="874">
        <f>SUMIF('Balance Sheet Detail'!$D:$D,$F157,'Balance Sheet Detail'!V:V)</f>
        <v>-194516.17532057897</v>
      </c>
      <c r="I157" s="381">
        <f>SUM(G157:H157)</f>
        <v>-727808.61468333332</v>
      </c>
      <c r="J157" s="872"/>
    </row>
    <row r="158" spans="1:10">
      <c r="G158" s="137"/>
      <c r="H158" s="137"/>
      <c r="I158" s="369"/>
    </row>
    <row r="159" spans="1:10" s="885" customFormat="1">
      <c r="B159" s="148"/>
      <c r="C159" s="148" t="s">
        <v>1127</v>
      </c>
      <c r="D159" s="148"/>
      <c r="E159" s="148"/>
      <c r="F159" s="148"/>
      <c r="G159" s="137">
        <f>SUM(G157:G158)</f>
        <v>-533292.43936275435</v>
      </c>
      <c r="H159" s="137">
        <f>SUM(H157:H158)</f>
        <v>-194516.17532057897</v>
      </c>
      <c r="I159" s="137">
        <f>SUM(I157:I158)</f>
        <v>-727808.61468333332</v>
      </c>
      <c r="J159" s="148"/>
    </row>
    <row r="160" spans="1:10" s="885" customFormat="1">
      <c r="A160" s="870"/>
      <c r="B160" s="148"/>
      <c r="C160" s="148" t="s">
        <v>1664</v>
      </c>
      <c r="D160" s="148"/>
      <c r="E160" s="148"/>
      <c r="F160" s="148"/>
      <c r="G160" s="137">
        <f>G76*-0.39615</f>
        <v>-151.14870462356251</v>
      </c>
      <c r="H160" s="137">
        <f>H76*-0.39615</f>
        <v>54.958799489562487</v>
      </c>
      <c r="I160" s="137">
        <f t="shared" ref="I160:I165" si="6">SUM(G160:H160)</f>
        <v>-96.189905134000014</v>
      </c>
      <c r="J160" s="148"/>
    </row>
    <row r="161" spans="1:10" s="885" customFormat="1">
      <c r="A161" s="870"/>
      <c r="B161" s="148"/>
      <c r="C161" s="148" t="s">
        <v>895</v>
      </c>
      <c r="D161" s="148"/>
      <c r="E161" s="148"/>
      <c r="F161" s="148"/>
      <c r="G161" s="137">
        <f>+'Rate Base Detail'!H429</f>
        <v>1.7195134205394424E-12</v>
      </c>
      <c r="H161" s="137">
        <v>0</v>
      </c>
      <c r="I161" s="137">
        <f t="shared" si="6"/>
        <v>1.7195134205394424E-12</v>
      </c>
      <c r="J161" s="148"/>
    </row>
    <row r="162" spans="1:10" s="885" customFormat="1">
      <c r="A162" s="870"/>
      <c r="B162" s="148"/>
      <c r="C162" s="148" t="s">
        <v>3715</v>
      </c>
      <c r="D162" s="148"/>
      <c r="E162" s="148"/>
      <c r="F162" s="148"/>
      <c r="G162" s="137">
        <f>G45*-0.39615</f>
        <v>2055.0281249999998</v>
      </c>
      <c r="H162" s="137">
        <f>H45*-0.39615</f>
        <v>0</v>
      </c>
      <c r="I162" s="137">
        <f t="shared" si="6"/>
        <v>2055.0281249999998</v>
      </c>
      <c r="J162" s="148"/>
    </row>
    <row r="163" spans="1:10" s="885" customFormat="1">
      <c r="A163" s="870"/>
      <c r="B163" s="148"/>
      <c r="C163" s="148" t="s">
        <v>3716</v>
      </c>
      <c r="D163" s="148"/>
      <c r="E163" s="148"/>
      <c r="F163" s="148"/>
      <c r="G163" s="137">
        <f>G53*-0.39615</f>
        <v>1.3134489975641373E-10</v>
      </c>
      <c r="H163" s="137">
        <f>H53*-0.39615</f>
        <v>1.4418680020767976E-11</v>
      </c>
      <c r="I163" s="137">
        <f t="shared" si="6"/>
        <v>1.4576357977718171E-10</v>
      </c>
      <c r="J163" s="148"/>
    </row>
    <row r="164" spans="1:10" s="885" customFormat="1">
      <c r="A164" s="870"/>
      <c r="B164" s="148"/>
      <c r="C164" s="148" t="s">
        <v>4845</v>
      </c>
      <c r="D164" s="148"/>
      <c r="E164" s="148"/>
      <c r="F164" s="148"/>
      <c r="G164" s="137">
        <f>G51*-0.39615</f>
        <v>-71.140881925312499</v>
      </c>
      <c r="H164" s="137">
        <f>H51*-0.39615</f>
        <v>-27.572596260625012</v>
      </c>
      <c r="I164" s="137">
        <f t="shared" si="6"/>
        <v>-98.713478185937504</v>
      </c>
      <c r="J164" s="148"/>
    </row>
    <row r="165" spans="1:10" s="885" customFormat="1">
      <c r="A165" s="870"/>
      <c r="B165" s="148"/>
      <c r="C165" s="757" t="s">
        <v>64</v>
      </c>
      <c r="D165" s="148"/>
      <c r="E165" s="148"/>
      <c r="F165" s="148"/>
      <c r="G165" s="138">
        <f>+'Rate Base Detail'!H433</f>
        <v>106809.41598145795</v>
      </c>
      <c r="H165" s="138">
        <f>+'Rate Base Detail'!I433</f>
        <v>21606.671934595248</v>
      </c>
      <c r="I165" s="138">
        <f t="shared" si="6"/>
        <v>128416.08791605319</v>
      </c>
      <c r="J165" s="148"/>
    </row>
    <row r="166" spans="1:10" s="885" customFormat="1">
      <c r="A166" s="870"/>
      <c r="B166" s="148"/>
      <c r="C166" s="148"/>
      <c r="D166" s="148"/>
      <c r="E166" s="148"/>
      <c r="F166" s="148"/>
      <c r="G166" s="137"/>
      <c r="H166" s="137"/>
      <c r="I166" s="137"/>
      <c r="J166" s="148"/>
    </row>
    <row r="167" spans="1:10" s="885" customFormat="1">
      <c r="A167" s="870" t="s">
        <v>345</v>
      </c>
      <c r="B167" s="148"/>
      <c r="C167" s="148" t="s">
        <v>918</v>
      </c>
      <c r="D167" s="148"/>
      <c r="E167" s="148"/>
      <c r="F167" s="148"/>
      <c r="G167" s="886">
        <f>SUM(G159:G166)</f>
        <v>-424650.28484284529</v>
      </c>
      <c r="H167" s="886">
        <f>SUM(H159:H166)</f>
        <v>-172882.1171827548</v>
      </c>
      <c r="I167" s="886">
        <f>SUM(I159:I166)</f>
        <v>-597532.40202559996</v>
      </c>
      <c r="J167" s="148"/>
    </row>
    <row r="168" spans="1:10" s="885" customFormat="1" ht="13.5" thickBot="1">
      <c r="A168" s="887"/>
      <c r="B168" s="888"/>
      <c r="C168" s="888"/>
      <c r="D168" s="888"/>
      <c r="E168" s="888"/>
      <c r="F168" s="888"/>
      <c r="G168" s="888"/>
      <c r="H168" s="888"/>
      <c r="I168" s="888"/>
      <c r="J168" s="888"/>
    </row>
    <row r="170" spans="1:10">
      <c r="B170" s="716" t="s">
        <v>575</v>
      </c>
      <c r="G170" s="135"/>
      <c r="H170" s="135"/>
      <c r="I170" s="137"/>
    </row>
    <row r="171" spans="1:10" ht="14.1" customHeight="1">
      <c r="B171" s="755"/>
      <c r="C171" s="889" t="s">
        <v>1416</v>
      </c>
      <c r="D171" s="135" t="s">
        <v>927</v>
      </c>
      <c r="G171" s="135"/>
      <c r="H171" s="722"/>
      <c r="I171" s="381">
        <f>-I36</f>
        <v>160720.34714</v>
      </c>
    </row>
    <row r="172" spans="1:10">
      <c r="C172" s="889" t="s">
        <v>928</v>
      </c>
      <c r="D172" s="135" t="s">
        <v>929</v>
      </c>
      <c r="G172" s="135"/>
      <c r="H172" s="722"/>
      <c r="I172" s="722">
        <f>SUMIF('Balance Sheet Detail'!$C:$C,$C172,'Balance Sheet Detail'!X:X)</f>
        <v>6834.1051370003788</v>
      </c>
    </row>
    <row r="173" spans="1:10">
      <c r="C173" s="889" t="s">
        <v>930</v>
      </c>
      <c r="D173" s="135" t="s">
        <v>2808</v>
      </c>
      <c r="G173" s="135"/>
      <c r="H173" s="722"/>
      <c r="I173" s="722">
        <f>SUMIF('Balance Sheet Detail'!$C:$C,$C173,'Balance Sheet Detail'!X:X)</f>
        <v>-0.23409833226924093</v>
      </c>
    </row>
    <row r="174" spans="1:10">
      <c r="C174" s="889" t="s">
        <v>2809</v>
      </c>
      <c r="D174" s="135" t="s">
        <v>2810</v>
      </c>
      <c r="G174" s="135"/>
      <c r="H174" s="722"/>
      <c r="I174" s="722">
        <f>SUMIF('Balance Sheet Detail'!$C:$C,$C174,'Balance Sheet Detail'!X:X)</f>
        <v>0.22945624999988468</v>
      </c>
    </row>
    <row r="175" spans="1:10">
      <c r="C175" s="889" t="s">
        <v>2811</v>
      </c>
      <c r="D175" s="135" t="s">
        <v>2812</v>
      </c>
      <c r="G175" s="135"/>
      <c r="H175" s="722"/>
      <c r="I175" s="722">
        <f>SUMIF('Balance Sheet Detail'!$C:$C,$C175,'Balance Sheet Detail'!X:X)</f>
        <v>2258.5977898332776</v>
      </c>
    </row>
    <row r="176" spans="1:10">
      <c r="C176" s="889" t="s">
        <v>2813</v>
      </c>
      <c r="D176" s="135" t="s">
        <v>2814</v>
      </c>
      <c r="G176" s="135"/>
      <c r="H176" s="722"/>
      <c r="I176" s="722">
        <f>SUMIF('Balance Sheet Detail'!$C:$C,$C176,'Balance Sheet Detail'!X:X)</f>
        <v>0</v>
      </c>
    </row>
    <row r="177" spans="3:9">
      <c r="C177" s="889" t="s">
        <v>2815</v>
      </c>
      <c r="D177" s="135" t="s">
        <v>2816</v>
      </c>
      <c r="G177" s="135"/>
      <c r="H177" s="722"/>
      <c r="I177" s="722">
        <f>SUMIF('Balance Sheet Detail'!$C:$C,$C177,'Balance Sheet Detail'!X:X)</f>
        <v>0</v>
      </c>
    </row>
    <row r="178" spans="3:9">
      <c r="C178" s="889" t="s">
        <v>2817</v>
      </c>
      <c r="D178" s="135" t="s">
        <v>2818</v>
      </c>
      <c r="G178" s="135"/>
      <c r="H178" s="722"/>
      <c r="I178" s="722">
        <f>SUMIF('Balance Sheet Detail'!$C:$C,$C178,'Balance Sheet Detail'!X:X)</f>
        <v>-17415.084669166648</v>
      </c>
    </row>
    <row r="179" spans="3:9">
      <c r="C179" s="889" t="s">
        <v>2819</v>
      </c>
      <c r="D179" s="135" t="s">
        <v>2820</v>
      </c>
      <c r="G179" s="135"/>
      <c r="H179" s="722"/>
      <c r="I179" s="722">
        <f>SUMIF('Balance Sheet Detail'!$C:$C,$C179,'Balance Sheet Detail'!X:X)</f>
        <v>2675.4909999999995</v>
      </c>
    </row>
    <row r="180" spans="3:9">
      <c r="C180" s="889" t="s">
        <v>2821</v>
      </c>
      <c r="D180" s="135" t="s">
        <v>1889</v>
      </c>
      <c r="G180" s="135"/>
      <c r="H180" s="722"/>
      <c r="I180" s="890">
        <f>SUMIF('Balance Sheet Detail'!$C:$C,$C180,'Balance Sheet Detail'!X:X)</f>
        <v>11382.337656666637</v>
      </c>
    </row>
    <row r="181" spans="3:9">
      <c r="G181" s="135"/>
      <c r="H181" s="135"/>
      <c r="I181" s="137"/>
    </row>
    <row r="182" spans="3:9">
      <c r="G182" s="135"/>
      <c r="H182" s="135"/>
      <c r="I182" s="137">
        <f>SUM(I170:I181)</f>
        <v>166455.78941225138</v>
      </c>
    </row>
    <row r="183" spans="3:9">
      <c r="C183" s="148" t="s">
        <v>173</v>
      </c>
      <c r="G183" s="135"/>
      <c r="H183" s="135"/>
      <c r="I183" s="137">
        <f>-(I46+I161)</f>
        <v>1.3059775483270641E-11</v>
      </c>
    </row>
    <row r="184" spans="3:9">
      <c r="C184" s="132" t="s">
        <v>891</v>
      </c>
      <c r="G184" s="135"/>
      <c r="H184" s="135"/>
      <c r="I184" s="137">
        <f>-I165</f>
        <v>-128416.08791605319</v>
      </c>
    </row>
    <row r="185" spans="3:9">
      <c r="C185" s="148" t="s">
        <v>3835</v>
      </c>
      <c r="G185" s="135"/>
      <c r="H185" s="135"/>
      <c r="I185" s="137">
        <f>SUM('NYSEG PSC Assess Liab'!T32:T33)/1000-I160</f>
        <v>9241.171033883993</v>
      </c>
    </row>
    <row r="186" spans="3:9">
      <c r="C186" s="148" t="s">
        <v>4619</v>
      </c>
      <c r="G186" s="135"/>
      <c r="H186" s="135"/>
      <c r="I186" s="137">
        <f>'Items Not in Rate Base'!P1314</f>
        <v>-141.52008750000005</v>
      </c>
    </row>
    <row r="187" spans="3:9">
      <c r="C187" s="148" t="s">
        <v>3713</v>
      </c>
      <c r="G187" s="135"/>
      <c r="H187" s="135"/>
      <c r="I187" s="137">
        <f>-I162</f>
        <v>-2055.0281249999998</v>
      </c>
    </row>
    <row r="188" spans="3:9">
      <c r="C188" s="148" t="s">
        <v>3714</v>
      </c>
      <c r="G188" s="135"/>
      <c r="H188" s="135"/>
      <c r="I188" s="137">
        <f>-I163</f>
        <v>-1.4576357977718171E-10</v>
      </c>
    </row>
    <row r="189" spans="3:9">
      <c r="C189" s="148" t="s">
        <v>296</v>
      </c>
      <c r="G189" s="135"/>
      <c r="H189" s="135"/>
      <c r="I189" s="137">
        <f>('EEPS Electric '!N57+'EEPS GAS'!N55)/1000</f>
        <v>-8737.9666388824971</v>
      </c>
    </row>
    <row r="190" spans="3:9">
      <c r="C190" s="148" t="s">
        <v>4824</v>
      </c>
      <c r="G190" s="135"/>
      <c r="H190" s="135"/>
      <c r="I190" s="137">
        <f>'Items Not in Rate Base'!P1322</f>
        <v>98.713478185937504</v>
      </c>
    </row>
    <row r="191" spans="3:9" ht="4.5" customHeight="1">
      <c r="G191" s="135"/>
      <c r="H191" s="135"/>
      <c r="I191" s="138">
        <v>0</v>
      </c>
    </row>
    <row r="192" spans="3:9">
      <c r="C192" s="148" t="s">
        <v>2889</v>
      </c>
      <c r="G192" s="135"/>
      <c r="H192" s="135"/>
      <c r="I192" s="139">
        <f>SUM(I182:I191)</f>
        <v>36445.071156885475</v>
      </c>
    </row>
    <row r="194" spans="1:10" ht="13.5" thickBot="1">
      <c r="A194" s="891"/>
      <c r="B194" s="892"/>
      <c r="C194" s="893"/>
      <c r="D194" s="888"/>
      <c r="E194" s="888"/>
      <c r="F194" s="894"/>
      <c r="G194" s="895"/>
      <c r="H194" s="622"/>
      <c r="I194" s="622"/>
      <c r="J194" s="894"/>
    </row>
    <row r="196" spans="1:10" s="133" customFormat="1"/>
    <row r="197" spans="1:10" s="133" customFormat="1"/>
    <row r="198" spans="1:10" s="133" customFormat="1"/>
    <row r="199" spans="1:10" s="133" customFormat="1"/>
    <row r="200" spans="1:10" s="133" customFormat="1"/>
    <row r="201" spans="1:10" s="133" customFormat="1"/>
    <row r="202" spans="1:10" s="133" customFormat="1"/>
    <row r="203" spans="1:10" s="133" customFormat="1"/>
    <row r="204" spans="1:10" s="133" customFormat="1"/>
    <row r="205" spans="1:10" s="133" customFormat="1"/>
    <row r="206" spans="1:10" s="133" customFormat="1"/>
    <row r="207" spans="1:10" s="133" customFormat="1"/>
    <row r="208" spans="1:10" s="133" customFormat="1"/>
    <row r="209" s="133" customFormat="1"/>
    <row r="210" s="133" customFormat="1"/>
    <row r="211" s="133" customFormat="1"/>
    <row r="212" s="133" customFormat="1"/>
  </sheetData>
  <phoneticPr fontId="0" type="noConversion"/>
  <conditionalFormatting sqref="C171:C180 I94 I92 I87 I46 I159:I167 H171:I180 J33:J38 G7 F37:F38 G17:H17 G20:H20 F33:H35 G11:H14 G76:I76 G43:H167 G164:I164">
    <cfRule type="cellIs" dxfId="0" priority="23" stopIfTrue="1" operator="equal">
      <formula>"see detail"</formula>
    </cfRule>
  </conditionalFormatting>
  <printOptions horizontalCentered="1"/>
  <pageMargins left="0" right="0" top="0" bottom="0" header="0" footer="0"/>
  <pageSetup scale="87" fitToHeight="5" orientation="portrait" r:id="rId1"/>
  <headerFooter alignWithMargins="0"/>
  <rowBreaks count="3" manualBreakCount="3">
    <brk id="40" max="9" man="1"/>
    <brk id="95" max="9" man="1"/>
    <brk id="194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XEF86"/>
  <sheetViews>
    <sheetView view="pageBreakPreview" zoomScaleNormal="100" zoomScaleSheetLayoutView="100" workbookViewId="0">
      <pane xSplit="1" ySplit="7" topLeftCell="B8" activePane="bottomRight" state="frozen"/>
      <selection sqref="A1:IV65536"/>
      <selection pane="topRight" sqref="A1:IV65536"/>
      <selection pane="bottomLeft" sqref="A1:IV65536"/>
      <selection pane="bottomRight" sqref="A1:XFD1048576"/>
    </sheetView>
  </sheetViews>
  <sheetFormatPr defaultRowHeight="12.75"/>
  <cols>
    <col min="1" max="1" width="37.28515625" style="405" customWidth="1"/>
    <col min="2" max="5" width="19.85546875" style="403" bestFit="1" customWidth="1"/>
    <col min="6" max="6" width="20.42578125" style="403" bestFit="1" customWidth="1"/>
    <col min="7" max="9" width="19.85546875" style="403" bestFit="1" customWidth="1"/>
    <col min="10" max="10" width="19.7109375" style="403" bestFit="1" customWidth="1"/>
    <col min="11" max="11" width="9.7109375" style="402" bestFit="1" customWidth="1"/>
    <col min="12" max="14" width="10.7109375" style="402" bestFit="1" customWidth="1"/>
    <col min="15" max="16384" width="9.140625" style="402"/>
  </cols>
  <sheetData>
    <row r="1" spans="1:14 16360:16360">
      <c r="A1" s="389" t="s">
        <v>2101</v>
      </c>
    </row>
    <row r="2" spans="1:14 16360:16360">
      <c r="A2" s="389" t="s">
        <v>2102</v>
      </c>
    </row>
    <row r="3" spans="1:14 16360:16360">
      <c r="A3" s="389" t="s">
        <v>2103</v>
      </c>
      <c r="B3" s="404"/>
      <c r="C3" s="404"/>
      <c r="D3" s="404"/>
      <c r="E3" s="404"/>
      <c r="F3" s="404"/>
      <c r="G3" s="404"/>
      <c r="H3" s="404"/>
      <c r="I3" s="404"/>
      <c r="J3" s="404"/>
    </row>
    <row r="4" spans="1:14 16360:16360">
      <c r="A4" s="390" t="s">
        <v>2104</v>
      </c>
    </row>
    <row r="5" spans="1:14 16360:16360" ht="18">
      <c r="J5" s="171" t="s">
        <v>4855</v>
      </c>
      <c r="K5" s="172"/>
      <c r="L5" s="172"/>
      <c r="M5" s="172"/>
    </row>
    <row r="6" spans="1:14 16360:16360" ht="18">
      <c r="A6" s="406" t="s">
        <v>2160</v>
      </c>
      <c r="B6" s="407">
        <v>41609</v>
      </c>
      <c r="C6" s="407">
        <v>41651</v>
      </c>
      <c r="D6" s="407">
        <v>41693</v>
      </c>
      <c r="E6" s="407">
        <v>41710</v>
      </c>
      <c r="F6" s="407">
        <v>41730</v>
      </c>
      <c r="G6" s="407">
        <v>41771</v>
      </c>
      <c r="H6" s="407">
        <v>41820</v>
      </c>
      <c r="I6" s="407">
        <v>41821</v>
      </c>
      <c r="J6" s="407">
        <v>41852</v>
      </c>
      <c r="K6" s="407">
        <v>41883</v>
      </c>
      <c r="L6" s="407">
        <v>41913</v>
      </c>
      <c r="M6" s="407">
        <v>41944</v>
      </c>
      <c r="N6" s="407">
        <v>41974</v>
      </c>
      <c r="XEF6" s="407"/>
    </row>
    <row r="7" spans="1:14 16360:16360" s="524" customFormat="1" ht="13.5" thickBot="1">
      <c r="A7" s="524" t="s">
        <v>2161</v>
      </c>
      <c r="B7" s="525">
        <v>12</v>
      </c>
      <c r="C7" s="525">
        <v>1</v>
      </c>
      <c r="D7" s="525">
        <v>2</v>
      </c>
      <c r="E7" s="525">
        <v>3</v>
      </c>
      <c r="F7" s="525">
        <v>4</v>
      </c>
      <c r="G7" s="525">
        <v>5</v>
      </c>
      <c r="H7" s="525">
        <v>6</v>
      </c>
      <c r="I7" s="525">
        <v>7</v>
      </c>
      <c r="J7" s="525"/>
    </row>
    <row r="8" spans="1:14 16360:16360">
      <c r="A8" s="523">
        <v>808021</v>
      </c>
      <c r="B8" s="489"/>
      <c r="C8" s="489"/>
      <c r="D8" s="489"/>
      <c r="E8" s="489"/>
      <c r="F8" s="489"/>
      <c r="G8" s="489"/>
      <c r="H8" s="489"/>
      <c r="I8" s="489"/>
      <c r="J8" s="489"/>
    </row>
    <row r="9" spans="1:14 16360:16360" s="413" customFormat="1">
      <c r="A9" s="414" t="s">
        <v>2162</v>
      </c>
      <c r="B9" s="490">
        <v>-470460.67</v>
      </c>
      <c r="C9" s="490">
        <v>-882262.67</v>
      </c>
      <c r="D9" s="490">
        <v>-1075447.74</v>
      </c>
      <c r="E9" s="490">
        <v>-984336.39</v>
      </c>
      <c r="F9" s="490">
        <v>-720684.4</v>
      </c>
      <c r="G9" s="490">
        <v>-443828.34</v>
      </c>
      <c r="H9" s="490">
        <v>-277985.91999999998</v>
      </c>
      <c r="I9" s="490">
        <v>-247803.08</v>
      </c>
      <c r="J9" s="490"/>
    </row>
    <row r="10" spans="1:14 16360:16360" s="413" customFormat="1">
      <c r="A10" s="414" t="s">
        <v>2109</v>
      </c>
      <c r="B10" s="491"/>
      <c r="C10" s="491"/>
      <c r="D10" s="491"/>
      <c r="E10" s="491"/>
      <c r="F10" s="491"/>
      <c r="G10" s="491"/>
      <c r="H10" s="491"/>
      <c r="I10" s="491"/>
      <c r="J10" s="491"/>
    </row>
    <row r="11" spans="1:14 16360:16360" s="418" customFormat="1">
      <c r="A11" s="416" t="s">
        <v>2163</v>
      </c>
      <c r="B11" s="492"/>
      <c r="C11" s="492"/>
      <c r="D11" s="492"/>
      <c r="E11" s="492"/>
      <c r="F11" s="492"/>
      <c r="G11" s="492"/>
      <c r="H11" s="492"/>
      <c r="I11" s="492"/>
      <c r="J11" s="492"/>
    </row>
    <row r="12" spans="1:14 16360:16360" s="418" customFormat="1" ht="15">
      <c r="A12" s="416" t="s">
        <v>2111</v>
      </c>
      <c r="B12" s="493">
        <v>6.9779999999999995E-2</v>
      </c>
      <c r="C12" s="493">
        <v>0.12166</v>
      </c>
      <c r="D12" s="493">
        <v>0.12166</v>
      </c>
      <c r="E12" s="493">
        <v>0.12166</v>
      </c>
      <c r="F12" s="493">
        <v>0.12166</v>
      </c>
      <c r="G12" s="493">
        <v>0.12166</v>
      </c>
      <c r="H12" s="493">
        <v>0.12166</v>
      </c>
      <c r="I12" s="493">
        <v>0.12166</v>
      </c>
      <c r="J12" s="493"/>
    </row>
    <row r="13" spans="1:14 16360:16360" s="418" customFormat="1">
      <c r="A13" s="416" t="s">
        <v>2112</v>
      </c>
      <c r="B13" s="494">
        <v>-220379.35</v>
      </c>
      <c r="C13" s="494">
        <v>-478125.49</v>
      </c>
      <c r="D13" s="494">
        <v>-386386.84</v>
      </c>
      <c r="E13" s="494">
        <v>-366871.43</v>
      </c>
      <c r="F13" s="494">
        <v>-184257.98</v>
      </c>
      <c r="G13" s="494">
        <v>-49034.09</v>
      </c>
      <c r="H13" s="494">
        <v>1889.27</v>
      </c>
      <c r="I13" s="494">
        <v>27034.36</v>
      </c>
      <c r="J13" s="494"/>
    </row>
    <row r="14" spans="1:14 16360:16360">
      <c r="A14" s="416" t="s">
        <v>2113</v>
      </c>
      <c r="B14" s="495">
        <v>163200.54999999999</v>
      </c>
      <c r="C14" s="495">
        <v>220379.35</v>
      </c>
      <c r="D14" s="495">
        <v>478125.49</v>
      </c>
      <c r="E14" s="495">
        <v>386386.84</v>
      </c>
      <c r="F14" s="495">
        <v>366871.43</v>
      </c>
      <c r="G14" s="495">
        <v>184257.98</v>
      </c>
      <c r="H14" s="495">
        <v>49034.09</v>
      </c>
      <c r="I14" s="495">
        <v>-1889.27</v>
      </c>
      <c r="J14" s="495"/>
    </row>
    <row r="15" spans="1:14 16360:16360" ht="15">
      <c r="A15" s="496" t="s">
        <v>2116</v>
      </c>
      <c r="B15" s="497">
        <v>-57178.8</v>
      </c>
      <c r="C15" s="497">
        <v>-257746.13999999998</v>
      </c>
      <c r="D15" s="497">
        <v>91738.649999999965</v>
      </c>
      <c r="E15" s="497">
        <v>19515.410000000033</v>
      </c>
      <c r="F15" s="497">
        <v>182613.44999999998</v>
      </c>
      <c r="G15" s="497">
        <v>135223.89000000001</v>
      </c>
      <c r="H15" s="497">
        <v>50923.359999999993</v>
      </c>
      <c r="I15" s="497">
        <v>25145.09</v>
      </c>
      <c r="J15" s="497"/>
    </row>
    <row r="16" spans="1:14 16360:16360" s="425" customFormat="1" hidden="1">
      <c r="A16" s="424" t="s">
        <v>2111</v>
      </c>
      <c r="B16" s="498">
        <v>320</v>
      </c>
      <c r="C16" s="498">
        <v>1073</v>
      </c>
      <c r="D16" s="498">
        <v>1241</v>
      </c>
      <c r="E16" s="498">
        <v>944</v>
      </c>
      <c r="F16" s="498">
        <v>839</v>
      </c>
      <c r="G16" s="498">
        <v>309</v>
      </c>
      <c r="H16" s="498">
        <v>112</v>
      </c>
      <c r="I16" s="498">
        <v>28</v>
      </c>
      <c r="J16" s="498"/>
    </row>
    <row r="17" spans="1:10" s="428" customFormat="1" hidden="1">
      <c r="A17" s="426" t="s">
        <v>2164</v>
      </c>
      <c r="B17" s="499">
        <v>-22.33</v>
      </c>
      <c r="C17" s="499">
        <v>-130.54</v>
      </c>
      <c r="D17" s="499">
        <v>-150.97999999999999</v>
      </c>
      <c r="E17" s="499">
        <v>-114.85</v>
      </c>
      <c r="F17" s="499">
        <v>-102.07</v>
      </c>
      <c r="G17" s="499">
        <v>-37.590000000000003</v>
      </c>
      <c r="H17" s="499">
        <v>-13.63</v>
      </c>
      <c r="I17" s="499">
        <v>-3.41</v>
      </c>
      <c r="J17" s="499"/>
    </row>
    <row r="18" spans="1:10" s="404" customFormat="1">
      <c r="A18" s="429" t="s">
        <v>2117</v>
      </c>
      <c r="B18" s="438">
        <v>-527661.79999999993</v>
      </c>
      <c r="C18" s="438">
        <v>-1140139.3500000001</v>
      </c>
      <c r="D18" s="438">
        <v>-983860.07000000007</v>
      </c>
      <c r="E18" s="438">
        <v>-964935.83</v>
      </c>
      <c r="F18" s="438">
        <v>-538173.02</v>
      </c>
      <c r="G18" s="438">
        <v>-308642.04000000004</v>
      </c>
      <c r="H18" s="438">
        <v>-227076.19</v>
      </c>
      <c r="I18" s="438">
        <v>-222661.4</v>
      </c>
      <c r="J18" s="438"/>
    </row>
    <row r="19" spans="1:10" s="404" customFormat="1">
      <c r="A19" s="429"/>
      <c r="B19" s="437"/>
      <c r="C19" s="437"/>
      <c r="D19" s="437"/>
      <c r="E19" s="437"/>
      <c r="F19" s="437"/>
      <c r="G19" s="437"/>
      <c r="H19" s="437"/>
      <c r="I19" s="437"/>
      <c r="J19" s="437"/>
    </row>
    <row r="20" spans="1:10" s="404" customFormat="1">
      <c r="A20" s="429" t="s">
        <v>2165</v>
      </c>
      <c r="B20" s="438">
        <v>-17212898.648000002</v>
      </c>
      <c r="C20" s="438">
        <v>-18353037.998000003</v>
      </c>
      <c r="D20" s="438">
        <v>-19336898.068000004</v>
      </c>
      <c r="E20" s="438">
        <v>-20301833.898000002</v>
      </c>
      <c r="F20" s="438">
        <v>-20840006.918000001</v>
      </c>
      <c r="G20" s="438">
        <v>-21148648.958000001</v>
      </c>
      <c r="H20" s="438">
        <v>-21375725.148000002</v>
      </c>
      <c r="I20" s="438">
        <v>-21598386.548</v>
      </c>
      <c r="J20" s="438"/>
    </row>
    <row r="21" spans="1:10" s="404" customFormat="1">
      <c r="A21" s="429" t="s">
        <v>2401</v>
      </c>
      <c r="B21" s="499"/>
      <c r="C21" s="499"/>
      <c r="D21" s="499"/>
      <c r="E21" s="499"/>
      <c r="F21" s="499"/>
      <c r="G21" s="499"/>
      <c r="H21" s="499"/>
      <c r="I21" s="499"/>
      <c r="J21" s="499"/>
    </row>
    <row r="22" spans="1:10" s="404" customFormat="1">
      <c r="A22" s="434" t="s">
        <v>2166</v>
      </c>
      <c r="B22" s="500">
        <v>169150.12</v>
      </c>
      <c r="C22" s="500">
        <v>438625.75</v>
      </c>
      <c r="D22" s="500">
        <v>438625.75</v>
      </c>
      <c r="E22" s="500">
        <v>438625.75</v>
      </c>
      <c r="F22" s="500">
        <v>438625.75</v>
      </c>
      <c r="G22" s="500">
        <v>438625.75</v>
      </c>
      <c r="H22" s="500">
        <v>438625.75</v>
      </c>
      <c r="I22" s="500">
        <v>438625.75</v>
      </c>
      <c r="J22" s="500"/>
    </row>
    <row r="23" spans="1:10" s="404" customFormat="1">
      <c r="A23" s="434" t="s">
        <v>2167</v>
      </c>
      <c r="B23" s="501">
        <v>120224.25</v>
      </c>
      <c r="C23" s="501">
        <v>120224.25</v>
      </c>
      <c r="D23" s="501">
        <v>120224.25</v>
      </c>
      <c r="E23" s="501">
        <v>120224.25</v>
      </c>
      <c r="F23" s="501">
        <v>120224.25</v>
      </c>
      <c r="G23" s="501">
        <v>120224.25</v>
      </c>
      <c r="H23" s="501">
        <v>120224.25</v>
      </c>
      <c r="I23" s="501">
        <v>120224.25</v>
      </c>
      <c r="J23" s="501"/>
    </row>
    <row r="24" spans="1:10" s="404" customFormat="1">
      <c r="A24" s="434" t="s">
        <v>2121</v>
      </c>
      <c r="B24" s="502">
        <v>289374.37</v>
      </c>
      <c r="C24" s="502">
        <v>558850</v>
      </c>
      <c r="D24" s="502">
        <v>558850</v>
      </c>
      <c r="E24" s="502">
        <v>558850</v>
      </c>
      <c r="F24" s="502">
        <v>558850</v>
      </c>
      <c r="G24" s="502">
        <v>558850</v>
      </c>
      <c r="H24" s="502">
        <v>558850</v>
      </c>
      <c r="I24" s="502">
        <v>558850</v>
      </c>
      <c r="J24" s="502"/>
    </row>
    <row r="25" spans="1:10" s="404" customFormat="1">
      <c r="A25" s="434"/>
      <c r="B25" s="437"/>
      <c r="C25" s="437"/>
      <c r="D25" s="437"/>
      <c r="E25" s="437"/>
      <c r="F25" s="437"/>
      <c r="G25" s="437"/>
      <c r="H25" s="437"/>
      <c r="I25" s="437"/>
      <c r="J25" s="437"/>
    </row>
    <row r="26" spans="1:10" s="404" customFormat="1">
      <c r="A26" s="434" t="s">
        <v>2168</v>
      </c>
      <c r="B26" s="502">
        <v>-238287.42999999993</v>
      </c>
      <c r="C26" s="502">
        <v>-581289.35000000009</v>
      </c>
      <c r="D26" s="502">
        <v>-425010.07000000007</v>
      </c>
      <c r="E26" s="502">
        <v>-406085.82999999996</v>
      </c>
      <c r="F26" s="502">
        <v>20676.979999999981</v>
      </c>
      <c r="G26" s="502">
        <v>250207.95999999996</v>
      </c>
      <c r="H26" s="502">
        <v>331773.81</v>
      </c>
      <c r="I26" s="502">
        <v>336188.6</v>
      </c>
      <c r="J26" s="502"/>
    </row>
    <row r="27" spans="1:10" s="404" customFormat="1">
      <c r="A27" s="429"/>
      <c r="B27" s="437"/>
      <c r="C27" s="437"/>
      <c r="D27" s="437"/>
      <c r="E27" s="437"/>
      <c r="F27" s="437"/>
      <c r="G27" s="437"/>
      <c r="H27" s="437"/>
      <c r="I27" s="437"/>
      <c r="J27" s="437"/>
    </row>
    <row r="28" spans="1:10" s="404" customFormat="1">
      <c r="A28" s="440" t="s">
        <v>2169</v>
      </c>
      <c r="B28" s="503">
        <v>125129.09</v>
      </c>
      <c r="C28" s="503">
        <v>-456160.26000000013</v>
      </c>
      <c r="D28" s="503">
        <v>-881170.33000000019</v>
      </c>
      <c r="E28" s="503">
        <v>-1287256.1600000001</v>
      </c>
      <c r="F28" s="503">
        <v>-1266579.1800000002</v>
      </c>
      <c r="G28" s="503">
        <v>-1016371.2200000002</v>
      </c>
      <c r="H28" s="503">
        <v>-684597.41000000015</v>
      </c>
      <c r="I28" s="503">
        <v>-348408.81000000017</v>
      </c>
      <c r="J28" s="503"/>
    </row>
    <row r="29" spans="1:10" s="404" customFormat="1">
      <c r="A29" s="429"/>
      <c r="B29" s="437"/>
      <c r="C29" s="437"/>
      <c r="D29" s="437"/>
      <c r="E29" s="437"/>
      <c r="F29" s="437"/>
      <c r="G29" s="437"/>
      <c r="H29" s="437"/>
      <c r="I29" s="437"/>
      <c r="J29" s="437"/>
    </row>
    <row r="30" spans="1:10" s="418" customFormat="1">
      <c r="A30" s="442" t="s">
        <v>2170</v>
      </c>
      <c r="B30" s="504">
        <v>125129.09</v>
      </c>
      <c r="C30" s="504">
        <v>-456160.26</v>
      </c>
      <c r="D30" s="504">
        <v>-881170.33</v>
      </c>
      <c r="E30" s="504">
        <v>-1287256.1599999999</v>
      </c>
      <c r="F30" s="504">
        <v>-1266579.18</v>
      </c>
      <c r="G30" s="504">
        <v>-1016371.22</v>
      </c>
      <c r="H30" s="504">
        <v>-684597.41</v>
      </c>
      <c r="I30" s="504">
        <v>-348408.81</v>
      </c>
      <c r="J30" s="444" t="s">
        <v>4823</v>
      </c>
    </row>
    <row r="31" spans="1:10" ht="13.5" thickBot="1">
      <c r="A31" s="445" t="s">
        <v>2505</v>
      </c>
      <c r="B31" s="505">
        <v>0</v>
      </c>
      <c r="C31" s="505">
        <v>0</v>
      </c>
      <c r="D31" s="505">
        <v>0</v>
      </c>
      <c r="E31" s="505">
        <v>0</v>
      </c>
      <c r="F31" s="505">
        <v>0</v>
      </c>
      <c r="G31" s="505">
        <v>0</v>
      </c>
      <c r="H31" s="505">
        <v>0</v>
      </c>
      <c r="I31" s="505">
        <v>0</v>
      </c>
      <c r="J31" s="505"/>
    </row>
    <row r="32" spans="1:10" ht="13.5" thickBot="1">
      <c r="A32" s="447"/>
      <c r="B32" s="506"/>
      <c r="C32" s="506"/>
      <c r="D32" s="506"/>
      <c r="E32" s="506"/>
      <c r="F32" s="506"/>
      <c r="G32" s="506"/>
      <c r="H32" s="506"/>
      <c r="I32" s="506"/>
      <c r="J32" s="506"/>
    </row>
    <row r="33" spans="1:10">
      <c r="A33" s="411" t="s">
        <v>2171</v>
      </c>
      <c r="B33" s="489"/>
      <c r="C33" s="489"/>
      <c r="D33" s="489"/>
      <c r="E33" s="489"/>
      <c r="F33" s="489"/>
      <c r="G33" s="489"/>
      <c r="H33" s="489"/>
      <c r="I33" s="489"/>
      <c r="J33" s="489"/>
    </row>
    <row r="34" spans="1:10">
      <c r="A34" s="450" t="s">
        <v>2172</v>
      </c>
      <c r="B34" s="500">
        <v>-169150.12</v>
      </c>
      <c r="C34" s="500">
        <v>-438625.75</v>
      </c>
      <c r="D34" s="500">
        <v>-438625.75</v>
      </c>
      <c r="E34" s="500">
        <v>-438625.75</v>
      </c>
      <c r="F34" s="500">
        <v>-438625.75</v>
      </c>
      <c r="G34" s="500">
        <v>-438625.75</v>
      </c>
      <c r="H34" s="500">
        <v>-438625.75</v>
      </c>
      <c r="I34" s="500">
        <v>-438625.75</v>
      </c>
      <c r="J34" s="500"/>
    </row>
    <row r="35" spans="1:10">
      <c r="A35" s="452" t="s">
        <v>2127</v>
      </c>
      <c r="B35" s="534">
        <v>-384918</v>
      </c>
      <c r="C35" s="489"/>
      <c r="D35" s="489"/>
      <c r="E35" s="489"/>
      <c r="F35" s="489"/>
      <c r="G35" s="489"/>
      <c r="H35" s="489"/>
      <c r="I35" s="489"/>
      <c r="J35" s="489"/>
    </row>
    <row r="36" spans="1:10">
      <c r="A36" s="450" t="s">
        <v>2173</v>
      </c>
      <c r="B36" s="508">
        <v>384475.75</v>
      </c>
      <c r="C36" s="508">
        <v>112229.5</v>
      </c>
      <c r="D36" s="508">
        <v>0</v>
      </c>
      <c r="E36" s="508">
        <v>1692135.25</v>
      </c>
      <c r="F36" s="508">
        <v>8660</v>
      </c>
      <c r="G36" s="508"/>
      <c r="H36" s="508">
        <v>1307217.25</v>
      </c>
      <c r="I36" s="508">
        <v>8660</v>
      </c>
      <c r="J36" s="508"/>
    </row>
    <row r="37" spans="1:10">
      <c r="A37" s="440" t="s">
        <v>2174</v>
      </c>
      <c r="B37" s="503">
        <v>-488555.26</v>
      </c>
      <c r="C37" s="503">
        <v>-814951.51</v>
      </c>
      <c r="D37" s="503">
        <v>-1253577.26</v>
      </c>
      <c r="E37" s="503">
        <v>-67.760000000009313</v>
      </c>
      <c r="F37" s="503">
        <v>-430033.51</v>
      </c>
      <c r="G37" s="503">
        <v>-868659.26</v>
      </c>
      <c r="H37" s="503">
        <v>-67.760000000009313</v>
      </c>
      <c r="I37" s="503">
        <v>-430033.51</v>
      </c>
      <c r="J37" s="503"/>
    </row>
    <row r="38" spans="1:10">
      <c r="A38" s="429"/>
      <c r="B38" s="489"/>
      <c r="C38" s="489"/>
      <c r="D38" s="489"/>
      <c r="E38" s="489"/>
      <c r="F38" s="489"/>
      <c r="G38" s="489"/>
      <c r="H38" s="489"/>
      <c r="I38" s="489"/>
      <c r="J38" s="489"/>
    </row>
    <row r="39" spans="1:10">
      <c r="A39" s="442" t="s">
        <v>2175</v>
      </c>
      <c r="B39" s="509">
        <v>-488555.26</v>
      </c>
      <c r="C39" s="509">
        <v>-814951.51</v>
      </c>
      <c r="D39" s="509">
        <v>-1253577.26</v>
      </c>
      <c r="E39" s="509">
        <v>-67.760000000000005</v>
      </c>
      <c r="F39" s="509">
        <v>-430033.51</v>
      </c>
      <c r="G39" s="509">
        <v>-86869.26</v>
      </c>
      <c r="H39" s="509">
        <v>-67.760000000000005</v>
      </c>
      <c r="I39" s="509">
        <v>-430033.51</v>
      </c>
      <c r="J39" s="509"/>
    </row>
    <row r="40" spans="1:10" ht="13.5" thickBot="1">
      <c r="A40" s="445" t="s">
        <v>2505</v>
      </c>
      <c r="B40" s="505">
        <v>0</v>
      </c>
      <c r="C40" s="505">
        <v>0</v>
      </c>
      <c r="D40" s="505">
        <v>0</v>
      </c>
      <c r="E40" s="505">
        <v>9.3081098384573124E-12</v>
      </c>
      <c r="F40" s="505">
        <v>0</v>
      </c>
      <c r="G40" s="505">
        <v>781790</v>
      </c>
      <c r="H40" s="505">
        <v>9.3081098384573124E-12</v>
      </c>
      <c r="I40" s="505">
        <v>0</v>
      </c>
      <c r="J40" s="505"/>
    </row>
    <row r="41" spans="1:10" ht="13.5" thickBot="1">
      <c r="A41" s="510"/>
      <c r="B41" s="506"/>
      <c r="C41" s="506"/>
      <c r="D41" s="506"/>
      <c r="E41" s="506"/>
      <c r="F41" s="506"/>
      <c r="G41" s="506"/>
      <c r="H41" s="506"/>
      <c r="I41" s="506"/>
      <c r="J41" s="506"/>
    </row>
    <row r="42" spans="1:10">
      <c r="A42" s="411" t="s">
        <v>2176</v>
      </c>
      <c r="B42" s="489"/>
      <c r="C42" s="489"/>
      <c r="D42" s="489"/>
      <c r="E42" s="489"/>
      <c r="F42" s="489"/>
      <c r="G42" s="489"/>
      <c r="H42" s="489"/>
      <c r="I42" s="489"/>
      <c r="J42" s="489"/>
    </row>
    <row r="43" spans="1:10">
      <c r="A43" s="450" t="s">
        <v>2132</v>
      </c>
      <c r="B43" s="507">
        <v>120224.25</v>
      </c>
      <c r="C43" s="507">
        <v>-120224.25</v>
      </c>
      <c r="D43" s="507">
        <v>-120224.25</v>
      </c>
      <c r="E43" s="507">
        <v>-120224.25</v>
      </c>
      <c r="F43" s="507">
        <v>-120224.25</v>
      </c>
      <c r="G43" s="507">
        <v>-120224.25</v>
      </c>
      <c r="H43" s="507">
        <v>-120224.25</v>
      </c>
      <c r="I43" s="507">
        <v>-120224.25</v>
      </c>
      <c r="J43" s="507"/>
    </row>
    <row r="44" spans="1:10">
      <c r="A44" s="452" t="s">
        <v>2127</v>
      </c>
      <c r="B44" s="507">
        <v>384918</v>
      </c>
      <c r="C44" s="507"/>
      <c r="D44" s="507"/>
      <c r="E44" s="507"/>
      <c r="F44" s="507"/>
      <c r="G44" s="507"/>
      <c r="H44" s="507"/>
      <c r="I44" s="507"/>
      <c r="J44" s="507"/>
    </row>
    <row r="45" spans="1:10">
      <c r="A45" s="511" t="s">
        <v>2177</v>
      </c>
      <c r="B45" s="509">
        <v>308880.12000000034</v>
      </c>
      <c r="C45" s="509">
        <v>230910.42</v>
      </c>
      <c r="D45" s="509">
        <v>190724.31</v>
      </c>
      <c r="E45" s="509">
        <v>212023.33</v>
      </c>
      <c r="F45" s="509">
        <v>225092.82</v>
      </c>
      <c r="G45" s="509">
        <v>182584.18</v>
      </c>
      <c r="H45" s="509">
        <v>109751.9</v>
      </c>
      <c r="I45" s="509">
        <v>63412.240000000224</v>
      </c>
      <c r="J45" s="509"/>
    </row>
    <row r="46" spans="1:10">
      <c r="A46" s="512"/>
      <c r="B46" s="489"/>
      <c r="C46" s="489"/>
      <c r="D46" s="489"/>
      <c r="E46" s="489"/>
      <c r="F46" s="489"/>
      <c r="G46" s="489"/>
      <c r="H46" s="489"/>
      <c r="I46" s="489"/>
      <c r="J46" s="489"/>
    </row>
    <row r="47" spans="1:10">
      <c r="A47" s="452" t="s">
        <v>2178</v>
      </c>
      <c r="B47" s="507">
        <v>573573.87000000034</v>
      </c>
      <c r="C47" s="507">
        <v>110686.17000000001</v>
      </c>
      <c r="D47" s="507">
        <v>70500.06</v>
      </c>
      <c r="E47" s="507">
        <v>91799.079999999987</v>
      </c>
      <c r="F47" s="507">
        <v>104868.57</v>
      </c>
      <c r="G47" s="507">
        <v>62359.929999999993</v>
      </c>
      <c r="H47" s="507">
        <v>-10472.350000000006</v>
      </c>
      <c r="I47" s="507">
        <v>-56812.009999999776</v>
      </c>
      <c r="J47" s="507"/>
    </row>
    <row r="48" spans="1:10">
      <c r="A48" s="511"/>
      <c r="B48" s="489"/>
      <c r="C48" s="489"/>
      <c r="D48" s="489"/>
      <c r="E48" s="489"/>
      <c r="F48" s="489"/>
      <c r="G48" s="489"/>
      <c r="H48" s="489"/>
      <c r="I48" s="489"/>
      <c r="J48" s="489"/>
    </row>
    <row r="49" spans="1:14">
      <c r="A49" s="513" t="s">
        <v>2179</v>
      </c>
      <c r="B49" s="514">
        <v>59309.14</v>
      </c>
      <c r="C49" s="514">
        <v>169995.31</v>
      </c>
      <c r="D49" s="514">
        <v>240495.37</v>
      </c>
      <c r="E49" s="514">
        <v>332294.44999999995</v>
      </c>
      <c r="F49" s="514">
        <v>437163.01999999996</v>
      </c>
      <c r="G49" s="514">
        <v>499522.94999999995</v>
      </c>
      <c r="H49" s="514">
        <v>489050.6</v>
      </c>
      <c r="I49" s="514">
        <v>432238.5900000002</v>
      </c>
      <c r="J49" s="514"/>
    </row>
    <row r="50" spans="1:14">
      <c r="A50" s="429"/>
      <c r="B50" s="489"/>
      <c r="C50" s="489"/>
      <c r="D50" s="489"/>
      <c r="E50" s="489"/>
      <c r="F50" s="489"/>
      <c r="G50" s="489"/>
      <c r="H50" s="489"/>
      <c r="I50" s="489"/>
      <c r="J50" s="489"/>
    </row>
    <row r="51" spans="1:14">
      <c r="A51" s="442" t="s">
        <v>2180</v>
      </c>
      <c r="B51" s="509">
        <v>59309.14</v>
      </c>
      <c r="C51" s="509">
        <v>169995.31</v>
      </c>
      <c r="D51" s="509">
        <v>240495.37</v>
      </c>
      <c r="E51" s="509">
        <v>332294.45</v>
      </c>
      <c r="F51" s="509">
        <v>437163.02</v>
      </c>
      <c r="G51" s="509">
        <v>499522.95</v>
      </c>
      <c r="H51" s="509">
        <v>489050.6</v>
      </c>
      <c r="I51" s="509">
        <v>432238.59</v>
      </c>
      <c r="J51" s="444" t="s">
        <v>4823</v>
      </c>
    </row>
    <row r="52" spans="1:14" ht="13.5" thickBot="1">
      <c r="A52" s="445" t="s">
        <v>2505</v>
      </c>
      <c r="B52" s="505">
        <v>0</v>
      </c>
      <c r="C52" s="505">
        <v>0</v>
      </c>
      <c r="D52" s="505">
        <v>0</v>
      </c>
      <c r="E52" s="505">
        <v>0</v>
      </c>
      <c r="F52" s="505">
        <v>0</v>
      </c>
      <c r="G52" s="505">
        <v>0</v>
      </c>
      <c r="H52" s="505">
        <v>0</v>
      </c>
      <c r="I52" s="505">
        <v>0</v>
      </c>
      <c r="J52" s="505"/>
    </row>
    <row r="53" spans="1:14" ht="13.5" thickBot="1">
      <c r="A53" s="510"/>
      <c r="B53" s="506"/>
      <c r="C53" s="506"/>
      <c r="D53" s="506"/>
      <c r="E53" s="506"/>
      <c r="F53" s="506"/>
      <c r="G53" s="506"/>
      <c r="H53" s="506"/>
      <c r="I53" s="506"/>
      <c r="J53" s="506"/>
    </row>
    <row r="54" spans="1:14">
      <c r="A54" s="426" t="s">
        <v>2181</v>
      </c>
      <c r="B54" s="489"/>
      <c r="C54" s="489"/>
      <c r="D54" s="489"/>
      <c r="E54" s="489"/>
      <c r="F54" s="489"/>
      <c r="G54" s="489"/>
      <c r="H54" s="489"/>
      <c r="I54" s="489"/>
      <c r="J54" s="489"/>
    </row>
    <row r="55" spans="1:14" ht="13.5" thickBot="1">
      <c r="A55" s="401" t="s">
        <v>4933</v>
      </c>
      <c r="B55" s="526">
        <v>-594478.09291666676</v>
      </c>
      <c r="C55" s="526">
        <v>-519687.30791666685</v>
      </c>
      <c r="D55" s="526">
        <v>-443183.94250000012</v>
      </c>
      <c r="E55" s="526">
        <v>-368509.09166666679</v>
      </c>
      <c r="F55" s="526">
        <v>-291168.5762500001</v>
      </c>
      <c r="G55" s="526">
        <v>-207594.66083333339</v>
      </c>
      <c r="H55" s="526">
        <v>-121214.23666666674</v>
      </c>
      <c r="I55" s="526">
        <v>-35189.415833333383</v>
      </c>
      <c r="J55" s="526">
        <v>34565.582916666681</v>
      </c>
      <c r="K55" s="532">
        <v>90713.330416666679</v>
      </c>
      <c r="L55" s="533">
        <v>145312.78041666668</v>
      </c>
      <c r="M55" s="533">
        <v>192895.01791666669</v>
      </c>
      <c r="N55" s="533">
        <f t="shared" ref="N55" si="0">(SUM(B56:N56)+SUM(B66:N66)-SUM(B56+B66+N56+N66)/2)/12</f>
        <v>212883.03041666668</v>
      </c>
    </row>
    <row r="56" spans="1:14">
      <c r="A56" s="450" t="s">
        <v>2182</v>
      </c>
      <c r="B56" s="507">
        <v>59309.14</v>
      </c>
      <c r="C56" s="507">
        <v>169995.31</v>
      </c>
      <c r="D56" s="507">
        <v>240495.37</v>
      </c>
      <c r="E56" s="507">
        <v>332294.44999999995</v>
      </c>
      <c r="F56" s="507">
        <v>437163.01999999996</v>
      </c>
      <c r="G56" s="507">
        <v>499522.94999999995</v>
      </c>
      <c r="H56" s="507">
        <v>489050.6</v>
      </c>
      <c r="I56" s="507">
        <v>432238.5900000002</v>
      </c>
      <c r="J56" s="531"/>
    </row>
    <row r="57" spans="1:14">
      <c r="A57" s="450" t="s">
        <v>2139</v>
      </c>
      <c r="B57" s="509">
        <v>-12171.08</v>
      </c>
      <c r="C57" s="509">
        <v>-12585.63</v>
      </c>
      <c r="D57" s="509">
        <v>-12333.4</v>
      </c>
      <c r="E57" s="509">
        <v>-11857.94</v>
      </c>
      <c r="F57" s="509">
        <v>-11181.44</v>
      </c>
      <c r="G57" s="509">
        <v>-10261.01</v>
      </c>
      <c r="H57" s="509">
        <v>-9132.39</v>
      </c>
      <c r="I57" s="509">
        <v>-7937.2599999999993</v>
      </c>
      <c r="J57" s="509"/>
    </row>
    <row r="58" spans="1:14">
      <c r="A58" s="450" t="s">
        <v>2183</v>
      </c>
      <c r="B58" s="507">
        <v>47138.06</v>
      </c>
      <c r="C58" s="507">
        <v>157409.68</v>
      </c>
      <c r="D58" s="507">
        <v>228161.97</v>
      </c>
      <c r="E58" s="507">
        <v>320436.50999999995</v>
      </c>
      <c r="F58" s="507">
        <v>425981.57999999996</v>
      </c>
      <c r="G58" s="507">
        <v>489261.93999999994</v>
      </c>
      <c r="H58" s="507">
        <v>479918.20999999996</v>
      </c>
      <c r="I58" s="507">
        <v>424301.33000000019</v>
      </c>
      <c r="J58" s="507"/>
    </row>
    <row r="59" spans="1:14">
      <c r="A59" s="429" t="s">
        <v>2141</v>
      </c>
      <c r="B59" s="499">
        <v>-239154.93</v>
      </c>
      <c r="C59" s="499">
        <v>102273.87</v>
      </c>
      <c r="D59" s="499">
        <v>192785.82500000001</v>
      </c>
      <c r="E59" s="499">
        <v>274299.24</v>
      </c>
      <c r="F59" s="499">
        <v>373209.04499999993</v>
      </c>
      <c r="G59" s="499">
        <v>457621.75999999995</v>
      </c>
      <c r="H59" s="499">
        <v>484590.07499999995</v>
      </c>
      <c r="I59" s="499">
        <v>452109.77000000008</v>
      </c>
      <c r="J59" s="499"/>
    </row>
    <row r="60" spans="1:14">
      <c r="A60" s="439"/>
      <c r="B60" s="489"/>
      <c r="C60" s="489"/>
      <c r="D60" s="489"/>
      <c r="E60" s="489"/>
      <c r="F60" s="489"/>
      <c r="G60" s="489"/>
      <c r="H60" s="489"/>
      <c r="I60" s="489"/>
      <c r="J60" s="489"/>
    </row>
    <row r="61" spans="1:14">
      <c r="A61" s="470" t="s">
        <v>2184</v>
      </c>
      <c r="B61" s="515">
        <v>1.7333788325861043E-3</v>
      </c>
      <c r="C61" s="515">
        <v>2.4662697723612593E-3</v>
      </c>
      <c r="D61" s="515">
        <v>2.4662697723612593E-3</v>
      </c>
      <c r="E61" s="515">
        <v>2.4662697723612593E-3</v>
      </c>
      <c r="F61" s="515">
        <v>2.4662697723612593E-3</v>
      </c>
      <c r="G61" s="515">
        <v>2.4662697723612593E-3</v>
      </c>
      <c r="H61" s="515">
        <v>2.4662697723612593E-3</v>
      </c>
      <c r="I61" s="515">
        <v>2.4662697723612593E-3</v>
      </c>
      <c r="J61" s="515"/>
    </row>
    <row r="62" spans="1:14">
      <c r="A62" s="470" t="s">
        <v>2143</v>
      </c>
      <c r="B62" s="489"/>
      <c r="C62" s="489"/>
      <c r="D62" s="489"/>
      <c r="E62" s="489"/>
      <c r="F62" s="489"/>
      <c r="G62" s="489"/>
      <c r="H62" s="489"/>
      <c r="I62" s="489"/>
      <c r="J62" s="489"/>
    </row>
    <row r="63" spans="1:14">
      <c r="A63" s="473"/>
      <c r="B63" s="489"/>
      <c r="C63" s="489"/>
      <c r="D63" s="489"/>
      <c r="E63" s="489"/>
      <c r="F63" s="489"/>
      <c r="G63" s="489"/>
      <c r="H63" s="489"/>
      <c r="I63" s="489"/>
      <c r="J63" s="489"/>
    </row>
    <row r="64" spans="1:14">
      <c r="A64" s="474" t="s">
        <v>2185</v>
      </c>
      <c r="B64" s="507">
        <v>-414.55</v>
      </c>
      <c r="C64" s="507">
        <v>252.23</v>
      </c>
      <c r="D64" s="507">
        <v>475.46</v>
      </c>
      <c r="E64" s="507">
        <v>676.5</v>
      </c>
      <c r="F64" s="507">
        <v>920.43</v>
      </c>
      <c r="G64" s="507">
        <v>1128.6199999999999</v>
      </c>
      <c r="H64" s="507">
        <v>1195.1300000000001</v>
      </c>
      <c r="I64" s="507">
        <v>1115.02</v>
      </c>
      <c r="J64" s="507"/>
    </row>
    <row r="65" spans="1:14">
      <c r="A65" s="511"/>
      <c r="B65" s="489"/>
      <c r="C65" s="489"/>
      <c r="D65" s="489"/>
      <c r="E65" s="489"/>
      <c r="F65" s="489"/>
      <c r="G65" s="489"/>
      <c r="H65" s="489"/>
      <c r="I65" s="489"/>
      <c r="J65" s="489"/>
    </row>
    <row r="66" spans="1:14">
      <c r="A66" s="513" t="s">
        <v>2186</v>
      </c>
      <c r="B66" s="514">
        <v>-12585.63</v>
      </c>
      <c r="C66" s="514">
        <v>-12333.4</v>
      </c>
      <c r="D66" s="514">
        <v>-11857.94</v>
      </c>
      <c r="E66" s="514">
        <v>-11181.44</v>
      </c>
      <c r="F66" s="514">
        <v>-10261.01</v>
      </c>
      <c r="G66" s="514">
        <v>-9132.39</v>
      </c>
      <c r="H66" s="514">
        <v>-7937.2599999999993</v>
      </c>
      <c r="I66" s="514">
        <v>-6822.24</v>
      </c>
      <c r="J66" s="514"/>
    </row>
    <row r="67" spans="1:14">
      <c r="A67" s="429"/>
      <c r="B67" s="489"/>
      <c r="C67" s="489"/>
      <c r="D67" s="489"/>
      <c r="E67" s="489"/>
      <c r="F67" s="489"/>
      <c r="G67" s="489"/>
      <c r="H67" s="489"/>
      <c r="I67" s="489"/>
      <c r="J67" s="489"/>
    </row>
    <row r="68" spans="1:14">
      <c r="A68" s="442" t="s">
        <v>2187</v>
      </c>
      <c r="B68" s="516">
        <v>-12585.63</v>
      </c>
      <c r="C68" s="516">
        <v>-12333.4</v>
      </c>
      <c r="D68" s="516">
        <v>-11857.94</v>
      </c>
      <c r="E68" s="516">
        <v>-11181.44</v>
      </c>
      <c r="F68" s="516">
        <v>-10261.01</v>
      </c>
      <c r="G68" s="516">
        <v>-9132.39</v>
      </c>
      <c r="H68" s="516">
        <v>-7937.26</v>
      </c>
      <c r="I68" s="516">
        <v>-6822.24</v>
      </c>
      <c r="J68" s="444" t="s">
        <v>4823</v>
      </c>
    </row>
    <row r="69" spans="1:14" ht="13.5" thickBot="1">
      <c r="A69" s="445" t="s">
        <v>2505</v>
      </c>
      <c r="B69" s="517">
        <v>0</v>
      </c>
      <c r="C69" s="517">
        <v>0</v>
      </c>
      <c r="D69" s="517">
        <v>0</v>
      </c>
      <c r="E69" s="517">
        <v>0</v>
      </c>
      <c r="F69" s="517">
        <v>0</v>
      </c>
      <c r="G69" s="517">
        <v>0</v>
      </c>
      <c r="H69" s="517">
        <v>0</v>
      </c>
      <c r="I69" s="517">
        <v>0</v>
      </c>
      <c r="J69" s="517"/>
    </row>
    <row r="70" spans="1:14">
      <c r="A70" s="447"/>
      <c r="B70" s="476">
        <f t="shared" ref="B70:L70" si="1">B56+B66</f>
        <v>46723.51</v>
      </c>
      <c r="C70" s="476">
        <f t="shared" si="1"/>
        <v>157661.91</v>
      </c>
      <c r="D70" s="476">
        <f t="shared" si="1"/>
        <v>228637.43</v>
      </c>
      <c r="E70" s="476">
        <f t="shared" si="1"/>
        <v>321113.00999999995</v>
      </c>
      <c r="F70" s="476">
        <f t="shared" si="1"/>
        <v>426902.00999999995</v>
      </c>
      <c r="G70" s="476">
        <f t="shared" si="1"/>
        <v>490390.55999999994</v>
      </c>
      <c r="H70" s="476">
        <f t="shared" si="1"/>
        <v>481113.33999999997</v>
      </c>
      <c r="I70" s="476">
        <f t="shared" si="1"/>
        <v>425416.35000000021</v>
      </c>
      <c r="J70" s="476">
        <f t="shared" si="1"/>
        <v>0</v>
      </c>
      <c r="K70" s="476">
        <f t="shared" si="1"/>
        <v>0</v>
      </c>
      <c r="L70" s="476">
        <f t="shared" si="1"/>
        <v>0</v>
      </c>
      <c r="M70" s="476">
        <f t="shared" ref="M70:N70" si="2">M56+M66</f>
        <v>0</v>
      </c>
      <c r="N70" s="476">
        <f t="shared" si="2"/>
        <v>0</v>
      </c>
    </row>
    <row r="71" spans="1:14">
      <c r="A71" s="518" t="s">
        <v>2188</v>
      </c>
      <c r="B71" s="519">
        <v>-316702.66000000003</v>
      </c>
      <c r="C71" s="519">
        <v>-1113449.8599999999</v>
      </c>
      <c r="D71" s="519">
        <v>-1906110.1600000001</v>
      </c>
      <c r="E71" s="519">
        <v>-966210.91000000015</v>
      </c>
      <c r="F71" s="519">
        <v>-1269710.6800000002</v>
      </c>
      <c r="G71" s="519">
        <v>-1394639.9200000002</v>
      </c>
      <c r="H71" s="519">
        <v>-203551.83000000019</v>
      </c>
      <c r="I71" s="519">
        <v>-353025.97</v>
      </c>
      <c r="J71" s="519"/>
    </row>
    <row r="73" spans="1:14">
      <c r="A73" s="518" t="s">
        <v>2190</v>
      </c>
      <c r="B73" s="520">
        <v>-488555.26</v>
      </c>
      <c r="C73" s="520">
        <v>-814951.51</v>
      </c>
      <c r="D73" s="520">
        <v>-1253577.26</v>
      </c>
      <c r="E73" s="520"/>
      <c r="F73" s="520">
        <v>-430033.51</v>
      </c>
      <c r="G73" s="520">
        <v>-868659.26</v>
      </c>
      <c r="H73" s="520">
        <v>-67.760000000009313</v>
      </c>
      <c r="I73" s="520">
        <v>-430033.51</v>
      </c>
      <c r="J73" s="520"/>
    </row>
    <row r="74" spans="1:14">
      <c r="A74" s="518" t="s">
        <v>2191</v>
      </c>
      <c r="B74" s="520">
        <v>-171852.6</v>
      </c>
      <c r="C74" s="520">
        <v>298498.34999999986</v>
      </c>
      <c r="D74" s="520">
        <v>652532.90000000014</v>
      </c>
      <c r="E74" s="520"/>
      <c r="F74" s="520">
        <v>839677.17000000016</v>
      </c>
      <c r="G74" s="520">
        <v>525980.66000000015</v>
      </c>
      <c r="H74" s="520">
        <v>203484.07000000018</v>
      </c>
      <c r="I74" s="520">
        <v>-77007.540000000037</v>
      </c>
      <c r="J74" s="520"/>
    </row>
    <row r="75" spans="1:14">
      <c r="A75" s="518"/>
    </row>
    <row r="76" spans="1:14">
      <c r="A76" s="485" t="s">
        <v>2192</v>
      </c>
      <c r="B76" s="522">
        <v>-171852.6</v>
      </c>
      <c r="C76" s="522">
        <v>298498.34999999998</v>
      </c>
      <c r="D76" s="522"/>
      <c r="E76" s="522"/>
      <c r="F76" s="522">
        <v>839677.17</v>
      </c>
      <c r="G76" s="522">
        <v>525980.66</v>
      </c>
      <c r="H76" s="522">
        <v>203484.07</v>
      </c>
      <c r="I76" s="522">
        <v>-77007.539999999994</v>
      </c>
      <c r="J76" s="522"/>
    </row>
    <row r="77" spans="1:14">
      <c r="A77" s="405" t="s">
        <v>2505</v>
      </c>
      <c r="B77" s="520">
        <v>0</v>
      </c>
      <c r="C77" s="520">
        <v>0</v>
      </c>
      <c r="D77" s="520">
        <v>652532.90000000014</v>
      </c>
      <c r="E77" s="520"/>
      <c r="F77" s="520">
        <v>0</v>
      </c>
      <c r="G77" s="520">
        <v>0</v>
      </c>
      <c r="H77" s="520">
        <v>0</v>
      </c>
      <c r="I77" s="520">
        <v>0</v>
      </c>
      <c r="J77" s="520"/>
    </row>
    <row r="78" spans="1:14">
      <c r="B78" s="521"/>
      <c r="C78" s="521"/>
      <c r="D78" s="521"/>
      <c r="E78" s="521"/>
      <c r="F78" s="521"/>
      <c r="G78" s="521"/>
      <c r="H78" s="521"/>
      <c r="I78" s="521"/>
      <c r="J78" s="521"/>
    </row>
    <row r="79" spans="1:14">
      <c r="A79" s="447"/>
    </row>
    <row r="80" spans="1:14">
      <c r="A80" s="447"/>
    </row>
    <row r="81" spans="1:1">
      <c r="A81" s="447"/>
    </row>
    <row r="82" spans="1:1">
      <c r="A82" s="447"/>
    </row>
    <row r="83" spans="1:1">
      <c r="A83" s="447"/>
    </row>
    <row r="84" spans="1:1">
      <c r="A84" s="447"/>
    </row>
    <row r="85" spans="1:1">
      <c r="A85" s="447"/>
    </row>
    <row r="86" spans="1:1">
      <c r="A86" s="447"/>
    </row>
  </sheetData>
  <phoneticPr fontId="87" type="noConversion"/>
  <printOptions horizontalCentered="1"/>
  <pageMargins left="0" right="0" top="0.25" bottom="0.5" header="0.5" footer="0.25"/>
  <pageSetup scale="54" orientation="landscape" cellComments="asDisplayed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T60"/>
  <sheetViews>
    <sheetView view="pageBreakPreview" zoomScale="60" zoomScaleNormal="100" workbookViewId="0">
      <pane xSplit="7" ySplit="16" topLeftCell="H17" activePane="bottomRight" state="frozen"/>
      <selection pane="topRight" activeCell="H1" sqref="H1"/>
      <selection pane="bottomLeft" activeCell="A17" sqref="A17"/>
      <selection pane="bottomRight" sqref="A1:XFD1048576"/>
    </sheetView>
  </sheetViews>
  <sheetFormatPr defaultRowHeight="12.75"/>
  <cols>
    <col min="1" max="1" width="9.5703125" style="288" bestFit="1" customWidth="1"/>
    <col min="2" max="2" width="9.42578125" style="165" bestFit="1" customWidth="1"/>
    <col min="3" max="4" width="9.5703125" style="288" bestFit="1" customWidth="1"/>
    <col min="5" max="5" width="14.140625" style="288" bestFit="1" customWidth="1"/>
    <col min="6" max="6" width="9.140625" style="288" bestFit="1" customWidth="1"/>
    <col min="7" max="7" width="16.28515625" style="165" customWidth="1"/>
    <col min="8" max="8" width="14.7109375" style="133" bestFit="1" customWidth="1"/>
    <col min="9" max="9" width="14.42578125" style="133" bestFit="1" customWidth="1"/>
    <col min="10" max="10" width="14.7109375" style="133" bestFit="1" customWidth="1"/>
    <col min="11" max="11" width="14.42578125" style="133" bestFit="1" customWidth="1"/>
    <col min="12" max="14" width="14.7109375" style="133" bestFit="1" customWidth="1"/>
    <col min="15" max="15" width="13.42578125" style="133" bestFit="1" customWidth="1"/>
    <col min="16" max="16" width="12.7109375" style="133" customWidth="1"/>
    <col min="17" max="20" width="12.7109375" style="133" bestFit="1" customWidth="1"/>
    <col min="21" max="16384" width="9.140625" style="133"/>
  </cols>
  <sheetData>
    <row r="1" spans="1:20">
      <c r="A1" s="537" t="s">
        <v>1646</v>
      </c>
    </row>
    <row r="2" spans="1:20">
      <c r="A2" s="537" t="s">
        <v>1437</v>
      </c>
    </row>
    <row r="4" spans="1:20">
      <c r="A4" s="537" t="s">
        <v>3170</v>
      </c>
    </row>
    <row r="6" spans="1:20" hidden="1">
      <c r="E6" s="538" t="s">
        <v>1438</v>
      </c>
      <c r="F6" s="538" t="s">
        <v>1438</v>
      </c>
      <c r="G6" s="539"/>
      <c r="H6" s="392" t="s">
        <v>2889</v>
      </c>
      <c r="I6" s="392" t="s">
        <v>2889</v>
      </c>
      <c r="J6" s="392" t="s">
        <v>2889</v>
      </c>
      <c r="K6" s="392" t="s">
        <v>2889</v>
      </c>
      <c r="L6" s="392" t="s">
        <v>2889</v>
      </c>
      <c r="M6" s="392" t="s">
        <v>2889</v>
      </c>
      <c r="N6" s="392" t="s">
        <v>2889</v>
      </c>
      <c r="O6" s="392"/>
      <c r="P6" s="392"/>
      <c r="Q6" s="392"/>
      <c r="R6" s="392"/>
      <c r="S6" s="392"/>
      <c r="T6" s="392"/>
    </row>
    <row r="7" spans="1:20" hidden="1">
      <c r="A7" s="540" t="s">
        <v>2493</v>
      </c>
      <c r="B7" s="541" t="s">
        <v>1439</v>
      </c>
      <c r="C7" s="541"/>
      <c r="D7" s="541"/>
      <c r="E7" s="542">
        <v>40908</v>
      </c>
      <c r="F7" s="542">
        <v>39994</v>
      </c>
      <c r="H7" s="543">
        <v>39813</v>
      </c>
      <c r="I7" s="543">
        <v>39782</v>
      </c>
      <c r="J7" s="543">
        <v>39752</v>
      </c>
      <c r="K7" s="543">
        <v>39721</v>
      </c>
      <c r="L7" s="543">
        <v>39691</v>
      </c>
      <c r="M7" s="543">
        <v>39660</v>
      </c>
      <c r="N7" s="543">
        <v>39629</v>
      </c>
      <c r="O7" s="543"/>
      <c r="P7" s="543"/>
      <c r="Q7" s="543"/>
      <c r="R7" s="543"/>
      <c r="S7" s="543"/>
      <c r="T7" s="543"/>
    </row>
    <row r="8" spans="1:20" hidden="1">
      <c r="A8" s="540"/>
      <c r="B8" s="544"/>
      <c r="C8" s="545"/>
      <c r="D8" s="545"/>
      <c r="E8" s="542"/>
      <c r="F8" s="542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3"/>
      <c r="T8" s="543"/>
    </row>
    <row r="9" spans="1:20" hidden="1">
      <c r="A9" s="546" t="s">
        <v>984</v>
      </c>
    </row>
    <row r="10" spans="1:20" hidden="1">
      <c r="A10" s="288">
        <v>165290</v>
      </c>
      <c r="E10" s="547" t="e">
        <f>ROUND(((SUM(#REF!)-(#REF!+#REF!)/2)/12),15)</f>
        <v>#REF!</v>
      </c>
      <c r="F10" s="547" t="e">
        <f>ROUND(((SUM(H10:M10)-(M10+#REF!)/2)/12),15)</f>
        <v>#REF!</v>
      </c>
      <c r="H10" s="548">
        <v>0</v>
      </c>
      <c r="I10" s="548">
        <v>0</v>
      </c>
      <c r="J10" s="548">
        <v>0</v>
      </c>
      <c r="K10" s="548">
        <v>0</v>
      </c>
      <c r="L10" s="548">
        <v>0</v>
      </c>
      <c r="M10" s="548">
        <v>0</v>
      </c>
      <c r="N10" s="548">
        <v>0</v>
      </c>
      <c r="O10" s="548"/>
      <c r="P10" s="548"/>
      <c r="Q10" s="548"/>
      <c r="R10" s="548"/>
      <c r="S10" s="548"/>
      <c r="T10" s="548"/>
    </row>
    <row r="11" spans="1:20" hidden="1">
      <c r="E11" s="547"/>
      <c r="F11" s="547"/>
    </row>
    <row r="12" spans="1:20" hidden="1">
      <c r="A12" s="288" t="s">
        <v>1556</v>
      </c>
      <c r="B12" s="549">
        <f>IF($A12&lt;&gt;"",+VLOOKUP($A12,Allocators!$B:$G,3),IF(#REF!&lt;&gt;"","NO ALLOC",""))</f>
        <v>0.73949302143550677</v>
      </c>
      <c r="C12" s="288" t="s">
        <v>46</v>
      </c>
      <c r="E12" s="537" t="e">
        <f>E10*$B12</f>
        <v>#REF!</v>
      </c>
    </row>
    <row r="13" spans="1:20" hidden="1">
      <c r="C13" s="288" t="s">
        <v>47</v>
      </c>
      <c r="E13" s="546" t="e">
        <f>E10-E12</f>
        <v>#REF!</v>
      </c>
    </row>
    <row r="14" spans="1:20" hidden="1">
      <c r="C14" s="288" t="s">
        <v>48</v>
      </c>
      <c r="E14" s="537" t="e">
        <f>SUM(E12:E13)</f>
        <v>#REF!</v>
      </c>
    </row>
    <row r="15" spans="1:20" hidden="1"/>
    <row r="16" spans="1:20" hidden="1"/>
    <row r="17" spans="1:20">
      <c r="A17" s="535" t="s">
        <v>984</v>
      </c>
      <c r="B17" s="550"/>
      <c r="C17" s="551"/>
      <c r="D17" s="551"/>
      <c r="E17" s="551"/>
      <c r="F17" s="551"/>
      <c r="G17" s="550"/>
      <c r="H17" s="552">
        <v>41609</v>
      </c>
      <c r="I17" s="552">
        <v>41640</v>
      </c>
      <c r="J17" s="552">
        <v>41671</v>
      </c>
      <c r="K17" s="552">
        <v>41699</v>
      </c>
      <c r="L17" s="552">
        <v>41730</v>
      </c>
      <c r="M17" s="552">
        <v>41760</v>
      </c>
      <c r="N17" s="552">
        <v>41791</v>
      </c>
      <c r="O17" s="552">
        <v>41821</v>
      </c>
      <c r="P17" s="552">
        <v>41852</v>
      </c>
      <c r="Q17" s="552">
        <v>41883</v>
      </c>
      <c r="R17" s="552">
        <v>41913</v>
      </c>
      <c r="S17" s="552">
        <v>41944</v>
      </c>
      <c r="T17" s="552">
        <v>41974</v>
      </c>
    </row>
    <row r="18" spans="1:20">
      <c r="A18" s="536"/>
      <c r="B18" s="553"/>
      <c r="C18" s="554"/>
      <c r="D18" s="554"/>
      <c r="E18" s="554"/>
      <c r="F18" s="554"/>
      <c r="G18" s="553"/>
      <c r="I18" s="556"/>
      <c r="J18" s="556"/>
      <c r="K18" s="556"/>
      <c r="L18" s="556"/>
      <c r="M18" s="556"/>
      <c r="N18" s="556"/>
      <c r="O18" s="556"/>
      <c r="P18" s="556"/>
      <c r="Q18" s="556"/>
      <c r="R18" s="556"/>
      <c r="S18" s="556"/>
      <c r="T18" s="556"/>
    </row>
    <row r="19" spans="1:20">
      <c r="A19" s="536">
        <v>165290</v>
      </c>
      <c r="B19" s="553"/>
      <c r="C19" s="554"/>
      <c r="D19" s="524" t="s">
        <v>3171</v>
      </c>
      <c r="E19" s="554"/>
      <c r="F19" s="554"/>
      <c r="G19" s="553"/>
      <c r="H19" s="557">
        <v>11003233.019999992</v>
      </c>
      <c r="I19" s="557">
        <f t="shared" ref="I19:T19" si="0">H25</f>
        <v>8253924.7699999921</v>
      </c>
      <c r="J19" s="557">
        <f t="shared" si="0"/>
        <v>5504616.5199999921</v>
      </c>
      <c r="K19" s="557">
        <f t="shared" si="0"/>
        <v>2755308.2699999921</v>
      </c>
      <c r="L19" s="557">
        <f t="shared" si="0"/>
        <v>16613592.159999993</v>
      </c>
      <c r="M19" s="557">
        <f t="shared" si="0"/>
        <v>13845660.139999993</v>
      </c>
      <c r="N19" s="557">
        <f t="shared" si="0"/>
        <v>11077728.119999994</v>
      </c>
      <c r="O19" s="557">
        <f t="shared" si="0"/>
        <v>8309796.099999994</v>
      </c>
      <c r="P19" s="557">
        <f t="shared" si="0"/>
        <v>5541864.0799999945</v>
      </c>
      <c r="Q19" s="557">
        <f t="shared" si="0"/>
        <v>2773932.0599999945</v>
      </c>
      <c r="R19" s="557">
        <f t="shared" si="0"/>
        <v>14249386.789999994</v>
      </c>
      <c r="S19" s="557">
        <f t="shared" si="0"/>
        <v>11875488.999999993</v>
      </c>
      <c r="T19" s="557">
        <f t="shared" si="0"/>
        <v>9501591.2099999934</v>
      </c>
    </row>
    <row r="20" spans="1:20">
      <c r="A20" s="536"/>
      <c r="B20" s="553"/>
      <c r="C20" s="554"/>
      <c r="D20" s="524"/>
      <c r="E20" s="554"/>
      <c r="F20" s="554"/>
      <c r="G20" s="553"/>
      <c r="H20" s="557"/>
      <c r="I20" s="557"/>
      <c r="J20" s="557"/>
      <c r="K20" s="557"/>
      <c r="L20" s="557"/>
      <c r="M20" s="557"/>
      <c r="N20" s="557"/>
      <c r="O20" s="557"/>
      <c r="P20" s="557"/>
      <c r="Q20" s="557"/>
      <c r="R20" s="557"/>
      <c r="S20" s="557"/>
      <c r="T20" s="557"/>
    </row>
    <row r="21" spans="1:20">
      <c r="A21" s="536"/>
      <c r="B21" s="553"/>
      <c r="C21" s="554"/>
      <c r="D21" s="558" t="s">
        <v>3172</v>
      </c>
      <c r="E21" s="554"/>
      <c r="F21" s="554"/>
      <c r="G21" s="553"/>
      <c r="H21" s="559">
        <v>-2749308.25</v>
      </c>
      <c r="I21" s="559">
        <v>-2749308.25</v>
      </c>
      <c r="J21" s="559">
        <v>-2749308.25</v>
      </c>
      <c r="K21" s="559">
        <v>-2749308.25</v>
      </c>
      <c r="L21" s="559">
        <v>-2767932.02</v>
      </c>
      <c r="M21" s="559">
        <v>-2767932.02</v>
      </c>
      <c r="N21" s="559">
        <v>-2767932.02</v>
      </c>
      <c r="O21" s="559">
        <v>-2767932.02</v>
      </c>
      <c r="P21" s="559">
        <v>-2767932.02</v>
      </c>
      <c r="Q21" s="559">
        <v>-403726.63</v>
      </c>
      <c r="R21" s="559">
        <v>-2373897.79</v>
      </c>
      <c r="S21" s="559">
        <v>-2373897.79</v>
      </c>
      <c r="T21" s="559">
        <v>-2373897.79</v>
      </c>
    </row>
    <row r="22" spans="1:20">
      <c r="A22" s="536"/>
      <c r="B22" s="553"/>
      <c r="C22" s="554"/>
      <c r="D22" s="558" t="s">
        <v>3173</v>
      </c>
      <c r="E22" s="554"/>
      <c r="F22" s="554"/>
      <c r="G22" s="553"/>
      <c r="H22" s="559"/>
      <c r="I22" s="559"/>
      <c r="J22" s="559"/>
      <c r="K22" s="559">
        <f>12282077.52+4325514.62</f>
        <v>16607592.140000001</v>
      </c>
      <c r="L22" s="559"/>
      <c r="M22" s="559"/>
      <c r="N22" s="559"/>
      <c r="O22" s="559"/>
      <c r="P22" s="559"/>
      <c r="Q22" s="559">
        <f>9332703.84+2546477.52</f>
        <v>11879181.359999999</v>
      </c>
      <c r="R22" s="559"/>
      <c r="S22" s="559"/>
      <c r="T22" s="559"/>
    </row>
    <row r="23" spans="1:20">
      <c r="A23" s="536"/>
      <c r="B23" s="553"/>
      <c r="C23" s="554"/>
      <c r="D23" s="558" t="s">
        <v>3174</v>
      </c>
      <c r="E23" s="554"/>
      <c r="F23" s="554"/>
      <c r="G23" s="553"/>
      <c r="H23" s="557">
        <f t="shared" ref="H23:Q23" si="1">SUM(H21:H22)</f>
        <v>-2749308.25</v>
      </c>
      <c r="I23" s="557">
        <f t="shared" si="1"/>
        <v>-2749308.25</v>
      </c>
      <c r="J23" s="557">
        <f t="shared" si="1"/>
        <v>-2749308.25</v>
      </c>
      <c r="K23" s="557">
        <f t="shared" si="1"/>
        <v>13858283.890000001</v>
      </c>
      <c r="L23" s="557">
        <f t="shared" si="1"/>
        <v>-2767932.02</v>
      </c>
      <c r="M23" s="557">
        <f t="shared" si="1"/>
        <v>-2767932.02</v>
      </c>
      <c r="N23" s="557">
        <f t="shared" si="1"/>
        <v>-2767932.02</v>
      </c>
      <c r="O23" s="557">
        <f t="shared" si="1"/>
        <v>-2767932.02</v>
      </c>
      <c r="P23" s="557">
        <f t="shared" si="1"/>
        <v>-2767932.02</v>
      </c>
      <c r="Q23" s="557">
        <f t="shared" si="1"/>
        <v>11475454.729999999</v>
      </c>
      <c r="R23" s="557">
        <f t="shared" ref="R23:S23" si="2">SUM(R21:R22)</f>
        <v>-2373897.79</v>
      </c>
      <c r="S23" s="557">
        <f t="shared" si="2"/>
        <v>-2373897.79</v>
      </c>
      <c r="T23" s="557">
        <f t="shared" ref="T23" si="3">SUM(T21:T22)</f>
        <v>-2373897.79</v>
      </c>
    </row>
    <row r="24" spans="1:20">
      <c r="A24" s="536"/>
      <c r="B24" s="553"/>
      <c r="C24" s="554"/>
      <c r="D24" s="558"/>
      <c r="E24" s="554"/>
      <c r="F24" s="554"/>
      <c r="G24" s="553"/>
      <c r="H24" s="557"/>
      <c r="I24" s="557"/>
      <c r="J24" s="557"/>
      <c r="K24" s="557"/>
      <c r="L24" s="557"/>
      <c r="M24" s="557"/>
      <c r="N24" s="557"/>
      <c r="O24" s="557"/>
      <c r="P24" s="557"/>
      <c r="Q24" s="557"/>
      <c r="R24" s="557"/>
      <c r="S24" s="557"/>
      <c r="T24" s="557"/>
    </row>
    <row r="25" spans="1:20">
      <c r="A25" s="536"/>
      <c r="B25" s="553"/>
      <c r="C25" s="554"/>
      <c r="D25" s="560" t="s">
        <v>3175</v>
      </c>
      <c r="E25" s="554"/>
      <c r="F25" s="554"/>
      <c r="G25" s="553"/>
      <c r="H25" s="557">
        <f t="shared" ref="H25:P25" si="4">H19+H23</f>
        <v>8253924.7699999921</v>
      </c>
      <c r="I25" s="557">
        <f t="shared" si="4"/>
        <v>5504616.5199999921</v>
      </c>
      <c r="J25" s="557">
        <f t="shared" si="4"/>
        <v>2755308.2699999921</v>
      </c>
      <c r="K25" s="557">
        <f t="shared" si="4"/>
        <v>16613592.159999993</v>
      </c>
      <c r="L25" s="557">
        <f t="shared" si="4"/>
        <v>13845660.139999993</v>
      </c>
      <c r="M25" s="557">
        <f t="shared" si="4"/>
        <v>11077728.119999994</v>
      </c>
      <c r="N25" s="557">
        <f t="shared" si="4"/>
        <v>8309796.099999994</v>
      </c>
      <c r="O25" s="557">
        <f t="shared" si="4"/>
        <v>5541864.0799999945</v>
      </c>
      <c r="P25" s="557">
        <f t="shared" si="4"/>
        <v>2773932.0599999945</v>
      </c>
      <c r="Q25" s="557">
        <f t="shared" ref="Q25:R25" si="5">Q19+Q23</f>
        <v>14249386.789999994</v>
      </c>
      <c r="R25" s="557">
        <f t="shared" si="5"/>
        <v>11875488.999999993</v>
      </c>
      <c r="S25" s="557">
        <f t="shared" ref="S25:T25" si="6">S19+S23</f>
        <v>9501591.2099999934</v>
      </c>
      <c r="T25" s="557">
        <f t="shared" si="6"/>
        <v>7127693.4199999934</v>
      </c>
    </row>
    <row r="26" spans="1:20">
      <c r="A26" s="536"/>
      <c r="B26" s="553"/>
      <c r="C26" s="554"/>
      <c r="D26" s="554"/>
      <c r="E26" s="554"/>
      <c r="F26" s="554"/>
      <c r="G26" s="553"/>
      <c r="H26" s="557"/>
      <c r="I26" s="557"/>
      <c r="J26" s="557"/>
      <c r="K26" s="557"/>
      <c r="L26" s="557"/>
      <c r="M26" s="557"/>
      <c r="N26" s="557"/>
      <c r="O26" s="557"/>
      <c r="P26" s="557"/>
      <c r="Q26" s="557"/>
      <c r="R26" s="557"/>
      <c r="S26" s="557"/>
      <c r="T26" s="557"/>
    </row>
    <row r="27" spans="1:20">
      <c r="A27" s="536"/>
      <c r="B27" s="553"/>
      <c r="C27" s="554"/>
      <c r="D27" s="561" t="s">
        <v>3176</v>
      </c>
      <c r="E27" s="554"/>
      <c r="F27" s="554"/>
      <c r="G27" s="553"/>
      <c r="H27" s="557"/>
      <c r="I27" s="557"/>
      <c r="J27" s="557"/>
      <c r="K27" s="557"/>
      <c r="L27" s="557"/>
      <c r="M27" s="557"/>
      <c r="N27" s="557"/>
      <c r="O27" s="557"/>
      <c r="P27" s="557"/>
      <c r="Q27" s="557"/>
      <c r="R27" s="557"/>
      <c r="S27" s="557"/>
      <c r="T27" s="557"/>
    </row>
    <row r="28" spans="1:20">
      <c r="A28" s="536"/>
      <c r="B28" s="553"/>
      <c r="C28" s="554"/>
      <c r="D28" s="554"/>
      <c r="E28" s="524" t="s">
        <v>1177</v>
      </c>
      <c r="F28" s="588">
        <f>+Allocators!D71</f>
        <v>0.73949302143550677</v>
      </c>
      <c r="G28" s="553"/>
      <c r="H28" s="557">
        <f t="shared" ref="H28:T29" si="7">H$25*$F28</f>
        <v>6103719.7668686649</v>
      </c>
      <c r="I28" s="557">
        <f t="shared" si="7"/>
        <v>4070625.502218599</v>
      </c>
      <c r="J28" s="557">
        <f t="shared" si="7"/>
        <v>2037531.2375685333</v>
      </c>
      <c r="K28" s="557">
        <f t="shared" si="7"/>
        <v>12285635.463295642</v>
      </c>
      <c r="L28" s="557">
        <f t="shared" si="7"/>
        <v>10238769.050697757</v>
      </c>
      <c r="M28" s="557">
        <f t="shared" si="7"/>
        <v>8191902.6380998716</v>
      </c>
      <c r="N28" s="557">
        <f t="shared" si="7"/>
        <v>6145036.2255019862</v>
      </c>
      <c r="O28" s="557">
        <f t="shared" si="7"/>
        <v>4098169.8129041009</v>
      </c>
      <c r="P28" s="557">
        <f t="shared" si="7"/>
        <v>2051303.4003062153</v>
      </c>
      <c r="Q28" s="557">
        <f t="shared" si="7"/>
        <v>10537322.090940293</v>
      </c>
      <c r="R28" s="557">
        <f t="shared" si="7"/>
        <v>8781841.2416341193</v>
      </c>
      <c r="S28" s="557">
        <f t="shared" si="7"/>
        <v>7026360.3923279475</v>
      </c>
      <c r="T28" s="557">
        <f t="shared" si="7"/>
        <v>5270879.5430217758</v>
      </c>
    </row>
    <row r="29" spans="1:20">
      <c r="A29" s="536"/>
      <c r="B29" s="553"/>
      <c r="C29" s="554"/>
      <c r="D29" s="554"/>
      <c r="E29" s="524" t="s">
        <v>1178</v>
      </c>
      <c r="F29" s="588">
        <f>+Allocators!E71</f>
        <v>0.26050697856449312</v>
      </c>
      <c r="G29" s="553"/>
      <c r="H29" s="557">
        <f t="shared" si="7"/>
        <v>2150205.0031313268</v>
      </c>
      <c r="I29" s="557">
        <f t="shared" si="7"/>
        <v>1433991.0177813927</v>
      </c>
      <c r="J29" s="557">
        <f t="shared" si="7"/>
        <v>717777.03243145859</v>
      </c>
      <c r="K29" s="557">
        <f t="shared" si="7"/>
        <v>4327956.6967043495</v>
      </c>
      <c r="L29" s="557">
        <f t="shared" si="7"/>
        <v>3606891.0893022348</v>
      </c>
      <c r="M29" s="557">
        <f t="shared" si="7"/>
        <v>2885825.4819001211</v>
      </c>
      <c r="N29" s="557">
        <f t="shared" si="7"/>
        <v>2164759.8744980069</v>
      </c>
      <c r="O29" s="557">
        <f t="shared" si="7"/>
        <v>1443694.2670958929</v>
      </c>
      <c r="P29" s="557">
        <f t="shared" si="7"/>
        <v>722628.65969377884</v>
      </c>
      <c r="Q29" s="557">
        <f t="shared" si="7"/>
        <v>3712064.6990596997</v>
      </c>
      <c r="R29" s="557">
        <f t="shared" si="7"/>
        <v>3093647.7583658719</v>
      </c>
      <c r="S29" s="557">
        <f t="shared" si="7"/>
        <v>2475230.8176720445</v>
      </c>
      <c r="T29" s="557">
        <f t="shared" si="7"/>
        <v>1856813.8769782169</v>
      </c>
    </row>
    <row r="30" spans="1:20">
      <c r="A30" s="536"/>
      <c r="B30" s="553"/>
      <c r="C30" s="554"/>
      <c r="D30" s="554"/>
      <c r="E30" s="554"/>
      <c r="F30" s="554"/>
      <c r="G30" s="553"/>
      <c r="H30" s="557"/>
      <c r="I30" s="557"/>
      <c r="J30" s="557"/>
      <c r="K30" s="557"/>
      <c r="L30" s="557"/>
      <c r="M30" s="557"/>
      <c r="N30" s="557"/>
      <c r="O30" s="557"/>
      <c r="P30" s="557"/>
      <c r="Q30" s="557"/>
      <c r="R30" s="557"/>
      <c r="S30" s="557"/>
      <c r="T30" s="557"/>
    </row>
    <row r="31" spans="1:20">
      <c r="A31" s="536"/>
      <c r="B31" s="553"/>
      <c r="C31" s="554"/>
      <c r="D31" s="524" t="s">
        <v>3177</v>
      </c>
      <c r="E31" s="524"/>
      <c r="F31" s="554"/>
      <c r="G31" s="553"/>
      <c r="H31" s="557"/>
      <c r="I31" s="557"/>
      <c r="J31" s="557"/>
      <c r="K31" s="557"/>
      <c r="L31" s="557"/>
      <c r="M31" s="557"/>
      <c r="N31" s="557"/>
      <c r="O31" s="557"/>
      <c r="P31" s="557"/>
      <c r="Q31" s="557"/>
      <c r="R31" s="557"/>
      <c r="S31" s="557"/>
      <c r="T31" s="557"/>
    </row>
    <row r="32" spans="1:20">
      <c r="A32" s="536"/>
      <c r="B32" s="553"/>
      <c r="C32" s="554"/>
      <c r="D32" s="554"/>
      <c r="E32" s="524" t="s">
        <v>1177</v>
      </c>
      <c r="F32" s="554"/>
      <c r="G32" s="553"/>
      <c r="H32" s="557">
        <v>7261457.9690045184</v>
      </c>
      <c r="I32" s="557">
        <v>7247226.6840133043</v>
      </c>
      <c r="J32" s="557">
        <v>7238687.9115395918</v>
      </c>
      <c r="K32" s="557">
        <v>7222774.0118583925</v>
      </c>
      <c r="L32" s="557">
        <v>7198816.6690759519</v>
      </c>
      <c r="M32" s="557">
        <v>7179215.2070234986</v>
      </c>
      <c r="N32" s="557">
        <v>7163969.6257010335</v>
      </c>
      <c r="O32" s="557">
        <v>7153079.9251085557</v>
      </c>
      <c r="P32" s="557">
        <v>7146546.1052460633</v>
      </c>
      <c r="Q32" s="557">
        <v>7074964.8125857068</v>
      </c>
      <c r="R32" s="557">
        <v>6947725.3324018223</v>
      </c>
      <c r="S32" s="557">
        <v>6843620.3034965945</v>
      </c>
      <c r="T32" s="557">
        <f t="shared" ref="T32:T33" si="8">(SUM(H28:T28)-(H28+T28)/2)/12</f>
        <v>6762649.7258700235</v>
      </c>
    </row>
    <row r="33" spans="1:20">
      <c r="A33" s="562"/>
      <c r="B33" s="563"/>
      <c r="C33" s="564"/>
      <c r="D33" s="564"/>
      <c r="E33" s="565" t="s">
        <v>1178</v>
      </c>
      <c r="F33" s="564"/>
      <c r="G33" s="563"/>
      <c r="H33" s="566">
        <v>2558050.4759954722</v>
      </c>
      <c r="I33" s="566">
        <v>2553037.1101533514</v>
      </c>
      <c r="J33" s="566">
        <v>2550029.0901270653</v>
      </c>
      <c r="K33" s="566">
        <v>2544422.976474931</v>
      </c>
      <c r="L33" s="566">
        <v>2535983.3363407049</v>
      </c>
      <c r="M33" s="566">
        <v>2529078.1763098249</v>
      </c>
      <c r="N33" s="566">
        <v>2523707.496382291</v>
      </c>
      <c r="O33" s="566">
        <v>2519871.296558104</v>
      </c>
      <c r="P33" s="566">
        <v>2517569.5768372626</v>
      </c>
      <c r="Q33" s="566">
        <v>2492353.0761642861</v>
      </c>
      <c r="R33" s="566">
        <v>2447529.4313481711</v>
      </c>
      <c r="S33" s="566">
        <v>2410855.5402533985</v>
      </c>
      <c r="T33" s="566">
        <f t="shared" si="8"/>
        <v>2382331.4028799688</v>
      </c>
    </row>
    <row r="34" spans="1:20">
      <c r="A34" s="554"/>
      <c r="B34" s="553"/>
      <c r="C34" s="554"/>
      <c r="D34" s="554"/>
      <c r="E34" s="524"/>
      <c r="F34" s="554"/>
      <c r="G34" s="553"/>
    </row>
    <row r="35" spans="1:20">
      <c r="A35" s="554"/>
      <c r="B35" s="553"/>
      <c r="C35" s="554"/>
      <c r="D35" s="554"/>
      <c r="E35" s="524"/>
      <c r="F35" s="554"/>
      <c r="G35" s="553"/>
    </row>
    <row r="36" spans="1:20">
      <c r="A36" s="535" t="s">
        <v>655</v>
      </c>
      <c r="B36" s="550"/>
      <c r="C36" s="551"/>
      <c r="D36" s="551"/>
      <c r="E36" s="551"/>
      <c r="F36" s="551"/>
      <c r="G36" s="550"/>
      <c r="H36" s="552">
        <v>41609</v>
      </c>
      <c r="I36" s="552">
        <v>41640</v>
      </c>
      <c r="J36" s="552">
        <v>41671</v>
      </c>
      <c r="K36" s="552">
        <v>41699</v>
      </c>
      <c r="L36" s="552">
        <v>41730</v>
      </c>
      <c r="M36" s="552">
        <v>41760</v>
      </c>
      <c r="N36" s="552">
        <v>41791</v>
      </c>
      <c r="O36" s="552">
        <v>41821</v>
      </c>
      <c r="P36" s="552">
        <v>41852</v>
      </c>
      <c r="Q36" s="552">
        <v>41883</v>
      </c>
      <c r="R36" s="552">
        <v>41913</v>
      </c>
      <c r="S36" s="552">
        <v>41944</v>
      </c>
      <c r="T36" s="552">
        <v>41974</v>
      </c>
    </row>
    <row r="37" spans="1:20">
      <c r="A37" s="567"/>
      <c r="B37" s="553"/>
      <c r="C37" s="554"/>
      <c r="D37" s="554"/>
      <c r="E37" s="554"/>
      <c r="F37" s="554"/>
      <c r="G37" s="553"/>
      <c r="H37" s="556"/>
      <c r="I37" s="556"/>
      <c r="J37" s="556"/>
      <c r="K37" s="556"/>
      <c r="L37" s="556"/>
      <c r="M37" s="556"/>
      <c r="N37" s="556"/>
      <c r="O37" s="556"/>
      <c r="P37" s="556"/>
      <c r="Q37" s="556"/>
      <c r="R37" s="556"/>
      <c r="S37" s="556"/>
      <c r="T37" s="556"/>
    </row>
    <row r="38" spans="1:20">
      <c r="A38" s="568" t="s">
        <v>3178</v>
      </c>
      <c r="B38" s="553"/>
      <c r="C38" s="524" t="s">
        <v>3179</v>
      </c>
      <c r="D38" s="554"/>
      <c r="E38" s="554"/>
      <c r="F38" s="554"/>
      <c r="G38" s="553"/>
      <c r="H38" s="556"/>
      <c r="I38" s="556"/>
      <c r="J38" s="556"/>
      <c r="K38" s="556"/>
      <c r="L38" s="556"/>
      <c r="M38" s="556"/>
      <c r="N38" s="556"/>
      <c r="O38" s="556"/>
      <c r="P38" s="556"/>
      <c r="Q38" s="556"/>
      <c r="R38" s="556"/>
      <c r="S38" s="556"/>
      <c r="T38" s="556"/>
    </row>
    <row r="39" spans="1:20">
      <c r="A39" s="568">
        <v>590441</v>
      </c>
      <c r="B39" s="553"/>
      <c r="C39" s="554">
        <v>809008</v>
      </c>
      <c r="D39" s="554"/>
      <c r="E39" s="524" t="s">
        <v>1177</v>
      </c>
      <c r="F39" s="554"/>
      <c r="G39" s="553"/>
      <c r="H39" s="589">
        <v>2033239.78</v>
      </c>
      <c r="I39" s="589">
        <v>2033239.78</v>
      </c>
      <c r="J39" s="589">
        <v>2033239.78</v>
      </c>
      <c r="K39" s="589">
        <v>2033239.78</v>
      </c>
      <c r="L39" s="589">
        <v>2047012.92</v>
      </c>
      <c r="M39" s="589">
        <v>2047012.92</v>
      </c>
      <c r="N39" s="589">
        <v>2047012.92</v>
      </c>
      <c r="O39" s="589">
        <v>2047012.92</v>
      </c>
      <c r="P39" s="589">
        <v>2047012.92</v>
      </c>
      <c r="Q39" s="589">
        <v>572326.07999999996</v>
      </c>
      <c r="R39" s="589">
        <v>1801231.78</v>
      </c>
      <c r="S39" s="589">
        <v>1801231.78</v>
      </c>
      <c r="T39" s="589">
        <v>1801231.78</v>
      </c>
    </row>
    <row r="40" spans="1:20">
      <c r="A40" s="568">
        <v>590441</v>
      </c>
      <c r="B40" s="553"/>
      <c r="C40" s="554">
        <v>809009</v>
      </c>
      <c r="D40" s="554"/>
      <c r="E40" s="524" t="s">
        <v>1178</v>
      </c>
      <c r="F40" s="554"/>
      <c r="G40" s="553"/>
      <c r="H40" s="589">
        <v>716068.47</v>
      </c>
      <c r="I40" s="589">
        <v>716068.47</v>
      </c>
      <c r="J40" s="589">
        <v>716068.47</v>
      </c>
      <c r="K40" s="589">
        <v>716068.47</v>
      </c>
      <c r="L40" s="589">
        <v>720919.1</v>
      </c>
      <c r="M40" s="589">
        <v>720919.1</v>
      </c>
      <c r="N40" s="589">
        <v>720919.1</v>
      </c>
      <c r="O40" s="589">
        <v>720919.1</v>
      </c>
      <c r="P40" s="589">
        <v>720919.1</v>
      </c>
      <c r="Q40" s="589">
        <v>-168599.45</v>
      </c>
      <c r="R40" s="589">
        <v>572666.01</v>
      </c>
      <c r="S40" s="589">
        <v>572666.01</v>
      </c>
      <c r="T40" s="589">
        <v>572666.01</v>
      </c>
    </row>
    <row r="41" spans="1:20">
      <c r="A41" s="567"/>
      <c r="B41" s="553"/>
      <c r="C41" s="554"/>
      <c r="D41" s="554"/>
      <c r="E41" s="554"/>
      <c r="F41" s="554"/>
      <c r="G41" s="553"/>
      <c r="H41" s="555"/>
      <c r="I41" s="555"/>
      <c r="J41" s="555"/>
      <c r="K41" s="555"/>
      <c r="L41" s="555"/>
      <c r="M41" s="555"/>
      <c r="N41" s="555"/>
      <c r="O41" s="555"/>
      <c r="P41" s="555"/>
      <c r="Q41" s="555"/>
      <c r="R41" s="555"/>
      <c r="S41" s="555"/>
      <c r="T41" s="555"/>
    </row>
    <row r="42" spans="1:20">
      <c r="A42" s="567"/>
      <c r="B42" s="553"/>
      <c r="C42" s="554"/>
      <c r="D42" s="524" t="s">
        <v>3180</v>
      </c>
      <c r="E42" s="524"/>
      <c r="F42" s="554"/>
      <c r="G42" s="553"/>
      <c r="H42" s="555"/>
      <c r="I42" s="555"/>
      <c r="J42" s="555"/>
      <c r="K42" s="555"/>
      <c r="L42" s="555"/>
      <c r="M42" s="555"/>
      <c r="N42" s="555"/>
      <c r="O42" s="555"/>
      <c r="P42" s="555"/>
      <c r="Q42" s="555"/>
      <c r="R42" s="555"/>
      <c r="S42" s="555"/>
      <c r="T42" s="555"/>
    </row>
    <row r="43" spans="1:20">
      <c r="A43" s="567"/>
      <c r="B43" s="553"/>
      <c r="C43" s="554"/>
      <c r="D43" s="554"/>
      <c r="E43" s="524" t="s">
        <v>1177</v>
      </c>
      <c r="F43" s="554"/>
      <c r="G43" s="553"/>
      <c r="H43" s="570">
        <v>24332460.790000007</v>
      </c>
      <c r="I43" s="570">
        <v>24354599.680000003</v>
      </c>
      <c r="J43" s="570">
        <v>24376738.570000004</v>
      </c>
      <c r="K43" s="570">
        <v>24398877.380000003</v>
      </c>
      <c r="L43" s="570">
        <v>24436959.409999996</v>
      </c>
      <c r="M43" s="570">
        <v>24475041.439999998</v>
      </c>
      <c r="N43" s="570">
        <v>24513123.469999999</v>
      </c>
      <c r="O43" s="570">
        <v>24551205.5</v>
      </c>
      <c r="P43" s="570">
        <v>24589287.530000001</v>
      </c>
      <c r="Q43" s="570">
        <v>23006829.359999999</v>
      </c>
      <c r="R43" s="570">
        <v>22774821.359999999</v>
      </c>
      <c r="S43" s="570">
        <v>22542813.359999999</v>
      </c>
      <c r="T43" s="570">
        <f t="shared" ref="T43:T44" si="9">SUM(I39:T39)</f>
        <v>22310805.360000003</v>
      </c>
    </row>
    <row r="44" spans="1:20">
      <c r="A44" s="571"/>
      <c r="B44" s="563"/>
      <c r="C44" s="564"/>
      <c r="D44" s="564"/>
      <c r="E44" s="565" t="s">
        <v>1178</v>
      </c>
      <c r="F44" s="564"/>
      <c r="G44" s="563"/>
      <c r="H44" s="572">
        <v>8936361.209999999</v>
      </c>
      <c r="I44" s="572">
        <v>8821848.0199999996</v>
      </c>
      <c r="J44" s="572">
        <v>8707334.8299999982</v>
      </c>
      <c r="K44" s="572">
        <v>8592821.6399999987</v>
      </c>
      <c r="L44" s="572">
        <v>8484055.2799999993</v>
      </c>
      <c r="M44" s="572">
        <v>8375288.9199999981</v>
      </c>
      <c r="N44" s="572">
        <v>8266522.5599999977</v>
      </c>
      <c r="O44" s="572">
        <v>8157756.1999999974</v>
      </c>
      <c r="P44" s="572">
        <v>8048989.8399999971</v>
      </c>
      <c r="Q44" s="572">
        <v>7732406.8699999973</v>
      </c>
      <c r="R44" s="572">
        <v>7589004.4099999974</v>
      </c>
      <c r="S44" s="572">
        <v>7445601.9499999983</v>
      </c>
      <c r="T44" s="572">
        <f t="shared" si="9"/>
        <v>7302199.4899999984</v>
      </c>
    </row>
    <row r="45" spans="1:20">
      <c r="A45" s="546"/>
    </row>
    <row r="46" spans="1:20">
      <c r="A46" s="546"/>
    </row>
    <row r="47" spans="1:20">
      <c r="A47" s="546" t="s">
        <v>4607</v>
      </c>
    </row>
    <row r="48" spans="1:20">
      <c r="A48" s="546"/>
    </row>
    <row r="49" spans="1:20">
      <c r="A49" s="568" t="s">
        <v>3178</v>
      </c>
      <c r="C49" s="524" t="s">
        <v>3179</v>
      </c>
    </row>
    <row r="50" spans="1:20">
      <c r="A50" s="568">
        <v>174210</v>
      </c>
      <c r="B50" s="553"/>
      <c r="C50" s="554">
        <v>809008</v>
      </c>
      <c r="D50" s="554"/>
      <c r="E50" s="524" t="s">
        <v>1177</v>
      </c>
      <c r="F50" s="554"/>
      <c r="G50" s="553"/>
      <c r="H50" s="573">
        <v>1433741.28</v>
      </c>
      <c r="I50" s="573">
        <f>H50+257649.56</f>
        <v>1691390.84</v>
      </c>
      <c r="J50" s="573">
        <f>I50+434178.9</f>
        <v>2125569.7400000002</v>
      </c>
      <c r="K50" s="573">
        <f>J50+428325.33</f>
        <v>2553895.0700000003</v>
      </c>
      <c r="L50" s="573">
        <f>K50+713394.63</f>
        <v>3267289.7</v>
      </c>
      <c r="M50" s="573">
        <f>L50+791658.86</f>
        <v>4058948.56</v>
      </c>
      <c r="N50" s="573">
        <f>M50+649375.61</f>
        <v>4708324.17</v>
      </c>
      <c r="O50" s="573">
        <f>N50-4708324.17</f>
        <v>0</v>
      </c>
      <c r="P50" s="573"/>
      <c r="Q50" s="573"/>
      <c r="R50" s="573"/>
      <c r="S50" s="573"/>
      <c r="T50" s="573"/>
    </row>
    <row r="51" spans="1:20">
      <c r="A51" s="568">
        <v>174210</v>
      </c>
      <c r="C51" s="574" t="s">
        <v>569</v>
      </c>
      <c r="E51" s="524" t="s">
        <v>1177</v>
      </c>
      <c r="H51" s="569">
        <v>179307.59</v>
      </c>
      <c r="I51" s="569">
        <f>H51-980.62</f>
        <v>178326.97</v>
      </c>
      <c r="J51" s="569">
        <f>I51-5718.82</f>
        <v>172608.15</v>
      </c>
      <c r="K51" s="569">
        <f>J51+17634.94</f>
        <v>190243.09</v>
      </c>
      <c r="L51" s="569">
        <f>K51+48107.31</f>
        <v>238350.4</v>
      </c>
      <c r="M51" s="569">
        <f>L51+42863.48</f>
        <v>281213.88</v>
      </c>
      <c r="N51" s="569">
        <f>M51+32798.99</f>
        <v>314012.87</v>
      </c>
      <c r="O51" s="569">
        <f>N51-314012.87</f>
        <v>0</v>
      </c>
      <c r="P51" s="569"/>
      <c r="Q51" s="569"/>
      <c r="R51" s="569"/>
      <c r="S51" s="569"/>
      <c r="T51" s="569"/>
    </row>
    <row r="52" spans="1:20">
      <c r="A52" s="568">
        <v>174210</v>
      </c>
      <c r="C52" s="574" t="s">
        <v>303</v>
      </c>
      <c r="E52" s="524" t="s">
        <v>1177</v>
      </c>
      <c r="H52" s="575">
        <v>455616.64</v>
      </c>
      <c r="I52" s="575">
        <f>H52-188.13</f>
        <v>455428.51</v>
      </c>
      <c r="J52" s="575">
        <f>I52-6225.73</f>
        <v>449202.78</v>
      </c>
      <c r="K52" s="575">
        <f>J52-6025.53</f>
        <v>443177.25</v>
      </c>
      <c r="L52" s="575">
        <f>K52-29077.45</f>
        <v>414099.8</v>
      </c>
      <c r="M52" s="575">
        <f>L52-31754.22</f>
        <v>382345.57999999996</v>
      </c>
      <c r="N52" s="575">
        <f>M52+81586.89</f>
        <v>463932.47</v>
      </c>
      <c r="O52" s="575">
        <f>N52-463932.47</f>
        <v>0</v>
      </c>
      <c r="P52" s="575"/>
      <c r="Q52" s="575"/>
      <c r="R52" s="575"/>
      <c r="S52" s="575"/>
      <c r="T52" s="575"/>
    </row>
    <row r="53" spans="1:20">
      <c r="A53" s="568">
        <v>174210</v>
      </c>
      <c r="B53" s="576" t="s">
        <v>4612</v>
      </c>
      <c r="C53" s="574"/>
      <c r="E53" s="524" t="s">
        <v>1177</v>
      </c>
      <c r="H53" s="548">
        <f t="shared" ref="H53:O53" si="10">SUM(H50:H52)</f>
        <v>2068665.5100000002</v>
      </c>
      <c r="I53" s="548">
        <f t="shared" si="10"/>
        <v>2325146.3200000003</v>
      </c>
      <c r="J53" s="548">
        <f t="shared" si="10"/>
        <v>2747380.67</v>
      </c>
      <c r="K53" s="548">
        <f t="shared" si="10"/>
        <v>3187315.41</v>
      </c>
      <c r="L53" s="548">
        <f t="shared" si="10"/>
        <v>3919739.9</v>
      </c>
      <c r="M53" s="548">
        <f t="shared" si="10"/>
        <v>4722508.0200000005</v>
      </c>
      <c r="N53" s="548">
        <f t="shared" si="10"/>
        <v>5486269.5099999998</v>
      </c>
      <c r="O53" s="548">
        <f t="shared" si="10"/>
        <v>0</v>
      </c>
      <c r="P53" s="586" t="s">
        <v>4934</v>
      </c>
      <c r="Q53" s="587"/>
      <c r="R53" s="587"/>
      <c r="S53" s="587"/>
      <c r="T53" s="587"/>
    </row>
    <row r="54" spans="1:20" s="108" customFormat="1">
      <c r="A54" s="577" t="s">
        <v>4610</v>
      </c>
      <c r="B54" s="164" t="s">
        <v>4611</v>
      </c>
      <c r="C54" s="537"/>
      <c r="D54" s="537"/>
      <c r="E54" s="578" t="s">
        <v>1177</v>
      </c>
      <c r="F54" s="537"/>
      <c r="G54" s="164"/>
      <c r="H54" s="579">
        <f t="shared" ref="H54:O54" si="11">H52</f>
        <v>455616.64</v>
      </c>
      <c r="I54" s="579">
        <f t="shared" si="11"/>
        <v>455428.51</v>
      </c>
      <c r="J54" s="579">
        <f t="shared" si="11"/>
        <v>449202.78</v>
      </c>
      <c r="K54" s="579">
        <f t="shared" si="11"/>
        <v>443177.25</v>
      </c>
      <c r="L54" s="579">
        <f t="shared" si="11"/>
        <v>414099.8</v>
      </c>
      <c r="M54" s="579">
        <f t="shared" si="11"/>
        <v>382345.57999999996</v>
      </c>
      <c r="N54" s="579">
        <f t="shared" si="11"/>
        <v>463932.47</v>
      </c>
      <c r="O54" s="579">
        <f t="shared" si="11"/>
        <v>0</v>
      </c>
      <c r="P54" s="579"/>
      <c r="Q54" s="579"/>
      <c r="R54" s="579"/>
      <c r="S54" s="579"/>
      <c r="T54" s="579"/>
    </row>
    <row r="55" spans="1:20">
      <c r="A55" s="546"/>
    </row>
    <row r="56" spans="1:20">
      <c r="A56" s="568">
        <v>174220</v>
      </c>
      <c r="B56" s="553"/>
      <c r="C56" s="554">
        <v>809009</v>
      </c>
      <c r="D56" s="554"/>
      <c r="E56" s="580" t="s">
        <v>1178</v>
      </c>
      <c r="F56" s="554"/>
      <c r="G56" s="553"/>
      <c r="H56" s="573">
        <v>1976418.6500000004</v>
      </c>
      <c r="I56" s="573">
        <f>H56-689189.51</f>
        <v>1287229.1400000004</v>
      </c>
      <c r="J56" s="573">
        <f>I56-503888.14</f>
        <v>783341.00000000035</v>
      </c>
      <c r="K56" s="573">
        <f>J56-488424.96</f>
        <v>294916.04000000033</v>
      </c>
      <c r="L56" s="573">
        <f>K56+68148.52</f>
        <v>363064.56000000035</v>
      </c>
      <c r="M56" s="573">
        <f>L56+362861.41</f>
        <v>725925.97000000032</v>
      </c>
      <c r="N56" s="573">
        <f>M56+464262.42</f>
        <v>1190188.3900000004</v>
      </c>
      <c r="O56" s="573">
        <f>N56-1190188.39</f>
        <v>0</v>
      </c>
      <c r="P56" s="573"/>
      <c r="Q56" s="573"/>
      <c r="R56" s="573"/>
      <c r="S56" s="573"/>
      <c r="T56" s="573"/>
    </row>
    <row r="57" spans="1:20">
      <c r="A57" s="568">
        <v>174220</v>
      </c>
      <c r="C57" s="574" t="s">
        <v>571</v>
      </c>
      <c r="E57" s="580" t="s">
        <v>1178</v>
      </c>
      <c r="H57" s="569">
        <v>-4900.3700000000026</v>
      </c>
      <c r="I57" s="569">
        <f>H57-6711.43</f>
        <v>-11611.800000000003</v>
      </c>
      <c r="J57" s="569">
        <f>I57-13696.38</f>
        <v>-25308.18</v>
      </c>
      <c r="K57" s="569">
        <f>J57-10274.75</f>
        <v>-35582.93</v>
      </c>
      <c r="L57" s="569">
        <f>K57-2478.08</f>
        <v>-38061.01</v>
      </c>
      <c r="M57" s="569">
        <f>L57-5225.73</f>
        <v>-43286.740000000005</v>
      </c>
      <c r="N57" s="569">
        <f>M57+405137.95</f>
        <v>361851.21</v>
      </c>
      <c r="O57" s="569">
        <f>N57-361851.21</f>
        <v>0</v>
      </c>
      <c r="P57" s="569"/>
      <c r="Q57" s="569"/>
      <c r="R57" s="569"/>
      <c r="S57" s="569"/>
      <c r="T57" s="569"/>
    </row>
    <row r="58" spans="1:20">
      <c r="A58" s="568">
        <v>174220</v>
      </c>
      <c r="C58" s="574" t="s">
        <v>319</v>
      </c>
      <c r="E58" s="580" t="s">
        <v>1178</v>
      </c>
      <c r="H58" s="575">
        <v>-370043.08</v>
      </c>
      <c r="I58" s="575">
        <f>H58+81795.07</f>
        <v>-288248.01</v>
      </c>
      <c r="J58" s="575">
        <f>I58+70140.56</f>
        <v>-218107.45</v>
      </c>
      <c r="K58" s="575">
        <f>J58+69168</f>
        <v>-148939.45000000001</v>
      </c>
      <c r="L58" s="575">
        <f>K58+29616.81</f>
        <v>-119322.64000000001</v>
      </c>
      <c r="M58" s="575">
        <f>L58+11080.88</f>
        <v>-108241.76000000001</v>
      </c>
      <c r="N58" s="575">
        <f>M58+38368.95</f>
        <v>-69872.810000000012</v>
      </c>
      <c r="O58" s="575">
        <f>N58+69872.81</f>
        <v>0</v>
      </c>
      <c r="P58" s="575"/>
      <c r="Q58" s="575"/>
      <c r="R58" s="575"/>
      <c r="S58" s="575"/>
      <c r="T58" s="575"/>
    </row>
    <row r="59" spans="1:20">
      <c r="A59" s="568">
        <v>174220</v>
      </c>
      <c r="B59" s="576" t="s">
        <v>4612</v>
      </c>
      <c r="E59" s="580" t="s">
        <v>1178</v>
      </c>
      <c r="H59" s="548">
        <f t="shared" ref="H59:O59" si="12">SUM(H56:H58)</f>
        <v>1601475.2000000002</v>
      </c>
      <c r="I59" s="548">
        <f t="shared" si="12"/>
        <v>987369.33000000031</v>
      </c>
      <c r="J59" s="548">
        <f t="shared" si="12"/>
        <v>539925.37000000034</v>
      </c>
      <c r="K59" s="548">
        <f t="shared" si="12"/>
        <v>110393.66000000032</v>
      </c>
      <c r="L59" s="548">
        <f t="shared" si="12"/>
        <v>205680.91000000032</v>
      </c>
      <c r="M59" s="548">
        <f t="shared" si="12"/>
        <v>574397.47000000032</v>
      </c>
      <c r="N59" s="548">
        <f t="shared" si="12"/>
        <v>1482166.7900000003</v>
      </c>
      <c r="O59" s="548">
        <f t="shared" si="12"/>
        <v>0</v>
      </c>
      <c r="P59" s="586" t="s">
        <v>4935</v>
      </c>
      <c r="Q59" s="587"/>
      <c r="R59" s="587"/>
      <c r="S59" s="587"/>
      <c r="T59" s="587"/>
    </row>
    <row r="60" spans="1:20" s="108" customFormat="1">
      <c r="A60" s="581" t="s">
        <v>4610</v>
      </c>
      <c r="B60" s="582" t="s">
        <v>4613</v>
      </c>
      <c r="C60" s="583"/>
      <c r="D60" s="583"/>
      <c r="E60" s="583" t="s">
        <v>1178</v>
      </c>
      <c r="F60" s="583"/>
      <c r="G60" s="582"/>
      <c r="H60" s="584">
        <f t="shared" ref="H60:O60" si="13">H58</f>
        <v>-370043.08</v>
      </c>
      <c r="I60" s="584">
        <f t="shared" si="13"/>
        <v>-288248.01</v>
      </c>
      <c r="J60" s="584">
        <f t="shared" si="13"/>
        <v>-218107.45</v>
      </c>
      <c r="K60" s="584">
        <f t="shared" si="13"/>
        <v>-148939.45000000001</v>
      </c>
      <c r="L60" s="584">
        <f t="shared" si="13"/>
        <v>-119322.64000000001</v>
      </c>
      <c r="M60" s="584">
        <f t="shared" si="13"/>
        <v>-108241.76000000001</v>
      </c>
      <c r="N60" s="584">
        <f t="shared" si="13"/>
        <v>-69872.810000000012</v>
      </c>
      <c r="O60" s="584">
        <f t="shared" si="13"/>
        <v>0</v>
      </c>
      <c r="P60" s="584"/>
      <c r="Q60" s="584"/>
      <c r="R60" s="584"/>
      <c r="S60" s="584"/>
      <c r="T60" s="584"/>
    </row>
  </sheetData>
  <mergeCells count="1">
    <mergeCell ref="B7:D7"/>
  </mergeCells>
  <phoneticPr fontId="24" type="noConversion"/>
  <pageMargins left="0.18" right="0.18" top="0.74" bottom="1" header="0.5" footer="0.5"/>
  <pageSetup scale="5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4"/>
  <dimension ref="A1:W139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9.140625" style="135"/>
    <col min="2" max="2" width="15.7109375" style="135" customWidth="1"/>
    <col min="3" max="3" width="16.28515625" style="135" customWidth="1"/>
    <col min="4" max="4" width="16.5703125" style="135" hidden="1" customWidth="1"/>
    <col min="5" max="5" width="4" style="135" hidden="1" customWidth="1"/>
    <col min="6" max="6" width="2.7109375" style="135" hidden="1" customWidth="1"/>
    <col min="7" max="7" width="3.85546875" style="135" hidden="1" customWidth="1"/>
    <col min="8" max="8" width="14.7109375" style="135" customWidth="1"/>
    <col min="9" max="9" width="3" style="135" customWidth="1"/>
    <col min="10" max="10" width="14" style="135" bestFit="1" customWidth="1"/>
    <col min="11" max="11" width="3" style="135" customWidth="1"/>
    <col min="12" max="12" width="14.85546875" style="135" bestFit="1" customWidth="1"/>
    <col min="13" max="13" width="2.28515625" style="135" customWidth="1"/>
    <col min="14" max="14" width="14.7109375" style="135" bestFit="1" customWidth="1"/>
    <col min="15" max="15" width="2.28515625" style="135" customWidth="1"/>
    <col min="16" max="16" width="14.140625" style="135" bestFit="1" customWidth="1"/>
    <col min="17" max="17" width="2.28515625" style="135" customWidth="1"/>
    <col min="18" max="18" width="14.85546875" style="135" bestFit="1" customWidth="1"/>
    <col min="19" max="19" width="14.42578125" style="135" bestFit="1" customWidth="1"/>
    <col min="20" max="20" width="15.28515625" style="135" customWidth="1"/>
    <col min="21" max="22" width="9.140625" style="135"/>
    <col min="23" max="23" width="12.5703125" style="135" bestFit="1" customWidth="1"/>
    <col min="24" max="35" width="11.28515625" style="135" bestFit="1" customWidth="1"/>
    <col min="36" max="16384" width="9.140625" style="135"/>
  </cols>
  <sheetData>
    <row r="1" spans="2:23" ht="20.25">
      <c r="B1" s="596" t="s">
        <v>1646</v>
      </c>
    </row>
    <row r="2" spans="2:23">
      <c r="B2" s="135" t="s">
        <v>682</v>
      </c>
    </row>
    <row r="3" spans="2:23">
      <c r="B3" s="135" t="s">
        <v>4936</v>
      </c>
    </row>
    <row r="4" spans="2:23">
      <c r="B4" s="135" t="s">
        <v>683</v>
      </c>
    </row>
    <row r="5" spans="2:23">
      <c r="B5" s="135" t="s">
        <v>684</v>
      </c>
    </row>
    <row r="6" spans="2:23">
      <c r="B6" s="597" t="s">
        <v>4896</v>
      </c>
      <c r="C6" s="597" t="s">
        <v>4926</v>
      </c>
    </row>
    <row r="7" spans="2:23">
      <c r="B7" s="598" t="s">
        <v>685</v>
      </c>
      <c r="D7" s="598" t="s">
        <v>686</v>
      </c>
      <c r="F7" s="598" t="s">
        <v>686</v>
      </c>
      <c r="H7" s="598" t="s">
        <v>686</v>
      </c>
      <c r="J7" s="598" t="s">
        <v>686</v>
      </c>
      <c r="L7" s="598" t="s">
        <v>686</v>
      </c>
      <c r="N7" s="598" t="s">
        <v>686</v>
      </c>
      <c r="P7" s="598" t="s">
        <v>686</v>
      </c>
      <c r="R7" s="611"/>
      <c r="S7" s="598"/>
      <c r="T7" s="598"/>
      <c r="W7" s="369"/>
    </row>
    <row r="8" spans="2:23">
      <c r="B8" s="598" t="s">
        <v>687</v>
      </c>
      <c r="D8" s="598" t="s">
        <v>688</v>
      </c>
      <c r="F8" s="598" t="s">
        <v>688</v>
      </c>
      <c r="H8" s="598" t="s">
        <v>688</v>
      </c>
      <c r="J8" s="598" t="s">
        <v>688</v>
      </c>
      <c r="L8" s="598" t="s">
        <v>688</v>
      </c>
      <c r="N8" s="598" t="s">
        <v>688</v>
      </c>
      <c r="P8" s="598" t="s">
        <v>688</v>
      </c>
      <c r="R8" s="611"/>
      <c r="S8" s="598"/>
      <c r="T8" s="598"/>
    </row>
    <row r="9" spans="2:23" s="204" customFormat="1">
      <c r="B9" s="599" t="s">
        <v>688</v>
      </c>
      <c r="D9" s="600">
        <v>2008</v>
      </c>
      <c r="F9" s="600">
        <v>2009</v>
      </c>
      <c r="H9" s="600">
        <v>2010</v>
      </c>
      <c r="J9" s="600">
        <v>2011</v>
      </c>
      <c r="L9" s="600">
        <v>2012</v>
      </c>
      <c r="N9" s="600">
        <v>2013</v>
      </c>
      <c r="P9" s="600">
        <v>2014</v>
      </c>
      <c r="R9" s="623"/>
      <c r="S9" s="599"/>
      <c r="T9" s="599"/>
    </row>
    <row r="10" spans="2:23">
      <c r="D10" s="601"/>
      <c r="R10" s="606"/>
    </row>
    <row r="11" spans="2:23">
      <c r="C11" s="598"/>
      <c r="D11" s="602"/>
      <c r="E11" s="602"/>
      <c r="F11" s="602"/>
      <c r="G11" s="602"/>
      <c r="H11" s="602"/>
      <c r="J11" s="602"/>
      <c r="R11" s="606"/>
    </row>
    <row r="12" spans="2:23">
      <c r="B12" s="598" t="s">
        <v>689</v>
      </c>
      <c r="C12" s="598" t="s">
        <v>1177</v>
      </c>
      <c r="D12" s="602"/>
      <c r="E12" s="602"/>
      <c r="F12" s="602"/>
      <c r="G12" s="602"/>
      <c r="H12" s="602">
        <v>93634587.849999979</v>
      </c>
      <c r="J12" s="602">
        <v>4462701.2832216807</v>
      </c>
      <c r="L12" s="602">
        <v>4025070.0484969849</v>
      </c>
      <c r="N12" s="602">
        <v>3487200.389147399</v>
      </c>
      <c r="P12" s="602">
        <v>2958622.8692522109</v>
      </c>
      <c r="R12" s="610"/>
    </row>
    <row r="13" spans="2:23">
      <c r="B13" s="598"/>
      <c r="C13" s="598" t="s">
        <v>1178</v>
      </c>
      <c r="D13" s="602"/>
      <c r="E13" s="602"/>
      <c r="F13" s="602"/>
      <c r="G13" s="602"/>
      <c r="H13" s="602">
        <v>17111587.779999997</v>
      </c>
      <c r="J13" s="602">
        <v>592807.2767783195</v>
      </c>
      <c r="L13" s="602">
        <v>532967.68150301522</v>
      </c>
      <c r="N13" s="602">
        <v>459669.58085260086</v>
      </c>
      <c r="P13" s="602">
        <v>387878.59074778913</v>
      </c>
      <c r="R13" s="610"/>
    </row>
    <row r="14" spans="2:23">
      <c r="B14" s="598" t="s">
        <v>690</v>
      </c>
      <c r="C14" s="598" t="s">
        <v>1177</v>
      </c>
      <c r="D14" s="602"/>
      <c r="E14" s="602"/>
      <c r="F14" s="602"/>
      <c r="G14" s="602"/>
      <c r="H14" s="602">
        <v>6767599.2613362838</v>
      </c>
      <c r="I14" s="602"/>
      <c r="J14" s="602">
        <v>11343521.389218934</v>
      </c>
      <c r="K14" s="602"/>
      <c r="L14" s="602">
        <v>10141182.274633789</v>
      </c>
      <c r="N14" s="602">
        <v>8960893.915184889</v>
      </c>
      <c r="P14" s="602">
        <v>7918527.9629774326</v>
      </c>
      <c r="R14" s="610"/>
    </row>
    <row r="15" spans="2:23">
      <c r="B15" s="598"/>
      <c r="C15" s="598" t="s">
        <v>1178</v>
      </c>
      <c r="D15" s="602"/>
      <c r="E15" s="602"/>
      <c r="F15" s="602"/>
      <c r="G15" s="602"/>
      <c r="H15" s="602">
        <v>1288889.855</v>
      </c>
      <c r="I15" s="602"/>
      <c r="J15" s="602">
        <v>1790465.8707810659</v>
      </c>
      <c r="L15" s="602">
        <v>1594668.7553662108</v>
      </c>
      <c r="N15" s="602">
        <v>1401221.3948151106</v>
      </c>
      <c r="P15" s="602">
        <v>1229442.5070225678</v>
      </c>
      <c r="R15" s="610"/>
    </row>
    <row r="16" spans="2:23">
      <c r="B16" s="598"/>
      <c r="C16" s="598"/>
      <c r="D16" s="602"/>
      <c r="E16" s="602"/>
      <c r="F16" s="602"/>
      <c r="G16" s="602"/>
      <c r="H16" s="602"/>
      <c r="J16" s="602"/>
      <c r="L16" s="602"/>
      <c r="N16" s="602"/>
      <c r="P16" s="602"/>
      <c r="R16" s="610"/>
    </row>
    <row r="17" spans="2:18">
      <c r="B17" s="598" t="s">
        <v>691</v>
      </c>
      <c r="C17" s="598" t="s">
        <v>1177</v>
      </c>
      <c r="D17" s="602"/>
      <c r="E17" s="602"/>
      <c r="F17" s="602"/>
      <c r="G17" s="602"/>
      <c r="H17" s="602">
        <v>0</v>
      </c>
      <c r="J17" s="602">
        <v>167071285.89062518</v>
      </c>
      <c r="K17" s="603"/>
      <c r="L17" s="602">
        <v>1128339.3830292043</v>
      </c>
      <c r="N17" s="602">
        <v>948643.97305743198</v>
      </c>
      <c r="P17" s="602">
        <v>821801.49304946</v>
      </c>
      <c r="R17" s="610"/>
    </row>
    <row r="18" spans="2:18">
      <c r="B18" s="598"/>
      <c r="C18" s="598" t="s">
        <v>1178</v>
      </c>
      <c r="D18" s="602"/>
      <c r="E18" s="602"/>
      <c r="F18" s="602"/>
      <c r="G18" s="602"/>
      <c r="H18" s="602">
        <v>0</v>
      </c>
      <c r="J18" s="602">
        <v>21241570.769374818</v>
      </c>
      <c r="K18" s="603"/>
      <c r="L18" s="602">
        <v>466823.98697079573</v>
      </c>
      <c r="N18" s="602">
        <v>430729.18694256805</v>
      </c>
      <c r="P18" s="602">
        <v>395271.80695054005</v>
      </c>
      <c r="R18" s="610"/>
    </row>
    <row r="19" spans="2:18">
      <c r="B19" s="598" t="s">
        <v>692</v>
      </c>
      <c r="C19" s="598" t="s">
        <v>1177</v>
      </c>
      <c r="D19" s="602"/>
      <c r="E19" s="602"/>
      <c r="F19" s="602"/>
      <c r="G19" s="602"/>
      <c r="H19" s="602">
        <v>0</v>
      </c>
      <c r="J19" s="602">
        <v>12292269.468118109</v>
      </c>
      <c r="L19" s="602">
        <v>21282309.387078077</v>
      </c>
      <c r="N19" s="602">
        <v>16052325.629966751</v>
      </c>
      <c r="P19" s="602">
        <v>12759384.712862767</v>
      </c>
      <c r="R19" s="610"/>
    </row>
    <row r="20" spans="2:18">
      <c r="B20" s="598"/>
      <c r="C20" s="598" t="s">
        <v>1178</v>
      </c>
      <c r="D20" s="602"/>
      <c r="E20" s="602"/>
      <c r="F20" s="602"/>
      <c r="G20" s="602"/>
      <c r="H20" s="602">
        <v>0</v>
      </c>
      <c r="J20" s="602">
        <v>1368054.5318818926</v>
      </c>
      <c r="L20" s="602">
        <v>2523869.7629219224</v>
      </c>
      <c r="N20" s="602">
        <v>2144023.0300332508</v>
      </c>
      <c r="P20" s="602">
        <v>1850427.447137234</v>
      </c>
      <c r="R20" s="610"/>
    </row>
    <row r="21" spans="2:18">
      <c r="B21" s="598"/>
      <c r="C21" s="598"/>
      <c r="D21" s="602"/>
      <c r="E21" s="602"/>
      <c r="F21" s="602"/>
      <c r="G21" s="602"/>
      <c r="H21" s="602"/>
      <c r="J21" s="602"/>
      <c r="L21" s="602"/>
      <c r="N21" s="602"/>
      <c r="P21" s="602"/>
      <c r="R21" s="610"/>
    </row>
    <row r="22" spans="2:18">
      <c r="B22" s="598" t="s">
        <v>4378</v>
      </c>
      <c r="C22" s="598" t="s">
        <v>1177</v>
      </c>
      <c r="D22" s="602"/>
      <c r="E22" s="602"/>
      <c r="F22" s="602"/>
      <c r="G22" s="602"/>
      <c r="H22" s="602">
        <v>0</v>
      </c>
      <c r="J22" s="602">
        <v>0</v>
      </c>
      <c r="L22" s="602">
        <v>86183644.118979305</v>
      </c>
      <c r="N22" s="602">
        <v>4016951.3956690431</v>
      </c>
      <c r="P22" s="602">
        <v>3415349.7078236332</v>
      </c>
      <c r="R22" s="610"/>
    </row>
    <row r="23" spans="2:18">
      <c r="B23" s="598"/>
      <c r="C23" s="598" t="s">
        <v>1178</v>
      </c>
      <c r="D23" s="602"/>
      <c r="E23" s="602"/>
      <c r="F23" s="602"/>
      <c r="G23" s="602"/>
      <c r="H23" s="602">
        <v>0</v>
      </c>
      <c r="J23" s="602">
        <v>0</v>
      </c>
      <c r="L23" s="602">
        <v>20731045.951020684</v>
      </c>
      <c r="N23" s="602">
        <v>1348297.5643309569</v>
      </c>
      <c r="P23" s="602">
        <v>1154814.8921763669</v>
      </c>
      <c r="R23" s="610"/>
    </row>
    <row r="24" spans="2:18">
      <c r="B24" s="598" t="s">
        <v>4379</v>
      </c>
      <c r="C24" s="598" t="s">
        <v>1177</v>
      </c>
      <c r="D24" s="602"/>
      <c r="E24" s="602"/>
      <c r="F24" s="602"/>
      <c r="G24" s="602"/>
      <c r="H24" s="602">
        <v>0</v>
      </c>
      <c r="J24" s="602">
        <v>0</v>
      </c>
      <c r="L24" s="602">
        <v>7131583.7364299223</v>
      </c>
      <c r="N24" s="602">
        <v>12668421.518988613</v>
      </c>
      <c r="P24" s="602">
        <v>10437845.601572203</v>
      </c>
      <c r="R24" s="610"/>
    </row>
    <row r="25" spans="2:18">
      <c r="B25" s="598"/>
      <c r="C25" s="598" t="s">
        <v>1178</v>
      </c>
      <c r="D25" s="602"/>
      <c r="E25" s="602"/>
      <c r="F25" s="602"/>
      <c r="G25" s="602"/>
      <c r="H25" s="602">
        <v>0</v>
      </c>
      <c r="J25" s="602">
        <v>0</v>
      </c>
      <c r="L25" s="602">
        <v>1875673.0835700766</v>
      </c>
      <c r="N25" s="602">
        <v>3389733.811011388</v>
      </c>
      <c r="P25" s="602">
        <v>2836289.7584277983</v>
      </c>
      <c r="R25" s="610"/>
    </row>
    <row r="26" spans="2:18" ht="12.75" customHeight="1">
      <c r="B26" s="598"/>
      <c r="C26" s="598"/>
      <c r="D26" s="602"/>
      <c r="E26" s="602"/>
      <c r="F26" s="602"/>
      <c r="G26" s="602"/>
      <c r="H26" s="602"/>
      <c r="J26" s="602"/>
      <c r="L26" s="602"/>
      <c r="N26" s="602"/>
      <c r="P26" s="602"/>
      <c r="R26" s="610"/>
    </row>
    <row r="27" spans="2:18" ht="12.75" customHeight="1">
      <c r="B27" s="598" t="s">
        <v>4524</v>
      </c>
      <c r="C27" s="598" t="s">
        <v>1177</v>
      </c>
      <c r="D27" s="602"/>
      <c r="E27" s="602"/>
      <c r="F27" s="602"/>
      <c r="G27" s="602"/>
      <c r="H27" s="602"/>
      <c r="J27" s="602">
        <v>0</v>
      </c>
      <c r="L27" s="602">
        <v>0</v>
      </c>
      <c r="N27" s="602">
        <v>65205254.090917528</v>
      </c>
      <c r="P27" s="602">
        <v>1777323.2164982078</v>
      </c>
      <c r="R27" s="610"/>
    </row>
    <row r="28" spans="2:18" ht="12.75" customHeight="1">
      <c r="B28" s="598"/>
      <c r="C28" s="598" t="s">
        <v>1178</v>
      </c>
      <c r="D28" s="602"/>
      <c r="E28" s="602"/>
      <c r="F28" s="602"/>
      <c r="G28" s="602"/>
      <c r="H28" s="602"/>
      <c r="J28" s="602">
        <v>0</v>
      </c>
      <c r="L28" s="602">
        <v>0</v>
      </c>
      <c r="N28" s="602">
        <v>20541205.459082473</v>
      </c>
      <c r="P28" s="602">
        <v>613707.97350179241</v>
      </c>
      <c r="R28" s="610"/>
    </row>
    <row r="29" spans="2:18" ht="12.75" customHeight="1">
      <c r="B29" s="598" t="s">
        <v>4525</v>
      </c>
      <c r="C29" s="598" t="s">
        <v>1177</v>
      </c>
      <c r="D29" s="602"/>
      <c r="E29" s="602"/>
      <c r="F29" s="602"/>
      <c r="G29" s="602"/>
      <c r="H29" s="602"/>
      <c r="J29" s="602">
        <v>0</v>
      </c>
      <c r="L29" s="602">
        <v>0</v>
      </c>
      <c r="N29" s="602">
        <v>6789448.3788547749</v>
      </c>
      <c r="P29" s="602">
        <v>8787917.0633206666</v>
      </c>
      <c r="R29" s="610"/>
    </row>
    <row r="30" spans="2:18" ht="12.75" customHeight="1">
      <c r="B30" s="598"/>
      <c r="C30" s="598" t="s">
        <v>1178</v>
      </c>
      <c r="D30" s="602"/>
      <c r="E30" s="602"/>
      <c r="F30" s="602"/>
      <c r="G30" s="602"/>
      <c r="H30" s="602"/>
      <c r="J30" s="602">
        <v>0</v>
      </c>
      <c r="L30" s="602">
        <v>0</v>
      </c>
      <c r="N30" s="602">
        <v>2351228.2111452254</v>
      </c>
      <c r="P30" s="602">
        <v>2967724.9666793318</v>
      </c>
      <c r="R30" s="610"/>
    </row>
    <row r="31" spans="2:18" ht="12.75" customHeight="1">
      <c r="B31" s="598"/>
      <c r="C31" s="598"/>
      <c r="D31" s="602"/>
      <c r="E31" s="602"/>
      <c r="F31" s="602"/>
      <c r="G31" s="602"/>
      <c r="H31" s="602"/>
      <c r="J31" s="602"/>
      <c r="L31" s="602"/>
      <c r="N31" s="602"/>
      <c r="P31" s="602"/>
      <c r="R31" s="610"/>
    </row>
    <row r="32" spans="2:18" ht="15" customHeight="1">
      <c r="B32" s="598" t="s">
        <v>4617</v>
      </c>
      <c r="C32" s="598" t="s">
        <v>1177</v>
      </c>
      <c r="D32" s="604" t="s">
        <v>4842</v>
      </c>
      <c r="E32" s="604"/>
      <c r="F32" s="604"/>
      <c r="G32" s="604"/>
      <c r="H32" s="605"/>
      <c r="I32" s="604"/>
      <c r="J32" s="604"/>
      <c r="K32" s="604"/>
      <c r="L32" s="604"/>
      <c r="P32" s="137">
        <v>99337894</v>
      </c>
      <c r="R32" s="621"/>
    </row>
    <row r="33" spans="2:19" ht="15" customHeight="1">
      <c r="B33" s="598"/>
      <c r="C33" s="598" t="s">
        <v>1178</v>
      </c>
      <c r="D33" s="604"/>
      <c r="E33" s="604"/>
      <c r="F33" s="604"/>
      <c r="G33" s="604"/>
      <c r="H33" s="604"/>
      <c r="I33" s="604"/>
      <c r="J33" s="604"/>
      <c r="K33" s="604"/>
      <c r="L33" s="604"/>
      <c r="P33" s="137">
        <v>31511752</v>
      </c>
      <c r="R33" s="621"/>
    </row>
    <row r="34" spans="2:19" ht="12.75" customHeight="1">
      <c r="B34" s="598" t="s">
        <v>4618</v>
      </c>
      <c r="C34" s="598" t="s">
        <v>1177</v>
      </c>
      <c r="D34" s="604"/>
      <c r="E34" s="604"/>
      <c r="F34" s="604"/>
      <c r="G34" s="604"/>
      <c r="H34" s="604"/>
      <c r="I34" s="604"/>
      <c r="J34" s="604"/>
      <c r="K34" s="604"/>
      <c r="L34" s="604"/>
      <c r="P34" s="137">
        <v>5715681.7421523668</v>
      </c>
      <c r="R34" s="621"/>
    </row>
    <row r="35" spans="2:19" ht="12.75" customHeight="1">
      <c r="B35" s="598"/>
      <c r="C35" s="598" t="s">
        <v>1178</v>
      </c>
      <c r="D35" s="604"/>
      <c r="E35" s="604"/>
      <c r="F35" s="604"/>
      <c r="G35" s="604"/>
      <c r="H35" s="604"/>
      <c r="I35" s="604"/>
      <c r="J35" s="604"/>
      <c r="K35" s="604"/>
      <c r="L35" s="604"/>
      <c r="P35" s="137">
        <v>3417900.1078476338</v>
      </c>
      <c r="R35" s="621"/>
    </row>
    <row r="36" spans="2:19">
      <c r="B36" s="598"/>
      <c r="C36" s="598"/>
      <c r="D36" s="602"/>
      <c r="E36" s="602"/>
      <c r="F36" s="602"/>
      <c r="G36" s="602"/>
      <c r="H36" s="602"/>
      <c r="J36" s="602"/>
      <c r="K36" s="602"/>
      <c r="L36" s="602"/>
      <c r="M36" s="606"/>
      <c r="N36" s="602"/>
      <c r="O36" s="606"/>
      <c r="P36" s="602"/>
      <c r="Q36" s="606"/>
      <c r="R36" s="610"/>
    </row>
    <row r="37" spans="2:19">
      <c r="B37" s="607"/>
      <c r="C37" s="607"/>
      <c r="D37" s="608"/>
      <c r="E37" s="608"/>
      <c r="F37" s="608"/>
      <c r="G37" s="608"/>
      <c r="H37" s="608"/>
      <c r="I37" s="609"/>
      <c r="J37" s="608"/>
      <c r="K37" s="608"/>
      <c r="L37" s="608"/>
      <c r="M37" s="610"/>
      <c r="N37" s="608"/>
      <c r="O37" s="610"/>
      <c r="P37" s="608"/>
      <c r="Q37" s="610"/>
      <c r="R37" s="610"/>
    </row>
    <row r="38" spans="2:19">
      <c r="B38" s="598" t="s">
        <v>693</v>
      </c>
      <c r="C38" s="611" t="s">
        <v>1177</v>
      </c>
      <c r="D38" s="602">
        <f>+D12+D17+D22+D27</f>
        <v>0</v>
      </c>
      <c r="E38" s="602"/>
      <c r="F38" s="602">
        <f>+F12+F17+F22+F27+F32</f>
        <v>0</v>
      </c>
      <c r="G38" s="602"/>
      <c r="H38" s="602">
        <f>+H12+H17+H22+H27</f>
        <v>93634587.849999979</v>
      </c>
      <c r="J38" s="602">
        <f>+J12+J17+J22+J27+J32</f>
        <v>171533987.17384687</v>
      </c>
      <c r="K38" s="602"/>
      <c r="L38" s="602">
        <f>+L12+L17+L22+L27+L32</f>
        <v>91337053.550505489</v>
      </c>
      <c r="N38" s="602">
        <f>+N12+N17+N22+N27+N32</f>
        <v>73658049.848791406</v>
      </c>
      <c r="P38" s="602">
        <f>+P12+P17+P22+P27+P32</f>
        <v>108310991.28662351</v>
      </c>
      <c r="R38" s="610"/>
    </row>
    <row r="39" spans="2:19">
      <c r="B39" s="598"/>
      <c r="C39" s="611" t="s">
        <v>1178</v>
      </c>
      <c r="D39" s="602">
        <f>+D13+D18+D23+D28+D33</f>
        <v>0</v>
      </c>
      <c r="E39" s="602"/>
      <c r="F39" s="602">
        <f>+F13+F18+F23+F28+F33</f>
        <v>0</v>
      </c>
      <c r="G39" s="602"/>
      <c r="H39" s="602">
        <f>+H13+H18+H23+H28+H33</f>
        <v>17111587.779999997</v>
      </c>
      <c r="J39" s="602">
        <f>+J13+J18+J23+J28+J33</f>
        <v>21834378.046153136</v>
      </c>
      <c r="K39" s="602"/>
      <c r="L39" s="602">
        <f>+L13+L18+L23+L28+L33</f>
        <v>21730837.619494494</v>
      </c>
      <c r="N39" s="602">
        <f>+N13+N18+N23+N28+N33</f>
        <v>22779901.791208599</v>
      </c>
      <c r="P39" s="602">
        <f>+P13+P18+P23+P28+P33</f>
        <v>34063425.263376489</v>
      </c>
      <c r="R39" s="610"/>
    </row>
    <row r="40" spans="2:19">
      <c r="B40" s="598" t="s">
        <v>694</v>
      </c>
      <c r="C40" s="611" t="s">
        <v>1177</v>
      </c>
      <c r="D40" s="602">
        <f>+D14+D19+D24+D29+D34</f>
        <v>0</v>
      </c>
      <c r="E40" s="602"/>
      <c r="F40" s="602">
        <f>+F14+F19+F24+F29+F34</f>
        <v>0</v>
      </c>
      <c r="G40" s="602"/>
      <c r="H40" s="602">
        <f>+H14+H19+H24+H29+H34</f>
        <v>6767599.2613362838</v>
      </c>
      <c r="J40" s="602">
        <f>+J14+J19+J24+J29+J34</f>
        <v>23635790.857337043</v>
      </c>
      <c r="K40" s="602"/>
      <c r="L40" s="602">
        <f>+L14+L19+L24+L29+L34</f>
        <v>38555075.398141786</v>
      </c>
      <c r="N40" s="602">
        <f>+N14+N19+N24+N29+N34</f>
        <v>44471089.442995027</v>
      </c>
      <c r="P40" s="602">
        <f>+P14+P19+P24+P29+P34</f>
        <v>45619357.082885429</v>
      </c>
      <c r="R40" s="610"/>
    </row>
    <row r="41" spans="2:19">
      <c r="B41" s="598"/>
      <c r="C41" s="611" t="s">
        <v>1178</v>
      </c>
      <c r="D41" s="602">
        <f>+D15+D20+D25+D30+D35</f>
        <v>0</v>
      </c>
      <c r="E41" s="602"/>
      <c r="F41" s="602">
        <f>+F15+F20+F25+F30+F35</f>
        <v>0</v>
      </c>
      <c r="G41" s="602"/>
      <c r="H41" s="602">
        <f>+H15+H20+H25+H30+H35</f>
        <v>1288889.855</v>
      </c>
      <c r="J41" s="602">
        <f>+J15+J20+J25+J30+J35</f>
        <v>3158520.4026629585</v>
      </c>
      <c r="K41" s="602"/>
      <c r="L41" s="602">
        <f>+L15+L20+L25+L30+L35</f>
        <v>5994211.6018582098</v>
      </c>
      <c r="N41" s="602">
        <f>+N15+N20+N25+N30+N35</f>
        <v>9286206.4470049758</v>
      </c>
      <c r="P41" s="602">
        <f>+P15+P20+P25+P30+P35</f>
        <v>12301784.787114568</v>
      </c>
      <c r="R41" s="610"/>
    </row>
    <row r="42" spans="2:19">
      <c r="C42" s="598"/>
      <c r="D42" s="602"/>
      <c r="E42" s="602"/>
      <c r="F42" s="602"/>
      <c r="G42" s="602"/>
      <c r="H42" s="602"/>
      <c r="R42" s="606"/>
    </row>
    <row r="43" spans="2:19">
      <c r="B43" s="609"/>
      <c r="C43" s="609"/>
      <c r="D43" s="609"/>
      <c r="E43" s="609"/>
      <c r="F43" s="609"/>
      <c r="G43" s="609"/>
      <c r="H43" s="609"/>
      <c r="I43" s="609"/>
      <c r="J43" s="609"/>
      <c r="K43" s="609"/>
      <c r="L43" s="609"/>
      <c r="N43" s="609"/>
      <c r="P43" s="609"/>
      <c r="R43" s="606"/>
    </row>
    <row r="44" spans="2:19">
      <c r="B44" s="606" t="s">
        <v>695</v>
      </c>
      <c r="C44" s="611" t="s">
        <v>1177</v>
      </c>
      <c r="D44" s="610">
        <f>+D38-D40</f>
        <v>0</v>
      </c>
      <c r="E44" s="610"/>
      <c r="F44" s="610">
        <f>+F38-F40</f>
        <v>0</v>
      </c>
      <c r="G44" s="610"/>
      <c r="H44" s="610">
        <f>+H38-H40</f>
        <v>86866988.588663697</v>
      </c>
      <c r="I44" s="606"/>
      <c r="J44" s="612">
        <f>+J38-J40</f>
        <v>147898196.31650984</v>
      </c>
      <c r="K44" s="612"/>
      <c r="L44" s="612">
        <f>+L38-L40</f>
        <v>52781978.152363703</v>
      </c>
      <c r="N44" s="612">
        <f>+N38-N40</f>
        <v>29186960.405796379</v>
      </c>
      <c r="P44" s="612">
        <f>+P38-P40</f>
        <v>62691634.203738078</v>
      </c>
      <c r="R44" s="612"/>
    </row>
    <row r="45" spans="2:19">
      <c r="B45" s="606"/>
      <c r="C45" s="611" t="s">
        <v>1178</v>
      </c>
      <c r="D45" s="610">
        <f>+D39-D41</f>
        <v>0</v>
      </c>
      <c r="E45" s="610"/>
      <c r="F45" s="610">
        <f>+F39-F41</f>
        <v>0</v>
      </c>
      <c r="G45" s="610"/>
      <c r="H45" s="610">
        <f>+H39-H41</f>
        <v>15822697.924999997</v>
      </c>
      <c r="I45" s="606"/>
      <c r="J45" s="612">
        <f>+J39-J41</f>
        <v>18675857.643490177</v>
      </c>
      <c r="K45" s="612"/>
      <c r="L45" s="612">
        <f>+L39-L41</f>
        <v>15736626.017636284</v>
      </c>
      <c r="N45" s="612">
        <f>+N39-N41</f>
        <v>13493695.344203623</v>
      </c>
      <c r="P45" s="612">
        <f>+P39-P41</f>
        <v>21761640.476261921</v>
      </c>
      <c r="R45" s="612"/>
    </row>
    <row r="46" spans="2:19">
      <c r="B46" s="613"/>
      <c r="C46" s="613"/>
      <c r="D46" s="613"/>
      <c r="E46" s="613"/>
      <c r="F46" s="613"/>
      <c r="G46" s="613"/>
      <c r="H46" s="613"/>
      <c r="I46" s="613"/>
      <c r="J46" s="613"/>
      <c r="K46" s="613"/>
      <c r="L46" s="613"/>
      <c r="N46" s="613"/>
      <c r="P46" s="613"/>
      <c r="R46" s="606"/>
    </row>
    <row r="47" spans="2:19">
      <c r="R47" s="606"/>
    </row>
    <row r="48" spans="2:19">
      <c r="B48" s="135" t="s">
        <v>2926</v>
      </c>
      <c r="C48" s="611" t="s">
        <v>1177</v>
      </c>
      <c r="D48" s="602">
        <f>+D44*0.35</f>
        <v>0</v>
      </c>
      <c r="F48" s="614">
        <f>+F44*0.35</f>
        <v>0</v>
      </c>
      <c r="H48" s="614">
        <f>+H44*0.35</f>
        <v>30403446.006032292</v>
      </c>
      <c r="J48" s="614">
        <f>+J44*0.35</f>
        <v>51764368.710778445</v>
      </c>
      <c r="K48" s="614"/>
      <c r="L48" s="614">
        <f>+L44*0.35</f>
        <v>18473692.353327293</v>
      </c>
      <c r="N48" s="614">
        <f>+N44*0.35</f>
        <v>10215436.142028732</v>
      </c>
      <c r="P48" s="614">
        <f>+P44*0.35</f>
        <v>21942071.971308324</v>
      </c>
      <c r="R48" s="612"/>
      <c r="S48" s="614"/>
    </row>
    <row r="49" spans="1:19">
      <c r="B49" s="615" t="s">
        <v>696</v>
      </c>
      <c r="C49" s="598" t="s">
        <v>1178</v>
      </c>
      <c r="D49" s="602">
        <f>+D45*0.35</f>
        <v>0</v>
      </c>
      <c r="F49" s="614">
        <f>+F45*0.35</f>
        <v>0</v>
      </c>
      <c r="H49" s="614">
        <f>+H45*0.35</f>
        <v>5537944.2737499988</v>
      </c>
      <c r="J49" s="614">
        <f>+J45*0.35</f>
        <v>6536550.1752215615</v>
      </c>
      <c r="K49" s="614"/>
      <c r="L49" s="614">
        <f>+L45*0.35</f>
        <v>5507819.1061726995</v>
      </c>
      <c r="N49" s="614">
        <f>+N45*0.35</f>
        <v>4722793.370471268</v>
      </c>
      <c r="P49" s="614">
        <f>+P45*0.35</f>
        <v>7616574.1666916721</v>
      </c>
      <c r="R49" s="612"/>
      <c r="S49" s="614"/>
    </row>
    <row r="50" spans="1:19">
      <c r="B50" s="613"/>
      <c r="C50" s="613"/>
      <c r="D50" s="613"/>
      <c r="E50" s="613"/>
      <c r="F50" s="613"/>
      <c r="G50" s="613"/>
      <c r="H50" s="613"/>
      <c r="I50" s="613"/>
      <c r="J50" s="613"/>
      <c r="K50" s="613"/>
      <c r="L50" s="613"/>
      <c r="N50" s="613"/>
      <c r="P50" s="613"/>
      <c r="R50" s="606"/>
      <c r="S50" s="614"/>
    </row>
    <row r="51" spans="1:19">
      <c r="R51" s="606"/>
      <c r="S51" s="614"/>
    </row>
    <row r="52" spans="1:19">
      <c r="B52" s="135" t="s">
        <v>697</v>
      </c>
      <c r="C52" s="611" t="s">
        <v>1177</v>
      </c>
      <c r="D52" s="602">
        <f>+D48</f>
        <v>0</v>
      </c>
      <c r="F52" s="616">
        <f>+D52+F48</f>
        <v>0</v>
      </c>
      <c r="H52" s="616">
        <f>+F52+H48</f>
        <v>30403446.006032292</v>
      </c>
      <c r="J52" s="616">
        <f>+H52+J48</f>
        <v>82167814.716810733</v>
      </c>
      <c r="K52" s="616"/>
      <c r="L52" s="616">
        <f>+J52+L48</f>
        <v>100641507.07013802</v>
      </c>
      <c r="N52" s="616">
        <f>+L52+N48</f>
        <v>110856943.21216676</v>
      </c>
      <c r="P52" s="616">
        <f>+N52+P48</f>
        <v>132799015.18347508</v>
      </c>
      <c r="R52" s="624"/>
      <c r="S52" s="616"/>
    </row>
    <row r="53" spans="1:19">
      <c r="C53" s="598" t="s">
        <v>1178</v>
      </c>
      <c r="D53" s="602">
        <f>+D49</f>
        <v>0</v>
      </c>
      <c r="F53" s="616">
        <f>+D53+F49</f>
        <v>0</v>
      </c>
      <c r="H53" s="616">
        <f>+F53+H49</f>
        <v>5537944.2737499988</v>
      </c>
      <c r="J53" s="616">
        <f>+H53+J49</f>
        <v>12074494.44897156</v>
      </c>
      <c r="K53" s="616"/>
      <c r="L53" s="616">
        <f>+J53+L49</f>
        <v>17582313.555144258</v>
      </c>
      <c r="N53" s="616">
        <f>+L53+N49</f>
        <v>22305106.925615527</v>
      </c>
      <c r="P53" s="616">
        <f>+N53+P49</f>
        <v>29921681.092307199</v>
      </c>
      <c r="R53" s="624"/>
      <c r="S53" s="616"/>
    </row>
    <row r="54" spans="1:19">
      <c r="R54" s="606"/>
    </row>
    <row r="55" spans="1:19">
      <c r="B55" s="135" t="s">
        <v>698</v>
      </c>
      <c r="C55" s="611" t="s">
        <v>1177</v>
      </c>
      <c r="D55" s="137">
        <f>ROUND(D52/2,0)</f>
        <v>0</v>
      </c>
      <c r="F55" s="137">
        <f>ROUND((+F52+D52)/2,0)</f>
        <v>0</v>
      </c>
      <c r="H55" s="137">
        <f>ROUND((+H52+F52)/2,0)</f>
        <v>15201723</v>
      </c>
      <c r="J55" s="137">
        <f>ROUND((+J52+H52)/2,0)</f>
        <v>56285630</v>
      </c>
      <c r="L55" s="137">
        <f>ROUND((+L52+J52)/2,0)</f>
        <v>91404661</v>
      </c>
      <c r="N55" s="137">
        <f>ROUND((+N52+L52)/2,0)</f>
        <v>105749225</v>
      </c>
      <c r="P55" s="137">
        <f>ROUND((+P52+N52)/2,0)</f>
        <v>121827979</v>
      </c>
      <c r="R55" s="621"/>
      <c r="S55" s="137"/>
    </row>
    <row r="56" spans="1:19">
      <c r="C56" s="598" t="s">
        <v>1178</v>
      </c>
      <c r="D56" s="137">
        <f>ROUND(D53/2,0)</f>
        <v>0</v>
      </c>
      <c r="F56" s="137">
        <f>ROUND((+F53+D53)/2,0)</f>
        <v>0</v>
      </c>
      <c r="H56" s="137">
        <f>ROUND((+H53+F53)/2,0)</f>
        <v>2768972</v>
      </c>
      <c r="J56" s="137">
        <f>ROUND((+J53+H53)/2,0)</f>
        <v>8806219</v>
      </c>
      <c r="L56" s="137">
        <f>ROUND((+L53+J53)/2,0)</f>
        <v>14828404</v>
      </c>
      <c r="N56" s="137">
        <f>ROUND((+N53+L53)/2,0)</f>
        <v>19943710</v>
      </c>
      <c r="P56" s="137">
        <f>ROUND((+P53+N53)/2,0)</f>
        <v>26113394</v>
      </c>
      <c r="R56" s="621"/>
      <c r="S56" s="137"/>
    </row>
    <row r="57" spans="1:19">
      <c r="R57" s="606"/>
    </row>
    <row r="58" spans="1:19">
      <c r="A58" s="135" t="s">
        <v>699</v>
      </c>
      <c r="R58" s="606"/>
    </row>
    <row r="59" spans="1:19">
      <c r="A59" s="135" t="s">
        <v>700</v>
      </c>
      <c r="R59" s="606"/>
    </row>
    <row r="60" spans="1:19">
      <c r="R60" s="606"/>
    </row>
    <row r="61" spans="1:19" ht="12.75" customHeight="1">
      <c r="A61" s="617" t="s">
        <v>4841</v>
      </c>
      <c r="B61" s="617"/>
      <c r="C61" s="617"/>
      <c r="D61" s="617"/>
      <c r="E61" s="617"/>
      <c r="F61" s="617"/>
      <c r="G61" s="617"/>
      <c r="H61" s="617"/>
      <c r="I61" s="617"/>
      <c r="J61" s="617"/>
      <c r="K61" s="617"/>
      <c r="R61" s="606"/>
    </row>
    <row r="62" spans="1:19" ht="12.75" customHeight="1">
      <c r="A62" s="618" t="s">
        <v>4897</v>
      </c>
      <c r="B62" s="618"/>
      <c r="C62" s="618"/>
      <c r="D62" s="618"/>
      <c r="E62" s="618"/>
      <c r="F62" s="618"/>
      <c r="G62" s="618"/>
      <c r="H62" s="618"/>
      <c r="I62" s="618"/>
      <c r="J62" s="618"/>
      <c r="K62" s="618"/>
      <c r="R62" s="606"/>
    </row>
    <row r="63" spans="1:19" ht="12.75" customHeight="1">
      <c r="A63" s="618" t="s">
        <v>4898</v>
      </c>
      <c r="B63" s="618"/>
      <c r="C63" s="618"/>
      <c r="D63" s="618"/>
      <c r="E63" s="618"/>
      <c r="F63" s="618"/>
      <c r="G63" s="618"/>
      <c r="H63" s="618"/>
      <c r="I63" s="618"/>
      <c r="J63" s="618"/>
      <c r="K63" s="617"/>
      <c r="R63" s="606"/>
    </row>
    <row r="64" spans="1:19">
      <c r="A64" s="619"/>
      <c r="B64" s="619"/>
      <c r="C64" s="619"/>
      <c r="D64" s="619"/>
      <c r="E64" s="619"/>
      <c r="F64" s="619"/>
      <c r="G64" s="619"/>
      <c r="H64" s="619"/>
      <c r="I64" s="619"/>
      <c r="J64" s="619"/>
      <c r="K64" s="619"/>
      <c r="R64" s="606"/>
    </row>
    <row r="65" spans="1:20" ht="13.5" thickBot="1">
      <c r="A65" s="625"/>
      <c r="B65" s="627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R65" s="606"/>
    </row>
    <row r="66" spans="1:20" ht="20.25">
      <c r="B66" s="596" t="s">
        <v>1646</v>
      </c>
      <c r="R66" s="606"/>
    </row>
    <row r="67" spans="1:20">
      <c r="B67" s="135" t="s">
        <v>682</v>
      </c>
      <c r="R67" s="606"/>
    </row>
    <row r="68" spans="1:20">
      <c r="B68" s="135" t="s">
        <v>4936</v>
      </c>
      <c r="R68" s="606"/>
    </row>
    <row r="69" spans="1:20">
      <c r="B69" s="135" t="s">
        <v>683</v>
      </c>
      <c r="R69" s="606"/>
    </row>
    <row r="70" spans="1:20">
      <c r="B70" s="135" t="s">
        <v>684</v>
      </c>
      <c r="R70" s="606"/>
    </row>
    <row r="71" spans="1:20">
      <c r="B71" s="597" t="s">
        <v>4840</v>
      </c>
      <c r="R71" s="606"/>
    </row>
    <row r="72" spans="1:20">
      <c r="B72" s="598" t="s">
        <v>685</v>
      </c>
      <c r="D72" s="598" t="s">
        <v>686</v>
      </c>
      <c r="F72" s="598" t="s">
        <v>686</v>
      </c>
      <c r="H72" s="598" t="s">
        <v>686</v>
      </c>
      <c r="J72" s="598" t="s">
        <v>686</v>
      </c>
      <c r="L72" s="598" t="s">
        <v>686</v>
      </c>
      <c r="N72" s="598" t="s">
        <v>686</v>
      </c>
      <c r="P72" s="598" t="s">
        <v>686</v>
      </c>
      <c r="R72" s="611"/>
      <c r="S72" s="598"/>
      <c r="T72" s="598"/>
    </row>
    <row r="73" spans="1:20">
      <c r="B73" s="598" t="s">
        <v>687</v>
      </c>
      <c r="D73" s="598" t="s">
        <v>688</v>
      </c>
      <c r="F73" s="598" t="s">
        <v>688</v>
      </c>
      <c r="H73" s="598" t="s">
        <v>688</v>
      </c>
      <c r="J73" s="598" t="s">
        <v>688</v>
      </c>
      <c r="L73" s="598" t="s">
        <v>688</v>
      </c>
      <c r="N73" s="598" t="s">
        <v>688</v>
      </c>
      <c r="P73" s="598" t="s">
        <v>688</v>
      </c>
      <c r="R73" s="611"/>
      <c r="S73" s="598"/>
      <c r="T73" s="598"/>
    </row>
    <row r="74" spans="1:20" s="204" customFormat="1">
      <c r="B74" s="599" t="s">
        <v>688</v>
      </c>
      <c r="D74" s="600">
        <v>2008</v>
      </c>
      <c r="F74" s="600">
        <v>2009</v>
      </c>
      <c r="H74" s="600">
        <v>2010</v>
      </c>
      <c r="J74" s="600">
        <v>2011</v>
      </c>
      <c r="L74" s="600">
        <v>2012</v>
      </c>
      <c r="N74" s="600">
        <v>2013</v>
      </c>
      <c r="P74" s="600">
        <v>2014</v>
      </c>
      <c r="R74" s="623"/>
      <c r="S74" s="599"/>
      <c r="T74" s="599"/>
    </row>
    <row r="75" spans="1:20">
      <c r="D75" s="601"/>
      <c r="R75" s="606"/>
    </row>
    <row r="76" spans="1:20">
      <c r="C76" s="598"/>
      <c r="D76" s="602"/>
      <c r="E76" s="602"/>
      <c r="F76" s="602"/>
      <c r="G76" s="602"/>
      <c r="H76" s="602"/>
      <c r="J76" s="602"/>
      <c r="R76" s="606"/>
    </row>
    <row r="77" spans="1:20">
      <c r="B77" s="598" t="s">
        <v>689</v>
      </c>
      <c r="C77" s="598" t="s">
        <v>1177</v>
      </c>
      <c r="D77" s="602"/>
      <c r="E77" s="602"/>
      <c r="F77" s="602"/>
      <c r="G77" s="602"/>
      <c r="H77" s="602">
        <v>93634587.849999979</v>
      </c>
      <c r="J77" s="602">
        <v>4462701.2832216807</v>
      </c>
      <c r="L77" s="602">
        <v>4025070.0484969849</v>
      </c>
      <c r="N77" s="602">
        <v>3487200.389147399</v>
      </c>
      <c r="P77" s="602">
        <v>2958622.8692522109</v>
      </c>
      <c r="R77" s="610"/>
    </row>
    <row r="78" spans="1:20">
      <c r="B78" s="598"/>
      <c r="C78" s="598" t="s">
        <v>1178</v>
      </c>
      <c r="D78" s="602"/>
      <c r="E78" s="602"/>
      <c r="F78" s="602"/>
      <c r="G78" s="602"/>
      <c r="H78" s="602">
        <v>17111587.779999997</v>
      </c>
      <c r="J78" s="602">
        <v>592807.2767783195</v>
      </c>
      <c r="L78" s="602">
        <v>532967.68150301522</v>
      </c>
      <c r="N78" s="602">
        <v>459669.58085260086</v>
      </c>
      <c r="P78" s="602">
        <v>387878.59074778913</v>
      </c>
      <c r="R78" s="610"/>
    </row>
    <row r="79" spans="1:20">
      <c r="B79" s="598" t="s">
        <v>690</v>
      </c>
      <c r="C79" s="598" t="s">
        <v>1177</v>
      </c>
      <c r="D79" s="602"/>
      <c r="E79" s="602"/>
      <c r="F79" s="602"/>
      <c r="G79" s="602"/>
      <c r="H79" s="602">
        <v>6767599.2613362838</v>
      </c>
      <c r="I79" s="602"/>
      <c r="J79" s="602">
        <v>11343521.389218934</v>
      </c>
      <c r="K79" s="602"/>
      <c r="L79" s="602">
        <v>10141182.274633789</v>
      </c>
      <c r="N79" s="602">
        <v>8960893.915184889</v>
      </c>
      <c r="P79" s="602">
        <v>7918527.9629774326</v>
      </c>
      <c r="R79" s="610"/>
    </row>
    <row r="80" spans="1:20">
      <c r="B80" s="598"/>
      <c r="C80" s="598" t="s">
        <v>1178</v>
      </c>
      <c r="D80" s="602"/>
      <c r="E80" s="602"/>
      <c r="F80" s="602"/>
      <c r="G80" s="602"/>
      <c r="H80" s="602">
        <v>1288889.855</v>
      </c>
      <c r="I80" s="602"/>
      <c r="J80" s="602">
        <v>1790465.8707810659</v>
      </c>
      <c r="L80" s="602">
        <v>1594668.7553662108</v>
      </c>
      <c r="N80" s="602">
        <v>1401221.3948151106</v>
      </c>
      <c r="P80" s="602">
        <v>1229442.5070225678</v>
      </c>
      <c r="R80" s="610"/>
    </row>
    <row r="81" spans="2:18">
      <c r="B81" s="598"/>
      <c r="C81" s="598"/>
      <c r="D81" s="602"/>
      <c r="E81" s="602"/>
      <c r="F81" s="602"/>
      <c r="G81" s="602"/>
      <c r="H81" s="602"/>
      <c r="J81" s="602"/>
      <c r="L81" s="602"/>
      <c r="N81" s="602"/>
      <c r="P81" s="602"/>
      <c r="R81" s="610"/>
    </row>
    <row r="82" spans="2:18">
      <c r="B82" s="598" t="s">
        <v>691</v>
      </c>
      <c r="C82" s="598" t="s">
        <v>1177</v>
      </c>
      <c r="D82" s="602"/>
      <c r="E82" s="602"/>
      <c r="F82" s="602"/>
      <c r="G82" s="602"/>
      <c r="H82" s="602">
        <v>0</v>
      </c>
      <c r="J82" s="602">
        <v>167071285.89062518</v>
      </c>
      <c r="K82" s="603"/>
      <c r="L82" s="602">
        <v>1128339.3830292043</v>
      </c>
      <c r="N82" s="602">
        <v>948643.97305743198</v>
      </c>
      <c r="P82" s="602">
        <v>821801.49304946</v>
      </c>
      <c r="R82" s="610"/>
    </row>
    <row r="83" spans="2:18">
      <c r="B83" s="598"/>
      <c r="C83" s="598" t="s">
        <v>1178</v>
      </c>
      <c r="D83" s="602"/>
      <c r="E83" s="602"/>
      <c r="F83" s="602"/>
      <c r="G83" s="602"/>
      <c r="H83" s="602">
        <v>0</v>
      </c>
      <c r="J83" s="602">
        <v>21241570.769374818</v>
      </c>
      <c r="K83" s="603"/>
      <c r="L83" s="602">
        <v>466823.98697079573</v>
      </c>
      <c r="N83" s="602">
        <v>430729.18694256805</v>
      </c>
      <c r="P83" s="602">
        <v>395271.80695054005</v>
      </c>
      <c r="R83" s="610"/>
    </row>
    <row r="84" spans="2:18">
      <c r="B84" s="598" t="s">
        <v>692</v>
      </c>
      <c r="C84" s="598" t="s">
        <v>1177</v>
      </c>
      <c r="D84" s="602"/>
      <c r="E84" s="602"/>
      <c r="F84" s="602"/>
      <c r="G84" s="602"/>
      <c r="H84" s="602">
        <v>0</v>
      </c>
      <c r="J84" s="602">
        <v>12292269.468118109</v>
      </c>
      <c r="L84" s="602">
        <v>21282309.387078077</v>
      </c>
      <c r="N84" s="602">
        <v>16052325.629966751</v>
      </c>
      <c r="P84" s="602">
        <v>12759384.712862767</v>
      </c>
      <c r="R84" s="610"/>
    </row>
    <row r="85" spans="2:18">
      <c r="B85" s="598"/>
      <c r="C85" s="598" t="s">
        <v>1178</v>
      </c>
      <c r="D85" s="602"/>
      <c r="E85" s="602"/>
      <c r="F85" s="602"/>
      <c r="G85" s="602"/>
      <c r="H85" s="602">
        <v>0</v>
      </c>
      <c r="J85" s="602">
        <v>1368054.5318818926</v>
      </c>
      <c r="L85" s="602">
        <v>2523869.7629219224</v>
      </c>
      <c r="N85" s="602">
        <v>2144023.0300332508</v>
      </c>
      <c r="P85" s="602">
        <v>1850427.447137234</v>
      </c>
      <c r="R85" s="610"/>
    </row>
    <row r="86" spans="2:18">
      <c r="B86" s="598"/>
      <c r="C86" s="598"/>
      <c r="D86" s="602"/>
      <c r="E86" s="602"/>
      <c r="F86" s="602"/>
      <c r="G86" s="602"/>
      <c r="H86" s="602"/>
      <c r="J86" s="602"/>
      <c r="L86" s="602"/>
      <c r="N86" s="602"/>
      <c r="P86" s="602"/>
      <c r="R86" s="610"/>
    </row>
    <row r="87" spans="2:18">
      <c r="B87" s="598" t="s">
        <v>4378</v>
      </c>
      <c r="C87" s="598" t="s">
        <v>1177</v>
      </c>
      <c r="D87" s="602"/>
      <c r="E87" s="602"/>
      <c r="F87" s="602"/>
      <c r="G87" s="602"/>
      <c r="H87" s="602">
        <v>0</v>
      </c>
      <c r="J87" s="602">
        <v>0</v>
      </c>
      <c r="L87" s="602">
        <v>86183644.118979305</v>
      </c>
      <c r="N87" s="602">
        <v>4016951.3956690431</v>
      </c>
      <c r="P87" s="602">
        <v>3415349.7078236332</v>
      </c>
      <c r="R87" s="610"/>
    </row>
    <row r="88" spans="2:18">
      <c r="B88" s="598"/>
      <c r="C88" s="598" t="s">
        <v>1178</v>
      </c>
      <c r="D88" s="602"/>
      <c r="E88" s="602"/>
      <c r="F88" s="602"/>
      <c r="G88" s="602"/>
      <c r="H88" s="602">
        <v>0</v>
      </c>
      <c r="J88" s="602">
        <v>0</v>
      </c>
      <c r="L88" s="602">
        <v>20731045.951020684</v>
      </c>
      <c r="N88" s="602">
        <v>1348297.5643309569</v>
      </c>
      <c r="P88" s="602">
        <v>1154814.8921763669</v>
      </c>
      <c r="R88" s="610"/>
    </row>
    <row r="89" spans="2:18">
      <c r="B89" s="598" t="s">
        <v>4379</v>
      </c>
      <c r="C89" s="598" t="s">
        <v>1177</v>
      </c>
      <c r="D89" s="602"/>
      <c r="E89" s="602"/>
      <c r="F89" s="602"/>
      <c r="G89" s="602"/>
      <c r="H89" s="602">
        <v>0</v>
      </c>
      <c r="J89" s="602">
        <v>0</v>
      </c>
      <c r="L89" s="602">
        <v>7131583.7364299223</v>
      </c>
      <c r="N89" s="602">
        <v>12668421.518988613</v>
      </c>
      <c r="P89" s="602">
        <v>10437845.601572203</v>
      </c>
      <c r="R89" s="610"/>
    </row>
    <row r="90" spans="2:18">
      <c r="B90" s="598"/>
      <c r="C90" s="598" t="s">
        <v>1178</v>
      </c>
      <c r="D90" s="602"/>
      <c r="E90" s="602"/>
      <c r="F90" s="602"/>
      <c r="G90" s="602"/>
      <c r="H90" s="602">
        <v>0</v>
      </c>
      <c r="J90" s="602">
        <v>0</v>
      </c>
      <c r="L90" s="602">
        <v>1875673.0835700766</v>
      </c>
      <c r="N90" s="602">
        <v>3389733.811011388</v>
      </c>
      <c r="P90" s="602">
        <v>2836289.7584277983</v>
      </c>
      <c r="R90" s="610"/>
    </row>
    <row r="91" spans="2:18">
      <c r="B91" s="598"/>
      <c r="C91" s="598"/>
      <c r="D91" s="602"/>
      <c r="E91" s="602"/>
      <c r="F91" s="602"/>
      <c r="G91" s="602"/>
      <c r="H91" s="602"/>
      <c r="J91" s="602"/>
      <c r="L91" s="602"/>
      <c r="N91" s="602"/>
      <c r="P91" s="602"/>
      <c r="R91" s="610"/>
    </row>
    <row r="92" spans="2:18">
      <c r="B92" s="598" t="s">
        <v>4524</v>
      </c>
      <c r="C92" s="598" t="s">
        <v>1177</v>
      </c>
      <c r="D92" s="602"/>
      <c r="E92" s="602"/>
      <c r="F92" s="602"/>
      <c r="G92" s="602"/>
      <c r="H92" s="602"/>
      <c r="J92" s="602">
        <v>0</v>
      </c>
      <c r="L92" s="602">
        <v>0</v>
      </c>
      <c r="N92" s="602">
        <v>65205254.090917528</v>
      </c>
      <c r="P92" s="602">
        <v>1777323.2164982078</v>
      </c>
      <c r="R92" s="610"/>
    </row>
    <row r="93" spans="2:18">
      <c r="B93" s="598"/>
      <c r="C93" s="598" t="s">
        <v>1178</v>
      </c>
      <c r="D93" s="602"/>
      <c r="E93" s="602"/>
      <c r="F93" s="602"/>
      <c r="G93" s="602"/>
      <c r="H93" s="602"/>
      <c r="J93" s="602">
        <v>0</v>
      </c>
      <c r="L93" s="602">
        <v>0</v>
      </c>
      <c r="N93" s="602">
        <v>20541205.459082473</v>
      </c>
      <c r="P93" s="602">
        <v>613707.97350179241</v>
      </c>
      <c r="R93" s="610"/>
    </row>
    <row r="94" spans="2:18">
      <c r="B94" s="598" t="s">
        <v>4525</v>
      </c>
      <c r="C94" s="598" t="s">
        <v>1177</v>
      </c>
      <c r="D94" s="602"/>
      <c r="E94" s="602"/>
      <c r="F94" s="602"/>
      <c r="G94" s="602"/>
      <c r="H94" s="602"/>
      <c r="J94" s="602">
        <v>0</v>
      </c>
      <c r="L94" s="602">
        <v>0</v>
      </c>
      <c r="N94" s="602">
        <v>6789448.3788547749</v>
      </c>
      <c r="P94" s="602">
        <v>8787917.0633206666</v>
      </c>
      <c r="R94" s="610"/>
    </row>
    <row r="95" spans="2:18">
      <c r="B95" s="598"/>
      <c r="C95" s="598" t="s">
        <v>1178</v>
      </c>
      <c r="D95" s="602"/>
      <c r="E95" s="602"/>
      <c r="F95" s="602"/>
      <c r="G95" s="602"/>
      <c r="H95" s="602"/>
      <c r="J95" s="602">
        <v>0</v>
      </c>
      <c r="L95" s="602">
        <v>0</v>
      </c>
      <c r="N95" s="602">
        <v>2351228.2111452254</v>
      </c>
      <c r="P95" s="602">
        <v>2967724.9666793318</v>
      </c>
      <c r="R95" s="610"/>
    </row>
    <row r="96" spans="2:18">
      <c r="B96" s="598"/>
      <c r="C96" s="598"/>
      <c r="D96" s="602"/>
      <c r="E96" s="602"/>
      <c r="F96" s="602"/>
      <c r="G96" s="602"/>
      <c r="H96" s="602"/>
      <c r="J96" s="602"/>
      <c r="L96" s="602"/>
      <c r="N96" s="602"/>
      <c r="P96" s="602"/>
      <c r="R96" s="610"/>
    </row>
    <row r="97" spans="2:18">
      <c r="B97" s="598" t="s">
        <v>4617</v>
      </c>
      <c r="C97" s="598" t="s">
        <v>1177</v>
      </c>
      <c r="D97" s="602" t="s">
        <v>4842</v>
      </c>
      <c r="E97" s="602"/>
      <c r="F97" s="602"/>
      <c r="G97" s="602"/>
      <c r="H97" s="620" t="s">
        <v>4842</v>
      </c>
      <c r="J97" s="602"/>
      <c r="L97" s="602"/>
      <c r="N97" s="602"/>
      <c r="P97" s="602">
        <v>0</v>
      </c>
      <c r="R97" s="610"/>
    </row>
    <row r="98" spans="2:18">
      <c r="B98" s="598"/>
      <c r="C98" s="598" t="s">
        <v>1178</v>
      </c>
      <c r="D98" s="602"/>
      <c r="E98" s="602"/>
      <c r="F98" s="602"/>
      <c r="G98" s="602"/>
      <c r="H98" s="602"/>
      <c r="J98" s="602"/>
      <c r="L98" s="602"/>
      <c r="N98" s="602"/>
      <c r="P98" s="602">
        <v>0</v>
      </c>
      <c r="R98" s="610"/>
    </row>
    <row r="99" spans="2:18">
      <c r="B99" s="598" t="s">
        <v>4618</v>
      </c>
      <c r="C99" s="598" t="s">
        <v>1177</v>
      </c>
      <c r="D99" s="602"/>
      <c r="E99" s="602"/>
      <c r="F99" s="602"/>
      <c r="G99" s="602"/>
      <c r="H99" s="602"/>
      <c r="J99" s="602"/>
      <c r="L99" s="602"/>
      <c r="N99" s="602"/>
      <c r="P99" s="602">
        <v>0</v>
      </c>
      <c r="R99" s="610"/>
    </row>
    <row r="100" spans="2:18">
      <c r="B100" s="598"/>
      <c r="C100" s="598" t="s">
        <v>1178</v>
      </c>
      <c r="D100" s="602"/>
      <c r="E100" s="602"/>
      <c r="F100" s="602"/>
      <c r="G100" s="602"/>
      <c r="H100" s="602"/>
      <c r="J100" s="602"/>
      <c r="L100" s="602"/>
      <c r="N100" s="602"/>
      <c r="P100" s="602">
        <v>0</v>
      </c>
      <c r="R100" s="610"/>
    </row>
    <row r="101" spans="2:18">
      <c r="B101" s="598"/>
      <c r="C101" s="598"/>
      <c r="D101" s="602"/>
      <c r="E101" s="602"/>
      <c r="F101" s="602"/>
      <c r="G101" s="602"/>
      <c r="H101" s="602"/>
      <c r="J101" s="602"/>
      <c r="L101" s="602"/>
      <c r="N101" s="602"/>
      <c r="P101" s="602"/>
      <c r="R101" s="610"/>
    </row>
    <row r="102" spans="2:18">
      <c r="B102" s="598"/>
      <c r="C102" s="598"/>
      <c r="D102" s="602"/>
      <c r="E102" s="602"/>
      <c r="F102" s="602"/>
      <c r="G102" s="602"/>
      <c r="H102" s="602"/>
      <c r="J102" s="602"/>
      <c r="K102" s="602"/>
      <c r="L102" s="602"/>
      <c r="M102" s="606"/>
      <c r="N102" s="602"/>
      <c r="O102" s="606"/>
      <c r="P102" s="602"/>
      <c r="Q102" s="606"/>
      <c r="R102" s="610"/>
    </row>
    <row r="103" spans="2:18">
      <c r="B103" s="607"/>
      <c r="C103" s="607"/>
      <c r="D103" s="608"/>
      <c r="E103" s="608"/>
      <c r="F103" s="608"/>
      <c r="G103" s="608"/>
      <c r="H103" s="608"/>
      <c r="I103" s="609"/>
      <c r="J103" s="608"/>
      <c r="K103" s="608"/>
      <c r="L103" s="608"/>
      <c r="M103" s="610"/>
      <c r="N103" s="608"/>
      <c r="O103" s="610"/>
      <c r="P103" s="608"/>
      <c r="Q103" s="610"/>
      <c r="R103" s="610"/>
    </row>
    <row r="104" spans="2:18">
      <c r="B104" s="598" t="s">
        <v>693</v>
      </c>
      <c r="C104" s="611" t="s">
        <v>1177</v>
      </c>
      <c r="D104" s="602">
        <f>+D77+D82+D87+D92</f>
        <v>0</v>
      </c>
      <c r="E104" s="602"/>
      <c r="F104" s="602">
        <f>+F77+F82+F87+F92+F97</f>
        <v>0</v>
      </c>
      <c r="G104" s="602"/>
      <c r="H104" s="602">
        <f>+H77+H82+H87+H92</f>
        <v>93634587.849999979</v>
      </c>
      <c r="J104" s="602">
        <f>+J77+J82+J87+J92+J97</f>
        <v>171533987.17384687</v>
      </c>
      <c r="K104" s="602"/>
      <c r="L104" s="602">
        <f>+L77+L82+L87+L92+L97</f>
        <v>91337053.550505489</v>
      </c>
      <c r="N104" s="602">
        <f>+N77+N82+N87+N92+N97</f>
        <v>73658049.848791406</v>
      </c>
      <c r="P104" s="602">
        <f>+P77+P82+P87+P92+P97</f>
        <v>8973097.2866235115</v>
      </c>
      <c r="R104" s="610"/>
    </row>
    <row r="105" spans="2:18">
      <c r="B105" s="598"/>
      <c r="C105" s="611" t="s">
        <v>1178</v>
      </c>
      <c r="D105" s="602">
        <f>+D78+D83+D88+D93+D98</f>
        <v>0</v>
      </c>
      <c r="E105" s="602"/>
      <c r="F105" s="602">
        <f>+F78+F83+F88+F93+F98</f>
        <v>0</v>
      </c>
      <c r="G105" s="602"/>
      <c r="H105" s="602">
        <f>+H78+H83+H88+H93+H98</f>
        <v>17111587.779999997</v>
      </c>
      <c r="J105" s="602">
        <f>+J78+J83+J88+J93+J98</f>
        <v>21834378.046153136</v>
      </c>
      <c r="K105" s="602"/>
      <c r="L105" s="602">
        <f>+L78+L83+L88+L93+L98</f>
        <v>21730837.619494494</v>
      </c>
      <c r="N105" s="602">
        <f>+N78+N83+N88+N93+N98</f>
        <v>22779901.791208599</v>
      </c>
      <c r="P105" s="602">
        <f>+P78+P83+P88+P93+P98</f>
        <v>2551673.2633764884</v>
      </c>
      <c r="R105" s="610"/>
    </row>
    <row r="106" spans="2:18">
      <c r="B106" s="598" t="s">
        <v>694</v>
      </c>
      <c r="C106" s="611" t="s">
        <v>1177</v>
      </c>
      <c r="D106" s="602">
        <f>+D79+D84+D89+D94+D99</f>
        <v>0</v>
      </c>
      <c r="E106" s="602"/>
      <c r="F106" s="602">
        <f>+F79+F84+F89+F94+F99</f>
        <v>0</v>
      </c>
      <c r="G106" s="602"/>
      <c r="H106" s="602">
        <f>+H79+H84+H89+H94+H99</f>
        <v>6767599.2613362838</v>
      </c>
      <c r="J106" s="602">
        <f>+J79+J84+J89+J94+J99</f>
        <v>23635790.857337043</v>
      </c>
      <c r="K106" s="602"/>
      <c r="L106" s="602">
        <f>+L79+L84+L89+L94+L99</f>
        <v>38555075.398141786</v>
      </c>
      <c r="N106" s="602">
        <f>+N79+N84+N89+N94+N99</f>
        <v>44471089.442995027</v>
      </c>
      <c r="P106" s="602">
        <f>+P79+P84+P89+P94+P99</f>
        <v>39903675.340733066</v>
      </c>
      <c r="R106" s="610"/>
    </row>
    <row r="107" spans="2:18">
      <c r="B107" s="598"/>
      <c r="C107" s="611" t="s">
        <v>1178</v>
      </c>
      <c r="D107" s="602">
        <f>+D80+D85+D90+D95+D100</f>
        <v>0</v>
      </c>
      <c r="E107" s="602"/>
      <c r="F107" s="602">
        <f>+F80+F85+F90+F95+F100</f>
        <v>0</v>
      </c>
      <c r="G107" s="602"/>
      <c r="H107" s="602">
        <f>+H80+H85+H90+H95+H100</f>
        <v>1288889.855</v>
      </c>
      <c r="J107" s="602">
        <f>+J80+J85+J90+J95+J100</f>
        <v>3158520.4026629585</v>
      </c>
      <c r="K107" s="602"/>
      <c r="L107" s="602">
        <f>+L80+L85+L90+L95+L100</f>
        <v>5994211.6018582098</v>
      </c>
      <c r="N107" s="602">
        <f>+N80+N85+N90+N95+N100</f>
        <v>9286206.4470049758</v>
      </c>
      <c r="P107" s="602">
        <f>+P80+P85+P90+P95+P100</f>
        <v>8883884.6792669334</v>
      </c>
      <c r="R107" s="610"/>
    </row>
    <row r="108" spans="2:18">
      <c r="C108" s="598"/>
      <c r="D108" s="602"/>
      <c r="E108" s="602"/>
      <c r="F108" s="602"/>
      <c r="G108" s="602"/>
      <c r="H108" s="602"/>
      <c r="R108" s="606"/>
    </row>
    <row r="109" spans="2:18">
      <c r="B109" s="609"/>
      <c r="C109" s="609"/>
      <c r="D109" s="609"/>
      <c r="E109" s="609"/>
      <c r="F109" s="609"/>
      <c r="G109" s="609"/>
      <c r="H109" s="609"/>
      <c r="I109" s="609"/>
      <c r="J109" s="609"/>
      <c r="K109" s="609"/>
      <c r="L109" s="609"/>
      <c r="N109" s="609"/>
      <c r="P109" s="609"/>
      <c r="R109" s="606"/>
    </row>
    <row r="110" spans="2:18">
      <c r="B110" s="606" t="s">
        <v>695</v>
      </c>
      <c r="C110" s="611" t="s">
        <v>1177</v>
      </c>
      <c r="D110" s="610">
        <f>+D104-D106</f>
        <v>0</v>
      </c>
      <c r="E110" s="610"/>
      <c r="F110" s="610">
        <f>+F104-F106</f>
        <v>0</v>
      </c>
      <c r="G110" s="610"/>
      <c r="H110" s="610">
        <f>+H104-H106</f>
        <v>86866988.588663697</v>
      </c>
      <c r="I110" s="606"/>
      <c r="J110" s="612">
        <f>+J104-J106</f>
        <v>147898196.31650984</v>
      </c>
      <c r="K110" s="612"/>
      <c r="L110" s="612">
        <f>+L104-L106</f>
        <v>52781978.152363703</v>
      </c>
      <c r="N110" s="612">
        <f>+N104-N106</f>
        <v>29186960.405796379</v>
      </c>
      <c r="P110" s="612">
        <f>+P104-P106</f>
        <v>-30930578.054109555</v>
      </c>
      <c r="R110" s="612"/>
    </row>
    <row r="111" spans="2:18">
      <c r="B111" s="606"/>
      <c r="C111" s="611" t="s">
        <v>1178</v>
      </c>
      <c r="D111" s="610">
        <f>+D105-D107</f>
        <v>0</v>
      </c>
      <c r="E111" s="610"/>
      <c r="F111" s="610">
        <f>+F105-F107</f>
        <v>0</v>
      </c>
      <c r="G111" s="610"/>
      <c r="H111" s="610">
        <f>+H105-H107</f>
        <v>15822697.924999997</v>
      </c>
      <c r="I111" s="606"/>
      <c r="J111" s="612">
        <f>+J105-J107</f>
        <v>18675857.643490177</v>
      </c>
      <c r="K111" s="612"/>
      <c r="L111" s="612">
        <f>+L105-L107</f>
        <v>15736626.017636284</v>
      </c>
      <c r="N111" s="612">
        <f>+N105-N107</f>
        <v>13493695.344203623</v>
      </c>
      <c r="P111" s="612">
        <f>+P105-P107</f>
        <v>-6332211.415890445</v>
      </c>
      <c r="R111" s="612"/>
    </row>
    <row r="112" spans="2:18">
      <c r="B112" s="613"/>
      <c r="C112" s="613"/>
      <c r="D112" s="613"/>
      <c r="E112" s="613"/>
      <c r="F112" s="613"/>
      <c r="G112" s="613"/>
      <c r="H112" s="613"/>
      <c r="I112" s="613"/>
      <c r="J112" s="613"/>
      <c r="K112" s="613"/>
      <c r="L112" s="613"/>
      <c r="N112" s="613"/>
      <c r="P112" s="613"/>
      <c r="R112" s="606"/>
    </row>
    <row r="113" spans="1:19">
      <c r="R113" s="606"/>
    </row>
    <row r="114" spans="1:19">
      <c r="B114" s="135" t="s">
        <v>2926</v>
      </c>
      <c r="C114" s="611" t="s">
        <v>1177</v>
      </c>
      <c r="D114" s="602">
        <f>+D110*0.35</f>
        <v>0</v>
      </c>
      <c r="F114" s="614">
        <f>+F110*0.35</f>
        <v>0</v>
      </c>
      <c r="H114" s="614">
        <f>+H110*0.35</f>
        <v>30403446.006032292</v>
      </c>
      <c r="J114" s="614">
        <f>+J110*0.35</f>
        <v>51764368.710778445</v>
      </c>
      <c r="K114" s="614"/>
      <c r="L114" s="614">
        <f>+L110*0.35</f>
        <v>18473692.353327293</v>
      </c>
      <c r="N114" s="614">
        <f>+N110*0.35</f>
        <v>10215436.142028732</v>
      </c>
      <c r="P114" s="614">
        <f>+P110*0.35</f>
        <v>-10825702.318938343</v>
      </c>
      <c r="R114" s="612"/>
      <c r="S114" s="614"/>
    </row>
    <row r="115" spans="1:19">
      <c r="B115" s="615" t="s">
        <v>696</v>
      </c>
      <c r="C115" s="598" t="s">
        <v>1178</v>
      </c>
      <c r="D115" s="602">
        <f>+D111*0.35</f>
        <v>0</v>
      </c>
      <c r="F115" s="614">
        <f>+F111*0.35</f>
        <v>0</v>
      </c>
      <c r="H115" s="614">
        <f>+H111*0.35</f>
        <v>5537944.2737499988</v>
      </c>
      <c r="J115" s="614">
        <f>+J111*0.35</f>
        <v>6536550.1752215615</v>
      </c>
      <c r="K115" s="614"/>
      <c r="L115" s="614">
        <f>+L111*0.35</f>
        <v>5507819.1061726995</v>
      </c>
      <c r="N115" s="614">
        <f>+N111*0.35</f>
        <v>4722793.370471268</v>
      </c>
      <c r="P115" s="614">
        <f>+P111*0.35</f>
        <v>-2216273.9955616556</v>
      </c>
      <c r="R115" s="612"/>
      <c r="S115" s="614"/>
    </row>
    <row r="116" spans="1:19">
      <c r="B116" s="613"/>
      <c r="C116" s="613"/>
      <c r="D116" s="613"/>
      <c r="E116" s="613"/>
      <c r="F116" s="613"/>
      <c r="G116" s="613"/>
      <c r="H116" s="613"/>
      <c r="I116" s="613"/>
      <c r="J116" s="613"/>
      <c r="K116" s="613"/>
      <c r="L116" s="613"/>
      <c r="N116" s="613"/>
      <c r="P116" s="613"/>
      <c r="R116" s="606"/>
      <c r="S116" s="614"/>
    </row>
    <row r="117" spans="1:19">
      <c r="R117" s="606"/>
      <c r="S117" s="614"/>
    </row>
    <row r="118" spans="1:19">
      <c r="B118" s="135" t="s">
        <v>697</v>
      </c>
      <c r="C118" s="611" t="s">
        <v>1177</v>
      </c>
      <c r="D118" s="602">
        <f>+D114</f>
        <v>0</v>
      </c>
      <c r="F118" s="616">
        <f>+D118+F114</f>
        <v>0</v>
      </c>
      <c r="H118" s="616">
        <f>+F118+H114</f>
        <v>30403446.006032292</v>
      </c>
      <c r="J118" s="616">
        <f>+H118+J114</f>
        <v>82167814.716810733</v>
      </c>
      <c r="K118" s="616"/>
      <c r="L118" s="616">
        <f>+J118+L114</f>
        <v>100641507.07013802</v>
      </c>
      <c r="N118" s="616">
        <f>+L118+N114</f>
        <v>110856943.21216676</v>
      </c>
      <c r="P118" s="616">
        <f>+N118+P114</f>
        <v>100031240.89322841</v>
      </c>
      <c r="R118" s="624"/>
      <c r="S118" s="616"/>
    </row>
    <row r="119" spans="1:19">
      <c r="C119" s="598" t="s">
        <v>1178</v>
      </c>
      <c r="D119" s="602">
        <f>+D115</f>
        <v>0</v>
      </c>
      <c r="F119" s="616">
        <f>+D119+F115</f>
        <v>0</v>
      </c>
      <c r="H119" s="616">
        <f>+F119+H115</f>
        <v>5537944.2737499988</v>
      </c>
      <c r="J119" s="616">
        <f>+H119+J115</f>
        <v>12074494.44897156</v>
      </c>
      <c r="K119" s="616"/>
      <c r="L119" s="616">
        <f>+J119+L115</f>
        <v>17582313.555144258</v>
      </c>
      <c r="N119" s="616">
        <f>+L119+N115</f>
        <v>22305106.925615527</v>
      </c>
      <c r="P119" s="616">
        <f>+N119+P115</f>
        <v>20088832.930053871</v>
      </c>
      <c r="R119" s="624"/>
      <c r="S119" s="616"/>
    </row>
    <row r="120" spans="1:19">
      <c r="R120" s="606"/>
    </row>
    <row r="121" spans="1:19">
      <c r="B121" s="135" t="s">
        <v>698</v>
      </c>
      <c r="C121" s="611" t="s">
        <v>1177</v>
      </c>
      <c r="D121" s="137">
        <f>ROUND(D118/2,0)</f>
        <v>0</v>
      </c>
      <c r="F121" s="137">
        <f>ROUND((+F118+D118)/2,0)</f>
        <v>0</v>
      </c>
      <c r="H121" s="137">
        <f>ROUND((+H118+F118)/2,0)</f>
        <v>15201723</v>
      </c>
      <c r="J121" s="137">
        <f>ROUND((+J118+H118)/2,0)</f>
        <v>56285630</v>
      </c>
      <c r="L121" s="137">
        <f>ROUND((+L118+J118)/2,0)</f>
        <v>91404661</v>
      </c>
      <c r="N121" s="137">
        <f>ROUND((+N118+L118)/2,0)</f>
        <v>105749225</v>
      </c>
      <c r="P121" s="137">
        <f>ROUND((+P118+N118)/2,0)</f>
        <v>105444092</v>
      </c>
      <c r="R121" s="621"/>
      <c r="S121" s="137"/>
    </row>
    <row r="122" spans="1:19">
      <c r="C122" s="598" t="s">
        <v>1178</v>
      </c>
      <c r="D122" s="137">
        <f>ROUND(D119/2,0)</f>
        <v>0</v>
      </c>
      <c r="F122" s="137">
        <f>ROUND((+F119+D119)/2,0)</f>
        <v>0</v>
      </c>
      <c r="H122" s="137">
        <f>ROUND((+H119+F119)/2,0)</f>
        <v>2768972</v>
      </c>
      <c r="J122" s="137">
        <f>ROUND((+J119+H119)/2,0)</f>
        <v>8806219</v>
      </c>
      <c r="L122" s="137">
        <f>ROUND((+L119+J119)/2,0)</f>
        <v>14828404</v>
      </c>
      <c r="N122" s="137">
        <f>ROUND((+N119+L119)/2,0)</f>
        <v>19943710</v>
      </c>
      <c r="P122" s="137">
        <f>ROUND((+P119+N119)/2,0)</f>
        <v>21196970</v>
      </c>
      <c r="R122" s="621"/>
      <c r="S122" s="137"/>
    </row>
    <row r="123" spans="1:19">
      <c r="R123" s="606"/>
    </row>
    <row r="124" spans="1:19">
      <c r="A124" s="135" t="s">
        <v>699</v>
      </c>
    </row>
    <row r="125" spans="1:19">
      <c r="A125" s="135" t="s">
        <v>700</v>
      </c>
    </row>
    <row r="127" spans="1:19">
      <c r="A127" s="617" t="s">
        <v>4841</v>
      </c>
      <c r="B127" s="617"/>
      <c r="C127" s="617"/>
      <c r="D127" s="617"/>
      <c r="E127" s="617"/>
      <c r="F127" s="617"/>
      <c r="G127" s="617"/>
      <c r="H127" s="617"/>
      <c r="I127" s="617"/>
      <c r="J127" s="617"/>
      <c r="K127" s="617"/>
    </row>
    <row r="128" spans="1:19">
      <c r="A128" s="618" t="s">
        <v>4937</v>
      </c>
      <c r="B128" s="618"/>
      <c r="C128" s="618"/>
      <c r="D128" s="618"/>
      <c r="E128" s="618"/>
      <c r="F128" s="618"/>
      <c r="G128" s="618"/>
      <c r="H128" s="618"/>
      <c r="I128" s="618"/>
      <c r="J128" s="618"/>
      <c r="K128" s="618"/>
    </row>
    <row r="129" spans="1:19">
      <c r="A129" s="618"/>
      <c r="B129" s="618"/>
      <c r="C129" s="618"/>
      <c r="D129" s="618"/>
      <c r="E129" s="618"/>
      <c r="F129" s="618"/>
      <c r="G129" s="618"/>
      <c r="H129" s="618"/>
      <c r="I129" s="618"/>
      <c r="J129" s="618"/>
      <c r="K129" s="617"/>
    </row>
    <row r="130" spans="1:19" ht="13.5" thickBot="1">
      <c r="A130" s="143" t="s">
        <v>4938</v>
      </c>
      <c r="B130" s="176"/>
      <c r="C130" s="176"/>
      <c r="H130" s="176"/>
    </row>
    <row r="131" spans="1:19">
      <c r="A131" s="591" t="s">
        <v>3163</v>
      </c>
      <c r="B131" s="115">
        <v>41609</v>
      </c>
      <c r="C131" s="115">
        <v>41640</v>
      </c>
      <c r="D131" s="115">
        <v>41671</v>
      </c>
      <c r="E131" s="115">
        <v>41699</v>
      </c>
      <c r="F131" s="115">
        <v>41730</v>
      </c>
      <c r="G131" s="115">
        <v>41760</v>
      </c>
      <c r="H131" s="115">
        <v>41791</v>
      </c>
      <c r="I131" s="145"/>
      <c r="J131" s="115">
        <v>41821</v>
      </c>
      <c r="K131" s="145"/>
      <c r="L131" s="115">
        <v>41852</v>
      </c>
      <c r="M131" s="145"/>
      <c r="N131" s="115">
        <v>41883</v>
      </c>
      <c r="O131" s="145"/>
      <c r="P131" s="115">
        <v>41913</v>
      </c>
      <c r="Q131" s="145"/>
      <c r="R131" s="115">
        <v>41944</v>
      </c>
      <c r="S131" s="177">
        <v>41974</v>
      </c>
    </row>
    <row r="132" spans="1:19">
      <c r="A132" s="110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78"/>
    </row>
    <row r="133" spans="1:19">
      <c r="A133" s="110" t="s">
        <v>1177</v>
      </c>
      <c r="B133" s="112">
        <v>-110856943.21216688</v>
      </c>
      <c r="C133" s="112">
        <f>+B133-($P$114)/12</f>
        <v>-109954801.35225534</v>
      </c>
      <c r="D133" s="112">
        <f t="shared" ref="D133:M133" si="0">+C133-($P$114)/12</f>
        <v>-109052659.49234381</v>
      </c>
      <c r="E133" s="112">
        <f t="shared" si="0"/>
        <v>-108150517.63243228</v>
      </c>
      <c r="F133" s="112">
        <f t="shared" si="0"/>
        <v>-107248375.77252075</v>
      </c>
      <c r="G133" s="112">
        <f t="shared" si="0"/>
        <v>-106346233.91260922</v>
      </c>
      <c r="H133" s="112">
        <f t="shared" si="0"/>
        <v>-105444092.05269769</v>
      </c>
      <c r="I133" s="111"/>
      <c r="J133" s="112">
        <f>+H133-($P$114)/12</f>
        <v>-104541950.19278616</v>
      </c>
      <c r="K133" s="111"/>
      <c r="L133" s="112">
        <f>+J133-($P$114)/12</f>
        <v>-103639808.33287463</v>
      </c>
      <c r="M133" s="111"/>
      <c r="N133" s="112">
        <f>+L133-($P$114)/12</f>
        <v>-102737666.47296309</v>
      </c>
      <c r="O133" s="111"/>
      <c r="P133" s="112">
        <f>+N133-($P$114)/12</f>
        <v>-101835524.61305156</v>
      </c>
      <c r="Q133" s="111"/>
      <c r="R133" s="112">
        <f>+P133-($P$114)/12</f>
        <v>-100933382.75314003</v>
      </c>
      <c r="S133" s="179">
        <f>+R133-($P$48-$P$114/12*11)</f>
        <v>-132799015.18347517</v>
      </c>
    </row>
    <row r="134" spans="1:19" ht="13.5" thickBot="1">
      <c r="A134" s="113" t="s">
        <v>1178</v>
      </c>
      <c r="B134" s="114">
        <v>-22305106.925615523</v>
      </c>
      <c r="C134" s="114">
        <f>+B134-($P$115)/12</f>
        <v>-22120417.425985385</v>
      </c>
      <c r="D134" s="114">
        <f t="shared" ref="D134:M134" si="1">+C134-($P$115)/12</f>
        <v>-21935727.926355246</v>
      </c>
      <c r="E134" s="114">
        <f t="shared" si="1"/>
        <v>-21751038.426725108</v>
      </c>
      <c r="F134" s="114">
        <f t="shared" si="1"/>
        <v>-21566348.92709497</v>
      </c>
      <c r="G134" s="114">
        <f t="shared" si="1"/>
        <v>-21381659.427464832</v>
      </c>
      <c r="H134" s="114">
        <f t="shared" si="1"/>
        <v>-21196969.927834693</v>
      </c>
      <c r="I134" s="626"/>
      <c r="J134" s="114">
        <f>+H134-($P$115)/12</f>
        <v>-21012280.428204555</v>
      </c>
      <c r="K134" s="626"/>
      <c r="L134" s="114">
        <f>+J134-($P$115)/12</f>
        <v>-20827590.928574417</v>
      </c>
      <c r="M134" s="626"/>
      <c r="N134" s="114">
        <f>+L134-($P$115)/12</f>
        <v>-20642901.428944279</v>
      </c>
      <c r="O134" s="626"/>
      <c r="P134" s="114">
        <f>+N134-($P$115)/12</f>
        <v>-20458211.92931414</v>
      </c>
      <c r="Q134" s="626"/>
      <c r="R134" s="114">
        <f>+P134-($P$115)/12</f>
        <v>-20273522.429684002</v>
      </c>
      <c r="S134" s="180">
        <f>+R134-($P$49-$P$115/12*11)</f>
        <v>-29921681.092307191</v>
      </c>
    </row>
    <row r="135" spans="1:19" ht="13.5" thickBot="1"/>
    <row r="136" spans="1:19">
      <c r="A136" s="109" t="s">
        <v>4380</v>
      </c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592"/>
    </row>
    <row r="137" spans="1:19">
      <c r="A137" s="110"/>
      <c r="B137" s="144">
        <v>41609</v>
      </c>
      <c r="C137" s="144">
        <v>41640</v>
      </c>
      <c r="D137" s="144">
        <v>41671</v>
      </c>
      <c r="E137" s="144">
        <v>41699</v>
      </c>
      <c r="F137" s="144">
        <v>41730</v>
      </c>
      <c r="G137" s="144">
        <v>41760</v>
      </c>
      <c r="H137" s="144">
        <v>41791</v>
      </c>
      <c r="I137" s="111"/>
      <c r="J137" s="144">
        <v>41821</v>
      </c>
      <c r="K137" s="111"/>
      <c r="L137" s="144">
        <v>41852</v>
      </c>
      <c r="M137" s="111"/>
      <c r="N137" s="144">
        <v>41883</v>
      </c>
      <c r="O137" s="111"/>
      <c r="P137" s="144">
        <v>41913</v>
      </c>
      <c r="Q137" s="111"/>
      <c r="R137" s="144">
        <v>41944</v>
      </c>
      <c r="S137" s="593">
        <v>41974</v>
      </c>
    </row>
    <row r="138" spans="1:19">
      <c r="A138" s="110" t="s">
        <v>1177</v>
      </c>
      <c r="B138" s="142">
        <v>-105749225.14115249</v>
      </c>
      <c r="C138" s="142">
        <v>-106527451.97777653</v>
      </c>
      <c r="D138" s="142">
        <v>-107159559.79731053</v>
      </c>
      <c r="E138" s="142">
        <v>-107645548.59975445</v>
      </c>
      <c r="F138" s="142">
        <v>-107985418.38510835</v>
      </c>
      <c r="G138" s="142">
        <v>-108179169.15337221</v>
      </c>
      <c r="H138" s="142">
        <v>-108226800.90454601</v>
      </c>
      <c r="I138" s="111"/>
      <c r="J138" s="142">
        <v>-108128313.63862972</v>
      </c>
      <c r="K138" s="111"/>
      <c r="L138" s="142">
        <v>-107883707.35562341</v>
      </c>
      <c r="M138" s="111"/>
      <c r="N138" s="142">
        <v>-107492982.05552705</v>
      </c>
      <c r="O138" s="111"/>
      <c r="P138" s="142">
        <v>-106956137.73834066</v>
      </c>
      <c r="Q138" s="111"/>
      <c r="R138" s="142">
        <v>-106273174.40406419</v>
      </c>
      <c r="S138" s="594">
        <f>(SUM(B133:S133)-(B133+S133)/2)/12</f>
        <v>-106809415.98145795</v>
      </c>
    </row>
    <row r="139" spans="1:19" ht="13.5" thickBot="1">
      <c r="A139" s="113" t="s">
        <v>1178</v>
      </c>
      <c r="B139" s="146">
        <v>-19943710.240379896</v>
      </c>
      <c r="C139" s="146">
        <v>-20313182.370676</v>
      </c>
      <c r="D139" s="146">
        <v>-20634466.533152428</v>
      </c>
      <c r="E139" s="146">
        <v>-20907562.72780918</v>
      </c>
      <c r="F139" s="146">
        <v>-21132470.954646267</v>
      </c>
      <c r="G139" s="146">
        <v>-21309191.213663671</v>
      </c>
      <c r="H139" s="146">
        <v>-21437723.504861414</v>
      </c>
      <c r="I139" s="626"/>
      <c r="J139" s="146">
        <v>-21518067.828239471</v>
      </c>
      <c r="K139" s="626"/>
      <c r="L139" s="146">
        <v>-21550224.183797866</v>
      </c>
      <c r="M139" s="626"/>
      <c r="N139" s="146">
        <v>-21534192.571536582</v>
      </c>
      <c r="O139" s="626"/>
      <c r="P139" s="146">
        <v>-21469972.991455626</v>
      </c>
      <c r="Q139" s="626"/>
      <c r="R139" s="146">
        <v>-21357565.443554994</v>
      </c>
      <c r="S139" s="595">
        <f>(SUM(B134:S134)-(B134+S134)/2)/12</f>
        <v>-21606671.93459525</v>
      </c>
    </row>
  </sheetData>
  <mergeCells count="5">
    <mergeCell ref="A64:K64"/>
    <mergeCell ref="A62:K62"/>
    <mergeCell ref="A63:J63"/>
    <mergeCell ref="A128:K128"/>
    <mergeCell ref="A129:J129"/>
  </mergeCells>
  <phoneticPr fontId="87" type="noConversion"/>
  <pageMargins left="0.44" right="0.7" top="0.41" bottom="0.43" header="0.3" footer="0.3"/>
  <pageSetup scale="65" fitToHeight="3" orientation="landscape" r:id="rId1"/>
  <headerFooter alignWithMargins="0">
    <oddFooter>&amp;C&amp;P of &amp;N</oddFooter>
  </headerFooter>
  <rowBreaks count="2" manualBreakCount="2">
    <brk id="63" max="18" man="1"/>
    <brk id="128" max="1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SAPSheet"/>
  <dimension ref="A1:P364"/>
  <sheetViews>
    <sheetView view="pageBreakPreview" zoomScaleNormal="80" zoomScaleSheetLayoutView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sqref="A1:XFD1048576"/>
    </sheetView>
  </sheetViews>
  <sheetFormatPr defaultColWidth="11.42578125" defaultRowHeight="12.75" outlineLevelRow="6"/>
  <cols>
    <col min="1" max="1" width="1.7109375" style="629" customWidth="1"/>
    <col min="2" max="2" width="35.7109375" style="629" customWidth="1"/>
    <col min="3" max="15" width="15.7109375" style="629" customWidth="1"/>
    <col min="16" max="256" width="11.42578125" style="629"/>
    <col min="257" max="257" width="1.7109375" style="629" customWidth="1"/>
    <col min="258" max="258" width="35.7109375" style="629" customWidth="1"/>
    <col min="259" max="271" width="15.7109375" style="629" customWidth="1"/>
    <col min="272" max="512" width="11.42578125" style="629"/>
    <col min="513" max="513" width="1.7109375" style="629" customWidth="1"/>
    <col min="514" max="514" width="35.7109375" style="629" customWidth="1"/>
    <col min="515" max="527" width="15.7109375" style="629" customWidth="1"/>
    <col min="528" max="768" width="11.42578125" style="629"/>
    <col min="769" max="769" width="1.7109375" style="629" customWidth="1"/>
    <col min="770" max="770" width="35.7109375" style="629" customWidth="1"/>
    <col min="771" max="783" width="15.7109375" style="629" customWidth="1"/>
    <col min="784" max="1024" width="11.42578125" style="629"/>
    <col min="1025" max="1025" width="1.7109375" style="629" customWidth="1"/>
    <col min="1026" max="1026" width="35.7109375" style="629" customWidth="1"/>
    <col min="1027" max="1039" width="15.7109375" style="629" customWidth="1"/>
    <col min="1040" max="1280" width="11.42578125" style="629"/>
    <col min="1281" max="1281" width="1.7109375" style="629" customWidth="1"/>
    <col min="1282" max="1282" width="35.7109375" style="629" customWidth="1"/>
    <col min="1283" max="1295" width="15.7109375" style="629" customWidth="1"/>
    <col min="1296" max="1536" width="11.42578125" style="629"/>
    <col min="1537" max="1537" width="1.7109375" style="629" customWidth="1"/>
    <col min="1538" max="1538" width="35.7109375" style="629" customWidth="1"/>
    <col min="1539" max="1551" width="15.7109375" style="629" customWidth="1"/>
    <col min="1552" max="1792" width="11.42578125" style="629"/>
    <col min="1793" max="1793" width="1.7109375" style="629" customWidth="1"/>
    <col min="1794" max="1794" width="35.7109375" style="629" customWidth="1"/>
    <col min="1795" max="1807" width="15.7109375" style="629" customWidth="1"/>
    <col min="1808" max="2048" width="11.42578125" style="629"/>
    <col min="2049" max="2049" width="1.7109375" style="629" customWidth="1"/>
    <col min="2050" max="2050" width="35.7109375" style="629" customWidth="1"/>
    <col min="2051" max="2063" width="15.7109375" style="629" customWidth="1"/>
    <col min="2064" max="2304" width="11.42578125" style="629"/>
    <col min="2305" max="2305" width="1.7109375" style="629" customWidth="1"/>
    <col min="2306" max="2306" width="35.7109375" style="629" customWidth="1"/>
    <col min="2307" max="2319" width="15.7109375" style="629" customWidth="1"/>
    <col min="2320" max="2560" width="11.42578125" style="629"/>
    <col min="2561" max="2561" width="1.7109375" style="629" customWidth="1"/>
    <col min="2562" max="2562" width="35.7109375" style="629" customWidth="1"/>
    <col min="2563" max="2575" width="15.7109375" style="629" customWidth="1"/>
    <col min="2576" max="2816" width="11.42578125" style="629"/>
    <col min="2817" max="2817" width="1.7109375" style="629" customWidth="1"/>
    <col min="2818" max="2818" width="35.7109375" style="629" customWidth="1"/>
    <col min="2819" max="2831" width="15.7109375" style="629" customWidth="1"/>
    <col min="2832" max="3072" width="11.42578125" style="629"/>
    <col min="3073" max="3073" width="1.7109375" style="629" customWidth="1"/>
    <col min="3074" max="3074" width="35.7109375" style="629" customWidth="1"/>
    <col min="3075" max="3087" width="15.7109375" style="629" customWidth="1"/>
    <col min="3088" max="3328" width="11.42578125" style="629"/>
    <col min="3329" max="3329" width="1.7109375" style="629" customWidth="1"/>
    <col min="3330" max="3330" width="35.7109375" style="629" customWidth="1"/>
    <col min="3331" max="3343" width="15.7109375" style="629" customWidth="1"/>
    <col min="3344" max="3584" width="11.42578125" style="629"/>
    <col min="3585" max="3585" width="1.7109375" style="629" customWidth="1"/>
    <col min="3586" max="3586" width="35.7109375" style="629" customWidth="1"/>
    <col min="3587" max="3599" width="15.7109375" style="629" customWidth="1"/>
    <col min="3600" max="3840" width="11.42578125" style="629"/>
    <col min="3841" max="3841" width="1.7109375" style="629" customWidth="1"/>
    <col min="3842" max="3842" width="35.7109375" style="629" customWidth="1"/>
    <col min="3843" max="3855" width="15.7109375" style="629" customWidth="1"/>
    <col min="3856" max="4096" width="11.42578125" style="629"/>
    <col min="4097" max="4097" width="1.7109375" style="629" customWidth="1"/>
    <col min="4098" max="4098" width="35.7109375" style="629" customWidth="1"/>
    <col min="4099" max="4111" width="15.7109375" style="629" customWidth="1"/>
    <col min="4112" max="4352" width="11.42578125" style="629"/>
    <col min="4353" max="4353" width="1.7109375" style="629" customWidth="1"/>
    <col min="4354" max="4354" width="35.7109375" style="629" customWidth="1"/>
    <col min="4355" max="4367" width="15.7109375" style="629" customWidth="1"/>
    <col min="4368" max="4608" width="11.42578125" style="629"/>
    <col min="4609" max="4609" width="1.7109375" style="629" customWidth="1"/>
    <col min="4610" max="4610" width="35.7109375" style="629" customWidth="1"/>
    <col min="4611" max="4623" width="15.7109375" style="629" customWidth="1"/>
    <col min="4624" max="4864" width="11.42578125" style="629"/>
    <col min="4865" max="4865" width="1.7109375" style="629" customWidth="1"/>
    <col min="4866" max="4866" width="35.7109375" style="629" customWidth="1"/>
    <col min="4867" max="4879" width="15.7109375" style="629" customWidth="1"/>
    <col min="4880" max="5120" width="11.42578125" style="629"/>
    <col min="5121" max="5121" width="1.7109375" style="629" customWidth="1"/>
    <col min="5122" max="5122" width="35.7109375" style="629" customWidth="1"/>
    <col min="5123" max="5135" width="15.7109375" style="629" customWidth="1"/>
    <col min="5136" max="5376" width="11.42578125" style="629"/>
    <col min="5377" max="5377" width="1.7109375" style="629" customWidth="1"/>
    <col min="5378" max="5378" width="35.7109375" style="629" customWidth="1"/>
    <col min="5379" max="5391" width="15.7109375" style="629" customWidth="1"/>
    <col min="5392" max="5632" width="11.42578125" style="629"/>
    <col min="5633" max="5633" width="1.7109375" style="629" customWidth="1"/>
    <col min="5634" max="5634" width="35.7109375" style="629" customWidth="1"/>
    <col min="5635" max="5647" width="15.7109375" style="629" customWidth="1"/>
    <col min="5648" max="5888" width="11.42578125" style="629"/>
    <col min="5889" max="5889" width="1.7109375" style="629" customWidth="1"/>
    <col min="5890" max="5890" width="35.7109375" style="629" customWidth="1"/>
    <col min="5891" max="5903" width="15.7109375" style="629" customWidth="1"/>
    <col min="5904" max="6144" width="11.42578125" style="629"/>
    <col min="6145" max="6145" width="1.7109375" style="629" customWidth="1"/>
    <col min="6146" max="6146" width="35.7109375" style="629" customWidth="1"/>
    <col min="6147" max="6159" width="15.7109375" style="629" customWidth="1"/>
    <col min="6160" max="6400" width="11.42578125" style="629"/>
    <col min="6401" max="6401" width="1.7109375" style="629" customWidth="1"/>
    <col min="6402" max="6402" width="35.7109375" style="629" customWidth="1"/>
    <col min="6403" max="6415" width="15.7109375" style="629" customWidth="1"/>
    <col min="6416" max="6656" width="11.42578125" style="629"/>
    <col min="6657" max="6657" width="1.7109375" style="629" customWidth="1"/>
    <col min="6658" max="6658" width="35.7109375" style="629" customWidth="1"/>
    <col min="6659" max="6671" width="15.7109375" style="629" customWidth="1"/>
    <col min="6672" max="6912" width="11.42578125" style="629"/>
    <col min="6913" max="6913" width="1.7109375" style="629" customWidth="1"/>
    <col min="6914" max="6914" width="35.7109375" style="629" customWidth="1"/>
    <col min="6915" max="6927" width="15.7109375" style="629" customWidth="1"/>
    <col min="6928" max="7168" width="11.42578125" style="629"/>
    <col min="7169" max="7169" width="1.7109375" style="629" customWidth="1"/>
    <col min="7170" max="7170" width="35.7109375" style="629" customWidth="1"/>
    <col min="7171" max="7183" width="15.7109375" style="629" customWidth="1"/>
    <col min="7184" max="7424" width="11.42578125" style="629"/>
    <col min="7425" max="7425" width="1.7109375" style="629" customWidth="1"/>
    <col min="7426" max="7426" width="35.7109375" style="629" customWidth="1"/>
    <col min="7427" max="7439" width="15.7109375" style="629" customWidth="1"/>
    <col min="7440" max="7680" width="11.42578125" style="629"/>
    <col min="7681" max="7681" width="1.7109375" style="629" customWidth="1"/>
    <col min="7682" max="7682" width="35.7109375" style="629" customWidth="1"/>
    <col min="7683" max="7695" width="15.7109375" style="629" customWidth="1"/>
    <col min="7696" max="7936" width="11.42578125" style="629"/>
    <col min="7937" max="7937" width="1.7109375" style="629" customWidth="1"/>
    <col min="7938" max="7938" width="35.7109375" style="629" customWidth="1"/>
    <col min="7939" max="7951" width="15.7109375" style="629" customWidth="1"/>
    <col min="7952" max="8192" width="11.42578125" style="629"/>
    <col min="8193" max="8193" width="1.7109375" style="629" customWidth="1"/>
    <col min="8194" max="8194" width="35.7109375" style="629" customWidth="1"/>
    <col min="8195" max="8207" width="15.7109375" style="629" customWidth="1"/>
    <col min="8208" max="8448" width="11.42578125" style="629"/>
    <col min="8449" max="8449" width="1.7109375" style="629" customWidth="1"/>
    <col min="8450" max="8450" width="35.7109375" style="629" customWidth="1"/>
    <col min="8451" max="8463" width="15.7109375" style="629" customWidth="1"/>
    <col min="8464" max="8704" width="11.42578125" style="629"/>
    <col min="8705" max="8705" width="1.7109375" style="629" customWidth="1"/>
    <col min="8706" max="8706" width="35.7109375" style="629" customWidth="1"/>
    <col min="8707" max="8719" width="15.7109375" style="629" customWidth="1"/>
    <col min="8720" max="8960" width="11.42578125" style="629"/>
    <col min="8961" max="8961" width="1.7109375" style="629" customWidth="1"/>
    <col min="8962" max="8962" width="35.7109375" style="629" customWidth="1"/>
    <col min="8963" max="8975" width="15.7109375" style="629" customWidth="1"/>
    <col min="8976" max="9216" width="11.42578125" style="629"/>
    <col min="9217" max="9217" width="1.7109375" style="629" customWidth="1"/>
    <col min="9218" max="9218" width="35.7109375" style="629" customWidth="1"/>
    <col min="9219" max="9231" width="15.7109375" style="629" customWidth="1"/>
    <col min="9232" max="9472" width="11.42578125" style="629"/>
    <col min="9473" max="9473" width="1.7109375" style="629" customWidth="1"/>
    <col min="9474" max="9474" width="35.7109375" style="629" customWidth="1"/>
    <col min="9475" max="9487" width="15.7109375" style="629" customWidth="1"/>
    <col min="9488" max="9728" width="11.42578125" style="629"/>
    <col min="9729" max="9729" width="1.7109375" style="629" customWidth="1"/>
    <col min="9730" max="9730" width="35.7109375" style="629" customWidth="1"/>
    <col min="9731" max="9743" width="15.7109375" style="629" customWidth="1"/>
    <col min="9744" max="9984" width="11.42578125" style="629"/>
    <col min="9985" max="9985" width="1.7109375" style="629" customWidth="1"/>
    <col min="9986" max="9986" width="35.7109375" style="629" customWidth="1"/>
    <col min="9987" max="9999" width="15.7109375" style="629" customWidth="1"/>
    <col min="10000" max="10240" width="11.42578125" style="629"/>
    <col min="10241" max="10241" width="1.7109375" style="629" customWidth="1"/>
    <col min="10242" max="10242" width="35.7109375" style="629" customWidth="1"/>
    <col min="10243" max="10255" width="15.7109375" style="629" customWidth="1"/>
    <col min="10256" max="10496" width="11.42578125" style="629"/>
    <col min="10497" max="10497" width="1.7109375" style="629" customWidth="1"/>
    <col min="10498" max="10498" width="35.7109375" style="629" customWidth="1"/>
    <col min="10499" max="10511" width="15.7109375" style="629" customWidth="1"/>
    <col min="10512" max="10752" width="11.42578125" style="629"/>
    <col min="10753" max="10753" width="1.7109375" style="629" customWidth="1"/>
    <col min="10754" max="10754" width="35.7109375" style="629" customWidth="1"/>
    <col min="10755" max="10767" width="15.7109375" style="629" customWidth="1"/>
    <col min="10768" max="11008" width="11.42578125" style="629"/>
    <col min="11009" max="11009" width="1.7109375" style="629" customWidth="1"/>
    <col min="11010" max="11010" width="35.7109375" style="629" customWidth="1"/>
    <col min="11011" max="11023" width="15.7109375" style="629" customWidth="1"/>
    <col min="11024" max="11264" width="11.42578125" style="629"/>
    <col min="11265" max="11265" width="1.7109375" style="629" customWidth="1"/>
    <col min="11266" max="11266" width="35.7109375" style="629" customWidth="1"/>
    <col min="11267" max="11279" width="15.7109375" style="629" customWidth="1"/>
    <col min="11280" max="11520" width="11.42578125" style="629"/>
    <col min="11521" max="11521" width="1.7109375" style="629" customWidth="1"/>
    <col min="11522" max="11522" width="35.7109375" style="629" customWidth="1"/>
    <col min="11523" max="11535" width="15.7109375" style="629" customWidth="1"/>
    <col min="11536" max="11776" width="11.42578125" style="629"/>
    <col min="11777" max="11777" width="1.7109375" style="629" customWidth="1"/>
    <col min="11778" max="11778" width="35.7109375" style="629" customWidth="1"/>
    <col min="11779" max="11791" width="15.7109375" style="629" customWidth="1"/>
    <col min="11792" max="12032" width="11.42578125" style="629"/>
    <col min="12033" max="12033" width="1.7109375" style="629" customWidth="1"/>
    <col min="12034" max="12034" width="35.7109375" style="629" customWidth="1"/>
    <col min="12035" max="12047" width="15.7109375" style="629" customWidth="1"/>
    <col min="12048" max="12288" width="11.42578125" style="629"/>
    <col min="12289" max="12289" width="1.7109375" style="629" customWidth="1"/>
    <col min="12290" max="12290" width="35.7109375" style="629" customWidth="1"/>
    <col min="12291" max="12303" width="15.7109375" style="629" customWidth="1"/>
    <col min="12304" max="12544" width="11.42578125" style="629"/>
    <col min="12545" max="12545" width="1.7109375" style="629" customWidth="1"/>
    <col min="12546" max="12546" width="35.7109375" style="629" customWidth="1"/>
    <col min="12547" max="12559" width="15.7109375" style="629" customWidth="1"/>
    <col min="12560" max="12800" width="11.42578125" style="629"/>
    <col min="12801" max="12801" width="1.7109375" style="629" customWidth="1"/>
    <col min="12802" max="12802" width="35.7109375" style="629" customWidth="1"/>
    <col min="12803" max="12815" width="15.7109375" style="629" customWidth="1"/>
    <col min="12816" max="13056" width="11.42578125" style="629"/>
    <col min="13057" max="13057" width="1.7109375" style="629" customWidth="1"/>
    <col min="13058" max="13058" width="35.7109375" style="629" customWidth="1"/>
    <col min="13059" max="13071" width="15.7109375" style="629" customWidth="1"/>
    <col min="13072" max="13312" width="11.42578125" style="629"/>
    <col min="13313" max="13313" width="1.7109375" style="629" customWidth="1"/>
    <col min="13314" max="13314" width="35.7109375" style="629" customWidth="1"/>
    <col min="13315" max="13327" width="15.7109375" style="629" customWidth="1"/>
    <col min="13328" max="13568" width="11.42578125" style="629"/>
    <col min="13569" max="13569" width="1.7109375" style="629" customWidth="1"/>
    <col min="13570" max="13570" width="35.7109375" style="629" customWidth="1"/>
    <col min="13571" max="13583" width="15.7109375" style="629" customWidth="1"/>
    <col min="13584" max="13824" width="11.42578125" style="629"/>
    <col min="13825" max="13825" width="1.7109375" style="629" customWidth="1"/>
    <col min="13826" max="13826" width="35.7109375" style="629" customWidth="1"/>
    <col min="13827" max="13839" width="15.7109375" style="629" customWidth="1"/>
    <col min="13840" max="14080" width="11.42578125" style="629"/>
    <col min="14081" max="14081" width="1.7109375" style="629" customWidth="1"/>
    <col min="14082" max="14082" width="35.7109375" style="629" customWidth="1"/>
    <col min="14083" max="14095" width="15.7109375" style="629" customWidth="1"/>
    <col min="14096" max="14336" width="11.42578125" style="629"/>
    <col min="14337" max="14337" width="1.7109375" style="629" customWidth="1"/>
    <col min="14338" max="14338" width="35.7109375" style="629" customWidth="1"/>
    <col min="14339" max="14351" width="15.7109375" style="629" customWidth="1"/>
    <col min="14352" max="14592" width="11.42578125" style="629"/>
    <col min="14593" max="14593" width="1.7109375" style="629" customWidth="1"/>
    <col min="14594" max="14594" width="35.7109375" style="629" customWidth="1"/>
    <col min="14595" max="14607" width="15.7109375" style="629" customWidth="1"/>
    <col min="14608" max="14848" width="11.42578125" style="629"/>
    <col min="14849" max="14849" width="1.7109375" style="629" customWidth="1"/>
    <col min="14850" max="14850" width="35.7109375" style="629" customWidth="1"/>
    <col min="14851" max="14863" width="15.7109375" style="629" customWidth="1"/>
    <col min="14864" max="15104" width="11.42578125" style="629"/>
    <col min="15105" max="15105" width="1.7109375" style="629" customWidth="1"/>
    <col min="15106" max="15106" width="35.7109375" style="629" customWidth="1"/>
    <col min="15107" max="15119" width="15.7109375" style="629" customWidth="1"/>
    <col min="15120" max="15360" width="11.42578125" style="629"/>
    <col min="15361" max="15361" width="1.7109375" style="629" customWidth="1"/>
    <col min="15362" max="15362" width="35.7109375" style="629" customWidth="1"/>
    <col min="15363" max="15375" width="15.7109375" style="629" customWidth="1"/>
    <col min="15376" max="15616" width="11.42578125" style="629"/>
    <col min="15617" max="15617" width="1.7109375" style="629" customWidth="1"/>
    <col min="15618" max="15618" width="35.7109375" style="629" customWidth="1"/>
    <col min="15619" max="15631" width="15.7109375" style="629" customWidth="1"/>
    <col min="15632" max="15872" width="11.42578125" style="629"/>
    <col min="15873" max="15873" width="1.7109375" style="629" customWidth="1"/>
    <col min="15874" max="15874" width="35.7109375" style="629" customWidth="1"/>
    <col min="15875" max="15887" width="15.7109375" style="629" customWidth="1"/>
    <col min="15888" max="16128" width="11.42578125" style="629"/>
    <col min="16129" max="16129" width="1.7109375" style="629" customWidth="1"/>
    <col min="16130" max="16130" width="35.7109375" style="629" customWidth="1"/>
    <col min="16131" max="16143" width="15.7109375" style="629" customWidth="1"/>
    <col min="16144" max="16384" width="11.42578125" style="629"/>
  </cols>
  <sheetData>
    <row r="1" spans="1:15" s="165" customFormat="1">
      <c r="B1" s="628" t="s">
        <v>4927</v>
      </c>
    </row>
    <row r="2" spans="1:15" s="165" customFormat="1">
      <c r="B2" s="628" t="s">
        <v>4928</v>
      </c>
    </row>
    <row r="3" spans="1:15" s="165" customFormat="1">
      <c r="B3" s="628" t="s">
        <v>4929</v>
      </c>
    </row>
    <row r="4" spans="1:15" s="165" customFormat="1">
      <c r="B4" s="628" t="s">
        <v>4930</v>
      </c>
    </row>
    <row r="5" spans="1:15" s="165" customFormat="1">
      <c r="B5" s="628" t="s">
        <v>2594</v>
      </c>
    </row>
    <row r="6" spans="1:15" s="165" customFormat="1">
      <c r="B6" s="628" t="s">
        <v>4738</v>
      </c>
    </row>
    <row r="7" spans="1:15" s="629" customFormat="1">
      <c r="A7" s="165"/>
      <c r="B7" s="628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</row>
    <row r="8" spans="1:15" s="629" customFormat="1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</row>
    <row r="9" spans="1:15" s="629" customFormat="1" ht="15">
      <c r="A9" s="165"/>
      <c r="B9" s="630" t="s">
        <v>2415</v>
      </c>
      <c r="C9" s="631" t="s">
        <v>4893</v>
      </c>
      <c r="D9" s="631" t="s">
        <v>4894</v>
      </c>
      <c r="E9" s="631" t="s">
        <v>4895</v>
      </c>
      <c r="F9" s="631" t="s">
        <v>4832</v>
      </c>
      <c r="G9" s="631" t="s">
        <v>4833</v>
      </c>
      <c r="H9" s="631" t="s">
        <v>4834</v>
      </c>
      <c r="I9" s="631" t="s">
        <v>4772</v>
      </c>
      <c r="J9" s="631" t="s">
        <v>4773</v>
      </c>
      <c r="K9" s="631" t="s">
        <v>4774</v>
      </c>
      <c r="L9" s="631" t="s">
        <v>4739</v>
      </c>
      <c r="M9" s="631" t="s">
        <v>4740</v>
      </c>
      <c r="N9" s="631" t="s">
        <v>4741</v>
      </c>
      <c r="O9" s="631" t="s">
        <v>1534</v>
      </c>
    </row>
    <row r="10" spans="1:15" s="629" customFormat="1" outlineLevel="6">
      <c r="A10" s="165"/>
      <c r="B10" s="632" t="s">
        <v>2271</v>
      </c>
      <c r="C10" s="633">
        <v>1936.42</v>
      </c>
      <c r="D10" s="633">
        <v>1936.42</v>
      </c>
      <c r="E10" s="633">
        <v>1936.42</v>
      </c>
      <c r="F10" s="633">
        <v>1936.42</v>
      </c>
      <c r="G10" s="633">
        <v>1936.42</v>
      </c>
      <c r="H10" s="633">
        <v>-10665063.58</v>
      </c>
      <c r="I10" s="633">
        <v>10668936.42</v>
      </c>
      <c r="J10" s="633">
        <v>1936.42</v>
      </c>
      <c r="K10" s="633">
        <v>1936.42</v>
      </c>
      <c r="L10" s="633">
        <v>1936.42</v>
      </c>
      <c r="M10" s="633">
        <v>1936.42</v>
      </c>
      <c r="N10" s="633">
        <v>1936.42</v>
      </c>
      <c r="O10" s="633">
        <v>23237.040000000001</v>
      </c>
    </row>
    <row r="11" spans="1:15" s="629" customFormat="1" outlineLevel="6">
      <c r="A11" s="165"/>
      <c r="B11" s="632" t="s">
        <v>4444</v>
      </c>
      <c r="C11" s="633">
        <v>723230.02</v>
      </c>
      <c r="D11" s="633">
        <v>-47705.45</v>
      </c>
      <c r="E11" s="633">
        <v>-647506.65</v>
      </c>
      <c r="F11" s="633">
        <v>-42819.199999999997</v>
      </c>
      <c r="G11" s="633">
        <v>-129304.91</v>
      </c>
      <c r="H11" s="633">
        <v>93809.38</v>
      </c>
      <c r="I11" s="633">
        <v>84468.56</v>
      </c>
      <c r="J11" s="633">
        <v>-232904.89</v>
      </c>
      <c r="K11" s="633">
        <v>-566089.75</v>
      </c>
      <c r="L11" s="633">
        <v>571906.21</v>
      </c>
      <c r="M11" s="633">
        <v>1099324.6599999999</v>
      </c>
      <c r="N11" s="633">
        <v>-59468.18</v>
      </c>
      <c r="O11" s="633">
        <v>846939.8</v>
      </c>
    </row>
    <row r="12" spans="1:15" s="629" customFormat="1" outlineLevel="6">
      <c r="A12" s="165"/>
      <c r="B12" s="632" t="s">
        <v>4445</v>
      </c>
      <c r="C12" s="633">
        <v>-187866.91</v>
      </c>
      <c r="D12" s="633">
        <v>-336478.13</v>
      </c>
      <c r="E12" s="633">
        <v>-407830.71</v>
      </c>
      <c r="F12" s="633">
        <v>-399704.16</v>
      </c>
      <c r="G12" s="633">
        <v>-186041.13</v>
      </c>
      <c r="H12" s="633">
        <v>-107781.33</v>
      </c>
      <c r="I12" s="633">
        <v>-100164.76</v>
      </c>
      <c r="J12" s="633">
        <v>-262106.25</v>
      </c>
      <c r="K12" s="633">
        <v>-125464.3</v>
      </c>
      <c r="L12" s="633">
        <v>79146.06</v>
      </c>
      <c r="M12" s="633">
        <v>126715.32</v>
      </c>
      <c r="N12" s="633">
        <v>225994.36</v>
      </c>
      <c r="O12" s="633">
        <v>-1681581.94</v>
      </c>
    </row>
    <row r="13" spans="1:15" s="629" customFormat="1" outlineLevel="6">
      <c r="A13" s="165"/>
      <c r="B13" s="632" t="s">
        <v>4446</v>
      </c>
      <c r="C13" s="633">
        <v>-672899.25</v>
      </c>
      <c r="D13" s="633">
        <v>-1492739.52</v>
      </c>
      <c r="E13" s="633">
        <v>353644.71</v>
      </c>
      <c r="F13" s="633">
        <v>500889.11</v>
      </c>
      <c r="G13" s="633">
        <v>421593.96</v>
      </c>
      <c r="H13" s="633">
        <v>401763.16</v>
      </c>
      <c r="I13" s="633">
        <v>-207277.98</v>
      </c>
      <c r="J13" s="633">
        <v>499108.33</v>
      </c>
      <c r="K13" s="633">
        <v>-1054914.33</v>
      </c>
      <c r="L13" s="633">
        <v>321149.56</v>
      </c>
      <c r="M13" s="633">
        <v>493955.71</v>
      </c>
      <c r="N13" s="633">
        <v>201842.32</v>
      </c>
      <c r="O13" s="633">
        <v>-233884.22</v>
      </c>
    </row>
    <row r="14" spans="1:15" s="629" customFormat="1" outlineLevel="6">
      <c r="A14" s="165"/>
      <c r="B14" s="632" t="s">
        <v>4447</v>
      </c>
      <c r="C14" s="633">
        <v>-571600.30000000005</v>
      </c>
      <c r="D14" s="633">
        <v>-738574.82</v>
      </c>
      <c r="E14" s="633">
        <v>-581578.23999999999</v>
      </c>
      <c r="F14" s="633">
        <v>-756804.9</v>
      </c>
      <c r="G14" s="633">
        <v>-603509.69999999995</v>
      </c>
      <c r="H14" s="633">
        <v>-592417.15</v>
      </c>
      <c r="I14" s="633">
        <v>-603448.77</v>
      </c>
      <c r="J14" s="633">
        <v>358434.89</v>
      </c>
      <c r="K14" s="633">
        <v>-589143.54</v>
      </c>
      <c r="L14" s="633">
        <v>-514672.78</v>
      </c>
      <c r="M14" s="633">
        <v>-495697.97</v>
      </c>
      <c r="N14" s="633">
        <v>-289769.71999999997</v>
      </c>
      <c r="O14" s="633">
        <v>-5978783</v>
      </c>
    </row>
    <row r="15" spans="1:15" s="629" customFormat="1" outlineLevel="6">
      <c r="A15" s="165"/>
      <c r="B15" s="632" t="s">
        <v>4639</v>
      </c>
      <c r="C15" s="633">
        <v>262813</v>
      </c>
      <c r="D15" s="633">
        <v>260779.19</v>
      </c>
      <c r="E15" s="633">
        <v>233932.56</v>
      </c>
      <c r="F15" s="633">
        <v>226697</v>
      </c>
      <c r="G15" s="633">
        <v>194003</v>
      </c>
      <c r="H15" s="633">
        <v>228313</v>
      </c>
      <c r="I15" s="633">
        <v>246814</v>
      </c>
      <c r="J15" s="633">
        <v>286904</v>
      </c>
      <c r="K15" s="633">
        <v>192081</v>
      </c>
      <c r="L15" s="633">
        <v>236328</v>
      </c>
      <c r="M15" s="633">
        <v>260039</v>
      </c>
      <c r="N15" s="633">
        <v>266551</v>
      </c>
      <c r="O15" s="633">
        <v>2895254.75</v>
      </c>
    </row>
    <row r="16" spans="1:15" s="629" customFormat="1" outlineLevel="6">
      <c r="A16" s="165"/>
      <c r="B16" s="632" t="s">
        <v>4448</v>
      </c>
      <c r="C16" s="633">
        <v>0</v>
      </c>
      <c r="D16" s="633">
        <v>0</v>
      </c>
      <c r="E16" s="633">
        <v>0</v>
      </c>
      <c r="F16" s="633">
        <v>0</v>
      </c>
      <c r="G16" s="633">
        <v>0</v>
      </c>
      <c r="H16" s="633">
        <v>1500000</v>
      </c>
      <c r="I16" s="633">
        <v>0</v>
      </c>
      <c r="J16" s="633">
        <v>0</v>
      </c>
      <c r="K16" s="633">
        <v>0</v>
      </c>
      <c r="L16" s="633">
        <v>0</v>
      </c>
      <c r="M16" s="633">
        <v>0</v>
      </c>
      <c r="N16" s="633">
        <v>0</v>
      </c>
      <c r="O16" s="633">
        <v>1500000</v>
      </c>
    </row>
    <row r="17" spans="1:15" s="629" customFormat="1" outlineLevel="6">
      <c r="A17" s="165"/>
      <c r="B17" s="632" t="s">
        <v>4449</v>
      </c>
      <c r="C17" s="633">
        <v>-53072.47</v>
      </c>
      <c r="D17" s="633">
        <v>-123795.67</v>
      </c>
      <c r="E17" s="633">
        <v>-87907.8</v>
      </c>
      <c r="F17" s="633">
        <v>-72630.460000000006</v>
      </c>
      <c r="G17" s="633">
        <v>55896.12</v>
      </c>
      <c r="H17" s="633">
        <v>67937.210000000006</v>
      </c>
      <c r="I17" s="633">
        <v>39642.550000000003</v>
      </c>
      <c r="J17" s="633">
        <v>44247.839999999997</v>
      </c>
      <c r="K17" s="633">
        <v>53043.96</v>
      </c>
      <c r="L17" s="633">
        <v>236258.06</v>
      </c>
      <c r="M17" s="633">
        <v>180538.51</v>
      </c>
      <c r="N17" s="633">
        <v>161675.9</v>
      </c>
      <c r="O17" s="633">
        <v>501833.75</v>
      </c>
    </row>
    <row r="18" spans="1:15" s="629" customFormat="1" outlineLevel="6">
      <c r="A18" s="165"/>
      <c r="B18" s="632" t="s">
        <v>4450</v>
      </c>
      <c r="C18" s="633">
        <v>102267.38</v>
      </c>
      <c r="D18" s="633">
        <v>-117202.12</v>
      </c>
      <c r="E18" s="633">
        <v>-221919.44</v>
      </c>
      <c r="F18" s="633">
        <v>1070131.56</v>
      </c>
      <c r="G18" s="633">
        <v>-203632.26</v>
      </c>
      <c r="H18" s="633">
        <v>-149376.14000000001</v>
      </c>
      <c r="I18" s="633">
        <v>-698955.07</v>
      </c>
      <c r="J18" s="633">
        <v>-731155.65</v>
      </c>
      <c r="K18" s="633">
        <v>-653775.85</v>
      </c>
      <c r="L18" s="633">
        <v>-385545.49</v>
      </c>
      <c r="M18" s="633">
        <v>-391332.92</v>
      </c>
      <c r="N18" s="633">
        <v>-216798.46</v>
      </c>
      <c r="O18" s="633">
        <v>-2597294.46</v>
      </c>
    </row>
    <row r="19" spans="1:15" s="629" customFormat="1" outlineLevel="6">
      <c r="A19" s="165"/>
      <c r="B19" s="632" t="s">
        <v>4451</v>
      </c>
      <c r="C19" s="633">
        <v>957931.56</v>
      </c>
      <c r="D19" s="633">
        <v>-241627.34</v>
      </c>
      <c r="E19" s="633">
        <v>-3360912.08</v>
      </c>
      <c r="F19" s="633">
        <v>-795559.28</v>
      </c>
      <c r="G19" s="633">
        <v>-3787563.51</v>
      </c>
      <c r="H19" s="633">
        <v>-3744770.72</v>
      </c>
      <c r="I19" s="633">
        <v>8145085.7000000002</v>
      </c>
      <c r="J19" s="633">
        <v>23379886.219999999</v>
      </c>
      <c r="K19" s="633">
        <v>32527690.48</v>
      </c>
      <c r="L19" s="633">
        <v>-735016.69</v>
      </c>
      <c r="M19" s="633">
        <v>-10404909.199999999</v>
      </c>
      <c r="N19" s="633">
        <v>-46860409.619999997</v>
      </c>
      <c r="O19" s="633">
        <v>-4920174.4800000004</v>
      </c>
    </row>
    <row r="20" spans="1:15" s="629" customFormat="1" outlineLevel="6">
      <c r="A20" s="165"/>
      <c r="B20" s="632" t="s">
        <v>4452</v>
      </c>
      <c r="C20" s="633">
        <v>54067.519999999997</v>
      </c>
      <c r="D20" s="633">
        <v>52724.959999999999</v>
      </c>
      <c r="E20" s="633">
        <v>24895.07</v>
      </c>
      <c r="F20" s="633">
        <v>20738.11</v>
      </c>
      <c r="G20" s="633">
        <v>4298.63</v>
      </c>
      <c r="H20" s="633">
        <v>-16069.96</v>
      </c>
      <c r="I20" s="633">
        <v>-15393.82</v>
      </c>
      <c r="J20" s="633">
        <v>-29408.34</v>
      </c>
      <c r="K20" s="633">
        <v>-34060.19</v>
      </c>
      <c r="L20" s="633">
        <v>-26851.919999999998</v>
      </c>
      <c r="M20" s="633">
        <v>6722.92</v>
      </c>
      <c r="N20" s="633">
        <v>6695.2</v>
      </c>
      <c r="O20" s="633">
        <v>48358.18</v>
      </c>
    </row>
    <row r="21" spans="1:15" s="629" customFormat="1" outlineLevel="6">
      <c r="A21" s="165"/>
      <c r="B21" s="632" t="s">
        <v>4453</v>
      </c>
      <c r="C21" s="633">
        <v>0</v>
      </c>
      <c r="D21" s="633">
        <v>-102966.39</v>
      </c>
      <c r="E21" s="633">
        <v>-718225.09</v>
      </c>
      <c r="F21" s="633">
        <v>-210004.66</v>
      </c>
      <c r="G21" s="633">
        <v>410725.35</v>
      </c>
      <c r="H21" s="633">
        <v>-48393.67</v>
      </c>
      <c r="I21" s="633">
        <v>357842.54</v>
      </c>
      <c r="J21" s="633">
        <v>30541.88</v>
      </c>
      <c r="K21" s="633">
        <v>-241385.81</v>
      </c>
      <c r="L21" s="633">
        <v>-206410.83</v>
      </c>
      <c r="M21" s="633">
        <v>-94926.99</v>
      </c>
      <c r="N21" s="633">
        <v>823203.67</v>
      </c>
      <c r="O21" s="633">
        <v>0</v>
      </c>
    </row>
    <row r="22" spans="1:15" s="629" customFormat="1" outlineLevel="6">
      <c r="A22" s="165"/>
      <c r="B22" s="632" t="s">
        <v>4454</v>
      </c>
      <c r="C22" s="633">
        <v>16666.669999999998</v>
      </c>
      <c r="D22" s="633">
        <v>16666.669999999998</v>
      </c>
      <c r="E22" s="633">
        <v>16666.669999999998</v>
      </c>
      <c r="F22" s="633">
        <v>16666.669999999998</v>
      </c>
      <c r="G22" s="633">
        <v>16666.669999999998</v>
      </c>
      <c r="H22" s="633">
        <v>16666.669999999998</v>
      </c>
      <c r="I22" s="633">
        <v>16666.669999999998</v>
      </c>
      <c r="J22" s="633">
        <v>16666.669999999998</v>
      </c>
      <c r="K22" s="633">
        <v>16666.669999999998</v>
      </c>
      <c r="L22" s="633">
        <v>16666.669999999998</v>
      </c>
      <c r="M22" s="633">
        <v>16666.669999999998</v>
      </c>
      <c r="N22" s="633">
        <v>16666.669999999998</v>
      </c>
      <c r="O22" s="633">
        <v>200000.04</v>
      </c>
    </row>
    <row r="23" spans="1:15" s="629" customFormat="1" outlineLevel="6">
      <c r="A23" s="165"/>
      <c r="B23" s="632" t="s">
        <v>4455</v>
      </c>
      <c r="C23" s="633">
        <v>-197816.39</v>
      </c>
      <c r="D23" s="633">
        <v>45513.04</v>
      </c>
      <c r="E23" s="633">
        <v>58191.28</v>
      </c>
      <c r="F23" s="633">
        <v>-113076.64</v>
      </c>
      <c r="G23" s="633">
        <v>65229.74</v>
      </c>
      <c r="H23" s="633">
        <v>-272518.63</v>
      </c>
      <c r="I23" s="633">
        <v>123239.17</v>
      </c>
      <c r="J23" s="633">
        <v>-675340.29</v>
      </c>
      <c r="K23" s="633">
        <v>178417.28</v>
      </c>
      <c r="L23" s="633">
        <v>138329.04</v>
      </c>
      <c r="M23" s="633">
        <v>332020.5</v>
      </c>
      <c r="N23" s="633">
        <v>317811.90000000002</v>
      </c>
      <c r="O23" s="633">
        <v>0</v>
      </c>
    </row>
    <row r="24" spans="1:15" s="629" customFormat="1" outlineLevel="6">
      <c r="A24" s="165"/>
      <c r="B24" s="632" t="s">
        <v>4456</v>
      </c>
      <c r="C24" s="633">
        <v>63491.92</v>
      </c>
      <c r="D24" s="633">
        <v>-41299.74</v>
      </c>
      <c r="E24" s="633">
        <v>-78101.13</v>
      </c>
      <c r="F24" s="633">
        <v>-38465.93</v>
      </c>
      <c r="G24" s="633">
        <v>8276.42</v>
      </c>
      <c r="H24" s="633">
        <v>27898.11</v>
      </c>
      <c r="I24" s="633">
        <v>-6754.49</v>
      </c>
      <c r="J24" s="633">
        <v>-67567.240000000005</v>
      </c>
      <c r="K24" s="633">
        <v>-58310.57</v>
      </c>
      <c r="L24" s="633">
        <v>49975.46</v>
      </c>
      <c r="M24" s="633">
        <v>42899.39</v>
      </c>
      <c r="N24" s="633">
        <v>112463.94</v>
      </c>
      <c r="O24" s="633">
        <v>14506.14</v>
      </c>
    </row>
    <row r="25" spans="1:15" s="629" customFormat="1" outlineLevel="6">
      <c r="A25" s="165"/>
      <c r="B25" s="632" t="s">
        <v>4457</v>
      </c>
      <c r="C25" s="633">
        <v>421220.09</v>
      </c>
      <c r="D25" s="633">
        <v>-195823.91</v>
      </c>
      <c r="E25" s="633">
        <v>-396888.08</v>
      </c>
      <c r="F25" s="633">
        <v>-264814.69</v>
      </c>
      <c r="G25" s="633">
        <v>-36909.29</v>
      </c>
      <c r="H25" s="633">
        <v>56269.73</v>
      </c>
      <c r="I25" s="633">
        <v>-112292.76</v>
      </c>
      <c r="J25" s="633">
        <v>-457789.67</v>
      </c>
      <c r="K25" s="633">
        <v>-315579.89</v>
      </c>
      <c r="L25" s="633">
        <v>163778.89000000001</v>
      </c>
      <c r="M25" s="633">
        <v>92121.91</v>
      </c>
      <c r="N25" s="633">
        <v>463761.81</v>
      </c>
      <c r="O25" s="633">
        <v>-582945.86</v>
      </c>
    </row>
    <row r="26" spans="1:15" s="629" customFormat="1" outlineLevel="6">
      <c r="A26" s="165"/>
      <c r="B26" s="632" t="s">
        <v>4458</v>
      </c>
      <c r="C26" s="633">
        <v>-1864285.9</v>
      </c>
      <c r="D26" s="633">
        <v>-278181.24</v>
      </c>
      <c r="E26" s="633">
        <v>-3331479.02</v>
      </c>
      <c r="F26" s="633">
        <v>778032.97</v>
      </c>
      <c r="G26" s="633">
        <v>-1358846.78</v>
      </c>
      <c r="H26" s="633">
        <v>-2293503.9</v>
      </c>
      <c r="I26" s="633">
        <v>-513623.98</v>
      </c>
      <c r="J26" s="633">
        <v>-2077951.71</v>
      </c>
      <c r="K26" s="633">
        <v>725923.83999999997</v>
      </c>
      <c r="L26" s="633">
        <v>2042827.78</v>
      </c>
      <c r="M26" s="633">
        <v>3361196.37</v>
      </c>
      <c r="N26" s="633">
        <v>3174712.05</v>
      </c>
      <c r="O26" s="633">
        <v>-1635179.52</v>
      </c>
    </row>
    <row r="27" spans="1:15" s="629" customFormat="1" outlineLevel="6">
      <c r="A27" s="165"/>
      <c r="B27" s="632" t="s">
        <v>4459</v>
      </c>
      <c r="C27" s="633">
        <v>334947.42</v>
      </c>
      <c r="D27" s="633">
        <v>334947.42</v>
      </c>
      <c r="E27" s="633">
        <v>334947.42</v>
      </c>
      <c r="F27" s="633">
        <v>334947.42</v>
      </c>
      <c r="G27" s="633">
        <v>334947.42</v>
      </c>
      <c r="H27" s="633">
        <v>334947.42</v>
      </c>
      <c r="I27" s="633">
        <v>334947.42</v>
      </c>
      <c r="J27" s="633">
        <v>334947.42</v>
      </c>
      <c r="K27" s="633">
        <v>334947.42</v>
      </c>
      <c r="L27" s="633">
        <v>334947.42</v>
      </c>
      <c r="M27" s="633">
        <v>334947.42</v>
      </c>
      <c r="N27" s="633">
        <v>334947.42</v>
      </c>
      <c r="O27" s="633">
        <v>4019369.04</v>
      </c>
    </row>
    <row r="28" spans="1:15" s="629" customFormat="1" outlineLevel="6">
      <c r="A28" s="165"/>
      <c r="B28" s="632" t="s">
        <v>4640</v>
      </c>
      <c r="C28" s="633">
        <v>-5488003.5199999996</v>
      </c>
      <c r="D28" s="633">
        <v>-763048.63</v>
      </c>
      <c r="E28" s="633">
        <v>-763048.63</v>
      </c>
      <c r="F28" s="633">
        <v>-763048.63</v>
      </c>
      <c r="G28" s="633">
        <v>-763048.63</v>
      </c>
      <c r="H28" s="633">
        <v>-763048.63</v>
      </c>
      <c r="I28" s="633">
        <v>-763048.63</v>
      </c>
      <c r="J28" s="633">
        <v>-763048.63</v>
      </c>
      <c r="K28" s="633">
        <v>-763048.63</v>
      </c>
      <c r="L28" s="633">
        <v>-763048.63</v>
      </c>
      <c r="M28" s="633">
        <v>-763048.63</v>
      </c>
      <c r="N28" s="633">
        <v>-763047.78</v>
      </c>
      <c r="O28" s="633">
        <v>-13881537.6</v>
      </c>
    </row>
    <row r="29" spans="1:15" s="629" customFormat="1" outlineLevel="6">
      <c r="A29" s="165"/>
      <c r="B29" s="632" t="s">
        <v>4641</v>
      </c>
      <c r="C29" s="633">
        <v>-396220.06</v>
      </c>
      <c r="D29" s="633">
        <v>-1524497.92</v>
      </c>
      <c r="E29" s="633">
        <v>-1121819.8899999999</v>
      </c>
      <c r="F29" s="633">
        <v>-1587163.49</v>
      </c>
      <c r="G29" s="633">
        <v>13431557.439999999</v>
      </c>
      <c r="H29" s="633">
        <v>-414383.15</v>
      </c>
      <c r="I29" s="633">
        <v>-904698.39</v>
      </c>
      <c r="J29" s="633">
        <v>-1804486.6</v>
      </c>
      <c r="K29" s="633">
        <v>397388.88</v>
      </c>
      <c r="L29" s="633">
        <v>3604549.12</v>
      </c>
      <c r="M29" s="633">
        <v>908418</v>
      </c>
      <c r="N29" s="633">
        <v>362460.55</v>
      </c>
      <c r="O29" s="633">
        <v>10951104.49</v>
      </c>
    </row>
    <row r="30" spans="1:15" s="629" customFormat="1" outlineLevel="6">
      <c r="A30" s="165"/>
      <c r="B30" s="632" t="s">
        <v>4742</v>
      </c>
      <c r="C30" s="633">
        <v>-571500</v>
      </c>
      <c r="D30" s="633">
        <v>-571500</v>
      </c>
      <c r="E30" s="633">
        <v>-571500</v>
      </c>
      <c r="F30" s="633">
        <v>-571500</v>
      </c>
      <c r="G30" s="633">
        <v>-571500</v>
      </c>
      <c r="H30" s="633">
        <v>-571500</v>
      </c>
      <c r="I30" s="633">
        <v>-571500</v>
      </c>
      <c r="J30" s="633">
        <v>-571500</v>
      </c>
      <c r="K30" s="633">
        <v>-571500</v>
      </c>
      <c r="L30" s="633">
        <v>-571500</v>
      </c>
      <c r="M30" s="633">
        <v>-571500</v>
      </c>
      <c r="N30" s="633">
        <v>-571500</v>
      </c>
      <c r="O30" s="633">
        <v>-6858000</v>
      </c>
    </row>
    <row r="31" spans="1:15" s="629" customFormat="1" outlineLevel="6">
      <c r="A31" s="165"/>
      <c r="B31" s="632" t="s">
        <v>4775</v>
      </c>
      <c r="C31" s="633">
        <v>0</v>
      </c>
      <c r="D31" s="633">
        <v>55000</v>
      </c>
      <c r="E31" s="633">
        <v>0</v>
      </c>
      <c r="F31" s="633">
        <v>0</v>
      </c>
      <c r="G31" s="633">
        <v>0</v>
      </c>
      <c r="H31" s="633">
        <v>10667000</v>
      </c>
      <c r="I31" s="633">
        <v>0</v>
      </c>
      <c r="J31" s="633">
        <v>0</v>
      </c>
      <c r="K31" s="633">
        <v>0</v>
      </c>
      <c r="L31" s="633">
        <v>0</v>
      </c>
      <c r="M31" s="633">
        <v>0</v>
      </c>
      <c r="N31" s="633">
        <v>0</v>
      </c>
      <c r="O31" s="633">
        <v>10722000</v>
      </c>
    </row>
    <row r="32" spans="1:15" s="629" customFormat="1" outlineLevel="6">
      <c r="A32" s="165"/>
      <c r="B32" s="632" t="s">
        <v>3719</v>
      </c>
      <c r="C32" s="633">
        <v>-7064692.7999999998</v>
      </c>
      <c r="D32" s="633">
        <v>-5807873.1799999997</v>
      </c>
      <c r="E32" s="633">
        <v>-11264502.630000001</v>
      </c>
      <c r="F32" s="633">
        <v>-2665552.7799999998</v>
      </c>
      <c r="G32" s="633">
        <v>7304774.96</v>
      </c>
      <c r="H32" s="633">
        <v>-6244222.1799999997</v>
      </c>
      <c r="I32" s="633">
        <v>15520484.380000001</v>
      </c>
      <c r="J32" s="633">
        <v>17279414.399999999</v>
      </c>
      <c r="K32" s="633">
        <v>29454823.09</v>
      </c>
      <c r="L32" s="633">
        <v>4594752.3499999996</v>
      </c>
      <c r="M32" s="633">
        <v>-5463912.9100000001</v>
      </c>
      <c r="N32" s="633">
        <v>-42290270.549999997</v>
      </c>
      <c r="O32" s="633">
        <v>-6646777.8499999996</v>
      </c>
    </row>
    <row r="33" spans="1:15" s="629" customFormat="1" outlineLevel="6">
      <c r="A33" s="165"/>
      <c r="B33" s="632" t="s">
        <v>1639</v>
      </c>
      <c r="C33" s="633">
        <v>8773.0499999999993</v>
      </c>
      <c r="D33" s="633">
        <v>10214.49</v>
      </c>
      <c r="E33" s="633">
        <v>2498.42</v>
      </c>
      <c r="F33" s="633">
        <v>0</v>
      </c>
      <c r="G33" s="633">
        <v>0</v>
      </c>
      <c r="H33" s="633">
        <v>0</v>
      </c>
      <c r="I33" s="633">
        <v>-247.37</v>
      </c>
      <c r="J33" s="633">
        <v>5836.84</v>
      </c>
      <c r="K33" s="633">
        <v>247.37</v>
      </c>
      <c r="L33" s="633">
        <v>3693.83</v>
      </c>
      <c r="M33" s="633">
        <v>0</v>
      </c>
      <c r="N33" s="633">
        <v>0</v>
      </c>
      <c r="O33" s="633">
        <v>31016.63</v>
      </c>
    </row>
    <row r="34" spans="1:15" s="629" customFormat="1" outlineLevel="5">
      <c r="A34" s="165"/>
      <c r="B34" s="632" t="s">
        <v>1640</v>
      </c>
      <c r="C34" s="633">
        <v>-12708165.73</v>
      </c>
      <c r="D34" s="633">
        <v>-4227200.8</v>
      </c>
      <c r="E34" s="633">
        <v>-9454446.7300000004</v>
      </c>
      <c r="F34" s="633">
        <v>-486908.5</v>
      </c>
      <c r="G34" s="633">
        <v>-2821934.54</v>
      </c>
      <c r="H34" s="633">
        <v>-17914443.969999999</v>
      </c>
      <c r="I34" s="633">
        <v>-20932565.02</v>
      </c>
      <c r="J34" s="633">
        <v>-24596093.899999999</v>
      </c>
      <c r="K34" s="633">
        <v>-45925135.490000002</v>
      </c>
      <c r="L34" s="633">
        <v>-28718752.02</v>
      </c>
      <c r="M34" s="633">
        <v>-13130481.119999999</v>
      </c>
      <c r="N34" s="633">
        <v>-13308851.289999999</v>
      </c>
      <c r="O34" s="633">
        <v>-194224979.11000001</v>
      </c>
    </row>
    <row r="35" spans="1:15" s="629" customFormat="1" outlineLevel="6">
      <c r="A35" s="165"/>
      <c r="B35" s="632" t="s">
        <v>1655</v>
      </c>
      <c r="C35" s="633">
        <v>-67950564.030000001</v>
      </c>
      <c r="D35" s="633">
        <v>-59495251.259999998</v>
      </c>
      <c r="E35" s="633">
        <v>-56287527.530000001</v>
      </c>
      <c r="F35" s="633">
        <v>-60821268.600000001</v>
      </c>
      <c r="G35" s="633">
        <v>-62073609.219999999</v>
      </c>
      <c r="H35" s="633">
        <v>-66500036.609999999</v>
      </c>
      <c r="I35" s="633">
        <v>-68751454.430000007</v>
      </c>
      <c r="J35" s="633">
        <v>-75862090.689999998</v>
      </c>
      <c r="K35" s="633">
        <v>-76924568.859999999</v>
      </c>
      <c r="L35" s="633">
        <v>-84586350.560000002</v>
      </c>
      <c r="M35" s="633">
        <v>-85702061.689999998</v>
      </c>
      <c r="N35" s="633">
        <v>-79548355.230000004</v>
      </c>
      <c r="O35" s="633">
        <v>-844503138.71000004</v>
      </c>
    </row>
    <row r="36" spans="1:15" s="629" customFormat="1" outlineLevel="6">
      <c r="A36" s="165"/>
      <c r="B36" s="632" t="s">
        <v>1656</v>
      </c>
      <c r="C36" s="633">
        <v>-1476221.95</v>
      </c>
      <c r="D36" s="633">
        <v>-223124.28</v>
      </c>
      <c r="E36" s="633">
        <v>-172145.49</v>
      </c>
      <c r="F36" s="633">
        <v>-109278.38</v>
      </c>
      <c r="G36" s="633">
        <v>-183245.54</v>
      </c>
      <c r="H36" s="633">
        <v>-140037.04</v>
      </c>
      <c r="I36" s="633">
        <v>-99335.56</v>
      </c>
      <c r="J36" s="633">
        <v>-70386.31</v>
      </c>
      <c r="K36" s="633">
        <v>-147775.74</v>
      </c>
      <c r="L36" s="633">
        <v>-27639.74</v>
      </c>
      <c r="M36" s="633">
        <v>-52009.91</v>
      </c>
      <c r="N36" s="633">
        <v>-322829.73</v>
      </c>
      <c r="O36" s="633">
        <v>-3024029.67</v>
      </c>
    </row>
    <row r="37" spans="1:15" s="629" customFormat="1" outlineLevel="6">
      <c r="A37" s="165"/>
      <c r="B37" s="632" t="s">
        <v>931</v>
      </c>
      <c r="C37" s="633">
        <v>-938568.01</v>
      </c>
      <c r="D37" s="633">
        <v>-805259.03</v>
      </c>
      <c r="E37" s="633">
        <v>-743529.39</v>
      </c>
      <c r="F37" s="633">
        <v>-808510.86</v>
      </c>
      <c r="G37" s="633">
        <v>-831631.31</v>
      </c>
      <c r="H37" s="633">
        <v>-801309.88</v>
      </c>
      <c r="I37" s="633">
        <v>-652964.86</v>
      </c>
      <c r="J37" s="633">
        <v>-663688.97</v>
      </c>
      <c r="K37" s="633">
        <v>-733873.65</v>
      </c>
      <c r="L37" s="633">
        <v>-841048.82</v>
      </c>
      <c r="M37" s="633">
        <v>-893817.9</v>
      </c>
      <c r="N37" s="633">
        <v>-912717.98</v>
      </c>
      <c r="O37" s="633">
        <v>-9626920.6600000001</v>
      </c>
    </row>
    <row r="38" spans="1:15" s="629" customFormat="1" outlineLevel="6">
      <c r="A38" s="165"/>
      <c r="B38" s="632" t="s">
        <v>1535</v>
      </c>
      <c r="C38" s="633">
        <v>6.12</v>
      </c>
      <c r="D38" s="633">
        <v>2.3199999999999998</v>
      </c>
      <c r="E38" s="633">
        <v>97.83</v>
      </c>
      <c r="F38" s="633">
        <v>0.05</v>
      </c>
      <c r="G38" s="633">
        <v>0.44</v>
      </c>
      <c r="H38" s="633">
        <v>0.06</v>
      </c>
      <c r="I38" s="633">
        <v>6.65</v>
      </c>
      <c r="J38" s="633">
        <v>0.03</v>
      </c>
      <c r="K38" s="633">
        <v>0.05</v>
      </c>
      <c r="L38" s="633">
        <v>0.11</v>
      </c>
      <c r="M38" s="633">
        <v>0.22</v>
      </c>
      <c r="N38" s="633">
        <v>-16.78</v>
      </c>
      <c r="O38" s="633">
        <v>97.1</v>
      </c>
    </row>
    <row r="39" spans="1:15" s="629" customFormat="1" outlineLevel="6">
      <c r="A39" s="165"/>
      <c r="B39" s="632" t="s">
        <v>1536</v>
      </c>
      <c r="C39" s="633">
        <v>871205.14</v>
      </c>
      <c r="D39" s="633">
        <v>620982.34</v>
      </c>
      <c r="E39" s="633">
        <v>521053.47</v>
      </c>
      <c r="F39" s="633">
        <v>549223.72</v>
      </c>
      <c r="G39" s="633">
        <v>599832.98</v>
      </c>
      <c r="H39" s="633">
        <v>599369.59</v>
      </c>
      <c r="I39" s="633">
        <v>559374.11</v>
      </c>
      <c r="J39" s="633">
        <v>523142.61</v>
      </c>
      <c r="K39" s="633">
        <v>574444.30000000005</v>
      </c>
      <c r="L39" s="633">
        <v>628052.13</v>
      </c>
      <c r="M39" s="633">
        <v>703496.8</v>
      </c>
      <c r="N39" s="633">
        <v>700817.99</v>
      </c>
      <c r="O39" s="633">
        <v>7450995.1799999997</v>
      </c>
    </row>
    <row r="40" spans="1:15" s="629" customFormat="1" outlineLevel="6">
      <c r="A40" s="165"/>
      <c r="B40" s="632" t="s">
        <v>4642</v>
      </c>
      <c r="C40" s="633">
        <v>-1229448.48</v>
      </c>
      <c r="D40" s="633">
        <v>-1090106.8</v>
      </c>
      <c r="E40" s="633">
        <v>-1017307.27</v>
      </c>
      <c r="F40" s="633">
        <v>-1105846.8999999999</v>
      </c>
      <c r="G40" s="633">
        <v>-1125040.83</v>
      </c>
      <c r="H40" s="633">
        <v>-1193634.33</v>
      </c>
      <c r="I40" s="633">
        <v>-1079814.7</v>
      </c>
      <c r="J40" s="633">
        <v>-1086148.1599999999</v>
      </c>
      <c r="K40" s="633">
        <v>-1169316.02</v>
      </c>
      <c r="L40" s="633">
        <v>-1314383.51</v>
      </c>
      <c r="M40" s="633">
        <v>-1335600.1299999999</v>
      </c>
      <c r="N40" s="633">
        <v>-1300409.5900000001</v>
      </c>
      <c r="O40" s="633">
        <v>-14047056.720000001</v>
      </c>
    </row>
    <row r="41" spans="1:15" s="629" customFormat="1" outlineLevel="6">
      <c r="A41" s="165"/>
      <c r="B41" s="632" t="s">
        <v>4643</v>
      </c>
      <c r="C41" s="633">
        <v>0</v>
      </c>
      <c r="D41" s="633">
        <v>0</v>
      </c>
      <c r="E41" s="633">
        <v>0</v>
      </c>
      <c r="F41" s="633">
        <v>79.02</v>
      </c>
      <c r="G41" s="633">
        <v>0</v>
      </c>
      <c r="H41" s="633">
        <v>0</v>
      </c>
      <c r="I41" s="633">
        <v>0</v>
      </c>
      <c r="J41" s="633">
        <v>0</v>
      </c>
      <c r="K41" s="633">
        <v>0</v>
      </c>
      <c r="L41" s="633">
        <v>0</v>
      </c>
      <c r="M41" s="633">
        <v>0</v>
      </c>
      <c r="N41" s="633">
        <v>-4</v>
      </c>
      <c r="O41" s="633">
        <v>75.02</v>
      </c>
    </row>
    <row r="42" spans="1:15" s="629" customFormat="1" outlineLevel="6">
      <c r="A42" s="165"/>
      <c r="B42" s="632" t="s">
        <v>1537</v>
      </c>
      <c r="C42" s="633">
        <v>0</v>
      </c>
      <c r="D42" s="633">
        <v>0.03</v>
      </c>
      <c r="E42" s="633">
        <v>0</v>
      </c>
      <c r="F42" s="633">
        <v>0.13</v>
      </c>
      <c r="G42" s="633">
        <v>0.28999999999999998</v>
      </c>
      <c r="H42" s="633">
        <v>-1.01</v>
      </c>
      <c r="I42" s="633">
        <v>0</v>
      </c>
      <c r="J42" s="633">
        <v>0.35</v>
      </c>
      <c r="K42" s="633">
        <v>0</v>
      </c>
      <c r="L42" s="633">
        <v>0.56000000000000005</v>
      </c>
      <c r="M42" s="633">
        <v>-1.86</v>
      </c>
      <c r="N42" s="633">
        <v>0</v>
      </c>
      <c r="O42" s="633">
        <v>-1.51</v>
      </c>
    </row>
    <row r="43" spans="1:15" s="629" customFormat="1" outlineLevel="6">
      <c r="A43" s="165"/>
      <c r="B43" s="632" t="s">
        <v>2440</v>
      </c>
      <c r="C43" s="633">
        <v>-268463.37</v>
      </c>
      <c r="D43" s="633">
        <v>-387091.24</v>
      </c>
      <c r="E43" s="633">
        <v>-447539.87</v>
      </c>
      <c r="F43" s="633">
        <v>-477072.87</v>
      </c>
      <c r="G43" s="633">
        <v>-429011</v>
      </c>
      <c r="H43" s="633">
        <v>-463317.09</v>
      </c>
      <c r="I43" s="633">
        <v>-455949.13</v>
      </c>
      <c r="J43" s="633">
        <v>-467721.89</v>
      </c>
      <c r="K43" s="633">
        <v>-348365.07</v>
      </c>
      <c r="L43" s="633">
        <v>-363769.55</v>
      </c>
      <c r="M43" s="633">
        <v>-340477.59</v>
      </c>
      <c r="N43" s="633">
        <v>-332687.17</v>
      </c>
      <c r="O43" s="633">
        <v>-4781465.84</v>
      </c>
    </row>
    <row r="44" spans="1:15" s="629" customFormat="1" outlineLevel="6">
      <c r="A44" s="165"/>
      <c r="B44" s="632" t="s">
        <v>4460</v>
      </c>
      <c r="C44" s="633">
        <v>-1239634.27</v>
      </c>
      <c r="D44" s="633">
        <v>-1464568.93</v>
      </c>
      <c r="E44" s="633">
        <v>-1448482.61</v>
      </c>
      <c r="F44" s="633">
        <v>-1600870.86</v>
      </c>
      <c r="G44" s="633">
        <v>-1494173.51</v>
      </c>
      <c r="H44" s="633">
        <v>-1584625.2</v>
      </c>
      <c r="I44" s="633">
        <v>-1470361.97</v>
      </c>
      <c r="J44" s="633">
        <v>-1574393.74</v>
      </c>
      <c r="K44" s="633">
        <v>-1376363.6</v>
      </c>
      <c r="L44" s="633">
        <v>-1496418.13</v>
      </c>
      <c r="M44" s="633">
        <v>-1455877.91</v>
      </c>
      <c r="N44" s="633">
        <v>-1410802.89</v>
      </c>
      <c r="O44" s="633">
        <v>-17616573.620000001</v>
      </c>
    </row>
    <row r="45" spans="1:15" s="629" customFormat="1" outlineLevel="6">
      <c r="A45" s="165"/>
      <c r="B45" s="632" t="s">
        <v>4644</v>
      </c>
      <c r="C45" s="633">
        <v>0</v>
      </c>
      <c r="D45" s="633">
        <v>3.52</v>
      </c>
      <c r="E45" s="633">
        <v>1.51</v>
      </c>
      <c r="F45" s="633">
        <v>20.190000000000001</v>
      </c>
      <c r="G45" s="633">
        <v>0</v>
      </c>
      <c r="H45" s="633">
        <v>0</v>
      </c>
      <c r="I45" s="633">
        <v>0</v>
      </c>
      <c r="J45" s="633">
        <v>0</v>
      </c>
      <c r="K45" s="633">
        <v>0</v>
      </c>
      <c r="L45" s="633">
        <v>0</v>
      </c>
      <c r="M45" s="633">
        <v>0</v>
      </c>
      <c r="N45" s="633">
        <v>0</v>
      </c>
      <c r="O45" s="633">
        <v>25.22</v>
      </c>
    </row>
    <row r="46" spans="1:15" s="629" customFormat="1" outlineLevel="6">
      <c r="A46" s="165"/>
      <c r="B46" s="632" t="s">
        <v>4835</v>
      </c>
      <c r="C46" s="633">
        <v>24877.93</v>
      </c>
      <c r="D46" s="633">
        <v>19876.05</v>
      </c>
      <c r="E46" s="633">
        <v>18362.77</v>
      </c>
      <c r="F46" s="633">
        <v>12626.69</v>
      </c>
      <c r="G46" s="633">
        <v>0</v>
      </c>
      <c r="H46" s="633">
        <v>0</v>
      </c>
      <c r="I46" s="633">
        <v>0</v>
      </c>
      <c r="J46" s="633">
        <v>0</v>
      </c>
      <c r="K46" s="633">
        <v>0</v>
      </c>
      <c r="L46" s="633">
        <v>0</v>
      </c>
      <c r="M46" s="633">
        <v>0</v>
      </c>
      <c r="N46" s="633">
        <v>0</v>
      </c>
      <c r="O46" s="633">
        <v>75743.44</v>
      </c>
    </row>
    <row r="47" spans="1:15" s="629" customFormat="1" outlineLevel="6">
      <c r="A47" s="165"/>
      <c r="B47" s="632" t="s">
        <v>4836</v>
      </c>
      <c r="C47" s="633">
        <v>14289.4</v>
      </c>
      <c r="D47" s="633">
        <v>21952.31</v>
      </c>
      <c r="E47" s="633">
        <v>16998.03</v>
      </c>
      <c r="F47" s="633">
        <v>16459.669999999998</v>
      </c>
      <c r="G47" s="633">
        <v>0</v>
      </c>
      <c r="H47" s="633">
        <v>0</v>
      </c>
      <c r="I47" s="633">
        <v>0</v>
      </c>
      <c r="J47" s="633">
        <v>0</v>
      </c>
      <c r="K47" s="633">
        <v>0</v>
      </c>
      <c r="L47" s="633">
        <v>0</v>
      </c>
      <c r="M47" s="633">
        <v>0</v>
      </c>
      <c r="N47" s="633">
        <v>0</v>
      </c>
      <c r="O47" s="633">
        <v>69699.41</v>
      </c>
    </row>
    <row r="48" spans="1:15" s="629" customFormat="1" outlineLevel="6">
      <c r="A48" s="165"/>
      <c r="B48" s="632" t="s">
        <v>3720</v>
      </c>
      <c r="C48" s="633">
        <v>-91956607</v>
      </c>
      <c r="D48" s="633">
        <v>-72827444.459999993</v>
      </c>
      <c r="E48" s="633">
        <v>-80276469.489999995</v>
      </c>
      <c r="F48" s="633">
        <v>-67496900.280000001</v>
      </c>
      <c r="G48" s="633">
        <v>-61054037.280000001</v>
      </c>
      <c r="H48" s="633">
        <v>-94242257.659999996</v>
      </c>
      <c r="I48" s="633">
        <v>-77362827.900000006</v>
      </c>
      <c r="J48" s="633">
        <v>-86512129.430000007</v>
      </c>
      <c r="K48" s="633">
        <v>-96595883.620000005</v>
      </c>
      <c r="L48" s="633">
        <v>-112121863.34999999</v>
      </c>
      <c r="M48" s="633">
        <v>-107670744</v>
      </c>
      <c r="N48" s="633">
        <v>-138726127.22</v>
      </c>
      <c r="O48" s="633">
        <v>-1086843291.6900001</v>
      </c>
    </row>
    <row r="49" spans="1:15" s="629" customFormat="1" outlineLevel="5">
      <c r="A49" s="165"/>
      <c r="B49" s="632" t="s">
        <v>1657</v>
      </c>
      <c r="C49" s="633">
        <v>-3720986.25</v>
      </c>
      <c r="D49" s="633">
        <v>-3916662.23</v>
      </c>
      <c r="E49" s="633">
        <v>-1372806.75</v>
      </c>
      <c r="F49" s="633">
        <v>-2303520.9700000002</v>
      </c>
      <c r="G49" s="633">
        <v>-1285238.68</v>
      </c>
      <c r="H49" s="633">
        <v>-2047013.9</v>
      </c>
      <c r="I49" s="633">
        <v>-377608.42</v>
      </c>
      <c r="J49" s="633">
        <v>-1630918.43</v>
      </c>
      <c r="K49" s="633">
        <v>-928063.6</v>
      </c>
      <c r="L49" s="633">
        <v>-4938628.6399999997</v>
      </c>
      <c r="M49" s="633">
        <v>-15658773.08</v>
      </c>
      <c r="N49" s="633">
        <v>-18111902.100000001</v>
      </c>
      <c r="O49" s="633">
        <v>-56292123.049999997</v>
      </c>
    </row>
    <row r="50" spans="1:15" s="629" customFormat="1" outlineLevel="4">
      <c r="A50" s="165"/>
      <c r="B50" s="632" t="s">
        <v>1658</v>
      </c>
      <c r="C50" s="633">
        <v>-71226.25</v>
      </c>
      <c r="D50" s="633">
        <v>-71226.25</v>
      </c>
      <c r="E50" s="633">
        <v>-71226.25</v>
      </c>
      <c r="F50" s="633">
        <v>-71226.25</v>
      </c>
      <c r="G50" s="633">
        <v>-71226.25</v>
      </c>
      <c r="H50" s="633">
        <v>-71226.25</v>
      </c>
      <c r="I50" s="633">
        <v>-71226.25</v>
      </c>
      <c r="J50" s="633">
        <v>-71226.25</v>
      </c>
      <c r="K50" s="633">
        <v>-71226.25</v>
      </c>
      <c r="L50" s="633">
        <v>-71226.25</v>
      </c>
      <c r="M50" s="633">
        <v>-71383.75</v>
      </c>
      <c r="N50" s="633">
        <v>-93262.58</v>
      </c>
      <c r="O50" s="633">
        <v>-876908.83</v>
      </c>
    </row>
    <row r="51" spans="1:15" s="629" customFormat="1" outlineLevel="5">
      <c r="A51" s="165"/>
      <c r="B51" s="632" t="s">
        <v>1659</v>
      </c>
      <c r="C51" s="633">
        <v>-107622.31</v>
      </c>
      <c r="D51" s="633">
        <v>-141173.35999999999</v>
      </c>
      <c r="E51" s="633">
        <v>-157087.95000000001</v>
      </c>
      <c r="F51" s="633">
        <v>-163525.78</v>
      </c>
      <c r="G51" s="633">
        <v>-146502.34</v>
      </c>
      <c r="H51" s="633">
        <v>-146155.10999999999</v>
      </c>
      <c r="I51" s="633">
        <v>-160797.54</v>
      </c>
      <c r="J51" s="633">
        <v>-139591.37</v>
      </c>
      <c r="K51" s="633">
        <v>-157115.15</v>
      </c>
      <c r="L51" s="633">
        <v>-148555.45000000001</v>
      </c>
      <c r="M51" s="633">
        <v>-142826.51999999999</v>
      </c>
      <c r="N51" s="633">
        <v>-179700.49</v>
      </c>
      <c r="O51" s="633">
        <v>-1790653.37</v>
      </c>
    </row>
    <row r="52" spans="1:15" s="629" customFormat="1" outlineLevel="5">
      <c r="A52" s="165"/>
      <c r="B52" s="632" t="s">
        <v>1660</v>
      </c>
      <c r="C52" s="633">
        <v>-20188514.68</v>
      </c>
      <c r="D52" s="633">
        <v>-23771687.550000001</v>
      </c>
      <c r="E52" s="633">
        <v>-25530624.969999999</v>
      </c>
      <c r="F52" s="633">
        <v>-27082569.449999999</v>
      </c>
      <c r="G52" s="633">
        <v>-25114714.5</v>
      </c>
      <c r="H52" s="633">
        <v>-21256748.010000002</v>
      </c>
      <c r="I52" s="633">
        <v>-15535349.029999999</v>
      </c>
      <c r="J52" s="633">
        <v>-11632560.890000001</v>
      </c>
      <c r="K52" s="633">
        <v>-12794962.640000001</v>
      </c>
      <c r="L52" s="633">
        <v>-19060631.43</v>
      </c>
      <c r="M52" s="633">
        <v>-19824595.27</v>
      </c>
      <c r="N52" s="633">
        <v>-21827882.039999999</v>
      </c>
      <c r="O52" s="633">
        <v>-243620840.46000001</v>
      </c>
    </row>
    <row r="53" spans="1:15" s="629" customFormat="1" outlineLevel="5">
      <c r="A53" s="165"/>
      <c r="B53" s="632" t="s">
        <v>1710</v>
      </c>
      <c r="C53" s="633">
        <v>-133637.07999999999</v>
      </c>
      <c r="D53" s="633">
        <v>0</v>
      </c>
      <c r="E53" s="633">
        <v>0</v>
      </c>
      <c r="F53" s="633">
        <v>-14795.96</v>
      </c>
      <c r="G53" s="633">
        <v>-24866.240000000002</v>
      </c>
      <c r="H53" s="633">
        <v>-33992.69</v>
      </c>
      <c r="I53" s="633">
        <v>-33820.47</v>
      </c>
      <c r="J53" s="633">
        <v>0</v>
      </c>
      <c r="K53" s="633">
        <v>-19654.810000000001</v>
      </c>
      <c r="L53" s="633">
        <v>-5693.36</v>
      </c>
      <c r="M53" s="633">
        <v>-95542.22</v>
      </c>
      <c r="N53" s="633">
        <v>-137761.93</v>
      </c>
      <c r="O53" s="633">
        <v>-499764.76</v>
      </c>
    </row>
    <row r="54" spans="1:15" s="629" customFormat="1" outlineLevel="5">
      <c r="A54" s="165"/>
      <c r="B54" s="632" t="s">
        <v>1661</v>
      </c>
      <c r="C54" s="633">
        <v>-311809.86</v>
      </c>
      <c r="D54" s="633">
        <v>-324370.15999999997</v>
      </c>
      <c r="E54" s="633">
        <v>-343646.56</v>
      </c>
      <c r="F54" s="633">
        <v>-368892.15999999997</v>
      </c>
      <c r="G54" s="633">
        <v>-362492.21</v>
      </c>
      <c r="H54" s="633">
        <v>-395166.3</v>
      </c>
      <c r="I54" s="633">
        <v>-404073.54</v>
      </c>
      <c r="J54" s="633">
        <v>-433881.63</v>
      </c>
      <c r="K54" s="633">
        <v>-450150.98</v>
      </c>
      <c r="L54" s="633">
        <v>-400220.81</v>
      </c>
      <c r="M54" s="633">
        <v>-417688.17</v>
      </c>
      <c r="N54" s="633">
        <v>-355614.12</v>
      </c>
      <c r="O54" s="633">
        <v>-4568006.5</v>
      </c>
    </row>
    <row r="55" spans="1:15" s="629" customFormat="1" outlineLevel="5">
      <c r="A55" s="165"/>
      <c r="B55" s="632" t="s">
        <v>1539</v>
      </c>
      <c r="C55" s="633">
        <v>-1798622.37</v>
      </c>
      <c r="D55" s="633">
        <v>-1142152.1499999999</v>
      </c>
      <c r="E55" s="633">
        <v>-310900</v>
      </c>
      <c r="F55" s="633">
        <v>-415938.33</v>
      </c>
      <c r="G55" s="633">
        <v>-693614.27</v>
      </c>
      <c r="H55" s="633">
        <v>-445990.9</v>
      </c>
      <c r="I55" s="633">
        <v>-517192.48</v>
      </c>
      <c r="J55" s="633">
        <v>-366474.26</v>
      </c>
      <c r="K55" s="633">
        <v>-418253.74</v>
      </c>
      <c r="L55" s="633">
        <v>-311520.42</v>
      </c>
      <c r="M55" s="633">
        <v>-1013777.79</v>
      </c>
      <c r="N55" s="633">
        <v>-1347050.14</v>
      </c>
      <c r="O55" s="633">
        <v>-8781486.8499999996</v>
      </c>
    </row>
    <row r="56" spans="1:15" s="629" customFormat="1" outlineLevel="5">
      <c r="A56" s="165"/>
      <c r="B56" s="632" t="s">
        <v>409</v>
      </c>
      <c r="C56" s="633">
        <v>-124393.52</v>
      </c>
      <c r="D56" s="633">
        <v>-127021.14</v>
      </c>
      <c r="E56" s="633">
        <v>-128717.26</v>
      </c>
      <c r="F56" s="633">
        <v>-128877.94</v>
      </c>
      <c r="G56" s="633">
        <v>-127987.51</v>
      </c>
      <c r="H56" s="633">
        <v>-127810.63</v>
      </c>
      <c r="I56" s="633">
        <v>-128265.44</v>
      </c>
      <c r="J56" s="633">
        <v>-127901.11</v>
      </c>
      <c r="K56" s="633">
        <v>-130778.44</v>
      </c>
      <c r="L56" s="633">
        <v>-131667.54999999999</v>
      </c>
      <c r="M56" s="633">
        <v>-129737.94</v>
      </c>
      <c r="N56" s="633">
        <v>-131383.51</v>
      </c>
      <c r="O56" s="633">
        <v>-1544541.99</v>
      </c>
    </row>
    <row r="57" spans="1:15" s="629" customFormat="1" outlineLevel="5">
      <c r="A57" s="165"/>
      <c r="B57" s="632" t="s">
        <v>1246</v>
      </c>
      <c r="C57" s="633">
        <v>-776822.65</v>
      </c>
      <c r="D57" s="633">
        <v>-857040.42</v>
      </c>
      <c r="E57" s="633">
        <v>-848192.54</v>
      </c>
      <c r="F57" s="633">
        <v>-932868.4</v>
      </c>
      <c r="G57" s="633">
        <v>-899079.07</v>
      </c>
      <c r="H57" s="633">
        <v>-879064.78</v>
      </c>
      <c r="I57" s="633">
        <v>-685313.63</v>
      </c>
      <c r="J57" s="633">
        <v>-729345.92</v>
      </c>
      <c r="K57" s="633">
        <v>-675268.61</v>
      </c>
      <c r="L57" s="633">
        <v>-753370.32</v>
      </c>
      <c r="M57" s="633">
        <v>-793573.85</v>
      </c>
      <c r="N57" s="633">
        <v>-820460.07</v>
      </c>
      <c r="O57" s="633">
        <v>-9650400.2599999998</v>
      </c>
    </row>
    <row r="58" spans="1:15" s="629" customFormat="1" outlineLevel="5">
      <c r="A58" s="165"/>
      <c r="B58" s="632" t="s">
        <v>3721</v>
      </c>
      <c r="C58" s="633">
        <v>-27233634.969999999</v>
      </c>
      <c r="D58" s="633">
        <v>-30351333.260000002</v>
      </c>
      <c r="E58" s="633">
        <v>-28763202.280000001</v>
      </c>
      <c r="F58" s="633">
        <v>-31482215.239999998</v>
      </c>
      <c r="G58" s="633">
        <v>-28725721.07</v>
      </c>
      <c r="H58" s="633">
        <v>-25403168.57</v>
      </c>
      <c r="I58" s="633">
        <v>-17913646.800000001</v>
      </c>
      <c r="J58" s="633">
        <v>-15131899.859999999</v>
      </c>
      <c r="K58" s="633">
        <v>-15645474.220000001</v>
      </c>
      <c r="L58" s="633">
        <v>-25821514.23</v>
      </c>
      <c r="M58" s="633">
        <v>-38147898.590000004</v>
      </c>
      <c r="N58" s="633">
        <v>-43005016.979999997</v>
      </c>
      <c r="O58" s="633">
        <v>-327624726.06999999</v>
      </c>
    </row>
    <row r="59" spans="1:15" s="629" customFormat="1" outlineLevel="5">
      <c r="A59" s="165"/>
      <c r="B59" s="632" t="s">
        <v>1641</v>
      </c>
      <c r="C59" s="633">
        <v>-229919.03</v>
      </c>
      <c r="D59" s="633">
        <v>771885.96</v>
      </c>
      <c r="E59" s="633">
        <v>921121.02</v>
      </c>
      <c r="F59" s="633">
        <v>60970.84</v>
      </c>
      <c r="G59" s="633">
        <v>-1029314.19</v>
      </c>
      <c r="H59" s="633">
        <v>-1291001.95</v>
      </c>
      <c r="I59" s="633">
        <v>2569325.73</v>
      </c>
      <c r="J59" s="633">
        <v>1742972.18</v>
      </c>
      <c r="K59" s="633">
        <v>4637719.97</v>
      </c>
      <c r="L59" s="633">
        <v>-3439137.02</v>
      </c>
      <c r="M59" s="633">
        <v>3226080.8</v>
      </c>
      <c r="N59" s="633">
        <v>-7329439.2699999996</v>
      </c>
      <c r="O59" s="633">
        <v>611265.04</v>
      </c>
    </row>
    <row r="60" spans="1:15" s="629" customFormat="1" outlineLevel="4">
      <c r="A60" s="165"/>
      <c r="B60" s="632" t="s">
        <v>4461</v>
      </c>
      <c r="C60" s="633">
        <v>-4321113.1399999997</v>
      </c>
      <c r="D60" s="633">
        <v>1171000.8700000001</v>
      </c>
      <c r="E60" s="633">
        <v>7791.09</v>
      </c>
      <c r="F60" s="633">
        <v>1078830.7</v>
      </c>
      <c r="G60" s="633">
        <v>-1060864.43</v>
      </c>
      <c r="H60" s="633">
        <v>-334579.52</v>
      </c>
      <c r="I60" s="633">
        <v>-1720874.05</v>
      </c>
      <c r="J60" s="633">
        <v>2746664.58</v>
      </c>
      <c r="K60" s="633">
        <v>1417152.73</v>
      </c>
      <c r="L60" s="633">
        <v>-944624.77</v>
      </c>
      <c r="M60" s="633">
        <v>1521803.75</v>
      </c>
      <c r="N60" s="633">
        <v>-1454178.91</v>
      </c>
      <c r="O60" s="633">
        <v>-1892991.1</v>
      </c>
    </row>
    <row r="61" spans="1:15" s="629" customFormat="1" outlineLevel="5">
      <c r="A61" s="165"/>
      <c r="B61" s="632" t="s">
        <v>4462</v>
      </c>
      <c r="C61" s="633">
        <v>-565141.94999999995</v>
      </c>
      <c r="D61" s="633">
        <v>-45551.42</v>
      </c>
      <c r="E61" s="633">
        <v>209117.8</v>
      </c>
      <c r="F61" s="633">
        <v>88034.36</v>
      </c>
      <c r="G61" s="633">
        <v>-111746.58</v>
      </c>
      <c r="H61" s="633">
        <v>-68500.47</v>
      </c>
      <c r="I61" s="633">
        <v>-193346.85</v>
      </c>
      <c r="J61" s="633">
        <v>326346.59000000003</v>
      </c>
      <c r="K61" s="633">
        <v>117956.92</v>
      </c>
      <c r="L61" s="633">
        <v>-45184.24</v>
      </c>
      <c r="M61" s="633">
        <v>261992.89</v>
      </c>
      <c r="N61" s="633">
        <v>-646258.16</v>
      </c>
      <c r="O61" s="633">
        <v>-672281.11</v>
      </c>
    </row>
    <row r="62" spans="1:15" s="629" customFormat="1" outlineLevel="5">
      <c r="A62" s="165"/>
      <c r="B62" s="632" t="s">
        <v>4463</v>
      </c>
      <c r="C62" s="633">
        <v>-10503.9</v>
      </c>
      <c r="D62" s="633">
        <v>21862.94</v>
      </c>
      <c r="E62" s="633">
        <v>10894.46</v>
      </c>
      <c r="F62" s="633">
        <v>219294.65</v>
      </c>
      <c r="G62" s="633">
        <v>-52324</v>
      </c>
      <c r="H62" s="633">
        <v>-151139.1</v>
      </c>
      <c r="I62" s="633">
        <v>-135143.59</v>
      </c>
      <c r="J62" s="633">
        <v>187228.23</v>
      </c>
      <c r="K62" s="633">
        <v>94655.76</v>
      </c>
      <c r="L62" s="633">
        <v>-71590.080000000002</v>
      </c>
      <c r="M62" s="633">
        <v>112945.06</v>
      </c>
      <c r="N62" s="633">
        <v>-123058.2</v>
      </c>
      <c r="O62" s="633">
        <v>103122.23</v>
      </c>
    </row>
    <row r="63" spans="1:15" s="629" customFormat="1" outlineLevel="5">
      <c r="A63" s="165"/>
      <c r="B63" s="632" t="s">
        <v>4464</v>
      </c>
      <c r="C63" s="633">
        <v>-157373.20000000001</v>
      </c>
      <c r="D63" s="633">
        <v>12244.07</v>
      </c>
      <c r="E63" s="633">
        <v>47929.29</v>
      </c>
      <c r="F63" s="633">
        <v>67501.919999999998</v>
      </c>
      <c r="G63" s="633">
        <v>-67846.240000000005</v>
      </c>
      <c r="H63" s="633">
        <v>-173238.79</v>
      </c>
      <c r="I63" s="633">
        <v>-71909.490000000005</v>
      </c>
      <c r="J63" s="633">
        <v>126407.85</v>
      </c>
      <c r="K63" s="633">
        <v>63548.18</v>
      </c>
      <c r="L63" s="633">
        <v>-24907.32</v>
      </c>
      <c r="M63" s="633">
        <v>73971.429999999993</v>
      </c>
      <c r="N63" s="633">
        <v>-58356.83</v>
      </c>
      <c r="O63" s="633">
        <v>-162029.13</v>
      </c>
    </row>
    <row r="64" spans="1:15" s="629" customFormat="1" outlineLevel="5">
      <c r="A64" s="165"/>
      <c r="B64" s="632" t="s">
        <v>4465</v>
      </c>
      <c r="C64" s="633">
        <v>-90050.05</v>
      </c>
      <c r="D64" s="633">
        <v>-7141.72</v>
      </c>
      <c r="E64" s="633">
        <v>28276.41</v>
      </c>
      <c r="F64" s="633">
        <v>19091.71</v>
      </c>
      <c r="G64" s="633">
        <v>-16983.34</v>
      </c>
      <c r="H64" s="633">
        <v>-11144.2</v>
      </c>
      <c r="I64" s="633">
        <v>-31144.74</v>
      </c>
      <c r="J64" s="633">
        <v>49947.67</v>
      </c>
      <c r="K64" s="633">
        <v>19265.96</v>
      </c>
      <c r="L64" s="633">
        <v>-6598.77</v>
      </c>
      <c r="M64" s="633">
        <v>41709.769999999997</v>
      </c>
      <c r="N64" s="633">
        <v>340768.92</v>
      </c>
      <c r="O64" s="633">
        <v>335997.62</v>
      </c>
    </row>
    <row r="65" spans="1:16" s="629" customFormat="1" outlineLevel="5">
      <c r="A65" s="165"/>
      <c r="B65" s="632" t="s">
        <v>4466</v>
      </c>
      <c r="C65" s="633">
        <v>-514875.39</v>
      </c>
      <c r="D65" s="633">
        <v>-42680.18</v>
      </c>
      <c r="E65" s="633">
        <v>-41855.769999999997</v>
      </c>
      <c r="F65" s="633">
        <v>62243.74</v>
      </c>
      <c r="G65" s="633">
        <v>-86259.97</v>
      </c>
      <c r="H65" s="633">
        <v>-51098.239999999998</v>
      </c>
      <c r="I65" s="633">
        <v>-136960.15</v>
      </c>
      <c r="J65" s="633">
        <v>239990.98</v>
      </c>
      <c r="K65" s="633">
        <v>97180.81</v>
      </c>
      <c r="L65" s="633">
        <v>-40921.99</v>
      </c>
      <c r="M65" s="633">
        <v>201241.7</v>
      </c>
      <c r="N65" s="633">
        <v>-132500.35999999999</v>
      </c>
      <c r="O65" s="633">
        <v>-446494.82</v>
      </c>
    </row>
    <row r="66" spans="1:16" s="629" customFormat="1" outlineLevel="5">
      <c r="A66" s="165"/>
      <c r="B66" s="632" t="s">
        <v>4467</v>
      </c>
      <c r="C66" s="633">
        <v>-248498.71</v>
      </c>
      <c r="D66" s="633">
        <v>8268.48</v>
      </c>
      <c r="E66" s="633">
        <v>173401.92</v>
      </c>
      <c r="F66" s="633">
        <v>-15134.68</v>
      </c>
      <c r="G66" s="633">
        <v>-21326.9</v>
      </c>
      <c r="H66" s="633">
        <v>44076.2</v>
      </c>
      <c r="I66" s="633">
        <v>62371.9</v>
      </c>
      <c r="J66" s="633">
        <v>2792.22</v>
      </c>
      <c r="K66" s="633">
        <v>-70098.899999999994</v>
      </c>
      <c r="L66" s="633">
        <v>-9235.9599999999991</v>
      </c>
      <c r="M66" s="633">
        <v>131752.92000000001</v>
      </c>
      <c r="N66" s="633">
        <v>-10598.33</v>
      </c>
      <c r="O66" s="633">
        <v>47770.16</v>
      </c>
    </row>
    <row r="67" spans="1:16" s="629" customFormat="1" outlineLevel="5">
      <c r="A67" s="165"/>
      <c r="B67" s="632" t="s">
        <v>4645</v>
      </c>
      <c r="C67" s="633">
        <v>-342826.16</v>
      </c>
      <c r="D67" s="633">
        <v>4456.09</v>
      </c>
      <c r="E67" s="633">
        <v>111369.2</v>
      </c>
      <c r="F67" s="633">
        <v>70008.86</v>
      </c>
      <c r="G67" s="633">
        <v>-73451.929999999993</v>
      </c>
      <c r="H67" s="633">
        <v>-15407.45</v>
      </c>
      <c r="I67" s="633">
        <v>-147082.10999999999</v>
      </c>
      <c r="J67" s="633">
        <v>200893.63</v>
      </c>
      <c r="K67" s="633">
        <v>85835.62</v>
      </c>
      <c r="L67" s="633">
        <v>-75973.41</v>
      </c>
      <c r="M67" s="633">
        <v>56051.67</v>
      </c>
      <c r="N67" s="633">
        <v>-103474.95</v>
      </c>
      <c r="O67" s="633">
        <v>-229600.94</v>
      </c>
    </row>
    <row r="68" spans="1:16" s="629" customFormat="1" outlineLevel="5">
      <c r="A68" s="165"/>
      <c r="B68" s="632" t="s">
        <v>3722</v>
      </c>
      <c r="C68" s="633">
        <v>-6480301.5300000003</v>
      </c>
      <c r="D68" s="633">
        <v>1894345.09</v>
      </c>
      <c r="E68" s="633">
        <v>1468045.42</v>
      </c>
      <c r="F68" s="633">
        <v>1650842.1</v>
      </c>
      <c r="G68" s="633">
        <v>-2520117.58</v>
      </c>
      <c r="H68" s="633">
        <v>-2052033.52</v>
      </c>
      <c r="I68" s="633">
        <v>195236.65</v>
      </c>
      <c r="J68" s="633">
        <v>5623243.9299999997</v>
      </c>
      <c r="K68" s="633">
        <v>6463217.0499999998</v>
      </c>
      <c r="L68" s="633">
        <v>-4658173.5599999996</v>
      </c>
      <c r="M68" s="633">
        <v>5627549.9900000002</v>
      </c>
      <c r="N68" s="633">
        <v>-9517096.0899999999</v>
      </c>
      <c r="O68" s="633">
        <v>-2305242.0499999998</v>
      </c>
    </row>
    <row r="69" spans="1:16" s="629" customFormat="1" outlineLevel="5">
      <c r="A69" s="165"/>
      <c r="B69" s="632" t="s">
        <v>3723</v>
      </c>
      <c r="C69" s="633">
        <v>-125670543.5</v>
      </c>
      <c r="D69" s="633">
        <v>-101284432.63</v>
      </c>
      <c r="E69" s="633">
        <v>-107571626.34999999</v>
      </c>
      <c r="F69" s="633">
        <v>-97328273.420000002</v>
      </c>
      <c r="G69" s="633">
        <v>-92299875.930000007</v>
      </c>
      <c r="H69" s="633">
        <v>-121697459.75</v>
      </c>
      <c r="I69" s="633">
        <v>-95081238.049999997</v>
      </c>
      <c r="J69" s="633">
        <v>-96020785.359999999</v>
      </c>
      <c r="K69" s="633">
        <v>-105778140.79000001</v>
      </c>
      <c r="L69" s="633">
        <v>-142601551.13999999</v>
      </c>
      <c r="M69" s="633">
        <v>-140191092.59999999</v>
      </c>
      <c r="N69" s="633">
        <v>-191248240.28999999</v>
      </c>
      <c r="O69" s="633">
        <v>-1416773259.8099999</v>
      </c>
    </row>
    <row r="70" spans="1:16" s="629" customFormat="1" outlineLevel="4">
      <c r="A70" s="165"/>
      <c r="B70" s="632" t="s">
        <v>1679</v>
      </c>
      <c r="C70" s="633">
        <v>-103.83</v>
      </c>
      <c r="D70" s="633">
        <v>-103.83</v>
      </c>
      <c r="E70" s="633">
        <v>-103.83</v>
      </c>
      <c r="F70" s="633">
        <v>-103.83</v>
      </c>
      <c r="G70" s="633">
        <v>-103.83</v>
      </c>
      <c r="H70" s="633">
        <v>-103.83</v>
      </c>
      <c r="I70" s="633">
        <v>-103.83</v>
      </c>
      <c r="J70" s="633">
        <v>-103.83</v>
      </c>
      <c r="K70" s="633">
        <v>-103.83</v>
      </c>
      <c r="L70" s="633">
        <v>-103.83</v>
      </c>
      <c r="M70" s="633">
        <v>-103.83</v>
      </c>
      <c r="N70" s="633">
        <v>-103.83</v>
      </c>
      <c r="O70" s="633">
        <v>-1245.96</v>
      </c>
    </row>
    <row r="71" spans="1:16" s="629" customFormat="1" outlineLevel="3">
      <c r="A71" s="165"/>
      <c r="B71" s="632" t="s">
        <v>1736</v>
      </c>
      <c r="C71" s="633">
        <v>-51788.97</v>
      </c>
      <c r="D71" s="633">
        <v>10275.64</v>
      </c>
      <c r="E71" s="633">
        <v>-12552.88</v>
      </c>
      <c r="F71" s="633">
        <v>-12489.98</v>
      </c>
      <c r="G71" s="633">
        <v>-12239.98</v>
      </c>
      <c r="H71" s="633">
        <v>-12239.98</v>
      </c>
      <c r="I71" s="633">
        <v>-12239.98</v>
      </c>
      <c r="J71" s="633">
        <v>-12589.98</v>
      </c>
      <c r="K71" s="633">
        <v>-12232.14</v>
      </c>
      <c r="L71" s="633">
        <v>-10928</v>
      </c>
      <c r="M71" s="633">
        <v>-12742.14</v>
      </c>
      <c r="N71" s="633">
        <v>-8632.3799999999992</v>
      </c>
      <c r="O71" s="633">
        <v>-160400.76999999999</v>
      </c>
    </row>
    <row r="72" spans="1:16" s="629" customFormat="1" outlineLevel="4">
      <c r="A72" s="165"/>
      <c r="B72" s="632" t="s">
        <v>3724</v>
      </c>
      <c r="C72" s="633">
        <v>-51892.800000000003</v>
      </c>
      <c r="D72" s="633">
        <v>10171.81</v>
      </c>
      <c r="E72" s="633">
        <v>-12656.71</v>
      </c>
      <c r="F72" s="633">
        <v>-12593.81</v>
      </c>
      <c r="G72" s="633">
        <v>-12343.81</v>
      </c>
      <c r="H72" s="633">
        <v>-12343.81</v>
      </c>
      <c r="I72" s="633">
        <v>-12343.81</v>
      </c>
      <c r="J72" s="633">
        <v>-12693.81</v>
      </c>
      <c r="K72" s="633">
        <v>-12335.97</v>
      </c>
      <c r="L72" s="633">
        <v>-11031.83</v>
      </c>
      <c r="M72" s="633">
        <v>-12845.97</v>
      </c>
      <c r="N72" s="633">
        <v>-8736.2099999999991</v>
      </c>
      <c r="O72" s="633">
        <v>-161646.73000000001</v>
      </c>
    </row>
    <row r="73" spans="1:16" s="629" customFormat="1" outlineLevel="4">
      <c r="A73" s="165"/>
      <c r="B73" s="632" t="s">
        <v>3725</v>
      </c>
      <c r="C73" s="633">
        <v>-125722436.3</v>
      </c>
      <c r="D73" s="633">
        <v>-101274260.81999999</v>
      </c>
      <c r="E73" s="633">
        <v>-107584283.06</v>
      </c>
      <c r="F73" s="633">
        <v>-97340867.230000004</v>
      </c>
      <c r="G73" s="633">
        <v>-92312219.739999995</v>
      </c>
      <c r="H73" s="633">
        <v>-121709803.56</v>
      </c>
      <c r="I73" s="633">
        <v>-95093581.859999999</v>
      </c>
      <c r="J73" s="633">
        <v>-96033479.170000002</v>
      </c>
      <c r="K73" s="633">
        <v>-105790476.76000001</v>
      </c>
      <c r="L73" s="633">
        <v>-142612582.97</v>
      </c>
      <c r="M73" s="633">
        <v>-140203938.56999999</v>
      </c>
      <c r="N73" s="633">
        <v>-191256976.5</v>
      </c>
      <c r="O73" s="633">
        <v>-1416934906.54</v>
      </c>
    </row>
    <row r="74" spans="1:16" s="629" customFormat="1" outlineLevel="3">
      <c r="A74" s="165"/>
      <c r="B74" s="632" t="s">
        <v>2554</v>
      </c>
      <c r="C74" s="633">
        <v>995.35</v>
      </c>
      <c r="D74" s="633">
        <v>0</v>
      </c>
      <c r="E74" s="633">
        <v>0</v>
      </c>
      <c r="F74" s="633">
        <v>961.02</v>
      </c>
      <c r="G74" s="633">
        <v>0</v>
      </c>
      <c r="H74" s="633">
        <v>560.38</v>
      </c>
      <c r="I74" s="633">
        <v>525.37</v>
      </c>
      <c r="J74" s="633">
        <v>545.21</v>
      </c>
      <c r="K74" s="633">
        <v>598.23</v>
      </c>
      <c r="L74" s="633">
        <v>541.09</v>
      </c>
      <c r="M74" s="633">
        <v>539.44000000000005</v>
      </c>
      <c r="N74" s="633">
        <v>14039.47</v>
      </c>
      <c r="O74" s="633">
        <v>19305.560000000001</v>
      </c>
    </row>
    <row r="75" spans="1:16" s="629" customFormat="1" outlineLevel="2">
      <c r="A75" s="165"/>
      <c r="B75" s="632" t="s">
        <v>1593</v>
      </c>
      <c r="C75" s="633">
        <v>41740841.770000003</v>
      </c>
      <c r="D75" s="633">
        <v>30540084.75</v>
      </c>
      <c r="E75" s="633">
        <v>35805545.719999999</v>
      </c>
      <c r="F75" s="633">
        <v>28589601.66</v>
      </c>
      <c r="G75" s="633">
        <v>32133490.329999998</v>
      </c>
      <c r="H75" s="633">
        <v>45457711.189999998</v>
      </c>
      <c r="I75" s="633">
        <v>30533261.469999999</v>
      </c>
      <c r="J75" s="633">
        <v>22422405.66</v>
      </c>
      <c r="K75" s="633">
        <v>34297311.229999997</v>
      </c>
      <c r="L75" s="633">
        <v>73651983.049999997</v>
      </c>
      <c r="M75" s="633">
        <v>71267098.829999998</v>
      </c>
      <c r="N75" s="633">
        <v>113843894.05</v>
      </c>
      <c r="O75" s="633">
        <v>560283229.71000004</v>
      </c>
    </row>
    <row r="76" spans="1:16" s="629" customFormat="1" outlineLevel="4">
      <c r="A76" s="165"/>
      <c r="B76" s="632" t="s">
        <v>1453</v>
      </c>
      <c r="C76" s="633">
        <v>0</v>
      </c>
      <c r="D76" s="633">
        <v>0</v>
      </c>
      <c r="E76" s="633">
        <v>0</v>
      </c>
      <c r="F76" s="633">
        <v>0</v>
      </c>
      <c r="G76" s="633">
        <v>0</v>
      </c>
      <c r="H76" s="633">
        <v>0</v>
      </c>
      <c r="I76" s="633">
        <v>0</v>
      </c>
      <c r="J76" s="633">
        <v>0</v>
      </c>
      <c r="K76" s="633">
        <v>0</v>
      </c>
      <c r="L76" s="633">
        <v>0</v>
      </c>
      <c r="M76" s="633">
        <v>0</v>
      </c>
      <c r="N76" s="633">
        <v>0</v>
      </c>
      <c r="O76" s="633">
        <v>0</v>
      </c>
    </row>
    <row r="77" spans="1:16" s="629" customFormat="1" outlineLevel="4">
      <c r="A77" s="165"/>
      <c r="B77" s="632" t="s">
        <v>3726</v>
      </c>
      <c r="C77" s="633">
        <v>41741837.119999997</v>
      </c>
      <c r="D77" s="633">
        <v>30540084.75</v>
      </c>
      <c r="E77" s="633">
        <v>35805545.719999999</v>
      </c>
      <c r="F77" s="633">
        <v>28590562.68</v>
      </c>
      <c r="G77" s="633">
        <v>32133490.329999998</v>
      </c>
      <c r="H77" s="633">
        <v>45458271.57</v>
      </c>
      <c r="I77" s="633">
        <v>30533786.84</v>
      </c>
      <c r="J77" s="633">
        <v>22422950.870000001</v>
      </c>
      <c r="K77" s="633">
        <v>34297909.460000001</v>
      </c>
      <c r="L77" s="633">
        <v>73652524.140000001</v>
      </c>
      <c r="M77" s="633">
        <v>71267638.269999996</v>
      </c>
      <c r="N77" s="633">
        <v>113857933.52</v>
      </c>
      <c r="O77" s="633">
        <v>560302535.26999998</v>
      </c>
      <c r="P77" s="133" t="s">
        <v>502</v>
      </c>
    </row>
    <row r="78" spans="1:16" s="629" customFormat="1" outlineLevel="4">
      <c r="A78" s="165"/>
      <c r="B78" s="632" t="s">
        <v>1711</v>
      </c>
      <c r="C78" s="633">
        <v>79986.899999999994</v>
      </c>
      <c r="D78" s="633">
        <v>90871.59</v>
      </c>
      <c r="E78" s="633">
        <v>92483.82</v>
      </c>
      <c r="F78" s="633">
        <v>70266.929999999993</v>
      </c>
      <c r="G78" s="633">
        <v>73560.75</v>
      </c>
      <c r="H78" s="633">
        <v>93211.85</v>
      </c>
      <c r="I78" s="633">
        <v>65486.35</v>
      </c>
      <c r="J78" s="633">
        <v>85658.52</v>
      </c>
      <c r="K78" s="633">
        <v>84874.66</v>
      </c>
      <c r="L78" s="633">
        <v>90577.95</v>
      </c>
      <c r="M78" s="633">
        <v>46360.44</v>
      </c>
      <c r="N78" s="633">
        <v>97529.76</v>
      </c>
      <c r="O78" s="633">
        <v>970869.52</v>
      </c>
      <c r="P78" s="133" t="s">
        <v>504</v>
      </c>
    </row>
    <row r="79" spans="1:16" s="629" customFormat="1" outlineLevel="3">
      <c r="A79" s="165"/>
      <c r="B79" s="632" t="s">
        <v>1128</v>
      </c>
      <c r="C79" s="633">
        <v>0</v>
      </c>
      <c r="D79" s="633">
        <v>3205.66</v>
      </c>
      <c r="E79" s="633">
        <v>12613.56</v>
      </c>
      <c r="F79" s="633">
        <v>2160.4</v>
      </c>
      <c r="G79" s="633">
        <v>6417.69</v>
      </c>
      <c r="H79" s="633">
        <v>7790.84</v>
      </c>
      <c r="I79" s="633">
        <v>6486.48</v>
      </c>
      <c r="J79" s="633">
        <v>11267.66</v>
      </c>
      <c r="K79" s="633">
        <v>13116.64</v>
      </c>
      <c r="L79" s="633">
        <v>2662.43</v>
      </c>
      <c r="M79" s="633">
        <v>2797.29</v>
      </c>
      <c r="N79" s="633">
        <v>3157.07</v>
      </c>
      <c r="O79" s="633">
        <v>71675.72</v>
      </c>
      <c r="P79" s="133" t="s">
        <v>504</v>
      </c>
    </row>
    <row r="80" spans="1:16" s="629" customFormat="1" outlineLevel="5">
      <c r="A80" s="165"/>
      <c r="B80" s="632" t="s">
        <v>1129</v>
      </c>
      <c r="C80" s="633">
        <v>4487.66</v>
      </c>
      <c r="D80" s="633">
        <v>3632.15</v>
      </c>
      <c r="E80" s="633">
        <v>1343.23</v>
      </c>
      <c r="F80" s="633">
        <v>2691.19</v>
      </c>
      <c r="G80" s="633">
        <v>4338.88</v>
      </c>
      <c r="H80" s="633">
        <v>4226.55</v>
      </c>
      <c r="I80" s="633">
        <v>5243.15</v>
      </c>
      <c r="J80" s="633">
        <v>2026.66</v>
      </c>
      <c r="K80" s="633">
        <v>6376.73</v>
      </c>
      <c r="L80" s="633">
        <v>7474.08</v>
      </c>
      <c r="M80" s="633">
        <v>4407.96</v>
      </c>
      <c r="N80" s="633">
        <v>8278.48</v>
      </c>
      <c r="O80" s="633">
        <v>54526.720000000001</v>
      </c>
      <c r="P80" s="133" t="s">
        <v>504</v>
      </c>
    </row>
    <row r="81" spans="1:16" s="629" customFormat="1" outlineLevel="5">
      <c r="A81" s="165"/>
      <c r="B81" s="632" t="s">
        <v>2822</v>
      </c>
      <c r="C81" s="633">
        <v>41684.620000000003</v>
      </c>
      <c r="D81" s="633">
        <v>28474.1</v>
      </c>
      <c r="E81" s="633">
        <v>17944.990000000002</v>
      </c>
      <c r="F81" s="633">
        <v>23396.46</v>
      </c>
      <c r="G81" s="633">
        <v>179155.08</v>
      </c>
      <c r="H81" s="633">
        <v>21410.53</v>
      </c>
      <c r="I81" s="633">
        <v>21409.93</v>
      </c>
      <c r="J81" s="633">
        <v>22550.27</v>
      </c>
      <c r="K81" s="633">
        <v>16572.52</v>
      </c>
      <c r="L81" s="633">
        <v>27007.72</v>
      </c>
      <c r="M81" s="633">
        <v>27413.1</v>
      </c>
      <c r="N81" s="633">
        <v>21659.119999999999</v>
      </c>
      <c r="O81" s="633">
        <v>448678.44</v>
      </c>
      <c r="P81" s="133" t="s">
        <v>504</v>
      </c>
    </row>
    <row r="82" spans="1:16" s="629" customFormat="1" outlineLevel="5">
      <c r="A82" s="165"/>
      <c r="B82" s="632" t="s">
        <v>935</v>
      </c>
      <c r="C82" s="633">
        <v>361.12</v>
      </c>
      <c r="D82" s="633">
        <v>394</v>
      </c>
      <c r="E82" s="633">
        <v>565.35</v>
      </c>
      <c r="F82" s="633">
        <v>2406.86</v>
      </c>
      <c r="G82" s="633">
        <v>577.19000000000005</v>
      </c>
      <c r="H82" s="633">
        <v>193.8</v>
      </c>
      <c r="I82" s="633">
        <v>1286.2</v>
      </c>
      <c r="J82" s="633">
        <v>1920.89</v>
      </c>
      <c r="K82" s="633">
        <v>1019.94</v>
      </c>
      <c r="L82" s="633">
        <v>804.53</v>
      </c>
      <c r="M82" s="633">
        <v>203.05</v>
      </c>
      <c r="N82" s="633">
        <v>5988.45</v>
      </c>
      <c r="O82" s="633">
        <v>15721.38</v>
      </c>
      <c r="P82" s="133" t="s">
        <v>504</v>
      </c>
    </row>
    <row r="83" spans="1:16" s="629" customFormat="1" outlineLevel="5">
      <c r="A83" s="165"/>
      <c r="B83" s="632" t="s">
        <v>2555</v>
      </c>
      <c r="C83" s="633">
        <v>1825.6</v>
      </c>
      <c r="D83" s="633">
        <v>0</v>
      </c>
      <c r="E83" s="633">
        <v>1523.58</v>
      </c>
      <c r="F83" s="633">
        <v>692.36</v>
      </c>
      <c r="G83" s="633">
        <v>11189.82</v>
      </c>
      <c r="H83" s="633">
        <v>0</v>
      </c>
      <c r="I83" s="633">
        <v>0</v>
      </c>
      <c r="J83" s="633">
        <v>3014.34</v>
      </c>
      <c r="K83" s="633">
        <v>536.6</v>
      </c>
      <c r="L83" s="633">
        <v>1835.89</v>
      </c>
      <c r="M83" s="633">
        <v>2389.7600000000002</v>
      </c>
      <c r="N83" s="633">
        <v>3641.67</v>
      </c>
      <c r="O83" s="633">
        <v>26649.62</v>
      </c>
      <c r="P83" s="133" t="s">
        <v>504</v>
      </c>
    </row>
    <row r="84" spans="1:16" s="629" customFormat="1" outlineLevel="5">
      <c r="A84" s="165"/>
      <c r="B84" s="632" t="s">
        <v>936</v>
      </c>
      <c r="C84" s="633">
        <v>264.89</v>
      </c>
      <c r="D84" s="633">
        <v>0</v>
      </c>
      <c r="E84" s="633">
        <v>0</v>
      </c>
      <c r="F84" s="633">
        <v>1605.86</v>
      </c>
      <c r="G84" s="633">
        <v>0</v>
      </c>
      <c r="H84" s="633">
        <v>67.42</v>
      </c>
      <c r="I84" s="633">
        <v>0</v>
      </c>
      <c r="J84" s="633">
        <v>55.94</v>
      </c>
      <c r="K84" s="633">
        <v>93.9</v>
      </c>
      <c r="L84" s="633">
        <v>1281.97</v>
      </c>
      <c r="M84" s="633">
        <v>0</v>
      </c>
      <c r="N84" s="633">
        <v>0</v>
      </c>
      <c r="O84" s="633">
        <v>3369.98</v>
      </c>
      <c r="P84" s="133" t="s">
        <v>504</v>
      </c>
    </row>
    <row r="85" spans="1:16" s="629" customFormat="1" outlineLevel="5">
      <c r="A85" s="165"/>
      <c r="B85" s="632" t="s">
        <v>1888</v>
      </c>
      <c r="C85" s="633">
        <v>-29214.77</v>
      </c>
      <c r="D85" s="633">
        <v>-2760.9</v>
      </c>
      <c r="E85" s="633">
        <v>0</v>
      </c>
      <c r="F85" s="633">
        <v>0</v>
      </c>
      <c r="G85" s="633">
        <v>-202225.89</v>
      </c>
      <c r="H85" s="633">
        <v>31975.67</v>
      </c>
      <c r="I85" s="633">
        <v>31975.67</v>
      </c>
      <c r="J85" s="633">
        <v>31975.67</v>
      </c>
      <c r="K85" s="633">
        <v>31975.67</v>
      </c>
      <c r="L85" s="633">
        <v>31975.67</v>
      </c>
      <c r="M85" s="633">
        <v>33574.449999999997</v>
      </c>
      <c r="N85" s="633">
        <v>31975.67</v>
      </c>
      <c r="O85" s="633">
        <v>-8773.09</v>
      </c>
      <c r="P85" s="133" t="s">
        <v>504</v>
      </c>
    </row>
    <row r="86" spans="1:16" s="629" customFormat="1" outlineLevel="5">
      <c r="A86" s="165"/>
      <c r="B86" s="632" t="s">
        <v>3007</v>
      </c>
      <c r="C86" s="633">
        <v>10022.36</v>
      </c>
      <c r="D86" s="633">
        <v>11932.31</v>
      </c>
      <c r="E86" s="633">
        <v>11009.33</v>
      </c>
      <c r="F86" s="633">
        <v>10280.969999999999</v>
      </c>
      <c r="G86" s="633">
        <v>10856.27</v>
      </c>
      <c r="H86" s="633">
        <v>7917.85</v>
      </c>
      <c r="I86" s="633">
        <v>17398.88</v>
      </c>
      <c r="J86" s="633">
        <v>14502.87</v>
      </c>
      <c r="K86" s="633">
        <v>9486.25</v>
      </c>
      <c r="L86" s="633">
        <v>12548.21</v>
      </c>
      <c r="M86" s="633">
        <v>11392.55</v>
      </c>
      <c r="N86" s="633">
        <v>5192.3999999999996</v>
      </c>
      <c r="O86" s="633">
        <v>132540.25</v>
      </c>
      <c r="P86" s="133" t="s">
        <v>504</v>
      </c>
    </row>
    <row r="87" spans="1:16" s="629" customFormat="1" outlineLevel="5">
      <c r="A87" s="165"/>
      <c r="B87" s="632" t="s">
        <v>1765</v>
      </c>
      <c r="C87" s="633">
        <v>3195787.32</v>
      </c>
      <c r="D87" s="633">
        <v>4178161.13</v>
      </c>
      <c r="E87" s="633">
        <v>3594216</v>
      </c>
      <c r="F87" s="633">
        <v>4324658.53</v>
      </c>
      <c r="G87" s="633">
        <v>-10638637.710000001</v>
      </c>
      <c r="H87" s="633">
        <v>3309773.35</v>
      </c>
      <c r="I87" s="633">
        <v>3571504.4</v>
      </c>
      <c r="J87" s="633">
        <v>4606255.09</v>
      </c>
      <c r="K87" s="633">
        <v>2161945.4300000002</v>
      </c>
      <c r="L87" s="633">
        <v>-607951.49</v>
      </c>
      <c r="M87" s="633">
        <v>1966356.14</v>
      </c>
      <c r="N87" s="633">
        <v>2527766.6800000002</v>
      </c>
      <c r="O87" s="633">
        <v>22189834.870000001</v>
      </c>
      <c r="P87" s="133" t="s">
        <v>504</v>
      </c>
    </row>
    <row r="88" spans="1:16" s="629" customFormat="1" outlineLevel="5">
      <c r="A88" s="165"/>
      <c r="B88" s="632" t="s">
        <v>552</v>
      </c>
      <c r="C88" s="633">
        <v>541281.21</v>
      </c>
      <c r="D88" s="633">
        <v>201747.97</v>
      </c>
      <c r="E88" s="633">
        <v>486391.71</v>
      </c>
      <c r="F88" s="633">
        <v>301815.40000000002</v>
      </c>
      <c r="G88" s="633">
        <v>242830.26</v>
      </c>
      <c r="H88" s="633">
        <v>278839.08</v>
      </c>
      <c r="I88" s="633">
        <v>288950.52</v>
      </c>
      <c r="J88" s="633">
        <v>257074.03</v>
      </c>
      <c r="K88" s="633">
        <v>294002.76</v>
      </c>
      <c r="L88" s="633">
        <v>227334.42</v>
      </c>
      <c r="M88" s="633">
        <v>336967.17</v>
      </c>
      <c r="N88" s="633">
        <v>430539.73</v>
      </c>
      <c r="O88" s="633">
        <v>3887774.26</v>
      </c>
      <c r="P88" s="133" t="s">
        <v>504</v>
      </c>
    </row>
    <row r="89" spans="1:16" s="629" customFormat="1" outlineLevel="5">
      <c r="A89" s="165"/>
      <c r="B89" s="632" t="s">
        <v>2929</v>
      </c>
      <c r="C89" s="633">
        <v>417179.63</v>
      </c>
      <c r="D89" s="633">
        <v>112143.46</v>
      </c>
      <c r="E89" s="633">
        <v>153584.22</v>
      </c>
      <c r="F89" s="633">
        <v>54935.4</v>
      </c>
      <c r="G89" s="633">
        <v>75517.08</v>
      </c>
      <c r="H89" s="633">
        <v>223542.12</v>
      </c>
      <c r="I89" s="633">
        <v>-86931.13</v>
      </c>
      <c r="J89" s="633">
        <v>170172.88</v>
      </c>
      <c r="K89" s="633">
        <v>137905.45000000001</v>
      </c>
      <c r="L89" s="633">
        <v>-66002.009999999995</v>
      </c>
      <c r="M89" s="633">
        <v>120209.65</v>
      </c>
      <c r="N89" s="633">
        <v>366607.7</v>
      </c>
      <c r="O89" s="633">
        <v>1678864.45</v>
      </c>
      <c r="P89" s="133" t="s">
        <v>504</v>
      </c>
    </row>
    <row r="90" spans="1:16" s="629" customFormat="1" outlineLevel="5">
      <c r="A90" s="165"/>
      <c r="B90" s="632" t="s">
        <v>553</v>
      </c>
      <c r="C90" s="633">
        <v>44851.43</v>
      </c>
      <c r="D90" s="633">
        <v>66892.72</v>
      </c>
      <c r="E90" s="633">
        <v>221734.9</v>
      </c>
      <c r="F90" s="633">
        <v>64576.36</v>
      </c>
      <c r="G90" s="633">
        <v>74380.03</v>
      </c>
      <c r="H90" s="633">
        <v>66056.83</v>
      </c>
      <c r="I90" s="633">
        <v>105446.2</v>
      </c>
      <c r="J90" s="633">
        <v>94697.54</v>
      </c>
      <c r="K90" s="633">
        <v>65589.48</v>
      </c>
      <c r="L90" s="633">
        <v>77341.850000000006</v>
      </c>
      <c r="M90" s="633">
        <v>74248.02</v>
      </c>
      <c r="N90" s="633">
        <v>58089.52</v>
      </c>
      <c r="O90" s="633">
        <v>1013904.88</v>
      </c>
      <c r="P90" s="133" t="s">
        <v>504</v>
      </c>
    </row>
    <row r="91" spans="1:16" s="629" customFormat="1" outlineLevel="5">
      <c r="A91" s="165"/>
      <c r="B91" s="632" t="s">
        <v>2806</v>
      </c>
      <c r="C91" s="633">
        <v>266048.81</v>
      </c>
      <c r="D91" s="633">
        <v>316411.77</v>
      </c>
      <c r="E91" s="633">
        <v>230843.41</v>
      </c>
      <c r="F91" s="633">
        <v>253508.28</v>
      </c>
      <c r="G91" s="633">
        <v>302321.7</v>
      </c>
      <c r="H91" s="633">
        <v>271438.15999999997</v>
      </c>
      <c r="I91" s="633">
        <v>182040.67</v>
      </c>
      <c r="J91" s="633">
        <v>362188.93</v>
      </c>
      <c r="K91" s="633">
        <v>235872.17</v>
      </c>
      <c r="L91" s="633">
        <v>209995.99</v>
      </c>
      <c r="M91" s="633">
        <v>287606.09999999998</v>
      </c>
      <c r="N91" s="633">
        <v>296754.40000000002</v>
      </c>
      <c r="O91" s="633">
        <v>3215030.39</v>
      </c>
      <c r="P91" s="133" t="s">
        <v>504</v>
      </c>
    </row>
    <row r="92" spans="1:16" s="629" customFormat="1" outlineLevel="5">
      <c r="A92" s="165"/>
      <c r="B92" s="632" t="s">
        <v>2289</v>
      </c>
      <c r="C92" s="633">
        <v>-55665.8</v>
      </c>
      <c r="D92" s="633">
        <v>33675.440000000002</v>
      </c>
      <c r="E92" s="633">
        <v>23342.69</v>
      </c>
      <c r="F92" s="633">
        <v>25855.279999999999</v>
      </c>
      <c r="G92" s="633">
        <v>20417.150000000001</v>
      </c>
      <c r="H92" s="633">
        <v>19633.82</v>
      </c>
      <c r="I92" s="633">
        <v>15289.36</v>
      </c>
      <c r="J92" s="633">
        <v>17444.73</v>
      </c>
      <c r="K92" s="633">
        <v>15356.07</v>
      </c>
      <c r="L92" s="633">
        <v>15734.26</v>
      </c>
      <c r="M92" s="633">
        <v>11474.51</v>
      </c>
      <c r="N92" s="633">
        <v>15718.41</v>
      </c>
      <c r="O92" s="633">
        <v>158275.92000000001</v>
      </c>
      <c r="P92" s="133" t="s">
        <v>504</v>
      </c>
    </row>
    <row r="93" spans="1:16" s="629" customFormat="1" outlineLevel="5">
      <c r="A93" s="165"/>
      <c r="B93" s="632" t="s">
        <v>2290</v>
      </c>
      <c r="C93" s="633">
        <v>1224653.8400000001</v>
      </c>
      <c r="D93" s="633">
        <v>131067.03</v>
      </c>
      <c r="E93" s="633">
        <v>129870.51</v>
      </c>
      <c r="F93" s="633">
        <v>51978.22</v>
      </c>
      <c r="G93" s="633">
        <v>109970.34</v>
      </c>
      <c r="H93" s="633">
        <v>97684.24</v>
      </c>
      <c r="I93" s="633">
        <v>61177.71</v>
      </c>
      <c r="J93" s="633">
        <v>80378.12</v>
      </c>
      <c r="K93" s="633">
        <v>33324.660000000003</v>
      </c>
      <c r="L93" s="633">
        <v>58089.46</v>
      </c>
      <c r="M93" s="633">
        <v>53244.4</v>
      </c>
      <c r="N93" s="633">
        <v>27889.599999999999</v>
      </c>
      <c r="O93" s="633">
        <v>2059328.13</v>
      </c>
      <c r="P93" s="133" t="s">
        <v>504</v>
      </c>
    </row>
    <row r="94" spans="1:16" s="629" customFormat="1" outlineLevel="5">
      <c r="A94" s="165"/>
      <c r="B94" s="632" t="s">
        <v>577</v>
      </c>
      <c r="C94" s="633">
        <v>729701.52</v>
      </c>
      <c r="D94" s="633">
        <v>303690.98</v>
      </c>
      <c r="E94" s="633">
        <v>469416.83</v>
      </c>
      <c r="F94" s="633">
        <v>634019.62</v>
      </c>
      <c r="G94" s="633">
        <v>463527.7</v>
      </c>
      <c r="H94" s="633">
        <v>350281.68</v>
      </c>
      <c r="I94" s="633">
        <v>533257.56000000006</v>
      </c>
      <c r="J94" s="633">
        <v>368783.16</v>
      </c>
      <c r="K94" s="633">
        <v>369045.17</v>
      </c>
      <c r="L94" s="633">
        <v>448811.04</v>
      </c>
      <c r="M94" s="633">
        <v>392447.81</v>
      </c>
      <c r="N94" s="633">
        <v>319842.23</v>
      </c>
      <c r="O94" s="633">
        <v>5382825.2999999998</v>
      </c>
      <c r="P94" s="133" t="s">
        <v>504</v>
      </c>
    </row>
    <row r="95" spans="1:16" s="629" customFormat="1" outlineLevel="5">
      <c r="A95" s="165"/>
      <c r="B95" s="632" t="s">
        <v>578</v>
      </c>
      <c r="C95" s="633">
        <v>70149.009999999995</v>
      </c>
      <c r="D95" s="633">
        <v>82819.899999999994</v>
      </c>
      <c r="E95" s="633">
        <v>219794.56</v>
      </c>
      <c r="F95" s="633">
        <v>26274.14</v>
      </c>
      <c r="G95" s="633">
        <v>34091.15</v>
      </c>
      <c r="H95" s="633">
        <v>23095.13</v>
      </c>
      <c r="I95" s="633">
        <v>17504.8</v>
      </c>
      <c r="J95" s="633">
        <v>25895.99</v>
      </c>
      <c r="K95" s="633">
        <v>11450.21</v>
      </c>
      <c r="L95" s="633">
        <v>34663.89</v>
      </c>
      <c r="M95" s="633">
        <v>26765.67</v>
      </c>
      <c r="N95" s="633">
        <v>8706.3700000000008</v>
      </c>
      <c r="O95" s="633">
        <v>581210.81999999995</v>
      </c>
      <c r="P95" s="133" t="s">
        <v>504</v>
      </c>
    </row>
    <row r="96" spans="1:16" s="629" customFormat="1" outlineLevel="5">
      <c r="A96" s="165"/>
      <c r="B96" s="632" t="s">
        <v>1991</v>
      </c>
      <c r="C96" s="633">
        <v>286.62</v>
      </c>
      <c r="D96" s="633">
        <v>5564.26</v>
      </c>
      <c r="E96" s="633">
        <v>2025.09</v>
      </c>
      <c r="F96" s="633">
        <v>43.27</v>
      </c>
      <c r="G96" s="633">
        <v>2488.48</v>
      </c>
      <c r="H96" s="633">
        <v>297.68</v>
      </c>
      <c r="I96" s="633">
        <v>0</v>
      </c>
      <c r="J96" s="633">
        <v>0</v>
      </c>
      <c r="K96" s="633">
        <v>0</v>
      </c>
      <c r="L96" s="633">
        <v>820.39</v>
      </c>
      <c r="M96" s="633">
        <v>616.92999999999995</v>
      </c>
      <c r="N96" s="633">
        <v>192.27</v>
      </c>
      <c r="O96" s="633">
        <v>12334.99</v>
      </c>
      <c r="P96" s="133" t="s">
        <v>504</v>
      </c>
    </row>
    <row r="97" spans="1:16" s="629" customFormat="1" outlineLevel="5">
      <c r="A97" s="165"/>
      <c r="B97" s="632" t="s">
        <v>1992</v>
      </c>
      <c r="C97" s="633">
        <v>804549.12</v>
      </c>
      <c r="D97" s="633">
        <v>804561.22</v>
      </c>
      <c r="E97" s="633">
        <v>804182.82</v>
      </c>
      <c r="F97" s="633">
        <v>804311.52</v>
      </c>
      <c r="G97" s="633">
        <v>805442.32</v>
      </c>
      <c r="H97" s="633">
        <v>803816.52</v>
      </c>
      <c r="I97" s="633">
        <v>803826.42</v>
      </c>
      <c r="J97" s="633">
        <v>804038.72</v>
      </c>
      <c r="K97" s="633">
        <v>803831.92</v>
      </c>
      <c r="L97" s="633">
        <v>803816.52</v>
      </c>
      <c r="M97" s="633">
        <v>803816.52</v>
      </c>
      <c r="N97" s="633">
        <v>803816.52</v>
      </c>
      <c r="O97" s="633">
        <v>9650010.1400000006</v>
      </c>
      <c r="P97" s="133" t="s">
        <v>504</v>
      </c>
    </row>
    <row r="98" spans="1:16" s="629" customFormat="1" outlineLevel="5">
      <c r="A98" s="165"/>
      <c r="B98" s="632" t="s">
        <v>1993</v>
      </c>
      <c r="C98" s="633">
        <v>269967.14</v>
      </c>
      <c r="D98" s="633">
        <v>258313.18</v>
      </c>
      <c r="E98" s="633">
        <v>298079.09999999998</v>
      </c>
      <c r="F98" s="633">
        <v>240577.62</v>
      </c>
      <c r="G98" s="633">
        <v>212443.51</v>
      </c>
      <c r="H98" s="633">
        <v>192267.42</v>
      </c>
      <c r="I98" s="633">
        <v>331201.74</v>
      </c>
      <c r="J98" s="633">
        <v>237942.9</v>
      </c>
      <c r="K98" s="633">
        <v>340731.57</v>
      </c>
      <c r="L98" s="633">
        <v>473152.58</v>
      </c>
      <c r="M98" s="633">
        <v>384902.54</v>
      </c>
      <c r="N98" s="633">
        <v>288825.33</v>
      </c>
      <c r="O98" s="633">
        <v>3528404.63</v>
      </c>
      <c r="P98" s="133" t="s">
        <v>504</v>
      </c>
    </row>
    <row r="99" spans="1:16" s="629" customFormat="1" outlineLevel="5">
      <c r="A99" s="165"/>
      <c r="B99" s="632" t="s">
        <v>579</v>
      </c>
      <c r="C99" s="633">
        <v>501</v>
      </c>
      <c r="D99" s="633">
        <v>0</v>
      </c>
      <c r="E99" s="633">
        <v>0</v>
      </c>
      <c r="F99" s="633">
        <v>0</v>
      </c>
      <c r="G99" s="633">
        <v>0</v>
      </c>
      <c r="H99" s="633">
        <v>0</v>
      </c>
      <c r="I99" s="633">
        <v>993.29</v>
      </c>
      <c r="J99" s="633">
        <v>3000</v>
      </c>
      <c r="K99" s="633">
        <v>0</v>
      </c>
      <c r="L99" s="633">
        <v>739.83</v>
      </c>
      <c r="M99" s="633">
        <v>0</v>
      </c>
      <c r="N99" s="633">
        <v>0</v>
      </c>
      <c r="O99" s="633">
        <v>5234.12</v>
      </c>
      <c r="P99" s="133" t="s">
        <v>504</v>
      </c>
    </row>
    <row r="100" spans="1:16" s="629" customFormat="1" outlineLevel="5">
      <c r="A100" s="165"/>
      <c r="B100" s="632" t="s">
        <v>669</v>
      </c>
      <c r="C100" s="633">
        <v>667002.1</v>
      </c>
      <c r="D100" s="633">
        <v>381284.49</v>
      </c>
      <c r="E100" s="633">
        <v>938215.34</v>
      </c>
      <c r="F100" s="633">
        <v>407114.51</v>
      </c>
      <c r="G100" s="633">
        <v>335987.45</v>
      </c>
      <c r="H100" s="633">
        <v>509650.65</v>
      </c>
      <c r="I100" s="633">
        <v>170009.28</v>
      </c>
      <c r="J100" s="633">
        <v>362728.82</v>
      </c>
      <c r="K100" s="633">
        <v>485873.59</v>
      </c>
      <c r="L100" s="633">
        <v>170443.16</v>
      </c>
      <c r="M100" s="633">
        <v>332687.06</v>
      </c>
      <c r="N100" s="633">
        <v>1028361.55</v>
      </c>
      <c r="O100" s="633">
        <v>5789358</v>
      </c>
      <c r="P100" s="133" t="s">
        <v>504</v>
      </c>
    </row>
    <row r="101" spans="1:16" s="629" customFormat="1" outlineLevel="5">
      <c r="A101" s="165"/>
      <c r="B101" s="632" t="s">
        <v>2743</v>
      </c>
      <c r="C101" s="633">
        <v>230467.11</v>
      </c>
      <c r="D101" s="633">
        <v>56828.9</v>
      </c>
      <c r="E101" s="633">
        <v>81602.5</v>
      </c>
      <c r="F101" s="633">
        <v>32313.75</v>
      </c>
      <c r="G101" s="633">
        <v>39679.699999999997</v>
      </c>
      <c r="H101" s="633">
        <v>123308.16</v>
      </c>
      <c r="I101" s="633">
        <v>-50954.66</v>
      </c>
      <c r="J101" s="633">
        <v>87000.87</v>
      </c>
      <c r="K101" s="633">
        <v>74362.92</v>
      </c>
      <c r="L101" s="633">
        <v>-37698.33</v>
      </c>
      <c r="M101" s="633">
        <v>59966.2</v>
      </c>
      <c r="N101" s="633">
        <v>198769.69</v>
      </c>
      <c r="O101" s="633">
        <v>895646.81</v>
      </c>
      <c r="P101" s="133" t="s">
        <v>504</v>
      </c>
    </row>
    <row r="102" spans="1:16" s="634" customFormat="1" outlineLevel="5">
      <c r="A102" s="165"/>
      <c r="B102" s="632" t="s">
        <v>2330</v>
      </c>
      <c r="C102" s="633">
        <v>92397.6</v>
      </c>
      <c r="D102" s="633">
        <v>44284.959999999999</v>
      </c>
      <c r="E102" s="633">
        <v>52616.98</v>
      </c>
      <c r="F102" s="633">
        <v>13338.09</v>
      </c>
      <c r="G102" s="633">
        <v>70969.36</v>
      </c>
      <c r="H102" s="633">
        <v>14224.29</v>
      </c>
      <c r="I102" s="633">
        <v>59005.279999999999</v>
      </c>
      <c r="J102" s="633">
        <v>19791.3</v>
      </c>
      <c r="K102" s="633">
        <v>48959.06</v>
      </c>
      <c r="L102" s="633">
        <v>19247.509999999998</v>
      </c>
      <c r="M102" s="633">
        <v>14892.49</v>
      </c>
      <c r="N102" s="633">
        <v>56842.96</v>
      </c>
      <c r="O102" s="633">
        <v>506569.88</v>
      </c>
      <c r="P102" s="133" t="s">
        <v>504</v>
      </c>
    </row>
    <row r="103" spans="1:16" s="629" customFormat="1" outlineLevel="5">
      <c r="A103" s="165"/>
      <c r="B103" s="632" t="s">
        <v>2744</v>
      </c>
      <c r="C103" s="633">
        <v>292057.34000000003</v>
      </c>
      <c r="D103" s="633">
        <v>293709</v>
      </c>
      <c r="E103" s="633">
        <v>311253.09999999998</v>
      </c>
      <c r="F103" s="633">
        <v>410573.68</v>
      </c>
      <c r="G103" s="633">
        <v>538619.29</v>
      </c>
      <c r="H103" s="633">
        <v>420327.77</v>
      </c>
      <c r="I103" s="633">
        <v>439808.43</v>
      </c>
      <c r="J103" s="633">
        <v>243860.93</v>
      </c>
      <c r="K103" s="633">
        <v>379521.09</v>
      </c>
      <c r="L103" s="633">
        <v>542139.11</v>
      </c>
      <c r="M103" s="633">
        <v>431744.04</v>
      </c>
      <c r="N103" s="633">
        <v>412749.09</v>
      </c>
      <c r="O103" s="633">
        <v>4716362.87</v>
      </c>
      <c r="P103" s="133" t="s">
        <v>504</v>
      </c>
    </row>
    <row r="104" spans="1:16" s="629" customFormat="1" outlineLevel="5">
      <c r="A104" s="165"/>
      <c r="B104" s="632" t="s">
        <v>1713</v>
      </c>
      <c r="C104" s="633">
        <v>671523.28</v>
      </c>
      <c r="D104" s="633">
        <v>569835.24</v>
      </c>
      <c r="E104" s="633">
        <v>285366.3</v>
      </c>
      <c r="F104" s="633">
        <v>529922.78</v>
      </c>
      <c r="G104" s="633">
        <v>343494.31</v>
      </c>
      <c r="H104" s="633">
        <v>1248486.79</v>
      </c>
      <c r="I104" s="633">
        <v>316991.53999999998</v>
      </c>
      <c r="J104" s="633">
        <v>611450.67000000004</v>
      </c>
      <c r="K104" s="633">
        <v>234089.72</v>
      </c>
      <c r="L104" s="633">
        <v>504826.61</v>
      </c>
      <c r="M104" s="633">
        <v>437081.07</v>
      </c>
      <c r="N104" s="633">
        <v>332409.94</v>
      </c>
      <c r="O104" s="633">
        <v>6085478.25</v>
      </c>
      <c r="P104" s="133" t="s">
        <v>504</v>
      </c>
    </row>
    <row r="105" spans="1:16" s="629" customFormat="1" outlineLevel="5">
      <c r="A105" s="165"/>
      <c r="B105" s="632" t="s">
        <v>670</v>
      </c>
      <c r="C105" s="633">
        <v>257825.47</v>
      </c>
      <c r="D105" s="633">
        <v>222268.91</v>
      </c>
      <c r="E105" s="633">
        <v>105799.96</v>
      </c>
      <c r="F105" s="633">
        <v>296358.26</v>
      </c>
      <c r="G105" s="633">
        <v>188719.27</v>
      </c>
      <c r="H105" s="633">
        <v>242280.77</v>
      </c>
      <c r="I105" s="633">
        <v>200094.68</v>
      </c>
      <c r="J105" s="633">
        <v>220357.71</v>
      </c>
      <c r="K105" s="633">
        <v>190325.33</v>
      </c>
      <c r="L105" s="633">
        <v>248592.76</v>
      </c>
      <c r="M105" s="633">
        <v>70674.61</v>
      </c>
      <c r="N105" s="633">
        <v>102931.11</v>
      </c>
      <c r="O105" s="633">
        <v>2346228.84</v>
      </c>
      <c r="P105" s="133" t="s">
        <v>504</v>
      </c>
    </row>
    <row r="106" spans="1:16" s="629" customFormat="1" outlineLevel="5">
      <c r="A106" s="165"/>
      <c r="B106" s="632" t="s">
        <v>671</v>
      </c>
      <c r="C106" s="633">
        <v>1999.18</v>
      </c>
      <c r="D106" s="633">
        <v>1013.81</v>
      </c>
      <c r="E106" s="633">
        <v>2070.7399999999998</v>
      </c>
      <c r="F106" s="633">
        <v>207.94</v>
      </c>
      <c r="G106" s="633">
        <v>1995.12</v>
      </c>
      <c r="H106" s="633">
        <v>1204.49</v>
      </c>
      <c r="I106" s="633">
        <v>1479.38</v>
      </c>
      <c r="J106" s="633">
        <v>2011.92</v>
      </c>
      <c r="K106" s="633">
        <v>4710.82</v>
      </c>
      <c r="L106" s="633">
        <v>6635.1</v>
      </c>
      <c r="M106" s="633">
        <v>7229.6</v>
      </c>
      <c r="N106" s="633">
        <v>4203.3599999999997</v>
      </c>
      <c r="O106" s="633">
        <v>34761.46</v>
      </c>
      <c r="P106" s="133" t="s">
        <v>504</v>
      </c>
    </row>
    <row r="107" spans="1:16" s="629" customFormat="1" outlineLevel="5">
      <c r="A107" s="165"/>
      <c r="B107" s="632" t="s">
        <v>2963</v>
      </c>
      <c r="C107" s="633">
        <v>1033573.62</v>
      </c>
      <c r="D107" s="633">
        <v>793064.5</v>
      </c>
      <c r="E107" s="633">
        <v>782119.29</v>
      </c>
      <c r="F107" s="633">
        <v>776047.83</v>
      </c>
      <c r="G107" s="633">
        <v>592128.57999999996</v>
      </c>
      <c r="H107" s="633">
        <v>858156.65</v>
      </c>
      <c r="I107" s="633">
        <v>430586.77</v>
      </c>
      <c r="J107" s="633">
        <v>751501.43</v>
      </c>
      <c r="K107" s="633">
        <v>819957.26</v>
      </c>
      <c r="L107" s="633">
        <v>140816.04999999999</v>
      </c>
      <c r="M107" s="633">
        <v>736168.22</v>
      </c>
      <c r="N107" s="633">
        <v>865001.85</v>
      </c>
      <c r="O107" s="633">
        <v>8579122.0500000007</v>
      </c>
      <c r="P107" s="133" t="s">
        <v>504</v>
      </c>
    </row>
    <row r="108" spans="1:16" s="629" customFormat="1" outlineLevel="5">
      <c r="A108" s="165"/>
      <c r="B108" s="632" t="s">
        <v>672</v>
      </c>
      <c r="C108" s="633">
        <v>76779.37</v>
      </c>
      <c r="D108" s="633">
        <v>46767.08</v>
      </c>
      <c r="E108" s="633">
        <v>60341.43</v>
      </c>
      <c r="F108" s="633">
        <v>65252.55</v>
      </c>
      <c r="G108" s="633">
        <v>67050.63</v>
      </c>
      <c r="H108" s="633">
        <v>5893.76</v>
      </c>
      <c r="I108" s="633">
        <v>54914.74</v>
      </c>
      <c r="J108" s="633">
        <v>25326</v>
      </c>
      <c r="K108" s="633">
        <v>66047.08</v>
      </c>
      <c r="L108" s="633">
        <v>-30992.560000000001</v>
      </c>
      <c r="M108" s="633">
        <v>16579.45</v>
      </c>
      <c r="N108" s="633">
        <v>40335.51</v>
      </c>
      <c r="O108" s="633">
        <v>494295.03999999998</v>
      </c>
      <c r="P108" s="133" t="s">
        <v>504</v>
      </c>
    </row>
    <row r="109" spans="1:16" s="629" customFormat="1" outlineLevel="5">
      <c r="A109" s="165"/>
      <c r="B109" s="632" t="s">
        <v>673</v>
      </c>
      <c r="C109" s="633">
        <v>1073199.8500000001</v>
      </c>
      <c r="D109" s="633">
        <v>976472.1</v>
      </c>
      <c r="E109" s="633">
        <v>1081872.51</v>
      </c>
      <c r="F109" s="633">
        <v>857858.63</v>
      </c>
      <c r="G109" s="633">
        <v>797814.2</v>
      </c>
      <c r="H109" s="633">
        <v>745874.13</v>
      </c>
      <c r="I109" s="633">
        <v>1017740.3</v>
      </c>
      <c r="J109" s="633">
        <v>900733.48</v>
      </c>
      <c r="K109" s="633">
        <v>1064225.98</v>
      </c>
      <c r="L109" s="633">
        <v>1258139.18</v>
      </c>
      <c r="M109" s="633">
        <v>1191648.54</v>
      </c>
      <c r="N109" s="633">
        <v>1225121.33</v>
      </c>
      <c r="O109" s="633">
        <v>12190700.23</v>
      </c>
      <c r="P109" s="133" t="s">
        <v>504</v>
      </c>
    </row>
    <row r="110" spans="1:16" s="629" customFormat="1" outlineLevel="5">
      <c r="A110" s="165"/>
      <c r="B110" s="632" t="s">
        <v>2970</v>
      </c>
      <c r="C110" s="633">
        <v>187943.27</v>
      </c>
      <c r="D110" s="633">
        <v>744</v>
      </c>
      <c r="E110" s="633">
        <v>1500</v>
      </c>
      <c r="F110" s="633">
        <v>2416.25</v>
      </c>
      <c r="G110" s="633">
        <v>293.85000000000002</v>
      </c>
      <c r="H110" s="633">
        <v>2987.45</v>
      </c>
      <c r="I110" s="633">
        <v>2773.34</v>
      </c>
      <c r="J110" s="633">
        <v>35840.99</v>
      </c>
      <c r="K110" s="633">
        <v>2350.87</v>
      </c>
      <c r="L110" s="633">
        <v>295481.40999999997</v>
      </c>
      <c r="M110" s="633">
        <v>5330.54</v>
      </c>
      <c r="N110" s="633">
        <v>24477.89</v>
      </c>
      <c r="O110" s="633">
        <v>562139.86</v>
      </c>
      <c r="P110" s="133" t="s">
        <v>504</v>
      </c>
    </row>
    <row r="111" spans="1:16" s="629" customFormat="1" outlineLevel="5">
      <c r="A111" s="165"/>
      <c r="B111" s="632" t="s">
        <v>150</v>
      </c>
      <c r="C111" s="633">
        <v>96614.65</v>
      </c>
      <c r="D111" s="633">
        <v>118184.73</v>
      </c>
      <c r="E111" s="633">
        <v>120002.35</v>
      </c>
      <c r="F111" s="633">
        <v>109242.49</v>
      </c>
      <c r="G111" s="633">
        <v>107414.24</v>
      </c>
      <c r="H111" s="633">
        <v>97536.68</v>
      </c>
      <c r="I111" s="633">
        <v>162716.88</v>
      </c>
      <c r="J111" s="633">
        <v>136430.48000000001</v>
      </c>
      <c r="K111" s="633">
        <v>113384.91</v>
      </c>
      <c r="L111" s="633">
        <v>134267.81</v>
      </c>
      <c r="M111" s="633">
        <v>117716.97</v>
      </c>
      <c r="N111" s="633">
        <v>101456.6</v>
      </c>
      <c r="O111" s="633">
        <v>1414968.79</v>
      </c>
      <c r="P111" s="133" t="s">
        <v>504</v>
      </c>
    </row>
    <row r="112" spans="1:16" s="629" customFormat="1" outlineLevel="5">
      <c r="A112" s="165"/>
      <c r="B112" s="632" t="s">
        <v>1047</v>
      </c>
      <c r="C112" s="633">
        <v>735182.74</v>
      </c>
      <c r="D112" s="633">
        <v>799410.28</v>
      </c>
      <c r="E112" s="633">
        <v>1003568.05</v>
      </c>
      <c r="F112" s="633">
        <v>961042.17</v>
      </c>
      <c r="G112" s="633">
        <v>1018083.46</v>
      </c>
      <c r="H112" s="633">
        <v>836178.44</v>
      </c>
      <c r="I112" s="633">
        <v>1058213.3600000001</v>
      </c>
      <c r="J112" s="633">
        <v>965566.85</v>
      </c>
      <c r="K112" s="633">
        <v>894119.33</v>
      </c>
      <c r="L112" s="633">
        <v>1099258.33</v>
      </c>
      <c r="M112" s="633">
        <v>823296.52</v>
      </c>
      <c r="N112" s="633">
        <v>973766.43</v>
      </c>
      <c r="O112" s="633">
        <v>11167685.960000001</v>
      </c>
      <c r="P112" s="133" t="s">
        <v>504</v>
      </c>
    </row>
    <row r="113" spans="1:16" s="629" customFormat="1" outlineLevel="5">
      <c r="A113" s="165"/>
      <c r="B113" s="632" t="s">
        <v>1048</v>
      </c>
      <c r="C113" s="633">
        <v>1794083.38</v>
      </c>
      <c r="D113" s="633">
        <v>1476693.42</v>
      </c>
      <c r="E113" s="633">
        <v>1924870.3</v>
      </c>
      <c r="F113" s="633">
        <v>1695853.27</v>
      </c>
      <c r="G113" s="633">
        <v>1747790.01</v>
      </c>
      <c r="H113" s="633">
        <v>1607364.44</v>
      </c>
      <c r="I113" s="633">
        <v>1592767.67</v>
      </c>
      <c r="J113" s="633">
        <v>1628136.05</v>
      </c>
      <c r="K113" s="633">
        <v>1729853.94</v>
      </c>
      <c r="L113" s="633">
        <v>1652944.12</v>
      </c>
      <c r="M113" s="633">
        <v>1376694.03</v>
      </c>
      <c r="N113" s="633">
        <v>1551929.07</v>
      </c>
      <c r="O113" s="633">
        <v>19778979.699999999</v>
      </c>
      <c r="P113" s="133" t="s">
        <v>504</v>
      </c>
    </row>
    <row r="114" spans="1:16" s="629" customFormat="1" outlineLevel="5">
      <c r="A114" s="165"/>
      <c r="B114" s="632" t="s">
        <v>1872</v>
      </c>
      <c r="C114" s="633">
        <v>-1765096.97</v>
      </c>
      <c r="D114" s="633">
        <v>1176490.92</v>
      </c>
      <c r="E114" s="633">
        <v>1973572.94</v>
      </c>
      <c r="F114" s="633">
        <v>885801.29</v>
      </c>
      <c r="G114" s="633">
        <v>1185233.5900000001</v>
      </c>
      <c r="H114" s="633">
        <v>1763891.14</v>
      </c>
      <c r="I114" s="633">
        <v>1195850.8999999999</v>
      </c>
      <c r="J114" s="633">
        <v>1784527.92</v>
      </c>
      <c r="K114" s="633">
        <v>2316311.9900000002</v>
      </c>
      <c r="L114" s="633">
        <v>1177567.31</v>
      </c>
      <c r="M114" s="633">
        <v>1305889.1599999999</v>
      </c>
      <c r="N114" s="633">
        <v>2428281.9</v>
      </c>
      <c r="O114" s="633">
        <v>15428322.09</v>
      </c>
      <c r="P114" s="133" t="s">
        <v>504</v>
      </c>
    </row>
    <row r="115" spans="1:16" s="629" customFormat="1" outlineLevel="5">
      <c r="A115" s="165"/>
      <c r="B115" s="632" t="s">
        <v>1709</v>
      </c>
      <c r="C115" s="633">
        <v>1103311.98</v>
      </c>
      <c r="D115" s="633">
        <v>1133710.6100000001</v>
      </c>
      <c r="E115" s="633">
        <v>1143844.5</v>
      </c>
      <c r="F115" s="633">
        <v>1117808.1100000001</v>
      </c>
      <c r="G115" s="633">
        <v>1208432.69</v>
      </c>
      <c r="H115" s="633">
        <v>1160489.7</v>
      </c>
      <c r="I115" s="633">
        <v>1214907.23</v>
      </c>
      <c r="J115" s="633">
        <v>1289591.05</v>
      </c>
      <c r="K115" s="633">
        <v>1160605.99</v>
      </c>
      <c r="L115" s="633">
        <v>1194631.4099999999</v>
      </c>
      <c r="M115" s="633">
        <v>1094428.29</v>
      </c>
      <c r="N115" s="633">
        <v>1124892.6499999999</v>
      </c>
      <c r="O115" s="633">
        <v>13946654.210000001</v>
      </c>
      <c r="P115" s="133" t="s">
        <v>504</v>
      </c>
    </row>
    <row r="116" spans="1:16" s="629" customFormat="1" outlineLevel="5">
      <c r="A116" s="165"/>
      <c r="B116" s="632" t="s">
        <v>1922</v>
      </c>
      <c r="C116" s="633">
        <v>4107895.64</v>
      </c>
      <c r="D116" s="633">
        <v>3998938.88</v>
      </c>
      <c r="E116" s="633">
        <v>4385646.4400000004</v>
      </c>
      <c r="F116" s="633">
        <v>4065287.69</v>
      </c>
      <c r="G116" s="633">
        <v>4368293.8899999997</v>
      </c>
      <c r="H116" s="633">
        <v>4257859.29</v>
      </c>
      <c r="I116" s="633">
        <v>4118796.91</v>
      </c>
      <c r="J116" s="633">
        <v>3994574.25</v>
      </c>
      <c r="K116" s="633">
        <v>4542981.99</v>
      </c>
      <c r="L116" s="633">
        <v>4004725.97</v>
      </c>
      <c r="M116" s="633">
        <v>3366856.16</v>
      </c>
      <c r="N116" s="633">
        <v>5018055.01</v>
      </c>
      <c r="O116" s="633">
        <v>50229912.119999997</v>
      </c>
      <c r="P116" s="133" t="s">
        <v>504</v>
      </c>
    </row>
    <row r="117" spans="1:16" s="629" customFormat="1" outlineLevel="5">
      <c r="A117" s="165"/>
      <c r="B117" s="632" t="s">
        <v>580</v>
      </c>
      <c r="C117" s="633">
        <v>18270.41</v>
      </c>
      <c r="D117" s="633">
        <v>88190.93</v>
      </c>
      <c r="E117" s="633">
        <v>77113.39</v>
      </c>
      <c r="F117" s="633">
        <v>61892.06</v>
      </c>
      <c r="G117" s="633">
        <v>108731.82</v>
      </c>
      <c r="H117" s="633">
        <v>58309.18</v>
      </c>
      <c r="I117" s="633">
        <v>58699.12</v>
      </c>
      <c r="J117" s="633">
        <v>45148.9</v>
      </c>
      <c r="K117" s="633">
        <v>38476.480000000003</v>
      </c>
      <c r="L117" s="633">
        <v>33031.47</v>
      </c>
      <c r="M117" s="633">
        <v>55244.42</v>
      </c>
      <c r="N117" s="633">
        <v>30934.34</v>
      </c>
      <c r="O117" s="633">
        <v>674042.52</v>
      </c>
      <c r="P117" s="133" t="s">
        <v>504</v>
      </c>
    </row>
    <row r="118" spans="1:16" s="629" customFormat="1" outlineLevel="5">
      <c r="A118" s="165"/>
      <c r="B118" s="632" t="s">
        <v>1923</v>
      </c>
      <c r="C118" s="633">
        <v>3264111.02</v>
      </c>
      <c r="D118" s="633">
        <v>3261041.26</v>
      </c>
      <c r="E118" s="633">
        <v>3263151.36</v>
      </c>
      <c r="F118" s="633">
        <v>2861228.39</v>
      </c>
      <c r="G118" s="633">
        <v>2863843.44</v>
      </c>
      <c r="H118" s="633">
        <v>2859127.01</v>
      </c>
      <c r="I118" s="633">
        <v>2857554.83</v>
      </c>
      <c r="J118" s="633">
        <v>2862934.94</v>
      </c>
      <c r="K118" s="633">
        <v>2860442.16</v>
      </c>
      <c r="L118" s="633">
        <v>2855335.6</v>
      </c>
      <c r="M118" s="633">
        <v>2850230.9</v>
      </c>
      <c r="N118" s="633">
        <v>2888507.5</v>
      </c>
      <c r="O118" s="633">
        <v>35547508.409999996</v>
      </c>
      <c r="P118" s="133" t="s">
        <v>504</v>
      </c>
    </row>
    <row r="119" spans="1:16" s="634" customFormat="1" outlineLevel="5">
      <c r="A119" s="165"/>
      <c r="B119" s="632" t="s">
        <v>1898</v>
      </c>
      <c r="C119" s="633">
        <v>1366843.97</v>
      </c>
      <c r="D119" s="633">
        <v>2071357.04</v>
      </c>
      <c r="E119" s="633">
        <v>125558.93</v>
      </c>
      <c r="F119" s="633">
        <v>74079.149999999994</v>
      </c>
      <c r="G119" s="633">
        <v>153450.99</v>
      </c>
      <c r="H119" s="633">
        <v>192785.04</v>
      </c>
      <c r="I119" s="633">
        <v>754627.44</v>
      </c>
      <c r="J119" s="633">
        <v>993.97</v>
      </c>
      <c r="K119" s="633">
        <v>1641719.3</v>
      </c>
      <c r="L119" s="633">
        <v>217418.65</v>
      </c>
      <c r="M119" s="633">
        <v>57540.29</v>
      </c>
      <c r="N119" s="633">
        <v>405750.37</v>
      </c>
      <c r="O119" s="633">
        <v>7062125.1399999997</v>
      </c>
      <c r="P119" s="133" t="s">
        <v>504</v>
      </c>
    </row>
    <row r="120" spans="1:16" s="629" customFormat="1" outlineLevel="5">
      <c r="A120" s="165"/>
      <c r="B120" s="632" t="s">
        <v>1924</v>
      </c>
      <c r="C120" s="633">
        <v>7910.31</v>
      </c>
      <c r="D120" s="633">
        <v>11701.58</v>
      </c>
      <c r="E120" s="633">
        <v>8637.33</v>
      </c>
      <c r="F120" s="633">
        <v>4509.4399999999996</v>
      </c>
      <c r="G120" s="633">
        <v>4481.62</v>
      </c>
      <c r="H120" s="633">
        <v>3439.47</v>
      </c>
      <c r="I120" s="633">
        <v>4575.49</v>
      </c>
      <c r="J120" s="633">
        <v>6350.63</v>
      </c>
      <c r="K120" s="633">
        <v>4568.59</v>
      </c>
      <c r="L120" s="633">
        <v>9305.59</v>
      </c>
      <c r="M120" s="633">
        <v>9893.7099999999991</v>
      </c>
      <c r="N120" s="633">
        <v>5772.62</v>
      </c>
      <c r="O120" s="633">
        <v>81146.38</v>
      </c>
      <c r="P120" s="133" t="s">
        <v>504</v>
      </c>
    </row>
    <row r="121" spans="1:16" s="629" customFormat="1" outlineLevel="5">
      <c r="A121" s="165"/>
      <c r="B121" s="632" t="s">
        <v>1899</v>
      </c>
      <c r="C121" s="633">
        <v>596449.06999999995</v>
      </c>
      <c r="D121" s="633">
        <v>687373.61</v>
      </c>
      <c r="E121" s="633">
        <v>696957.25</v>
      </c>
      <c r="F121" s="633">
        <v>799583.9</v>
      </c>
      <c r="G121" s="633">
        <v>728099.27</v>
      </c>
      <c r="H121" s="633">
        <v>744958.88</v>
      </c>
      <c r="I121" s="633">
        <v>603159.23</v>
      </c>
      <c r="J121" s="633">
        <v>732538.37</v>
      </c>
      <c r="K121" s="633">
        <v>728434.4</v>
      </c>
      <c r="L121" s="633">
        <v>604062.05000000005</v>
      </c>
      <c r="M121" s="633">
        <v>656582.61</v>
      </c>
      <c r="N121" s="633">
        <v>800897.83</v>
      </c>
      <c r="O121" s="633">
        <v>8379096.4699999997</v>
      </c>
      <c r="P121" s="133" t="s">
        <v>504</v>
      </c>
    </row>
    <row r="122" spans="1:16" s="629" customFormat="1" outlineLevel="5">
      <c r="A122" s="165"/>
      <c r="B122" s="632" t="s">
        <v>2783</v>
      </c>
      <c r="C122" s="633">
        <v>1162814.19</v>
      </c>
      <c r="D122" s="633">
        <v>538719.14</v>
      </c>
      <c r="E122" s="633">
        <v>578016.44999999995</v>
      </c>
      <c r="F122" s="633">
        <v>552561.82999999996</v>
      </c>
      <c r="G122" s="633">
        <v>565274.31000000006</v>
      </c>
      <c r="H122" s="633">
        <v>565372.91</v>
      </c>
      <c r="I122" s="633">
        <v>555370.1</v>
      </c>
      <c r="J122" s="633">
        <v>360605.7</v>
      </c>
      <c r="K122" s="633">
        <v>796473.42</v>
      </c>
      <c r="L122" s="633">
        <v>947632.66</v>
      </c>
      <c r="M122" s="633">
        <v>1259463.82</v>
      </c>
      <c r="N122" s="633">
        <v>710616.98</v>
      </c>
      <c r="O122" s="633">
        <v>8592921.5099999998</v>
      </c>
      <c r="P122" s="133" t="s">
        <v>504</v>
      </c>
    </row>
    <row r="123" spans="1:16" s="629" customFormat="1" outlineLevel="5">
      <c r="A123" s="165"/>
      <c r="B123" s="632" t="s">
        <v>1925</v>
      </c>
      <c r="C123" s="633">
        <v>-568848</v>
      </c>
      <c r="D123" s="633">
        <v>-646970.56999999995</v>
      </c>
      <c r="E123" s="633">
        <v>-521497.27</v>
      </c>
      <c r="F123" s="633">
        <v>-458767.4</v>
      </c>
      <c r="G123" s="633">
        <v>-576033.99</v>
      </c>
      <c r="H123" s="633">
        <v>-767375.91</v>
      </c>
      <c r="I123" s="633">
        <v>-394360.1</v>
      </c>
      <c r="J123" s="633">
        <v>-600622.92000000004</v>
      </c>
      <c r="K123" s="633">
        <v>-607877.51</v>
      </c>
      <c r="L123" s="633">
        <v>-627661.68999999994</v>
      </c>
      <c r="M123" s="633">
        <v>-559306.07999999996</v>
      </c>
      <c r="N123" s="633">
        <v>-945217.1</v>
      </c>
      <c r="O123" s="633">
        <v>-7274538.54</v>
      </c>
      <c r="P123" s="133" t="s">
        <v>504</v>
      </c>
    </row>
    <row r="124" spans="1:16" s="629" customFormat="1" outlineLevel="5">
      <c r="A124" s="165"/>
      <c r="B124" s="632" t="s">
        <v>2784</v>
      </c>
      <c r="C124" s="633">
        <v>8670003.2799999993</v>
      </c>
      <c r="D124" s="633">
        <v>3997706.72</v>
      </c>
      <c r="E124" s="633">
        <v>4290698.7699999996</v>
      </c>
      <c r="F124" s="633">
        <v>5657454.1399999997</v>
      </c>
      <c r="G124" s="633">
        <v>4086157.68</v>
      </c>
      <c r="H124" s="633">
        <v>3850764.09</v>
      </c>
      <c r="I124" s="633">
        <v>4169182.7</v>
      </c>
      <c r="J124" s="633">
        <v>3152035.37</v>
      </c>
      <c r="K124" s="633">
        <v>3536882.82</v>
      </c>
      <c r="L124" s="633">
        <v>3833741.57</v>
      </c>
      <c r="M124" s="633">
        <v>3300063.21</v>
      </c>
      <c r="N124" s="633">
        <v>4190760.48</v>
      </c>
      <c r="O124" s="633">
        <v>52735450.829999998</v>
      </c>
      <c r="P124" s="133" t="s">
        <v>504</v>
      </c>
    </row>
    <row r="125" spans="1:16" s="629" customFormat="1" outlineLevel="5">
      <c r="A125" s="165"/>
      <c r="B125" s="632" t="s">
        <v>1737</v>
      </c>
      <c r="C125" s="633">
        <v>363236.59</v>
      </c>
      <c r="D125" s="633">
        <v>260176.11</v>
      </c>
      <c r="E125" s="633">
        <v>-310420.25</v>
      </c>
      <c r="F125" s="633">
        <v>252696.63</v>
      </c>
      <c r="G125" s="633">
        <v>420347.07</v>
      </c>
      <c r="H125" s="633">
        <v>649934.5</v>
      </c>
      <c r="I125" s="633">
        <v>296643.96999999997</v>
      </c>
      <c r="J125" s="633">
        <v>277465.96999999997</v>
      </c>
      <c r="K125" s="633">
        <v>242417.79</v>
      </c>
      <c r="L125" s="633">
        <v>-97599.21</v>
      </c>
      <c r="M125" s="633">
        <v>542243.51</v>
      </c>
      <c r="N125" s="633">
        <v>151417.1</v>
      </c>
      <c r="O125" s="633">
        <v>3048559.78</v>
      </c>
      <c r="P125" s="133" t="s">
        <v>504</v>
      </c>
    </row>
    <row r="126" spans="1:16" s="629" customFormat="1" outlineLevel="5">
      <c r="A126" s="165"/>
      <c r="B126" s="632" t="s">
        <v>2769</v>
      </c>
      <c r="C126" s="633">
        <v>198374.54</v>
      </c>
      <c r="D126" s="633">
        <v>28129.7</v>
      </c>
      <c r="E126" s="633">
        <v>-986538</v>
      </c>
      <c r="F126" s="633">
        <v>-281671.05</v>
      </c>
      <c r="G126" s="633">
        <v>84633.16</v>
      </c>
      <c r="H126" s="633">
        <v>-137639.25</v>
      </c>
      <c r="I126" s="633">
        <v>-454531.25</v>
      </c>
      <c r="J126" s="633">
        <v>259645.18</v>
      </c>
      <c r="K126" s="633">
        <v>956865.96</v>
      </c>
      <c r="L126" s="633">
        <v>358848.37</v>
      </c>
      <c r="M126" s="633">
        <v>900917.61</v>
      </c>
      <c r="N126" s="633">
        <v>145703.53</v>
      </c>
      <c r="O126" s="633">
        <v>1072738.5</v>
      </c>
      <c r="P126" s="133" t="s">
        <v>504</v>
      </c>
    </row>
    <row r="127" spans="1:16" s="629" customFormat="1" outlineLevel="5">
      <c r="A127" s="165"/>
      <c r="B127" s="632" t="s">
        <v>2785</v>
      </c>
      <c r="C127" s="633">
        <v>-209780.1</v>
      </c>
      <c r="D127" s="633">
        <v>71910.84</v>
      </c>
      <c r="E127" s="633">
        <v>309551.09000000003</v>
      </c>
      <c r="F127" s="633">
        <v>292958.26</v>
      </c>
      <c r="G127" s="633">
        <v>-222870.32</v>
      </c>
      <c r="H127" s="633">
        <v>-124481.75</v>
      </c>
      <c r="I127" s="633">
        <v>389755.83</v>
      </c>
      <c r="J127" s="633">
        <v>204113.28</v>
      </c>
      <c r="K127" s="633">
        <v>259922.03</v>
      </c>
      <c r="L127" s="633">
        <v>436062.38</v>
      </c>
      <c r="M127" s="633">
        <v>736174.62</v>
      </c>
      <c r="N127" s="633">
        <v>-320253.59999999998</v>
      </c>
      <c r="O127" s="633">
        <v>1823062.56</v>
      </c>
      <c r="P127" s="133" t="s">
        <v>504</v>
      </c>
    </row>
    <row r="128" spans="1:16" s="629" customFormat="1" outlineLevel="5">
      <c r="A128" s="165"/>
      <c r="B128" s="632" t="s">
        <v>2786</v>
      </c>
      <c r="C128" s="633">
        <v>2669430.4900000002</v>
      </c>
      <c r="D128" s="633">
        <v>2131141.7599999998</v>
      </c>
      <c r="E128" s="633">
        <v>2235952.83</v>
      </c>
      <c r="F128" s="633">
        <v>1004838.82</v>
      </c>
      <c r="G128" s="633">
        <v>2347326.69</v>
      </c>
      <c r="H128" s="633">
        <v>2411579.67</v>
      </c>
      <c r="I128" s="633">
        <v>2365178.42</v>
      </c>
      <c r="J128" s="633">
        <v>2375496.7400000002</v>
      </c>
      <c r="K128" s="633">
        <v>2391663.9300000002</v>
      </c>
      <c r="L128" s="633">
        <v>2418528.89</v>
      </c>
      <c r="M128" s="633">
        <v>2325178.7400000002</v>
      </c>
      <c r="N128" s="633">
        <v>2360171.12</v>
      </c>
      <c r="O128" s="633">
        <v>27036488.100000001</v>
      </c>
      <c r="P128" s="133" t="s">
        <v>504</v>
      </c>
    </row>
    <row r="129" spans="1:16" s="629" customFormat="1" outlineLevel="5">
      <c r="A129" s="165"/>
      <c r="B129" s="632" t="s">
        <v>2787</v>
      </c>
      <c r="C129" s="633">
        <v>-208417.64</v>
      </c>
      <c r="D129" s="633">
        <v>-98761.52</v>
      </c>
      <c r="E129" s="633">
        <v>-132807.15</v>
      </c>
      <c r="F129" s="633">
        <v>-112592.69</v>
      </c>
      <c r="G129" s="633">
        <v>-89827.02</v>
      </c>
      <c r="H129" s="633">
        <v>-130492.52</v>
      </c>
      <c r="I129" s="633">
        <v>-128953.47</v>
      </c>
      <c r="J129" s="633">
        <v>-98312.48</v>
      </c>
      <c r="K129" s="633">
        <v>-196354</v>
      </c>
      <c r="L129" s="633">
        <v>-302504.21000000002</v>
      </c>
      <c r="M129" s="633">
        <v>-365727.93</v>
      </c>
      <c r="N129" s="633">
        <v>-317324.74</v>
      </c>
      <c r="O129" s="633">
        <v>-2182075.37</v>
      </c>
      <c r="P129" s="133" t="s">
        <v>504</v>
      </c>
    </row>
    <row r="130" spans="1:16" s="629" customFormat="1" outlineLevel="5">
      <c r="A130" s="165"/>
      <c r="B130" s="632" t="s">
        <v>2788</v>
      </c>
      <c r="C130" s="633">
        <v>40367.519999999997</v>
      </c>
      <c r="D130" s="633">
        <v>169036.44</v>
      </c>
      <c r="E130" s="633">
        <v>75541.48</v>
      </c>
      <c r="F130" s="633">
        <v>61560.57</v>
      </c>
      <c r="G130" s="633">
        <v>65132.91</v>
      </c>
      <c r="H130" s="633">
        <v>73465.77</v>
      </c>
      <c r="I130" s="633">
        <v>69952.63</v>
      </c>
      <c r="J130" s="633">
        <v>71665.16</v>
      </c>
      <c r="K130" s="633">
        <v>60666.8</v>
      </c>
      <c r="L130" s="633">
        <v>80036.67</v>
      </c>
      <c r="M130" s="633">
        <v>57908.09</v>
      </c>
      <c r="N130" s="633">
        <v>78915.66</v>
      </c>
      <c r="O130" s="633">
        <v>904249.7</v>
      </c>
      <c r="P130" s="133" t="s">
        <v>504</v>
      </c>
    </row>
    <row r="131" spans="1:16" s="629" customFormat="1" outlineLevel="5">
      <c r="A131" s="165"/>
      <c r="B131" s="632" t="s">
        <v>875</v>
      </c>
      <c r="C131" s="633">
        <v>-63354.27</v>
      </c>
      <c r="D131" s="633">
        <v>1556262.66</v>
      </c>
      <c r="E131" s="633">
        <v>1385489.2</v>
      </c>
      <c r="F131" s="633">
        <v>2075224.85</v>
      </c>
      <c r="G131" s="633">
        <v>1421104.15</v>
      </c>
      <c r="H131" s="633">
        <v>1662398.92</v>
      </c>
      <c r="I131" s="633">
        <v>2025134.69</v>
      </c>
      <c r="J131" s="633">
        <v>1591286.95</v>
      </c>
      <c r="K131" s="633">
        <v>1638461.26</v>
      </c>
      <c r="L131" s="633">
        <v>1959011.9</v>
      </c>
      <c r="M131" s="633">
        <v>1699958.05</v>
      </c>
      <c r="N131" s="633">
        <v>1563705.4</v>
      </c>
      <c r="O131" s="633">
        <v>18514683.760000002</v>
      </c>
      <c r="P131" s="133" t="s">
        <v>504</v>
      </c>
    </row>
    <row r="132" spans="1:16" s="629" customFormat="1" outlineLevel="5">
      <c r="A132" s="165"/>
      <c r="B132" s="632" t="s">
        <v>1930</v>
      </c>
      <c r="C132" s="633">
        <v>216161.09</v>
      </c>
      <c r="D132" s="633">
        <v>158418.97</v>
      </c>
      <c r="E132" s="633">
        <v>113335.93</v>
      </c>
      <c r="F132" s="633">
        <v>112550.24</v>
      </c>
      <c r="G132" s="633">
        <v>140619.41</v>
      </c>
      <c r="H132" s="633">
        <v>137340.68</v>
      </c>
      <c r="I132" s="633">
        <v>134856.54999999999</v>
      </c>
      <c r="J132" s="633">
        <v>79957.25</v>
      </c>
      <c r="K132" s="633">
        <v>111988.25</v>
      </c>
      <c r="L132" s="633">
        <v>142697.17000000001</v>
      </c>
      <c r="M132" s="633">
        <v>267570.24</v>
      </c>
      <c r="N132" s="633">
        <v>87892.97</v>
      </c>
      <c r="O132" s="633">
        <v>1703388.75</v>
      </c>
      <c r="P132" s="133" t="s">
        <v>504</v>
      </c>
    </row>
    <row r="133" spans="1:16" s="629" customFormat="1" outlineLevel="5">
      <c r="A133" s="165"/>
      <c r="B133" s="632" t="s">
        <v>1994</v>
      </c>
      <c r="C133" s="633">
        <v>2495.42</v>
      </c>
      <c r="D133" s="633">
        <v>2495.42</v>
      </c>
      <c r="E133" s="633">
        <v>2495.42</v>
      </c>
      <c r="F133" s="633">
        <v>2495.42</v>
      </c>
      <c r="G133" s="633">
        <v>2495.42</v>
      </c>
      <c r="H133" s="633">
        <v>2495.42</v>
      </c>
      <c r="I133" s="633">
        <v>2495.42</v>
      </c>
      <c r="J133" s="633">
        <v>2495.42</v>
      </c>
      <c r="K133" s="633">
        <v>2495.42</v>
      </c>
      <c r="L133" s="633">
        <v>2495.42</v>
      </c>
      <c r="M133" s="633">
        <v>2495.42</v>
      </c>
      <c r="N133" s="633">
        <v>2495.42</v>
      </c>
      <c r="O133" s="633">
        <v>29945.040000000001</v>
      </c>
      <c r="P133" s="133" t="s">
        <v>504</v>
      </c>
    </row>
    <row r="134" spans="1:16" s="629" customFormat="1" outlineLevel="5">
      <c r="A134" s="165"/>
      <c r="B134" s="632" t="s">
        <v>3727</v>
      </c>
      <c r="C134" s="633">
        <v>35801536.729999997</v>
      </c>
      <c r="D134" s="633">
        <v>33008429.890000001</v>
      </c>
      <c r="E134" s="633">
        <v>32236465.190000001</v>
      </c>
      <c r="F134" s="633">
        <v>32083096.52</v>
      </c>
      <c r="G134" s="633">
        <v>16503628.050000001</v>
      </c>
      <c r="H134" s="633">
        <v>31751217.25</v>
      </c>
      <c r="I134" s="633">
        <v>31268591.829999998</v>
      </c>
      <c r="J134" s="633">
        <v>31584074.059999999</v>
      </c>
      <c r="K134" s="633">
        <v>33228036.77</v>
      </c>
      <c r="L134" s="633">
        <v>27104183.41</v>
      </c>
      <c r="M134" s="633">
        <v>29772508.239999998</v>
      </c>
      <c r="N134" s="633">
        <v>32652503.199999999</v>
      </c>
      <c r="O134" s="633">
        <v>366994271.13999999</v>
      </c>
      <c r="P134" s="133"/>
    </row>
    <row r="135" spans="1:16" s="629" customFormat="1" outlineLevel="5">
      <c r="A135" s="165"/>
      <c r="B135" s="632" t="s">
        <v>2823</v>
      </c>
      <c r="C135" s="633">
        <v>660.6</v>
      </c>
      <c r="D135" s="633">
        <v>11167.31</v>
      </c>
      <c r="E135" s="633">
        <v>19349.09</v>
      </c>
      <c r="F135" s="633">
        <v>11322.68</v>
      </c>
      <c r="G135" s="633">
        <v>4009.05</v>
      </c>
      <c r="H135" s="633">
        <v>25915.31</v>
      </c>
      <c r="I135" s="633">
        <v>24078.9</v>
      </c>
      <c r="J135" s="633">
        <v>3244.17</v>
      </c>
      <c r="K135" s="633">
        <v>2699.63</v>
      </c>
      <c r="L135" s="633">
        <v>1976.79</v>
      </c>
      <c r="M135" s="633">
        <v>5508.6</v>
      </c>
      <c r="N135" s="633">
        <v>1023.53</v>
      </c>
      <c r="O135" s="633">
        <v>110955.66</v>
      </c>
      <c r="P135" s="133" t="s">
        <v>504</v>
      </c>
    </row>
    <row r="136" spans="1:16" s="629" customFormat="1" outlineLevel="5">
      <c r="A136" s="165"/>
      <c r="B136" s="632" t="s">
        <v>2824</v>
      </c>
      <c r="C136" s="633">
        <v>450</v>
      </c>
      <c r="D136" s="633">
        <v>-12143.38</v>
      </c>
      <c r="E136" s="633">
        <v>0</v>
      </c>
      <c r="F136" s="633">
        <v>10110.92</v>
      </c>
      <c r="G136" s="633">
        <v>0</v>
      </c>
      <c r="H136" s="633">
        <v>3585.82</v>
      </c>
      <c r="I136" s="633">
        <v>947.63</v>
      </c>
      <c r="J136" s="633">
        <v>-4134.55</v>
      </c>
      <c r="K136" s="633">
        <v>0</v>
      </c>
      <c r="L136" s="633">
        <v>0</v>
      </c>
      <c r="M136" s="633">
        <v>0</v>
      </c>
      <c r="N136" s="633">
        <v>900.06</v>
      </c>
      <c r="O136" s="633">
        <v>-283.5</v>
      </c>
      <c r="P136" s="133" t="s">
        <v>504</v>
      </c>
    </row>
    <row r="137" spans="1:16" s="629" customFormat="1" outlineLevel="5">
      <c r="A137" s="165"/>
      <c r="B137" s="632" t="s">
        <v>2825</v>
      </c>
      <c r="C137" s="633">
        <v>-11000.73</v>
      </c>
      <c r="D137" s="633">
        <v>29229.83</v>
      </c>
      <c r="E137" s="633">
        <v>40040.01</v>
      </c>
      <c r="F137" s="633">
        <v>15803.34</v>
      </c>
      <c r="G137" s="633">
        <v>53155.22</v>
      </c>
      <c r="H137" s="633">
        <v>25501.63</v>
      </c>
      <c r="I137" s="633">
        <v>25551.89</v>
      </c>
      <c r="J137" s="633">
        <v>11916.99</v>
      </c>
      <c r="K137" s="633">
        <v>25410.5</v>
      </c>
      <c r="L137" s="633">
        <v>18436.52</v>
      </c>
      <c r="M137" s="633">
        <v>2551.89</v>
      </c>
      <c r="N137" s="633">
        <v>2562.64</v>
      </c>
      <c r="O137" s="633">
        <v>239159.73</v>
      </c>
      <c r="P137" s="133" t="s">
        <v>504</v>
      </c>
    </row>
    <row r="138" spans="1:16" s="629" customFormat="1" outlineLevel="5">
      <c r="A138" s="165"/>
      <c r="B138" s="632" t="s">
        <v>933</v>
      </c>
      <c r="C138" s="633">
        <v>8839.92</v>
      </c>
      <c r="D138" s="633">
        <v>7493.17</v>
      </c>
      <c r="E138" s="633">
        <v>3135.56</v>
      </c>
      <c r="F138" s="633">
        <v>8959.18</v>
      </c>
      <c r="G138" s="633">
        <v>10767.93</v>
      </c>
      <c r="H138" s="633">
        <v>15148.39</v>
      </c>
      <c r="I138" s="633">
        <v>10864.27</v>
      </c>
      <c r="J138" s="633">
        <v>30499.95</v>
      </c>
      <c r="K138" s="633">
        <v>19739.39</v>
      </c>
      <c r="L138" s="633">
        <v>25072.02</v>
      </c>
      <c r="M138" s="633">
        <v>28326.15</v>
      </c>
      <c r="N138" s="633">
        <v>12572.92</v>
      </c>
      <c r="O138" s="633">
        <v>181418.85</v>
      </c>
      <c r="P138" s="133" t="s">
        <v>504</v>
      </c>
    </row>
    <row r="139" spans="1:16" s="629" customFormat="1" outlineLevel="4">
      <c r="A139" s="165"/>
      <c r="B139" s="632" t="s">
        <v>934</v>
      </c>
      <c r="C139" s="633">
        <v>20345.939999999999</v>
      </c>
      <c r="D139" s="633">
        <v>8352.66</v>
      </c>
      <c r="E139" s="633">
        <v>5165.21</v>
      </c>
      <c r="F139" s="633">
        <v>15203.81</v>
      </c>
      <c r="G139" s="633">
        <v>9319.3700000000008</v>
      </c>
      <c r="H139" s="633">
        <v>8792.1299999999992</v>
      </c>
      <c r="I139" s="633">
        <v>16662.560000000001</v>
      </c>
      <c r="J139" s="633">
        <v>31385.71</v>
      </c>
      <c r="K139" s="633">
        <v>15967.52</v>
      </c>
      <c r="L139" s="633">
        <v>33382.160000000003</v>
      </c>
      <c r="M139" s="633">
        <v>50137.31</v>
      </c>
      <c r="N139" s="633">
        <v>36316.9</v>
      </c>
      <c r="O139" s="633">
        <v>251031.28</v>
      </c>
      <c r="P139" s="133" t="s">
        <v>504</v>
      </c>
    </row>
    <row r="140" spans="1:16" s="629" customFormat="1" outlineLevel="5">
      <c r="A140" s="165"/>
      <c r="B140" s="632" t="s">
        <v>93</v>
      </c>
      <c r="C140" s="633">
        <v>0</v>
      </c>
      <c r="D140" s="633">
        <v>0</v>
      </c>
      <c r="E140" s="633">
        <v>975.7</v>
      </c>
      <c r="F140" s="633">
        <v>0</v>
      </c>
      <c r="G140" s="633">
        <v>49.84</v>
      </c>
      <c r="H140" s="633">
        <v>0</v>
      </c>
      <c r="I140" s="633">
        <v>0</v>
      </c>
      <c r="J140" s="633">
        <v>0</v>
      </c>
      <c r="K140" s="633">
        <v>0</v>
      </c>
      <c r="L140" s="633">
        <v>0</v>
      </c>
      <c r="M140" s="633">
        <v>0</v>
      </c>
      <c r="N140" s="633">
        <v>1492.01</v>
      </c>
      <c r="O140" s="633">
        <v>2517.5500000000002</v>
      </c>
      <c r="P140" s="133" t="s">
        <v>504</v>
      </c>
    </row>
    <row r="141" spans="1:16" s="629" customFormat="1" outlineLevel="5">
      <c r="A141" s="165"/>
      <c r="B141" s="632" t="s">
        <v>459</v>
      </c>
      <c r="C141" s="633">
        <v>743.39</v>
      </c>
      <c r="D141" s="633">
        <v>0</v>
      </c>
      <c r="E141" s="633">
        <v>0</v>
      </c>
      <c r="F141" s="633">
        <v>0</v>
      </c>
      <c r="G141" s="633">
        <v>0</v>
      </c>
      <c r="H141" s="633">
        <v>0</v>
      </c>
      <c r="I141" s="633">
        <v>0</v>
      </c>
      <c r="J141" s="633">
        <v>514.23</v>
      </c>
      <c r="K141" s="633">
        <v>0</v>
      </c>
      <c r="L141" s="633">
        <v>0</v>
      </c>
      <c r="M141" s="633">
        <v>0</v>
      </c>
      <c r="N141" s="633">
        <v>690.81</v>
      </c>
      <c r="O141" s="633">
        <v>1948.43</v>
      </c>
      <c r="P141" s="133" t="s">
        <v>504</v>
      </c>
    </row>
    <row r="142" spans="1:16" s="629" customFormat="1" outlineLevel="5">
      <c r="A142" s="165"/>
      <c r="B142" s="632" t="s">
        <v>460</v>
      </c>
      <c r="C142" s="633">
        <v>2282.6</v>
      </c>
      <c r="D142" s="633">
        <v>6087.4</v>
      </c>
      <c r="E142" s="633">
        <v>653.66999999999996</v>
      </c>
      <c r="F142" s="633">
        <v>6880.54</v>
      </c>
      <c r="G142" s="633">
        <v>12809.11</v>
      </c>
      <c r="H142" s="633">
        <v>3196.41</v>
      </c>
      <c r="I142" s="633">
        <v>3624.18</v>
      </c>
      <c r="J142" s="633">
        <v>2458.81</v>
      </c>
      <c r="K142" s="633">
        <v>0</v>
      </c>
      <c r="L142" s="633">
        <v>3354.55</v>
      </c>
      <c r="M142" s="633">
        <v>2797.26</v>
      </c>
      <c r="N142" s="633">
        <v>23425.38</v>
      </c>
      <c r="O142" s="633">
        <v>67569.91</v>
      </c>
      <c r="P142" s="133" t="s">
        <v>504</v>
      </c>
    </row>
    <row r="143" spans="1:16" s="629" customFormat="1" outlineLevel="5">
      <c r="A143" s="165"/>
      <c r="B143" s="632" t="s">
        <v>280</v>
      </c>
      <c r="C143" s="633">
        <v>0</v>
      </c>
      <c r="D143" s="633">
        <v>0</v>
      </c>
      <c r="E143" s="633">
        <v>5699.53</v>
      </c>
      <c r="F143" s="633">
        <v>0</v>
      </c>
      <c r="G143" s="633">
        <v>6063.48</v>
      </c>
      <c r="H143" s="633">
        <v>2163</v>
      </c>
      <c r="I143" s="633">
        <v>0</v>
      </c>
      <c r="J143" s="633">
        <v>-8.8000000000000007</v>
      </c>
      <c r="K143" s="633">
        <v>0</v>
      </c>
      <c r="L143" s="633">
        <v>1840</v>
      </c>
      <c r="M143" s="633">
        <v>921.53</v>
      </c>
      <c r="N143" s="633">
        <v>255.78</v>
      </c>
      <c r="O143" s="633">
        <v>16934.52</v>
      </c>
      <c r="P143" s="133" t="s">
        <v>504</v>
      </c>
    </row>
    <row r="144" spans="1:16" s="629" customFormat="1" outlineLevel="5">
      <c r="A144" s="165"/>
      <c r="B144" s="632" t="s">
        <v>937</v>
      </c>
      <c r="C144" s="633">
        <v>47550.63</v>
      </c>
      <c r="D144" s="633">
        <v>36996.120000000003</v>
      </c>
      <c r="E144" s="633">
        <v>49756.55</v>
      </c>
      <c r="F144" s="633">
        <v>49223.22</v>
      </c>
      <c r="G144" s="633">
        <v>54384.91</v>
      </c>
      <c r="H144" s="633">
        <v>45725.71</v>
      </c>
      <c r="I144" s="633">
        <v>8584.16</v>
      </c>
      <c r="J144" s="633">
        <v>37575.769999999997</v>
      </c>
      <c r="K144" s="633">
        <v>44551.29</v>
      </c>
      <c r="L144" s="633">
        <v>43318.02</v>
      </c>
      <c r="M144" s="633">
        <v>25848.31</v>
      </c>
      <c r="N144" s="633">
        <v>46938.09</v>
      </c>
      <c r="O144" s="633">
        <v>490452.78</v>
      </c>
      <c r="P144" s="133" t="s">
        <v>504</v>
      </c>
    </row>
    <row r="145" spans="1:16" s="629" customFormat="1" outlineLevel="5">
      <c r="A145" s="165"/>
      <c r="B145" s="632" t="s">
        <v>938</v>
      </c>
      <c r="C145" s="633">
        <v>24545.17</v>
      </c>
      <c r="D145" s="633">
        <v>30557.17</v>
      </c>
      <c r="E145" s="633">
        <v>44149.74</v>
      </c>
      <c r="F145" s="633">
        <v>36455.69</v>
      </c>
      <c r="G145" s="633">
        <v>42305.95</v>
      </c>
      <c r="H145" s="633">
        <v>52125.85</v>
      </c>
      <c r="I145" s="633">
        <v>37845.360000000001</v>
      </c>
      <c r="J145" s="633">
        <v>25933.99</v>
      </c>
      <c r="K145" s="633">
        <v>17049.73</v>
      </c>
      <c r="L145" s="633">
        <v>47056.13</v>
      </c>
      <c r="M145" s="633">
        <v>80944.649999999994</v>
      </c>
      <c r="N145" s="633">
        <v>73801.919999999998</v>
      </c>
      <c r="O145" s="633">
        <v>512771.35</v>
      </c>
      <c r="P145" s="133" t="s">
        <v>504</v>
      </c>
    </row>
    <row r="146" spans="1:16" s="629" customFormat="1" outlineLevel="5">
      <c r="A146" s="165"/>
      <c r="B146" s="632" t="s">
        <v>662</v>
      </c>
      <c r="C146" s="633">
        <v>18764.060000000001</v>
      </c>
      <c r="D146" s="633">
        <v>8611.18</v>
      </c>
      <c r="E146" s="633">
        <v>9450.4</v>
      </c>
      <c r="F146" s="633">
        <v>21433.67</v>
      </c>
      <c r="G146" s="633">
        <v>18604.13</v>
      </c>
      <c r="H146" s="633">
        <v>12249.7</v>
      </c>
      <c r="I146" s="633">
        <v>21257.46</v>
      </c>
      <c r="J146" s="633">
        <v>26234</v>
      </c>
      <c r="K146" s="633">
        <v>22133.59</v>
      </c>
      <c r="L146" s="633">
        <v>18338.75</v>
      </c>
      <c r="M146" s="633">
        <v>16923.759999999998</v>
      </c>
      <c r="N146" s="633">
        <v>11309.43</v>
      </c>
      <c r="O146" s="633">
        <v>205310.13</v>
      </c>
      <c r="P146" s="133" t="s">
        <v>504</v>
      </c>
    </row>
    <row r="147" spans="1:16" s="629" customFormat="1" outlineLevel="5">
      <c r="A147" s="165"/>
      <c r="B147" s="632" t="s">
        <v>663</v>
      </c>
      <c r="C147" s="633">
        <v>53834.2</v>
      </c>
      <c r="D147" s="633">
        <v>54853.18</v>
      </c>
      <c r="E147" s="633">
        <v>28769.58</v>
      </c>
      <c r="F147" s="633">
        <v>59587.96</v>
      </c>
      <c r="G147" s="633">
        <v>35531.83</v>
      </c>
      <c r="H147" s="633">
        <v>31312.27</v>
      </c>
      <c r="I147" s="633">
        <v>137404.68</v>
      </c>
      <c r="J147" s="633">
        <v>-563</v>
      </c>
      <c r="K147" s="633">
        <v>9355.98</v>
      </c>
      <c r="L147" s="633">
        <v>25048.799999999999</v>
      </c>
      <c r="M147" s="633">
        <v>92852.51</v>
      </c>
      <c r="N147" s="633">
        <v>122.13</v>
      </c>
      <c r="O147" s="633">
        <v>528110.12</v>
      </c>
      <c r="P147" s="133" t="s">
        <v>504</v>
      </c>
    </row>
    <row r="148" spans="1:16" s="629" customFormat="1" outlineLevel="5">
      <c r="A148" s="165"/>
      <c r="B148" s="632" t="s">
        <v>664</v>
      </c>
      <c r="C148" s="633">
        <v>2504.21</v>
      </c>
      <c r="D148" s="633">
        <v>250</v>
      </c>
      <c r="E148" s="633">
        <v>3950</v>
      </c>
      <c r="F148" s="633">
        <v>0</v>
      </c>
      <c r="G148" s="633">
        <v>1385.12</v>
      </c>
      <c r="H148" s="633">
        <v>0</v>
      </c>
      <c r="I148" s="633">
        <v>0</v>
      </c>
      <c r="J148" s="633">
        <v>0</v>
      </c>
      <c r="K148" s="633">
        <v>0</v>
      </c>
      <c r="L148" s="633">
        <v>0</v>
      </c>
      <c r="M148" s="633">
        <v>0</v>
      </c>
      <c r="N148" s="633">
        <v>0</v>
      </c>
      <c r="O148" s="633">
        <v>8089.33</v>
      </c>
      <c r="P148" s="133" t="s">
        <v>504</v>
      </c>
    </row>
    <row r="149" spans="1:16" s="629" customFormat="1" outlineLevel="5">
      <c r="A149" s="165"/>
      <c r="B149" s="632" t="s">
        <v>665</v>
      </c>
      <c r="C149" s="633">
        <v>211527.18</v>
      </c>
      <c r="D149" s="633">
        <v>153345.91</v>
      </c>
      <c r="E149" s="633">
        <v>193776.51</v>
      </c>
      <c r="F149" s="633">
        <v>127646.63</v>
      </c>
      <c r="G149" s="633">
        <v>186733.12</v>
      </c>
      <c r="H149" s="633">
        <v>244820.21</v>
      </c>
      <c r="I149" s="633">
        <v>251560.57</v>
      </c>
      <c r="J149" s="633">
        <v>224932.57</v>
      </c>
      <c r="K149" s="633">
        <v>143791.60999999999</v>
      </c>
      <c r="L149" s="633">
        <v>145654.87</v>
      </c>
      <c r="M149" s="633">
        <v>128634.13</v>
      </c>
      <c r="N149" s="633">
        <v>188388.19</v>
      </c>
      <c r="O149" s="633">
        <v>2200811.5</v>
      </c>
      <c r="P149" s="133" t="s">
        <v>504</v>
      </c>
    </row>
    <row r="150" spans="1:16" s="629" customFormat="1" outlineLevel="5">
      <c r="A150" s="165"/>
      <c r="B150" s="632" t="s">
        <v>666</v>
      </c>
      <c r="C150" s="633">
        <v>1270461.47</v>
      </c>
      <c r="D150" s="633">
        <v>743056.5</v>
      </c>
      <c r="E150" s="633">
        <v>920056.51</v>
      </c>
      <c r="F150" s="633">
        <v>570383</v>
      </c>
      <c r="G150" s="633">
        <v>1450759.06</v>
      </c>
      <c r="H150" s="633">
        <v>1257159.46</v>
      </c>
      <c r="I150" s="633">
        <v>1114940.07</v>
      </c>
      <c r="J150" s="633">
        <v>673529.41</v>
      </c>
      <c r="K150" s="633">
        <v>427538.73</v>
      </c>
      <c r="L150" s="633">
        <v>342441.09</v>
      </c>
      <c r="M150" s="633">
        <v>277120.57</v>
      </c>
      <c r="N150" s="633">
        <v>129309.67</v>
      </c>
      <c r="O150" s="633">
        <v>9176755.5399999991</v>
      </c>
      <c r="P150" s="133" t="s">
        <v>504</v>
      </c>
    </row>
    <row r="151" spans="1:16" s="629" customFormat="1" outlineLevel="5">
      <c r="A151" s="165"/>
      <c r="B151" s="632" t="s">
        <v>667</v>
      </c>
      <c r="C151" s="633">
        <v>0</v>
      </c>
      <c r="D151" s="633">
        <v>393.28</v>
      </c>
      <c r="E151" s="633">
        <v>0</v>
      </c>
      <c r="F151" s="633">
        <v>0</v>
      </c>
      <c r="G151" s="633">
        <v>1515.51</v>
      </c>
      <c r="H151" s="633">
        <v>0</v>
      </c>
      <c r="I151" s="633">
        <v>0</v>
      </c>
      <c r="J151" s="633">
        <v>0</v>
      </c>
      <c r="K151" s="633">
        <v>339.83</v>
      </c>
      <c r="L151" s="633">
        <v>0</v>
      </c>
      <c r="M151" s="633">
        <v>0</v>
      </c>
      <c r="N151" s="633">
        <v>0</v>
      </c>
      <c r="O151" s="633">
        <v>2248.62</v>
      </c>
      <c r="P151" s="133" t="s">
        <v>504</v>
      </c>
    </row>
    <row r="152" spans="1:16" s="629" customFormat="1" outlineLevel="5">
      <c r="A152" s="165"/>
      <c r="B152" s="632" t="s">
        <v>668</v>
      </c>
      <c r="C152" s="633">
        <v>5969.35</v>
      </c>
      <c r="D152" s="633">
        <v>247.18</v>
      </c>
      <c r="E152" s="633">
        <v>275</v>
      </c>
      <c r="F152" s="633">
        <v>1405.55</v>
      </c>
      <c r="G152" s="633">
        <v>521.19000000000005</v>
      </c>
      <c r="H152" s="633">
        <v>1222.04</v>
      </c>
      <c r="I152" s="633">
        <v>203.52</v>
      </c>
      <c r="J152" s="633">
        <v>277.5</v>
      </c>
      <c r="K152" s="633">
        <v>1120.95</v>
      </c>
      <c r="L152" s="633">
        <v>921.13</v>
      </c>
      <c r="M152" s="633">
        <v>4697.24</v>
      </c>
      <c r="N152" s="633">
        <v>2738.77</v>
      </c>
      <c r="O152" s="633">
        <v>19599.419999999998</v>
      </c>
      <c r="P152" s="133" t="s">
        <v>504</v>
      </c>
    </row>
    <row r="153" spans="1:16" s="629" customFormat="1" outlineLevel="5">
      <c r="A153" s="165"/>
      <c r="B153" s="632" t="s">
        <v>674</v>
      </c>
      <c r="C153" s="633">
        <v>3253175.73</v>
      </c>
      <c r="D153" s="633">
        <v>1449876.24</v>
      </c>
      <c r="E153" s="633">
        <v>1197705.0900000001</v>
      </c>
      <c r="F153" s="633">
        <v>332604.63</v>
      </c>
      <c r="G153" s="633">
        <v>1479941.08</v>
      </c>
      <c r="H153" s="633">
        <v>1993721.69</v>
      </c>
      <c r="I153" s="633">
        <v>-694043.36</v>
      </c>
      <c r="J153" s="633">
        <v>1314076.1299999999</v>
      </c>
      <c r="K153" s="633">
        <v>1236163.3799999999</v>
      </c>
      <c r="L153" s="633">
        <v>-232538.95</v>
      </c>
      <c r="M153" s="633">
        <v>1038682.5</v>
      </c>
      <c r="N153" s="633">
        <v>2849664.77</v>
      </c>
      <c r="O153" s="633">
        <v>15219028.93</v>
      </c>
      <c r="P153" s="133" t="s">
        <v>504</v>
      </c>
    </row>
    <row r="154" spans="1:16" s="629" customFormat="1" outlineLevel="5">
      <c r="A154" s="165"/>
      <c r="B154" s="632" t="s">
        <v>1749</v>
      </c>
      <c r="C154" s="633">
        <v>10028.92</v>
      </c>
      <c r="D154" s="633">
        <v>8174</v>
      </c>
      <c r="E154" s="633">
        <v>5926.23</v>
      </c>
      <c r="F154" s="633">
        <v>14294.98</v>
      </c>
      <c r="G154" s="633">
        <v>9264.0300000000007</v>
      </c>
      <c r="H154" s="633">
        <v>23229.279999999999</v>
      </c>
      <c r="I154" s="633">
        <v>5566.91</v>
      </c>
      <c r="J154" s="633">
        <v>5720.74</v>
      </c>
      <c r="K154" s="633">
        <v>8952.91</v>
      </c>
      <c r="L154" s="633">
        <v>23438.36</v>
      </c>
      <c r="M154" s="633">
        <v>12456.59</v>
      </c>
      <c r="N154" s="633">
        <v>25051.63</v>
      </c>
      <c r="O154" s="633">
        <v>152104.57999999999</v>
      </c>
      <c r="P154" s="133" t="s">
        <v>504</v>
      </c>
    </row>
    <row r="155" spans="1:16" s="629" customFormat="1" outlineLevel="5">
      <c r="A155" s="165"/>
      <c r="B155" s="632" t="s">
        <v>1527</v>
      </c>
      <c r="C155" s="633">
        <v>281212.11</v>
      </c>
      <c r="D155" s="633">
        <v>159067.14000000001</v>
      </c>
      <c r="E155" s="633">
        <v>267173.8</v>
      </c>
      <c r="F155" s="633">
        <v>311818.08</v>
      </c>
      <c r="G155" s="633">
        <v>240331.77</v>
      </c>
      <c r="H155" s="633">
        <v>211173.66</v>
      </c>
      <c r="I155" s="633">
        <v>476795.75</v>
      </c>
      <c r="J155" s="633">
        <v>680224.74</v>
      </c>
      <c r="K155" s="633">
        <v>199955.95</v>
      </c>
      <c r="L155" s="633">
        <v>430968.48</v>
      </c>
      <c r="M155" s="633">
        <v>211424.69</v>
      </c>
      <c r="N155" s="633">
        <v>280655.76</v>
      </c>
      <c r="O155" s="633">
        <v>3750801.93</v>
      </c>
      <c r="P155" s="133" t="s">
        <v>504</v>
      </c>
    </row>
    <row r="156" spans="1:16" s="629" customFormat="1" outlineLevel="5">
      <c r="A156" s="165"/>
      <c r="B156" s="632" t="s">
        <v>1528</v>
      </c>
      <c r="C156" s="633">
        <v>14059334.130000001</v>
      </c>
      <c r="D156" s="633">
        <v>9889631.5700000003</v>
      </c>
      <c r="E156" s="633">
        <v>5565077.3600000003</v>
      </c>
      <c r="F156" s="633">
        <v>5161150.0999999996</v>
      </c>
      <c r="G156" s="633">
        <v>4574938.4000000004</v>
      </c>
      <c r="H156" s="633">
        <v>12890402.880000001</v>
      </c>
      <c r="I156" s="633">
        <v>6031549.7000000002</v>
      </c>
      <c r="J156" s="633">
        <v>5642081.4299999997</v>
      </c>
      <c r="K156" s="633">
        <v>4844908.42</v>
      </c>
      <c r="L156" s="633">
        <v>5314317.75</v>
      </c>
      <c r="M156" s="633">
        <v>6303770.1399999997</v>
      </c>
      <c r="N156" s="633">
        <v>4187515.29</v>
      </c>
      <c r="O156" s="633">
        <v>84464677.170000002</v>
      </c>
      <c r="P156" s="133" t="s">
        <v>504</v>
      </c>
    </row>
    <row r="157" spans="1:16" s="629" customFormat="1" outlineLevel="5">
      <c r="A157" s="165"/>
      <c r="B157" s="632" t="s">
        <v>2971</v>
      </c>
      <c r="C157" s="633">
        <v>142693.9</v>
      </c>
      <c r="D157" s="633">
        <v>101775.78</v>
      </c>
      <c r="E157" s="633">
        <v>73367.39</v>
      </c>
      <c r="F157" s="633">
        <v>110719.35</v>
      </c>
      <c r="G157" s="633">
        <v>96533.45</v>
      </c>
      <c r="H157" s="633">
        <v>161588.82</v>
      </c>
      <c r="I157" s="633">
        <v>95049.71</v>
      </c>
      <c r="J157" s="633">
        <v>98387.25</v>
      </c>
      <c r="K157" s="633">
        <v>77934.63</v>
      </c>
      <c r="L157" s="633">
        <v>62736.28</v>
      </c>
      <c r="M157" s="633">
        <v>65584.89</v>
      </c>
      <c r="N157" s="633">
        <v>92630.59</v>
      </c>
      <c r="O157" s="633">
        <v>1179002.04</v>
      </c>
      <c r="P157" s="133" t="s">
        <v>504</v>
      </c>
    </row>
    <row r="158" spans="1:16" s="629" customFormat="1" outlineLevel="5">
      <c r="A158" s="165"/>
      <c r="B158" s="632" t="s">
        <v>1529</v>
      </c>
      <c r="C158" s="633">
        <v>155541.71</v>
      </c>
      <c r="D158" s="633">
        <v>112549.21</v>
      </c>
      <c r="E158" s="633">
        <v>27130.11</v>
      </c>
      <c r="F158" s="633">
        <v>9308.2199999999993</v>
      </c>
      <c r="G158" s="633">
        <v>3801.57</v>
      </c>
      <c r="H158" s="633">
        <v>192360.13</v>
      </c>
      <c r="I158" s="633">
        <v>37193.620000000003</v>
      </c>
      <c r="J158" s="633">
        <v>18566.82</v>
      </c>
      <c r="K158" s="633">
        <v>11390.87</v>
      </c>
      <c r="L158" s="633">
        <v>15140.64</v>
      </c>
      <c r="M158" s="633">
        <v>55879.63</v>
      </c>
      <c r="N158" s="633">
        <v>29286.76</v>
      </c>
      <c r="O158" s="633">
        <v>668149.29</v>
      </c>
      <c r="P158" s="133" t="s">
        <v>504</v>
      </c>
    </row>
    <row r="159" spans="1:16" s="629" customFormat="1" outlineLevel="5">
      <c r="A159" s="165"/>
      <c r="B159" s="632" t="s">
        <v>1896</v>
      </c>
      <c r="C159" s="633">
        <v>134191.20000000001</v>
      </c>
      <c r="D159" s="633">
        <v>152778.85</v>
      </c>
      <c r="E159" s="633">
        <v>205680.56</v>
      </c>
      <c r="F159" s="633">
        <v>180231.56</v>
      </c>
      <c r="G159" s="633">
        <v>137052.4</v>
      </c>
      <c r="H159" s="633">
        <v>90213.23</v>
      </c>
      <c r="I159" s="633">
        <v>129366.48</v>
      </c>
      <c r="J159" s="633">
        <v>95103.87</v>
      </c>
      <c r="K159" s="633">
        <v>107529.22</v>
      </c>
      <c r="L159" s="633">
        <v>190278.54</v>
      </c>
      <c r="M159" s="633">
        <v>172525.17</v>
      </c>
      <c r="N159" s="633">
        <v>170371.41</v>
      </c>
      <c r="O159" s="633">
        <v>1765322.49</v>
      </c>
      <c r="P159" s="133" t="s">
        <v>504</v>
      </c>
    </row>
    <row r="160" spans="1:16" s="629" customFormat="1" outlineLevel="5">
      <c r="A160" s="165"/>
      <c r="B160" s="632" t="s">
        <v>1897</v>
      </c>
      <c r="C160" s="633">
        <v>-5033475.67</v>
      </c>
      <c r="D160" s="633">
        <v>-3140414.72</v>
      </c>
      <c r="E160" s="633">
        <v>577518.55000000005</v>
      </c>
      <c r="F160" s="633">
        <v>676707.01</v>
      </c>
      <c r="G160" s="633">
        <v>300552.42</v>
      </c>
      <c r="H160" s="633">
        <v>-5639609.3700000001</v>
      </c>
      <c r="I160" s="633">
        <v>52008.88</v>
      </c>
      <c r="J160" s="633">
        <v>1031422.3</v>
      </c>
      <c r="K160" s="633">
        <v>1102339.26</v>
      </c>
      <c r="L160" s="633">
        <v>1575365.34</v>
      </c>
      <c r="M160" s="633">
        <v>167989.68</v>
      </c>
      <c r="N160" s="633">
        <v>-131039.46</v>
      </c>
      <c r="O160" s="633">
        <v>-8460635.7799999993</v>
      </c>
      <c r="P160" s="133" t="s">
        <v>504</v>
      </c>
    </row>
    <row r="161" spans="1:16" s="629" customFormat="1" outlineLevel="5">
      <c r="A161" s="165"/>
      <c r="B161" s="632" t="s">
        <v>774</v>
      </c>
      <c r="C161" s="633">
        <v>126140.69</v>
      </c>
      <c r="D161" s="633">
        <v>38512.61</v>
      </c>
      <c r="E161" s="633">
        <v>78070.8</v>
      </c>
      <c r="F161" s="633">
        <v>118860.23</v>
      </c>
      <c r="G161" s="633">
        <v>76104.789999999994</v>
      </c>
      <c r="H161" s="633">
        <v>95016.9</v>
      </c>
      <c r="I161" s="633">
        <v>84003.3</v>
      </c>
      <c r="J161" s="633">
        <v>24771.57</v>
      </c>
      <c r="K161" s="633">
        <v>59325.99</v>
      </c>
      <c r="L161" s="633">
        <v>86758.16</v>
      </c>
      <c r="M161" s="633">
        <v>140447.43</v>
      </c>
      <c r="N161" s="633">
        <v>72618.070000000007</v>
      </c>
      <c r="O161" s="633">
        <v>1000630.54</v>
      </c>
      <c r="P161" s="133" t="s">
        <v>504</v>
      </c>
    </row>
    <row r="162" spans="1:16" s="629" customFormat="1" outlineLevel="5">
      <c r="A162" s="165"/>
      <c r="B162" s="632" t="s">
        <v>3728</v>
      </c>
      <c r="C162" s="633">
        <v>14786320.710000001</v>
      </c>
      <c r="D162" s="633">
        <v>9850448.1899999995</v>
      </c>
      <c r="E162" s="633">
        <v>9322852.9499999993</v>
      </c>
      <c r="F162" s="633">
        <v>7850110.3499999996</v>
      </c>
      <c r="G162" s="633">
        <v>8806434.7300000004</v>
      </c>
      <c r="H162" s="633">
        <v>11747015.15</v>
      </c>
      <c r="I162" s="633">
        <v>7871016.2400000002</v>
      </c>
      <c r="J162" s="633">
        <v>9974151.5999999996</v>
      </c>
      <c r="K162" s="633">
        <v>8378199.3799999999</v>
      </c>
      <c r="L162" s="633">
        <v>8173305.4299999997</v>
      </c>
      <c r="M162" s="633">
        <v>8886024.6300000008</v>
      </c>
      <c r="N162" s="633">
        <v>8108603.0499999998</v>
      </c>
      <c r="O162" s="633">
        <v>113754482.41</v>
      </c>
      <c r="P162" s="133"/>
    </row>
    <row r="163" spans="1:16" s="629" customFormat="1" outlineLevel="5">
      <c r="A163" s="165"/>
      <c r="B163" s="632" t="s">
        <v>3729</v>
      </c>
      <c r="C163" s="633">
        <v>50587857.439999998</v>
      </c>
      <c r="D163" s="633">
        <v>42858878.079999998</v>
      </c>
      <c r="E163" s="633">
        <v>41559318.140000001</v>
      </c>
      <c r="F163" s="633">
        <v>39933206.869999997</v>
      </c>
      <c r="G163" s="633">
        <v>25310062.780000001</v>
      </c>
      <c r="H163" s="633">
        <v>43498232.399999999</v>
      </c>
      <c r="I163" s="633">
        <v>39139608.07</v>
      </c>
      <c r="J163" s="633">
        <v>41558225.659999996</v>
      </c>
      <c r="K163" s="633">
        <v>41606236.149999999</v>
      </c>
      <c r="L163" s="633">
        <v>35277488.840000004</v>
      </c>
      <c r="M163" s="633">
        <v>38658532.869999997</v>
      </c>
      <c r="N163" s="633">
        <v>40761106.25</v>
      </c>
      <c r="O163" s="633">
        <v>480748753.55000001</v>
      </c>
      <c r="P163" s="133"/>
    </row>
    <row r="164" spans="1:16" s="629" customFormat="1" outlineLevel="5">
      <c r="A164" s="165"/>
      <c r="B164" s="632" t="s">
        <v>775</v>
      </c>
      <c r="C164" s="633">
        <v>8259364.1699999999</v>
      </c>
      <c r="D164" s="633">
        <v>7783517.9400000004</v>
      </c>
      <c r="E164" s="633">
        <v>7807428.96</v>
      </c>
      <c r="F164" s="633">
        <v>7783340.0499999998</v>
      </c>
      <c r="G164" s="633">
        <v>7490502.1500000004</v>
      </c>
      <c r="H164" s="633">
        <v>7801082.96</v>
      </c>
      <c r="I164" s="633">
        <v>7794701.8200000003</v>
      </c>
      <c r="J164" s="633">
        <v>7678828.6799999997</v>
      </c>
      <c r="K164" s="633">
        <v>7714733.6600000001</v>
      </c>
      <c r="L164" s="633">
        <v>7669636.3300000001</v>
      </c>
      <c r="M164" s="633">
        <v>7624916.5700000003</v>
      </c>
      <c r="N164" s="633">
        <v>7609557.4500000002</v>
      </c>
      <c r="O164" s="633">
        <v>93017610.739999995</v>
      </c>
      <c r="P164" s="133"/>
    </row>
    <row r="165" spans="1:16" s="629" customFormat="1" outlineLevel="5">
      <c r="A165" s="165"/>
      <c r="B165" s="632" t="s">
        <v>776</v>
      </c>
      <c r="C165" s="633">
        <v>145616.67000000001</v>
      </c>
      <c r="D165" s="633">
        <v>515380.33</v>
      </c>
      <c r="E165" s="633">
        <v>521392.15</v>
      </c>
      <c r="F165" s="633">
        <v>518907.89</v>
      </c>
      <c r="G165" s="633">
        <v>1106282.49</v>
      </c>
      <c r="H165" s="633">
        <v>518437.8</v>
      </c>
      <c r="I165" s="633">
        <v>568368.94999999995</v>
      </c>
      <c r="J165" s="633">
        <v>529553.67000000004</v>
      </c>
      <c r="K165" s="633">
        <v>549378.04</v>
      </c>
      <c r="L165" s="633">
        <v>549638.91</v>
      </c>
      <c r="M165" s="633">
        <v>335681.45</v>
      </c>
      <c r="N165" s="633">
        <v>573946.61</v>
      </c>
      <c r="O165" s="633">
        <v>6432584.96</v>
      </c>
      <c r="P165" s="133"/>
    </row>
    <row r="166" spans="1:16" s="629" customFormat="1" outlineLevel="5">
      <c r="A166" s="165"/>
      <c r="B166" s="632" t="s">
        <v>3730</v>
      </c>
      <c r="C166" s="633">
        <v>8404980.8399999999</v>
      </c>
      <c r="D166" s="633">
        <v>8298898.2699999996</v>
      </c>
      <c r="E166" s="633">
        <v>8328821.1100000003</v>
      </c>
      <c r="F166" s="633">
        <v>8302247.9400000004</v>
      </c>
      <c r="G166" s="633">
        <v>8596784.6400000006</v>
      </c>
      <c r="H166" s="633">
        <v>8319520.7599999998</v>
      </c>
      <c r="I166" s="633">
        <v>8363070.7699999996</v>
      </c>
      <c r="J166" s="633">
        <v>8208382.3499999996</v>
      </c>
      <c r="K166" s="633">
        <v>8264111.7000000002</v>
      </c>
      <c r="L166" s="633">
        <v>8219275.2400000002</v>
      </c>
      <c r="M166" s="633">
        <v>7960598.0199999996</v>
      </c>
      <c r="N166" s="633">
        <v>8183504.0599999996</v>
      </c>
      <c r="O166" s="633">
        <v>99450195.700000003</v>
      </c>
      <c r="P166" s="133"/>
    </row>
    <row r="167" spans="1:16" s="629" customFormat="1" outlineLevel="5">
      <c r="A167" s="165"/>
      <c r="B167" s="632" t="s">
        <v>2718</v>
      </c>
      <c r="C167" s="633">
        <v>8668378.9199999999</v>
      </c>
      <c r="D167" s="633">
        <v>8888176.8900000006</v>
      </c>
      <c r="E167" s="633">
        <v>8695294.1799999997</v>
      </c>
      <c r="F167" s="633">
        <v>8680229.0399999991</v>
      </c>
      <c r="G167" s="633">
        <v>8854957.3200000003</v>
      </c>
      <c r="H167" s="633">
        <v>9030912.9100000001</v>
      </c>
      <c r="I167" s="633">
        <v>8542327.2599999998</v>
      </c>
      <c r="J167" s="633">
        <v>8461356.6400000006</v>
      </c>
      <c r="K167" s="633">
        <v>8326603.9400000004</v>
      </c>
      <c r="L167" s="633">
        <v>8528885.8399999999</v>
      </c>
      <c r="M167" s="633">
        <v>8881468.4700000007</v>
      </c>
      <c r="N167" s="633">
        <v>8620296.5700000003</v>
      </c>
      <c r="O167" s="633">
        <v>104178887.98</v>
      </c>
      <c r="P167" s="133"/>
    </row>
    <row r="168" spans="1:16" s="629" customFormat="1" outlineLevel="4">
      <c r="A168" s="165"/>
      <c r="B168" s="632" t="s">
        <v>3731</v>
      </c>
      <c r="C168" s="633">
        <v>8668378.9199999999</v>
      </c>
      <c r="D168" s="633">
        <v>8888176.8900000006</v>
      </c>
      <c r="E168" s="633">
        <v>8695294.1799999997</v>
      </c>
      <c r="F168" s="633">
        <v>8680229.0399999991</v>
      </c>
      <c r="G168" s="633">
        <v>8854957.3200000003</v>
      </c>
      <c r="H168" s="633">
        <v>9030912.9100000001</v>
      </c>
      <c r="I168" s="633">
        <v>8542327.2599999998</v>
      </c>
      <c r="J168" s="633">
        <v>8461356.6400000006</v>
      </c>
      <c r="K168" s="633">
        <v>8326603.9400000004</v>
      </c>
      <c r="L168" s="633">
        <v>8528885.8399999999</v>
      </c>
      <c r="M168" s="633">
        <v>8881468.4700000007</v>
      </c>
      <c r="N168" s="633">
        <v>8620296.5700000003</v>
      </c>
      <c r="O168" s="633">
        <v>104178887.98</v>
      </c>
    </row>
    <row r="169" spans="1:16" s="629" customFormat="1" outlineLevel="3">
      <c r="A169" s="165"/>
      <c r="B169" s="632" t="s">
        <v>2686</v>
      </c>
      <c r="C169" s="633">
        <v>-1660163.38</v>
      </c>
      <c r="D169" s="633">
        <v>-1643265.05</v>
      </c>
      <c r="E169" s="633">
        <v>-1631005.55</v>
      </c>
      <c r="F169" s="633">
        <v>-1632250.58</v>
      </c>
      <c r="G169" s="633">
        <v>-1599911.55</v>
      </c>
      <c r="H169" s="633">
        <v>-1591990.94</v>
      </c>
      <c r="I169" s="633">
        <v>-1937933.49</v>
      </c>
      <c r="J169" s="633">
        <v>-1582241.53</v>
      </c>
      <c r="K169" s="633">
        <v>-1586998.62</v>
      </c>
      <c r="L169" s="633">
        <v>-1561010.47</v>
      </c>
      <c r="M169" s="633">
        <v>-1535126.7</v>
      </c>
      <c r="N169" s="633">
        <v>-1532082.56</v>
      </c>
      <c r="O169" s="633">
        <v>-19493980.420000002</v>
      </c>
    </row>
    <row r="170" spans="1:16" s="629" customFormat="1" outlineLevel="4">
      <c r="A170" s="165"/>
      <c r="B170" s="632" t="s">
        <v>3732</v>
      </c>
      <c r="C170" s="633">
        <v>-1660163.38</v>
      </c>
      <c r="D170" s="633">
        <v>-1643265.05</v>
      </c>
      <c r="E170" s="633">
        <v>-1631005.55</v>
      </c>
      <c r="F170" s="633">
        <v>-1632250.58</v>
      </c>
      <c r="G170" s="633">
        <v>-1599911.55</v>
      </c>
      <c r="H170" s="633">
        <v>-1591990.94</v>
      </c>
      <c r="I170" s="633">
        <v>-1937933.49</v>
      </c>
      <c r="J170" s="633">
        <v>-1582241.53</v>
      </c>
      <c r="K170" s="633">
        <v>-1586998.62</v>
      </c>
      <c r="L170" s="633">
        <v>-1561010.47</v>
      </c>
      <c r="M170" s="633">
        <v>-1535126.7</v>
      </c>
      <c r="N170" s="633">
        <v>-1532082.56</v>
      </c>
      <c r="O170" s="633">
        <v>-19493980.420000002</v>
      </c>
    </row>
    <row r="171" spans="1:16" s="629" customFormat="1" outlineLevel="4">
      <c r="A171" s="165"/>
      <c r="B171" s="632" t="s">
        <v>885</v>
      </c>
      <c r="C171" s="633">
        <v>-685520.8</v>
      </c>
      <c r="D171" s="633">
        <v>-694710.72</v>
      </c>
      <c r="E171" s="633">
        <v>-639969.88</v>
      </c>
      <c r="F171" s="633">
        <v>-623066.87</v>
      </c>
      <c r="G171" s="633">
        <v>-599332.36</v>
      </c>
      <c r="H171" s="633">
        <v>-571917.30000000005</v>
      </c>
      <c r="I171" s="633">
        <v>-463062.32</v>
      </c>
      <c r="J171" s="633">
        <v>-487539.81</v>
      </c>
      <c r="K171" s="633">
        <v>-483982.65</v>
      </c>
      <c r="L171" s="633">
        <v>-501900.64</v>
      </c>
      <c r="M171" s="633">
        <v>-542241.76</v>
      </c>
      <c r="N171" s="633">
        <v>-567248.21</v>
      </c>
      <c r="O171" s="633">
        <v>-6860493.3200000003</v>
      </c>
    </row>
    <row r="172" spans="1:16" s="629" customFormat="1" outlineLevel="3">
      <c r="A172" s="165"/>
      <c r="B172" s="632" t="s">
        <v>3733</v>
      </c>
      <c r="C172" s="633">
        <v>-685520.8</v>
      </c>
      <c r="D172" s="633">
        <v>-694710.72</v>
      </c>
      <c r="E172" s="633">
        <v>-639969.88</v>
      </c>
      <c r="F172" s="633">
        <v>-623066.87</v>
      </c>
      <c r="G172" s="633">
        <v>-599332.36</v>
      </c>
      <c r="H172" s="633">
        <v>-571917.30000000005</v>
      </c>
      <c r="I172" s="633">
        <v>-463062.32</v>
      </c>
      <c r="J172" s="633">
        <v>-487539.81</v>
      </c>
      <c r="K172" s="633">
        <v>-483982.65</v>
      </c>
      <c r="L172" s="633">
        <v>-501900.64</v>
      </c>
      <c r="M172" s="633">
        <v>-542241.76</v>
      </c>
      <c r="N172" s="633">
        <v>-567248.21</v>
      </c>
      <c r="O172" s="633">
        <v>-6860493.3200000003</v>
      </c>
    </row>
    <row r="173" spans="1:16" s="629" customFormat="1" outlineLevel="4">
      <c r="A173" s="165"/>
      <c r="B173" s="632" t="s">
        <v>2685</v>
      </c>
      <c r="C173" s="633">
        <v>-5171.6400000000003</v>
      </c>
      <c r="D173" s="633">
        <v>-14855.81</v>
      </c>
      <c r="E173" s="633">
        <v>-1928.15</v>
      </c>
      <c r="F173" s="633">
        <v>-4571.42</v>
      </c>
      <c r="G173" s="633">
        <v>-21027.86</v>
      </c>
      <c r="H173" s="633">
        <v>-43110.13</v>
      </c>
      <c r="I173" s="633">
        <v>-7692.25</v>
      </c>
      <c r="J173" s="633">
        <v>-52792.93</v>
      </c>
      <c r="K173" s="633">
        <v>-5737.18</v>
      </c>
      <c r="L173" s="633">
        <v>-16142.2</v>
      </c>
      <c r="M173" s="633">
        <v>1391808.89</v>
      </c>
      <c r="N173" s="633">
        <v>-1427073.34</v>
      </c>
      <c r="O173" s="633">
        <v>-208294.02</v>
      </c>
    </row>
    <row r="174" spans="1:16" s="629" customFormat="1" outlineLevel="3">
      <c r="A174" s="165"/>
      <c r="B174" s="632" t="s">
        <v>4743</v>
      </c>
      <c r="C174" s="633">
        <v>0</v>
      </c>
      <c r="D174" s="633">
        <v>0</v>
      </c>
      <c r="E174" s="633">
        <v>0</v>
      </c>
      <c r="F174" s="633">
        <v>0</v>
      </c>
      <c r="G174" s="633">
        <v>0</v>
      </c>
      <c r="H174" s="633">
        <v>0</v>
      </c>
      <c r="I174" s="633">
        <v>0</v>
      </c>
      <c r="J174" s="633">
        <v>0</v>
      </c>
      <c r="K174" s="633">
        <v>0</v>
      </c>
      <c r="L174" s="633">
        <v>0</v>
      </c>
      <c r="M174" s="633">
        <v>0</v>
      </c>
      <c r="N174" s="633">
        <v>-64.09</v>
      </c>
      <c r="O174" s="633">
        <v>-64.09</v>
      </c>
    </row>
    <row r="175" spans="1:16" s="629" customFormat="1" outlineLevel="5">
      <c r="A175" s="165"/>
      <c r="B175" s="632" t="s">
        <v>3734</v>
      </c>
      <c r="C175" s="633">
        <v>-5171.6400000000003</v>
      </c>
      <c r="D175" s="633">
        <v>-14855.81</v>
      </c>
      <c r="E175" s="633">
        <v>-1928.15</v>
      </c>
      <c r="F175" s="633">
        <v>-4571.42</v>
      </c>
      <c r="G175" s="633">
        <v>-21027.86</v>
      </c>
      <c r="H175" s="633">
        <v>-43110.13</v>
      </c>
      <c r="I175" s="633">
        <v>-7692.25</v>
      </c>
      <c r="J175" s="633">
        <v>-52792.93</v>
      </c>
      <c r="K175" s="633">
        <v>-5737.18</v>
      </c>
      <c r="L175" s="633">
        <v>-16142.2</v>
      </c>
      <c r="M175" s="633">
        <v>1391808.89</v>
      </c>
      <c r="N175" s="633">
        <v>-1427137.43</v>
      </c>
      <c r="O175" s="633">
        <v>-208358.11</v>
      </c>
    </row>
    <row r="176" spans="1:16" s="629" customFormat="1" outlineLevel="4">
      <c r="A176" s="165"/>
      <c r="B176" s="632" t="s">
        <v>2731</v>
      </c>
      <c r="C176" s="633">
        <v>189056.82</v>
      </c>
      <c r="D176" s="633">
        <v>0</v>
      </c>
      <c r="E176" s="633">
        <v>0</v>
      </c>
      <c r="F176" s="633">
        <v>0</v>
      </c>
      <c r="G176" s="633">
        <v>0</v>
      </c>
      <c r="H176" s="633">
        <v>0</v>
      </c>
      <c r="I176" s="633">
        <v>0</v>
      </c>
      <c r="J176" s="633">
        <v>0</v>
      </c>
      <c r="K176" s="633">
        <v>0</v>
      </c>
      <c r="L176" s="633">
        <v>0</v>
      </c>
      <c r="M176" s="633">
        <v>0</v>
      </c>
      <c r="N176" s="633">
        <v>0</v>
      </c>
      <c r="O176" s="633">
        <v>189056.82</v>
      </c>
    </row>
    <row r="177" spans="1:15" s="634" customFormat="1" outlineLevel="5">
      <c r="A177" s="165"/>
      <c r="B177" s="632" t="s">
        <v>886</v>
      </c>
      <c r="C177" s="633">
        <v>4305</v>
      </c>
      <c r="D177" s="633">
        <v>177007.48</v>
      </c>
      <c r="E177" s="633">
        <v>1742</v>
      </c>
      <c r="F177" s="633">
        <v>191244.45</v>
      </c>
      <c r="G177" s="633">
        <v>30908.23</v>
      </c>
      <c r="H177" s="633">
        <v>25743.99</v>
      </c>
      <c r="I177" s="633">
        <v>125.1</v>
      </c>
      <c r="J177" s="633">
        <v>1824.3</v>
      </c>
      <c r="K177" s="633">
        <v>6073.41</v>
      </c>
      <c r="L177" s="633">
        <v>4843.8100000000004</v>
      </c>
      <c r="M177" s="633">
        <v>8899.7999999999993</v>
      </c>
      <c r="N177" s="633">
        <v>38569.699999999997</v>
      </c>
      <c r="O177" s="633">
        <v>491287.27</v>
      </c>
    </row>
    <row r="178" spans="1:15" s="629" customFormat="1" outlineLevel="4">
      <c r="A178" s="165"/>
      <c r="B178" s="632" t="s">
        <v>887</v>
      </c>
      <c r="C178" s="633">
        <v>46161.98</v>
      </c>
      <c r="D178" s="633">
        <v>0</v>
      </c>
      <c r="E178" s="633">
        <v>146.94999999999999</v>
      </c>
      <c r="F178" s="633">
        <v>0</v>
      </c>
      <c r="G178" s="633">
        <v>0</v>
      </c>
      <c r="H178" s="633">
        <v>66.5</v>
      </c>
      <c r="I178" s="633">
        <v>0</v>
      </c>
      <c r="J178" s="633">
        <v>0</v>
      </c>
      <c r="K178" s="633">
        <v>0</v>
      </c>
      <c r="L178" s="633">
        <v>0</v>
      </c>
      <c r="M178" s="633">
        <v>0</v>
      </c>
      <c r="N178" s="633">
        <v>0</v>
      </c>
      <c r="O178" s="633">
        <v>46375.43</v>
      </c>
    </row>
    <row r="179" spans="1:15" s="629" customFormat="1" outlineLevel="5">
      <c r="A179" s="165"/>
      <c r="B179" s="632" t="s">
        <v>888</v>
      </c>
      <c r="C179" s="633">
        <v>1136.44</v>
      </c>
      <c r="D179" s="633">
        <v>8946.7199999999993</v>
      </c>
      <c r="E179" s="633">
        <v>5044.3900000000003</v>
      </c>
      <c r="F179" s="633">
        <v>5056.76</v>
      </c>
      <c r="G179" s="633">
        <v>5116.8900000000003</v>
      </c>
      <c r="H179" s="633">
        <v>5374.84</v>
      </c>
      <c r="I179" s="633">
        <v>10011.43</v>
      </c>
      <c r="J179" s="633">
        <v>5081.95</v>
      </c>
      <c r="K179" s="633">
        <v>5083.67</v>
      </c>
      <c r="L179" s="633">
        <v>5256.15</v>
      </c>
      <c r="M179" s="633">
        <v>14236.31</v>
      </c>
      <c r="N179" s="633">
        <v>-3595.89</v>
      </c>
      <c r="O179" s="633">
        <v>66749.66</v>
      </c>
    </row>
    <row r="180" spans="1:15" s="629" customFormat="1" outlineLevel="5">
      <c r="A180" s="165"/>
      <c r="B180" s="632" t="s">
        <v>889</v>
      </c>
      <c r="C180" s="633">
        <v>0</v>
      </c>
      <c r="D180" s="633">
        <v>1775.44</v>
      </c>
      <c r="E180" s="633">
        <v>0</v>
      </c>
      <c r="F180" s="633">
        <v>128.04</v>
      </c>
      <c r="G180" s="633">
        <v>0</v>
      </c>
      <c r="H180" s="633">
        <v>0</v>
      </c>
      <c r="I180" s="633">
        <v>69.680000000000007</v>
      </c>
      <c r="J180" s="633">
        <v>0</v>
      </c>
      <c r="K180" s="633">
        <v>-5125.03</v>
      </c>
      <c r="L180" s="633">
        <v>10160.620000000001</v>
      </c>
      <c r="M180" s="633">
        <v>0</v>
      </c>
      <c r="N180" s="633">
        <v>0</v>
      </c>
      <c r="O180" s="633">
        <v>7008.75</v>
      </c>
    </row>
    <row r="181" spans="1:15" s="629" customFormat="1" outlineLevel="4">
      <c r="A181" s="165"/>
      <c r="B181" s="632" t="s">
        <v>3735</v>
      </c>
      <c r="C181" s="633">
        <v>240660.24</v>
      </c>
      <c r="D181" s="633">
        <v>187729.64</v>
      </c>
      <c r="E181" s="633">
        <v>6933.34</v>
      </c>
      <c r="F181" s="633">
        <v>196429.25</v>
      </c>
      <c r="G181" s="633">
        <v>36025.120000000003</v>
      </c>
      <c r="H181" s="633">
        <v>31185.33</v>
      </c>
      <c r="I181" s="633">
        <v>10206.209999999999</v>
      </c>
      <c r="J181" s="633">
        <v>6906.25</v>
      </c>
      <c r="K181" s="633">
        <v>6032.05</v>
      </c>
      <c r="L181" s="633">
        <v>20260.580000000002</v>
      </c>
      <c r="M181" s="633">
        <v>23136.11</v>
      </c>
      <c r="N181" s="633">
        <v>34973.81</v>
      </c>
      <c r="O181" s="633">
        <v>800477.93</v>
      </c>
    </row>
    <row r="182" spans="1:15" s="629" customFormat="1" outlineLevel="5">
      <c r="A182" s="165"/>
      <c r="B182" s="632" t="s">
        <v>3736</v>
      </c>
      <c r="C182" s="633">
        <v>-2110195.58</v>
      </c>
      <c r="D182" s="633">
        <v>-2165101.94</v>
      </c>
      <c r="E182" s="633">
        <v>-2265970.2400000002</v>
      </c>
      <c r="F182" s="633">
        <v>-2063459.62</v>
      </c>
      <c r="G182" s="633">
        <v>-2184246.65</v>
      </c>
      <c r="H182" s="633">
        <v>-2175833.04</v>
      </c>
      <c r="I182" s="633">
        <v>-2398481.85</v>
      </c>
      <c r="J182" s="633">
        <v>-2115668.02</v>
      </c>
      <c r="K182" s="633">
        <v>-2070686.4</v>
      </c>
      <c r="L182" s="633">
        <v>-2058792.73</v>
      </c>
      <c r="M182" s="633">
        <v>-662423.46</v>
      </c>
      <c r="N182" s="633">
        <v>-3491494.39</v>
      </c>
      <c r="O182" s="633">
        <v>-25762353.920000002</v>
      </c>
    </row>
    <row r="183" spans="1:15" s="629" customFormat="1" outlineLevel="5">
      <c r="A183" s="165"/>
      <c r="B183" s="632" t="s">
        <v>565</v>
      </c>
      <c r="C183" s="633">
        <v>2839617.21</v>
      </c>
      <c r="D183" s="633">
        <v>2896610.1</v>
      </c>
      <c r="E183" s="633">
        <v>2898116.05</v>
      </c>
      <c r="F183" s="633">
        <v>2897252.23</v>
      </c>
      <c r="G183" s="633">
        <v>2898406.99</v>
      </c>
      <c r="H183" s="633">
        <v>2902407.81</v>
      </c>
      <c r="I183" s="633">
        <v>2902265.89</v>
      </c>
      <c r="J183" s="633">
        <v>2900591.03</v>
      </c>
      <c r="K183" s="633">
        <v>2899245.69</v>
      </c>
      <c r="L183" s="633">
        <v>2756088.09</v>
      </c>
      <c r="M183" s="633">
        <v>823230.76</v>
      </c>
      <c r="N183" s="633">
        <v>6114810.8399999999</v>
      </c>
      <c r="O183" s="633">
        <v>35728642.689999998</v>
      </c>
    </row>
    <row r="184" spans="1:15" s="629" customFormat="1" outlineLevel="5">
      <c r="A184" s="165"/>
      <c r="B184" s="632" t="s">
        <v>52</v>
      </c>
      <c r="C184" s="633">
        <v>75752.570000000007</v>
      </c>
      <c r="D184" s="633">
        <v>75752.570000000007</v>
      </c>
      <c r="E184" s="633">
        <v>75752.570000000007</v>
      </c>
      <c r="F184" s="633">
        <v>75752.570000000007</v>
      </c>
      <c r="G184" s="633">
        <v>75752.570000000007</v>
      </c>
      <c r="H184" s="633">
        <v>76220.87</v>
      </c>
      <c r="I184" s="633">
        <v>76220.87</v>
      </c>
      <c r="J184" s="633">
        <v>76220.87</v>
      </c>
      <c r="K184" s="633">
        <v>76171.97</v>
      </c>
      <c r="L184" s="633">
        <v>76171.97</v>
      </c>
      <c r="M184" s="633">
        <v>76171.97</v>
      </c>
      <c r="N184" s="633">
        <v>76171.97</v>
      </c>
      <c r="O184" s="633">
        <v>912113.34</v>
      </c>
    </row>
    <row r="185" spans="1:15" s="629" customFormat="1" outlineLevel="5">
      <c r="A185" s="165"/>
      <c r="B185" s="632" t="s">
        <v>53</v>
      </c>
      <c r="C185" s="633">
        <v>28877.42</v>
      </c>
      <c r="D185" s="633">
        <v>151929.29999999999</v>
      </c>
      <c r="E185" s="633">
        <v>151929.29999999999</v>
      </c>
      <c r="F185" s="633">
        <v>151929.29999999999</v>
      </c>
      <c r="G185" s="633">
        <v>151929.29999999999</v>
      </c>
      <c r="H185" s="633">
        <v>151929.29999999999</v>
      </c>
      <c r="I185" s="633">
        <v>157222.31</v>
      </c>
      <c r="J185" s="633">
        <v>157222.31</v>
      </c>
      <c r="K185" s="633">
        <v>166292.94</v>
      </c>
      <c r="L185" s="633">
        <v>166292.94</v>
      </c>
      <c r="M185" s="633">
        <v>166292.94</v>
      </c>
      <c r="N185" s="633">
        <v>300728.43</v>
      </c>
      <c r="O185" s="633">
        <v>1902575.79</v>
      </c>
    </row>
    <row r="186" spans="1:15" s="629" customFormat="1" outlineLevel="5">
      <c r="A186" s="165"/>
      <c r="B186" s="632" t="s">
        <v>4837</v>
      </c>
      <c r="C186" s="633">
        <v>961.01</v>
      </c>
      <c r="D186" s="633">
        <v>-364.05</v>
      </c>
      <c r="E186" s="633">
        <v>-364.05</v>
      </c>
      <c r="F186" s="633">
        <v>-364.05</v>
      </c>
      <c r="G186" s="633">
        <v>-364.05</v>
      </c>
      <c r="H186" s="633">
        <v>0</v>
      </c>
      <c r="I186" s="633">
        <v>0</v>
      </c>
      <c r="J186" s="633">
        <v>0</v>
      </c>
      <c r="K186" s="633">
        <v>0</v>
      </c>
      <c r="L186" s="633">
        <v>0</v>
      </c>
      <c r="M186" s="633">
        <v>0</v>
      </c>
      <c r="N186" s="633">
        <v>0</v>
      </c>
      <c r="O186" s="633">
        <v>-495.19</v>
      </c>
    </row>
    <row r="187" spans="1:15" s="629" customFormat="1" outlineLevel="4">
      <c r="A187" s="165"/>
      <c r="B187" s="632" t="s">
        <v>3737</v>
      </c>
      <c r="C187" s="633">
        <v>2945208.21</v>
      </c>
      <c r="D187" s="633">
        <v>3123927.92</v>
      </c>
      <c r="E187" s="633">
        <v>3125433.87</v>
      </c>
      <c r="F187" s="633">
        <v>3124570.05</v>
      </c>
      <c r="G187" s="633">
        <v>3125724.81</v>
      </c>
      <c r="H187" s="633">
        <v>3130557.98</v>
      </c>
      <c r="I187" s="633">
        <v>3135709.07</v>
      </c>
      <c r="J187" s="633">
        <v>3134034.21</v>
      </c>
      <c r="K187" s="633">
        <v>3141710.6</v>
      </c>
      <c r="L187" s="633">
        <v>2998553</v>
      </c>
      <c r="M187" s="633">
        <v>1065695.67</v>
      </c>
      <c r="N187" s="633">
        <v>6491711.2400000002</v>
      </c>
      <c r="O187" s="633">
        <v>38542836.630000003</v>
      </c>
    </row>
    <row r="188" spans="1:15" s="629" customFormat="1" outlineLevel="3">
      <c r="A188" s="165"/>
      <c r="B188" s="632" t="s">
        <v>566</v>
      </c>
      <c r="C188" s="633">
        <v>2217772.39</v>
      </c>
      <c r="D188" s="633">
        <v>2157481.52</v>
      </c>
      <c r="E188" s="633">
        <v>2107432.5</v>
      </c>
      <c r="F188" s="633">
        <v>969139.35</v>
      </c>
      <c r="G188" s="633">
        <v>3676324.89</v>
      </c>
      <c r="H188" s="633">
        <v>2188124.12</v>
      </c>
      <c r="I188" s="633">
        <v>-1520760.4</v>
      </c>
      <c r="J188" s="633">
        <v>2323652.0299999998</v>
      </c>
      <c r="K188" s="633">
        <v>2126390.4700000002</v>
      </c>
      <c r="L188" s="633">
        <v>2261427.2799999998</v>
      </c>
      <c r="M188" s="633">
        <v>2229905.23</v>
      </c>
      <c r="N188" s="633">
        <v>2165831.4300000002</v>
      </c>
      <c r="O188" s="633">
        <v>22902720.809999999</v>
      </c>
    </row>
    <row r="189" spans="1:15" s="629" customFormat="1" outlineLevel="5">
      <c r="A189" s="165"/>
      <c r="B189" s="632" t="s">
        <v>567</v>
      </c>
      <c r="C189" s="633">
        <v>64213.52</v>
      </c>
      <c r="D189" s="633">
        <v>47548.85</v>
      </c>
      <c r="E189" s="633">
        <v>44645.54</v>
      </c>
      <c r="F189" s="633">
        <v>35322.93</v>
      </c>
      <c r="G189" s="633">
        <v>34455.75</v>
      </c>
      <c r="H189" s="633">
        <v>28336.36</v>
      </c>
      <c r="I189" s="633">
        <v>26611.599999999999</v>
      </c>
      <c r="J189" s="633">
        <v>33181.35</v>
      </c>
      <c r="K189" s="633">
        <v>34039.629999999997</v>
      </c>
      <c r="L189" s="633">
        <v>38378.92</v>
      </c>
      <c r="M189" s="633">
        <v>34355.919999999998</v>
      </c>
      <c r="N189" s="633">
        <v>35793.31</v>
      </c>
      <c r="O189" s="633">
        <v>456883.68</v>
      </c>
    </row>
    <row r="190" spans="1:15" s="629" customFormat="1" outlineLevel="5">
      <c r="A190" s="165"/>
      <c r="B190" s="632" t="s">
        <v>3738</v>
      </c>
      <c r="C190" s="633">
        <v>2281985.91</v>
      </c>
      <c r="D190" s="633">
        <v>2205030.37</v>
      </c>
      <c r="E190" s="633">
        <v>2152078.04</v>
      </c>
      <c r="F190" s="633">
        <v>1004462.28</v>
      </c>
      <c r="G190" s="633">
        <v>3710780.64</v>
      </c>
      <c r="H190" s="633">
        <v>2216460.48</v>
      </c>
      <c r="I190" s="633">
        <v>-1494148.8</v>
      </c>
      <c r="J190" s="633">
        <v>2356833.38</v>
      </c>
      <c r="K190" s="633">
        <v>2160430.1</v>
      </c>
      <c r="L190" s="633">
        <v>2299806.2000000002</v>
      </c>
      <c r="M190" s="633">
        <v>2264261.15</v>
      </c>
      <c r="N190" s="633">
        <v>2201624.7400000002</v>
      </c>
      <c r="O190" s="633">
        <v>23359604.489999998</v>
      </c>
    </row>
    <row r="191" spans="1:15" s="629" customFormat="1" outlineLevel="5">
      <c r="A191" s="165"/>
      <c r="B191" s="632" t="s">
        <v>54</v>
      </c>
      <c r="C191" s="633">
        <v>-335395.02</v>
      </c>
      <c r="D191" s="633">
        <v>-360703.11</v>
      </c>
      <c r="E191" s="633">
        <v>-330063.98</v>
      </c>
      <c r="F191" s="633">
        <v>-323801.8</v>
      </c>
      <c r="G191" s="633">
        <v>-311336.36</v>
      </c>
      <c r="H191" s="633">
        <v>-297438.05</v>
      </c>
      <c r="I191" s="633">
        <v>-199471.31</v>
      </c>
      <c r="J191" s="633">
        <v>-211527.57</v>
      </c>
      <c r="K191" s="633">
        <v>-241563.1</v>
      </c>
      <c r="L191" s="633">
        <v>-217876.61</v>
      </c>
      <c r="M191" s="633">
        <v>-234484.71</v>
      </c>
      <c r="N191" s="633">
        <v>-245888.73</v>
      </c>
      <c r="O191" s="633">
        <v>-3309550.35</v>
      </c>
    </row>
    <row r="192" spans="1:15" s="629" customFormat="1" outlineLevel="5">
      <c r="A192" s="165"/>
      <c r="B192" s="632" t="s">
        <v>3739</v>
      </c>
      <c r="C192" s="633">
        <v>-335395.02</v>
      </c>
      <c r="D192" s="633">
        <v>-360703.11</v>
      </c>
      <c r="E192" s="633">
        <v>-330063.98</v>
      </c>
      <c r="F192" s="633">
        <v>-323801.8</v>
      </c>
      <c r="G192" s="633">
        <v>-311336.36</v>
      </c>
      <c r="H192" s="633">
        <v>-297438.05</v>
      </c>
      <c r="I192" s="633">
        <v>-199471.31</v>
      </c>
      <c r="J192" s="633">
        <v>-211527.57</v>
      </c>
      <c r="K192" s="633">
        <v>-241563.1</v>
      </c>
      <c r="L192" s="633">
        <v>-217876.61</v>
      </c>
      <c r="M192" s="633">
        <v>-234484.71</v>
      </c>
      <c r="N192" s="633">
        <v>-245888.73</v>
      </c>
      <c r="O192" s="633">
        <v>-3309550.35</v>
      </c>
    </row>
    <row r="193" spans="1:15" s="629" customFormat="1" outlineLevel="4">
      <c r="A193" s="165"/>
      <c r="B193" s="632" t="s">
        <v>3740</v>
      </c>
      <c r="C193" s="633">
        <v>4891799.0999999996</v>
      </c>
      <c r="D193" s="633">
        <v>4968255.18</v>
      </c>
      <c r="E193" s="633">
        <v>4947447.93</v>
      </c>
      <c r="F193" s="633">
        <v>3805230.53</v>
      </c>
      <c r="G193" s="633">
        <v>6525169.0899999999</v>
      </c>
      <c r="H193" s="633">
        <v>5049580.41</v>
      </c>
      <c r="I193" s="633">
        <v>1442088.96</v>
      </c>
      <c r="J193" s="633">
        <v>5279340.0199999996</v>
      </c>
      <c r="K193" s="633">
        <v>5060577.5999999996</v>
      </c>
      <c r="L193" s="633">
        <v>5080482.59</v>
      </c>
      <c r="M193" s="633">
        <v>3095472.11</v>
      </c>
      <c r="N193" s="633">
        <v>8447447.25</v>
      </c>
      <c r="O193" s="633">
        <v>58592890.770000003</v>
      </c>
    </row>
    <row r="194" spans="1:15" s="629" customFormat="1" outlineLevel="5">
      <c r="A194" s="165"/>
      <c r="B194" s="632" t="s">
        <v>2719</v>
      </c>
      <c r="C194" s="633">
        <v>-6323369.2000000002</v>
      </c>
      <c r="D194" s="633">
        <v>282060.25</v>
      </c>
      <c r="E194" s="633">
        <v>-14942100.75</v>
      </c>
      <c r="F194" s="633">
        <v>1134527.3899999999</v>
      </c>
      <c r="G194" s="633">
        <v>14321486.970000001</v>
      </c>
      <c r="H194" s="633">
        <v>-3718035.15</v>
      </c>
      <c r="I194" s="633">
        <v>8226195.0800000001</v>
      </c>
      <c r="J194" s="633">
        <v>6701485.4800000004</v>
      </c>
      <c r="K194" s="633">
        <v>9821385.6799999997</v>
      </c>
      <c r="L194" s="633">
        <v>11233829.35</v>
      </c>
      <c r="M194" s="633">
        <v>8635961.4600000009</v>
      </c>
      <c r="N194" s="633">
        <v>1203794.83</v>
      </c>
      <c r="O194" s="633">
        <v>36577221.390000001</v>
      </c>
    </row>
    <row r="195" spans="1:15" s="629" customFormat="1" outlineLevel="5">
      <c r="A195" s="165"/>
      <c r="B195" s="632" t="s">
        <v>890</v>
      </c>
      <c r="C195" s="633">
        <v>659654.07999999996</v>
      </c>
      <c r="D195" s="633">
        <v>578288.63</v>
      </c>
      <c r="E195" s="633">
        <v>648982.41</v>
      </c>
      <c r="F195" s="633">
        <v>631085.55000000005</v>
      </c>
      <c r="G195" s="633">
        <v>632593.52</v>
      </c>
      <c r="H195" s="633">
        <v>1234351.55</v>
      </c>
      <c r="I195" s="633">
        <v>735285.39</v>
      </c>
      <c r="J195" s="633">
        <v>686040.1</v>
      </c>
      <c r="K195" s="633">
        <v>633202.89</v>
      </c>
      <c r="L195" s="633">
        <v>620763.78</v>
      </c>
      <c r="M195" s="633">
        <v>52336.32</v>
      </c>
      <c r="N195" s="633">
        <v>1161545.05</v>
      </c>
      <c r="O195" s="633">
        <v>8274129.2699999996</v>
      </c>
    </row>
    <row r="196" spans="1:15" s="629" customFormat="1" outlineLevel="4">
      <c r="A196" s="165"/>
      <c r="B196" s="632" t="s">
        <v>2694</v>
      </c>
      <c r="C196" s="633">
        <v>112165865.67</v>
      </c>
      <c r="D196" s="633">
        <v>12750794.73</v>
      </c>
      <c r="E196" s="633">
        <v>26363207.010000002</v>
      </c>
      <c r="F196" s="633">
        <v>20468068.260000002</v>
      </c>
      <c r="G196" s="633">
        <v>8706732.5700000003</v>
      </c>
      <c r="H196" s="633">
        <v>15228837.9</v>
      </c>
      <c r="I196" s="633">
        <v>11458988.609999999</v>
      </c>
      <c r="J196" s="633">
        <v>6501479.4800000004</v>
      </c>
      <c r="K196" s="633">
        <v>4643057.95</v>
      </c>
      <c r="L196" s="633">
        <v>8484946.2899999991</v>
      </c>
      <c r="M196" s="633">
        <v>6055363.6200000001</v>
      </c>
      <c r="N196" s="633">
        <v>13822979.49</v>
      </c>
      <c r="O196" s="633">
        <v>246650321.58000001</v>
      </c>
    </row>
    <row r="197" spans="1:15" s="629" customFormat="1" outlineLevel="5">
      <c r="A197" s="165"/>
      <c r="B197" s="632" t="s">
        <v>4646</v>
      </c>
      <c r="C197" s="633">
        <v>1107.3800000000001</v>
      </c>
      <c r="D197" s="633">
        <v>1101.6400000000001</v>
      </c>
      <c r="E197" s="633">
        <v>1095.94</v>
      </c>
      <c r="F197" s="633">
        <v>1090.26</v>
      </c>
      <c r="G197" s="633">
        <v>1084.6400000000001</v>
      </c>
      <c r="H197" s="633">
        <v>0</v>
      </c>
      <c r="I197" s="633">
        <v>1073.44</v>
      </c>
      <c r="J197" s="633">
        <v>1067.8699999999999</v>
      </c>
      <c r="K197" s="633">
        <v>1181.04</v>
      </c>
      <c r="L197" s="633">
        <v>1293.6300000000001</v>
      </c>
      <c r="M197" s="633">
        <v>1286.94</v>
      </c>
      <c r="N197" s="633">
        <v>1280.28</v>
      </c>
      <c r="O197" s="633">
        <v>12663.06</v>
      </c>
    </row>
    <row r="198" spans="1:15" s="629" customFormat="1" outlineLevel="4">
      <c r="A198" s="165"/>
      <c r="B198" s="632" t="s">
        <v>2695</v>
      </c>
      <c r="C198" s="633">
        <v>-99062528.140000001</v>
      </c>
      <c r="D198" s="633">
        <v>-10622798.140000001</v>
      </c>
      <c r="E198" s="633">
        <v>-7399460.9800000004</v>
      </c>
      <c r="F198" s="633">
        <v>-18624885.48</v>
      </c>
      <c r="G198" s="633">
        <v>-18748328.289999999</v>
      </c>
      <c r="H198" s="633">
        <v>-7367409.4199999999</v>
      </c>
      <c r="I198" s="633">
        <v>-23235761.120000001</v>
      </c>
      <c r="J198" s="633">
        <v>-9222832.8699999992</v>
      </c>
      <c r="K198" s="633">
        <v>-12118342.75</v>
      </c>
      <c r="L198" s="633">
        <v>-11746463.67</v>
      </c>
      <c r="M198" s="633">
        <v>-10271547.439999999</v>
      </c>
      <c r="N198" s="633">
        <v>-10156297.58</v>
      </c>
      <c r="O198" s="633">
        <v>-238576655.88</v>
      </c>
    </row>
    <row r="199" spans="1:15" s="629" customFormat="1" outlineLevel="3">
      <c r="A199" s="165"/>
      <c r="B199" s="632" t="s">
        <v>2742</v>
      </c>
      <c r="C199" s="633">
        <v>0</v>
      </c>
      <c r="D199" s="633">
        <v>0</v>
      </c>
      <c r="E199" s="633">
        <v>0</v>
      </c>
      <c r="F199" s="633">
        <v>-65419.9</v>
      </c>
      <c r="G199" s="633">
        <v>0</v>
      </c>
      <c r="H199" s="633">
        <v>-593146</v>
      </c>
      <c r="I199" s="633">
        <v>0</v>
      </c>
      <c r="J199" s="633">
        <v>0</v>
      </c>
      <c r="K199" s="633">
        <v>0</v>
      </c>
      <c r="L199" s="633">
        <v>0</v>
      </c>
      <c r="M199" s="633">
        <v>0</v>
      </c>
      <c r="N199" s="633">
        <v>0</v>
      </c>
      <c r="O199" s="633">
        <v>-658565.9</v>
      </c>
    </row>
    <row r="200" spans="1:15" s="629" customFormat="1" outlineLevel="4">
      <c r="A200" s="165"/>
      <c r="B200" s="632" t="s">
        <v>1830</v>
      </c>
      <c r="C200" s="633">
        <v>-44833.33</v>
      </c>
      <c r="D200" s="633">
        <v>-44833.34</v>
      </c>
      <c r="E200" s="633">
        <v>-44833.33</v>
      </c>
      <c r="F200" s="633">
        <v>-44833.33</v>
      </c>
      <c r="G200" s="633">
        <v>-44833.34</v>
      </c>
      <c r="H200" s="633">
        <v>-44833.33</v>
      </c>
      <c r="I200" s="633">
        <v>-44833.33</v>
      </c>
      <c r="J200" s="633">
        <v>-44833.34</v>
      </c>
      <c r="K200" s="633">
        <v>-44833.33</v>
      </c>
      <c r="L200" s="633">
        <v>-44833.33</v>
      </c>
      <c r="M200" s="633">
        <v>-44833.34</v>
      </c>
      <c r="N200" s="633">
        <v>-44833.33</v>
      </c>
      <c r="O200" s="633">
        <v>-538000</v>
      </c>
    </row>
    <row r="201" spans="1:15" s="629" customFormat="1" outlineLevel="4">
      <c r="A201" s="165"/>
      <c r="B201" s="632" t="s">
        <v>3741</v>
      </c>
      <c r="C201" s="633">
        <v>7395896.46</v>
      </c>
      <c r="D201" s="633">
        <v>2944613.77</v>
      </c>
      <c r="E201" s="633">
        <v>4626890.3</v>
      </c>
      <c r="F201" s="633">
        <v>3499632.75</v>
      </c>
      <c r="G201" s="633">
        <v>4868736.07</v>
      </c>
      <c r="H201" s="633">
        <v>4739765.55</v>
      </c>
      <c r="I201" s="633">
        <v>-2859051.93</v>
      </c>
      <c r="J201" s="633">
        <v>4622406.72</v>
      </c>
      <c r="K201" s="633">
        <v>2935651.48</v>
      </c>
      <c r="L201" s="633">
        <v>8549536.0500000007</v>
      </c>
      <c r="M201" s="633">
        <v>4428567.5599999996</v>
      </c>
      <c r="N201" s="633">
        <v>5988468.7400000002</v>
      </c>
      <c r="O201" s="633">
        <v>51741113.520000003</v>
      </c>
    </row>
    <row r="202" spans="1:15" s="629" customFormat="1" outlineLevel="4">
      <c r="A202" s="165"/>
      <c r="B202" s="632" t="s">
        <v>3742</v>
      </c>
      <c r="C202" s="633">
        <v>119580554.3</v>
      </c>
      <c r="D202" s="633">
        <v>96333805</v>
      </c>
      <c r="E202" s="633">
        <v>101697347.14</v>
      </c>
      <c r="F202" s="633">
        <v>90747650.189999998</v>
      </c>
      <c r="G202" s="633">
        <v>84104953.579999998</v>
      </c>
      <c r="H202" s="633">
        <v>113920450.56</v>
      </c>
      <c r="I202" s="633">
        <v>82763348.120000005</v>
      </c>
      <c r="J202" s="633">
        <v>88436994.239999995</v>
      </c>
      <c r="K202" s="633">
        <v>98420403.930000007</v>
      </c>
      <c r="L202" s="633">
        <v>137249399.97</v>
      </c>
      <c r="M202" s="633">
        <v>133629853.84</v>
      </c>
      <c r="N202" s="633">
        <v>182367262</v>
      </c>
      <c r="O202" s="633">
        <v>1329252022.8699999</v>
      </c>
    </row>
    <row r="203" spans="1:15" s="629" customFormat="1" outlineLevel="4">
      <c r="A203" s="165"/>
      <c r="B203" s="632" t="s">
        <v>3743</v>
      </c>
      <c r="C203" s="633">
        <v>-6141882</v>
      </c>
      <c r="D203" s="633">
        <v>-4940455.82</v>
      </c>
      <c r="E203" s="633">
        <v>-5886935.9199999999</v>
      </c>
      <c r="F203" s="633">
        <v>-6593217.04</v>
      </c>
      <c r="G203" s="633">
        <v>-8207266.1600000001</v>
      </c>
      <c r="H203" s="633">
        <v>-7789353</v>
      </c>
      <c r="I203" s="633">
        <v>-12330233.74</v>
      </c>
      <c r="J203" s="633">
        <v>-7596484.9299999997</v>
      </c>
      <c r="K203" s="633">
        <v>-7370072.8300000001</v>
      </c>
      <c r="L203" s="633">
        <v>-5363183</v>
      </c>
      <c r="M203" s="633">
        <v>-6574084.7300000004</v>
      </c>
      <c r="N203" s="633">
        <v>-8889714.5</v>
      </c>
      <c r="O203" s="633">
        <v>-87682883.670000002</v>
      </c>
    </row>
    <row r="204" spans="1:15" s="629" customFormat="1" outlineLevel="4">
      <c r="A204" s="165"/>
      <c r="B204" s="632" t="s">
        <v>955</v>
      </c>
      <c r="C204" s="633">
        <v>2173382.67</v>
      </c>
      <c r="D204" s="633">
        <v>1612983.23</v>
      </c>
      <c r="E204" s="633">
        <v>-2510052.29</v>
      </c>
      <c r="F204" s="633">
        <v>-1675283.57</v>
      </c>
      <c r="G204" s="633">
        <v>590855.74</v>
      </c>
      <c r="H204" s="633">
        <v>-4088698.95</v>
      </c>
      <c r="I204" s="633">
        <v>1530100.76</v>
      </c>
      <c r="J204" s="633">
        <v>-1108678.76</v>
      </c>
      <c r="K204" s="633">
        <v>2700197.9</v>
      </c>
      <c r="L204" s="633">
        <v>1536829.8</v>
      </c>
      <c r="M204" s="633">
        <v>984837.69</v>
      </c>
      <c r="N204" s="633">
        <v>-221404.3</v>
      </c>
      <c r="O204" s="633">
        <v>1525069.92</v>
      </c>
    </row>
    <row r="205" spans="1:15" s="629" customFormat="1" outlineLevel="4">
      <c r="A205" s="165"/>
      <c r="B205" s="632" t="s">
        <v>4468</v>
      </c>
      <c r="C205" s="633">
        <v>247237.76000000001</v>
      </c>
      <c r="D205" s="633">
        <v>158116.01999999999</v>
      </c>
      <c r="E205" s="633">
        <v>-143214.56</v>
      </c>
      <c r="F205" s="633">
        <v>-284302.78000000003</v>
      </c>
      <c r="G205" s="633">
        <v>-202787.86</v>
      </c>
      <c r="H205" s="633">
        <v>-279376.59000000003</v>
      </c>
      <c r="I205" s="633">
        <v>-321301.46000000002</v>
      </c>
      <c r="J205" s="633">
        <v>-312567.89</v>
      </c>
      <c r="K205" s="633">
        <v>-125545.55</v>
      </c>
      <c r="L205" s="633">
        <v>314286.75</v>
      </c>
      <c r="M205" s="633">
        <v>354510.01</v>
      </c>
      <c r="N205" s="633">
        <v>470603.18</v>
      </c>
      <c r="O205" s="633">
        <v>-124342.97</v>
      </c>
    </row>
    <row r="206" spans="1:15" s="629" customFormat="1" outlineLevel="4">
      <c r="A206" s="165"/>
      <c r="B206" s="632" t="s">
        <v>4469</v>
      </c>
      <c r="C206" s="633">
        <v>-325421.49</v>
      </c>
      <c r="D206" s="633">
        <v>-410097.93</v>
      </c>
      <c r="E206" s="633">
        <v>-205021.29</v>
      </c>
      <c r="F206" s="633">
        <v>-150496.29</v>
      </c>
      <c r="G206" s="633">
        <v>-81264.45</v>
      </c>
      <c r="H206" s="633">
        <v>-31091.42</v>
      </c>
      <c r="I206" s="633">
        <v>-77171.39</v>
      </c>
      <c r="J206" s="633">
        <v>-77171.39</v>
      </c>
      <c r="K206" s="633">
        <v>-135917.26</v>
      </c>
      <c r="L206" s="633">
        <v>-251311.1</v>
      </c>
      <c r="M206" s="633">
        <v>-252240.07</v>
      </c>
      <c r="N206" s="633">
        <v>-290899.15000000002</v>
      </c>
      <c r="O206" s="633">
        <v>-2288103.23</v>
      </c>
    </row>
    <row r="207" spans="1:15" s="629" customFormat="1" outlineLevel="3">
      <c r="A207" s="165"/>
      <c r="B207" s="632" t="s">
        <v>4470</v>
      </c>
      <c r="C207" s="633">
        <v>63492.2</v>
      </c>
      <c r="D207" s="633">
        <v>459.5</v>
      </c>
      <c r="E207" s="633">
        <v>-220861.74</v>
      </c>
      <c r="F207" s="633">
        <v>-219256.88</v>
      </c>
      <c r="G207" s="633">
        <v>-211175.86</v>
      </c>
      <c r="H207" s="633">
        <v>-203277.15</v>
      </c>
      <c r="I207" s="633">
        <v>-178683.83</v>
      </c>
      <c r="J207" s="633">
        <v>-157100.78</v>
      </c>
      <c r="K207" s="633">
        <v>-127649.43</v>
      </c>
      <c r="L207" s="633">
        <v>-81653.88</v>
      </c>
      <c r="M207" s="633">
        <v>-106239.44</v>
      </c>
      <c r="N207" s="633">
        <v>-120541.5</v>
      </c>
      <c r="O207" s="633">
        <v>-1562488.79</v>
      </c>
    </row>
    <row r="208" spans="1:15" s="629" customFormat="1" outlineLevel="2">
      <c r="A208" s="165"/>
      <c r="B208" s="632" t="s">
        <v>4471</v>
      </c>
      <c r="C208" s="633">
        <v>-330155.74</v>
      </c>
      <c r="D208" s="633">
        <v>-234010.25</v>
      </c>
      <c r="E208" s="633">
        <v>-171469.98</v>
      </c>
      <c r="F208" s="633">
        <v>-212783.5</v>
      </c>
      <c r="G208" s="633">
        <v>-168007.4</v>
      </c>
      <c r="H208" s="633">
        <v>-162306.95000000001</v>
      </c>
      <c r="I208" s="633">
        <v>-156825.82999999999</v>
      </c>
      <c r="J208" s="633">
        <v>-3808.01</v>
      </c>
      <c r="K208" s="633">
        <v>-147179.63</v>
      </c>
      <c r="L208" s="633">
        <v>-132680.07999999999</v>
      </c>
      <c r="M208" s="633">
        <v>-130153.18</v>
      </c>
      <c r="N208" s="633">
        <v>-84742.13</v>
      </c>
      <c r="O208" s="633">
        <v>-1934122.68</v>
      </c>
    </row>
    <row r="209" spans="1:15" s="629" customFormat="1" outlineLevel="1">
      <c r="A209" s="165"/>
      <c r="B209" s="632" t="s">
        <v>4472</v>
      </c>
      <c r="C209" s="633">
        <v>-12017.17</v>
      </c>
      <c r="D209" s="633">
        <v>7080.52</v>
      </c>
      <c r="E209" s="633">
        <v>7227.32</v>
      </c>
      <c r="F209" s="633">
        <v>-134154.85999999999</v>
      </c>
      <c r="G209" s="633">
        <v>20291.61</v>
      </c>
      <c r="H209" s="633">
        <v>21918.66</v>
      </c>
      <c r="I209" s="633">
        <v>1122.53</v>
      </c>
      <c r="J209" s="633">
        <v>17418.98</v>
      </c>
      <c r="K209" s="633">
        <v>22083.33</v>
      </c>
      <c r="L209" s="633">
        <v>22083.33</v>
      </c>
      <c r="M209" s="633">
        <v>31566.36</v>
      </c>
      <c r="N209" s="633">
        <v>14153.74</v>
      </c>
      <c r="O209" s="633">
        <v>18774.349999999999</v>
      </c>
    </row>
    <row r="210" spans="1:15" s="629" customFormat="1" outlineLevel="6">
      <c r="A210" s="165"/>
      <c r="B210" s="632" t="s">
        <v>4473</v>
      </c>
      <c r="C210" s="633">
        <v>63205</v>
      </c>
      <c r="D210" s="633">
        <v>57632.35</v>
      </c>
      <c r="E210" s="633">
        <v>25869.439999999999</v>
      </c>
      <c r="F210" s="633">
        <v>51854.95</v>
      </c>
      <c r="G210" s="633">
        <v>53917.24</v>
      </c>
      <c r="H210" s="633">
        <v>51313.120000000003</v>
      </c>
      <c r="I210" s="633">
        <v>52251.13</v>
      </c>
      <c r="J210" s="633">
        <v>49254</v>
      </c>
      <c r="K210" s="633">
        <v>1052351.1399999999</v>
      </c>
      <c r="L210" s="633">
        <v>40138.54</v>
      </c>
      <c r="M210" s="633">
        <v>39360.980000000003</v>
      </c>
      <c r="N210" s="633">
        <v>39130.26</v>
      </c>
      <c r="O210" s="633">
        <v>1576278.15</v>
      </c>
    </row>
    <row r="211" spans="1:15" s="629" customFormat="1" outlineLevel="6">
      <c r="A211" s="165"/>
      <c r="B211" s="632" t="s">
        <v>4474</v>
      </c>
      <c r="C211" s="633">
        <v>-1018997.12</v>
      </c>
      <c r="D211" s="633">
        <v>-794095.74</v>
      </c>
      <c r="E211" s="633">
        <v>-315532.08</v>
      </c>
      <c r="F211" s="633">
        <v>-226863.85</v>
      </c>
      <c r="G211" s="633">
        <v>-252768.11</v>
      </c>
      <c r="H211" s="633">
        <v>-150049.06</v>
      </c>
      <c r="I211" s="633">
        <v>-175662.78</v>
      </c>
      <c r="J211" s="633">
        <v>-658844.12</v>
      </c>
      <c r="K211" s="633">
        <v>-116212.64</v>
      </c>
      <c r="L211" s="633">
        <v>-944841</v>
      </c>
      <c r="M211" s="633">
        <v>-1037054.59</v>
      </c>
      <c r="N211" s="633">
        <v>-1179737.8</v>
      </c>
      <c r="O211" s="633">
        <v>-6870658.8899999997</v>
      </c>
    </row>
    <row r="212" spans="1:15" s="629" customFormat="1" outlineLevel="6">
      <c r="A212" s="165"/>
      <c r="B212" s="632" t="s">
        <v>4475</v>
      </c>
      <c r="C212" s="633">
        <v>-734034.91</v>
      </c>
      <c r="D212" s="633">
        <v>124750</v>
      </c>
      <c r="E212" s="633">
        <v>137204</v>
      </c>
      <c r="F212" s="633">
        <v>-401553.43</v>
      </c>
      <c r="G212" s="633">
        <v>124750</v>
      </c>
      <c r="H212" s="633">
        <v>124750</v>
      </c>
      <c r="I212" s="633">
        <v>-251281.5</v>
      </c>
      <c r="J212" s="633">
        <v>124750</v>
      </c>
      <c r="K212" s="633">
        <v>124750</v>
      </c>
      <c r="L212" s="633">
        <v>5454.77</v>
      </c>
      <c r="M212" s="633">
        <v>124750</v>
      </c>
      <c r="N212" s="633">
        <v>124750</v>
      </c>
      <c r="O212" s="633">
        <v>-370961.07</v>
      </c>
    </row>
    <row r="213" spans="1:15" s="629" customFormat="1" outlineLevel="6">
      <c r="A213" s="165"/>
      <c r="B213" s="632" t="s">
        <v>4476</v>
      </c>
      <c r="C213" s="633">
        <v>-1440.72</v>
      </c>
      <c r="D213" s="633">
        <v>-20473.03</v>
      </c>
      <c r="E213" s="633">
        <v>-27600.09</v>
      </c>
      <c r="F213" s="633">
        <v>-29611.82</v>
      </c>
      <c r="G213" s="633">
        <v>-22720.27</v>
      </c>
      <c r="H213" s="633">
        <v>-19812.330000000002</v>
      </c>
      <c r="I213" s="633">
        <v>-14943.17</v>
      </c>
      <c r="J213" s="633">
        <v>2733.38</v>
      </c>
      <c r="K213" s="633">
        <v>25558.5</v>
      </c>
      <c r="L213" s="633">
        <v>60743.05</v>
      </c>
      <c r="M213" s="633">
        <v>48172.9</v>
      </c>
      <c r="N213" s="633">
        <v>50109.97</v>
      </c>
      <c r="O213" s="633">
        <v>50716.37</v>
      </c>
    </row>
    <row r="214" spans="1:15" s="629" customFormat="1" outlineLevel="6">
      <c r="A214" s="165"/>
      <c r="B214" s="632" t="s">
        <v>4477</v>
      </c>
      <c r="C214" s="633">
        <v>282489.96000000002</v>
      </c>
      <c r="D214" s="633">
        <v>170025.84</v>
      </c>
      <c r="E214" s="633">
        <v>-190243.31</v>
      </c>
      <c r="F214" s="633">
        <v>440112.04</v>
      </c>
      <c r="G214" s="633">
        <v>-439970.5</v>
      </c>
      <c r="H214" s="633">
        <v>-516629.24</v>
      </c>
      <c r="I214" s="633">
        <v>-501188.05</v>
      </c>
      <c r="J214" s="633">
        <v>-371928.74</v>
      </c>
      <c r="K214" s="633">
        <v>-94094.45</v>
      </c>
      <c r="L214" s="633">
        <v>426030.48</v>
      </c>
      <c r="M214" s="633">
        <v>440608.06</v>
      </c>
      <c r="N214" s="633">
        <v>615296.97</v>
      </c>
      <c r="O214" s="633">
        <v>260509.06</v>
      </c>
    </row>
    <row r="215" spans="1:15" s="629" customFormat="1" outlineLevel="6">
      <c r="A215" s="165"/>
      <c r="B215" s="632" t="s">
        <v>4478</v>
      </c>
      <c r="C215" s="633">
        <v>-231910.92</v>
      </c>
      <c r="D215" s="633">
        <v>-238052.79</v>
      </c>
      <c r="E215" s="633">
        <v>-251000.27</v>
      </c>
      <c r="F215" s="633">
        <v>-259982.71</v>
      </c>
      <c r="G215" s="633">
        <v>-266050.25</v>
      </c>
      <c r="H215" s="633">
        <v>-283842.53999999998</v>
      </c>
      <c r="I215" s="633">
        <v>-292852.39</v>
      </c>
      <c r="J215" s="633">
        <v>-305685.69</v>
      </c>
      <c r="K215" s="633">
        <v>-309665.28000000003</v>
      </c>
      <c r="L215" s="633">
        <v>-309953.78000000003</v>
      </c>
      <c r="M215" s="633">
        <v>-289475.65999999997</v>
      </c>
      <c r="N215" s="633">
        <v>-288656.99</v>
      </c>
      <c r="O215" s="633">
        <v>-3327129.27</v>
      </c>
    </row>
    <row r="216" spans="1:15" s="629" customFormat="1" outlineLevel="6">
      <c r="A216" s="165"/>
      <c r="B216" s="632" t="s">
        <v>4479</v>
      </c>
      <c r="C216" s="633">
        <v>-182033.12</v>
      </c>
      <c r="D216" s="633">
        <v>901.01</v>
      </c>
      <c r="E216" s="633">
        <v>10223.32</v>
      </c>
      <c r="F216" s="633">
        <v>17233.330000000002</v>
      </c>
      <c r="G216" s="633">
        <v>20833.330000000002</v>
      </c>
      <c r="H216" s="633">
        <v>20833.330000000002</v>
      </c>
      <c r="I216" s="633">
        <v>20833.34</v>
      </c>
      <c r="J216" s="633">
        <v>49555.73</v>
      </c>
      <c r="K216" s="633">
        <v>20833.330000000002</v>
      </c>
      <c r="L216" s="633">
        <v>18468.34</v>
      </c>
      <c r="M216" s="633">
        <v>29733.59</v>
      </c>
      <c r="N216" s="633">
        <v>10333.33</v>
      </c>
      <c r="O216" s="633">
        <v>37748.86</v>
      </c>
    </row>
    <row r="217" spans="1:15" s="629" customFormat="1" outlineLevel="6">
      <c r="A217" s="165"/>
      <c r="B217" s="632" t="s">
        <v>4480</v>
      </c>
      <c r="C217" s="633">
        <v>4166.67</v>
      </c>
      <c r="D217" s="633">
        <v>4166.67</v>
      </c>
      <c r="E217" s="633">
        <v>4166.67</v>
      </c>
      <c r="F217" s="633">
        <v>4166.67</v>
      </c>
      <c r="G217" s="633">
        <v>4166.67</v>
      </c>
      <c r="H217" s="633">
        <v>4166.67</v>
      </c>
      <c r="I217" s="633">
        <v>4166.67</v>
      </c>
      <c r="J217" s="633">
        <v>4166.67</v>
      </c>
      <c r="K217" s="633">
        <v>4166.67</v>
      </c>
      <c r="L217" s="633">
        <v>4166.67</v>
      </c>
      <c r="M217" s="633">
        <v>4166.67</v>
      </c>
      <c r="N217" s="633">
        <v>4166.67</v>
      </c>
      <c r="O217" s="633">
        <v>50000.04</v>
      </c>
    </row>
    <row r="218" spans="1:15" s="629" customFormat="1" outlineLevel="6">
      <c r="A218" s="165"/>
      <c r="B218" s="632" t="s">
        <v>4481</v>
      </c>
      <c r="C218" s="633">
        <v>0</v>
      </c>
      <c r="D218" s="633">
        <v>0</v>
      </c>
      <c r="E218" s="633">
        <v>0</v>
      </c>
      <c r="F218" s="633">
        <v>-1062.77</v>
      </c>
      <c r="G218" s="633">
        <v>-12388.43</v>
      </c>
      <c r="H218" s="633">
        <v>-154200.88</v>
      </c>
      <c r="I218" s="633">
        <v>72159.66</v>
      </c>
      <c r="J218" s="633">
        <v>11535.35</v>
      </c>
      <c r="K218" s="633">
        <v>22637.68</v>
      </c>
      <c r="L218" s="633">
        <v>29862.89</v>
      </c>
      <c r="M218" s="633">
        <v>3584.11</v>
      </c>
      <c r="N218" s="633">
        <v>27872.39</v>
      </c>
      <c r="O218" s="633">
        <v>0</v>
      </c>
    </row>
    <row r="219" spans="1:15" s="629" customFormat="1" outlineLevel="6">
      <c r="A219" s="165"/>
      <c r="B219" s="632" t="s">
        <v>4482</v>
      </c>
      <c r="C219" s="633">
        <v>2488642.84</v>
      </c>
      <c r="D219" s="633">
        <v>1088109.92</v>
      </c>
      <c r="E219" s="633">
        <v>271963.87</v>
      </c>
      <c r="F219" s="633">
        <v>290228.09000000003</v>
      </c>
      <c r="G219" s="633">
        <v>-272418.59000000003</v>
      </c>
      <c r="H219" s="633">
        <v>-423054.28</v>
      </c>
      <c r="I219" s="633">
        <v>-488409.76</v>
      </c>
      <c r="J219" s="633">
        <v>-187561.21</v>
      </c>
      <c r="K219" s="633">
        <v>-1845320.44</v>
      </c>
      <c r="L219" s="633">
        <v>-1448720</v>
      </c>
      <c r="M219" s="633">
        <v>-1235323.26</v>
      </c>
      <c r="N219" s="633">
        <v>442464.9</v>
      </c>
      <c r="O219" s="633">
        <v>-1319397.92</v>
      </c>
    </row>
    <row r="220" spans="1:15" s="629" customFormat="1" outlineLevel="6">
      <c r="A220" s="165"/>
      <c r="B220" s="632" t="s">
        <v>4647</v>
      </c>
      <c r="C220" s="633">
        <v>-30000</v>
      </c>
      <c r="D220" s="633">
        <v>-30000</v>
      </c>
      <c r="E220" s="633">
        <v>-30000</v>
      </c>
      <c r="F220" s="633">
        <v>-30000</v>
      </c>
      <c r="G220" s="633">
        <v>-30000</v>
      </c>
      <c r="H220" s="633">
        <v>-30000</v>
      </c>
      <c r="I220" s="633">
        <v>-30000</v>
      </c>
      <c r="J220" s="633">
        <v>-30000</v>
      </c>
      <c r="K220" s="633">
        <v>-30000</v>
      </c>
      <c r="L220" s="633">
        <v>-30000</v>
      </c>
      <c r="M220" s="633">
        <v>-30000</v>
      </c>
      <c r="N220" s="633">
        <v>-30000</v>
      </c>
      <c r="O220" s="633">
        <v>-360000</v>
      </c>
    </row>
    <row r="221" spans="1:15" s="629" customFormat="1" outlineLevel="6">
      <c r="A221" s="165"/>
      <c r="B221" s="632" t="s">
        <v>4648</v>
      </c>
      <c r="C221" s="633">
        <v>9151296.1600000001</v>
      </c>
      <c r="D221" s="633">
        <v>-556620.23</v>
      </c>
      <c r="E221" s="633">
        <v>-556620.23</v>
      </c>
      <c r="F221" s="633">
        <v>-556620.23</v>
      </c>
      <c r="G221" s="633">
        <v>-556620.23</v>
      </c>
      <c r="H221" s="633">
        <v>-556620.23</v>
      </c>
      <c r="I221" s="633">
        <v>-556620.23</v>
      </c>
      <c r="J221" s="633">
        <v>-556620.23</v>
      </c>
      <c r="K221" s="633">
        <v>-556620.23</v>
      </c>
      <c r="L221" s="633">
        <v>-556620.23</v>
      </c>
      <c r="M221" s="633">
        <v>-556620.23</v>
      </c>
      <c r="N221" s="633">
        <v>-556619.87</v>
      </c>
      <c r="O221" s="633">
        <v>3028473.99</v>
      </c>
    </row>
    <row r="222" spans="1:15" s="629" customFormat="1" outlineLevel="6">
      <c r="A222" s="165"/>
      <c r="B222" s="632" t="s">
        <v>4744</v>
      </c>
      <c r="C222" s="633">
        <v>127666.67</v>
      </c>
      <c r="D222" s="633">
        <v>127666.67</v>
      </c>
      <c r="E222" s="633">
        <v>127666.67</v>
      </c>
      <c r="F222" s="633">
        <v>127666.67</v>
      </c>
      <c r="G222" s="633">
        <v>127666.67</v>
      </c>
      <c r="H222" s="633">
        <v>127666.67</v>
      </c>
      <c r="I222" s="633">
        <v>127666.67</v>
      </c>
      <c r="J222" s="633">
        <v>127666.67</v>
      </c>
      <c r="K222" s="633">
        <v>127666.67</v>
      </c>
      <c r="L222" s="633">
        <v>127666.67</v>
      </c>
      <c r="M222" s="633">
        <v>127666.67</v>
      </c>
      <c r="N222" s="633">
        <v>127666.67</v>
      </c>
      <c r="O222" s="633">
        <v>1532000.04</v>
      </c>
    </row>
    <row r="223" spans="1:15" s="629" customFormat="1" outlineLevel="6">
      <c r="A223" s="165"/>
      <c r="B223" s="632" t="s">
        <v>4776</v>
      </c>
      <c r="C223" s="633">
        <v>0</v>
      </c>
      <c r="D223" s="633">
        <v>323000</v>
      </c>
      <c r="E223" s="633">
        <v>0</v>
      </c>
      <c r="F223" s="633">
        <v>0</v>
      </c>
      <c r="G223" s="633">
        <v>0</v>
      </c>
      <c r="H223" s="633">
        <v>2333000</v>
      </c>
      <c r="I223" s="633">
        <v>0</v>
      </c>
      <c r="J223" s="633">
        <v>0</v>
      </c>
      <c r="K223" s="633">
        <v>0</v>
      </c>
      <c r="L223" s="633">
        <v>0</v>
      </c>
      <c r="M223" s="633">
        <v>0</v>
      </c>
      <c r="N223" s="633">
        <v>0</v>
      </c>
      <c r="O223" s="633">
        <v>2656000</v>
      </c>
    </row>
    <row r="224" spans="1:15" s="629" customFormat="1" outlineLevel="6">
      <c r="A224" s="165"/>
      <c r="B224" s="632" t="s">
        <v>3744</v>
      </c>
      <c r="C224" s="633">
        <v>11735568.74</v>
      </c>
      <c r="D224" s="633">
        <v>1391541.76</v>
      </c>
      <c r="E224" s="633">
        <v>-4037294.55</v>
      </c>
      <c r="F224" s="633">
        <v>-3250710.94</v>
      </c>
      <c r="G224" s="633">
        <v>-1573690.69</v>
      </c>
      <c r="H224" s="633">
        <v>-4215311.17</v>
      </c>
      <c r="I224" s="633">
        <v>-1236639.6299999999</v>
      </c>
      <c r="J224" s="633">
        <v>-3382886.04</v>
      </c>
      <c r="K224" s="633">
        <v>612040.31000000006</v>
      </c>
      <c r="L224" s="633">
        <v>-1170048.78</v>
      </c>
      <c r="M224" s="633">
        <v>-1448149.39</v>
      </c>
      <c r="N224" s="633">
        <v>-846053.66</v>
      </c>
      <c r="O224" s="633">
        <v>-7421634.04</v>
      </c>
    </row>
    <row r="225" spans="1:15" s="629" customFormat="1" outlineLevel="6">
      <c r="A225" s="165"/>
      <c r="B225" s="632" t="s">
        <v>1090</v>
      </c>
      <c r="C225" s="633">
        <v>-397728.16</v>
      </c>
      <c r="D225" s="633">
        <v>-300637.12</v>
      </c>
      <c r="E225" s="633">
        <v>-263572.46000000002</v>
      </c>
      <c r="F225" s="633">
        <v>-304079.82</v>
      </c>
      <c r="G225" s="633">
        <v>-270899.14</v>
      </c>
      <c r="H225" s="633">
        <v>-313965.71000000002</v>
      </c>
      <c r="I225" s="633">
        <v>-292252.64</v>
      </c>
      <c r="J225" s="633">
        <v>-373615.03</v>
      </c>
      <c r="K225" s="633">
        <v>-432352.6</v>
      </c>
      <c r="L225" s="633">
        <v>-631182.71</v>
      </c>
      <c r="M225" s="633">
        <v>-577976.77</v>
      </c>
      <c r="N225" s="633">
        <v>-658478.97</v>
      </c>
      <c r="O225" s="633">
        <v>-4816741.13</v>
      </c>
    </row>
    <row r="226" spans="1:15" s="629" customFormat="1" outlineLevel="6">
      <c r="A226" s="165"/>
      <c r="B226" s="632" t="s">
        <v>55</v>
      </c>
      <c r="C226" s="633">
        <v>-808868.29</v>
      </c>
      <c r="D226" s="633">
        <v>-602237.53</v>
      </c>
      <c r="E226" s="633">
        <v>-441161.61</v>
      </c>
      <c r="F226" s="633">
        <v>-152849.73000000001</v>
      </c>
      <c r="G226" s="633">
        <v>-181441.92000000001</v>
      </c>
      <c r="H226" s="633">
        <v>-244815.28</v>
      </c>
      <c r="I226" s="633">
        <v>-423502.89</v>
      </c>
      <c r="J226" s="633">
        <v>-268292.61</v>
      </c>
      <c r="K226" s="633">
        <v>41073.51</v>
      </c>
      <c r="L226" s="633">
        <v>398686.21</v>
      </c>
      <c r="M226" s="633">
        <v>-230486.64</v>
      </c>
      <c r="N226" s="633">
        <v>-340299.98</v>
      </c>
      <c r="O226" s="633">
        <v>-3254196.76</v>
      </c>
    </row>
    <row r="227" spans="1:15" s="629" customFormat="1" outlineLevel="6">
      <c r="A227" s="165"/>
      <c r="B227" s="632" t="s">
        <v>1551</v>
      </c>
      <c r="C227" s="633">
        <v>-30191257.43</v>
      </c>
      <c r="D227" s="633">
        <v>-22971722.23</v>
      </c>
      <c r="E227" s="633">
        <v>-13830252.449999999</v>
      </c>
      <c r="F227" s="633">
        <v>-11144969.02</v>
      </c>
      <c r="G227" s="633">
        <v>-10095032</v>
      </c>
      <c r="H227" s="633">
        <v>-10839290.32</v>
      </c>
      <c r="I227" s="633">
        <v>-14296523.449999999</v>
      </c>
      <c r="J227" s="633">
        <v>-22886248.010000002</v>
      </c>
      <c r="K227" s="633">
        <v>-36400023.07</v>
      </c>
      <c r="L227" s="633">
        <v>-46064886.810000002</v>
      </c>
      <c r="M227" s="633">
        <v>-48599288.25</v>
      </c>
      <c r="N227" s="633">
        <v>-43765095.039999999</v>
      </c>
      <c r="O227" s="633">
        <v>-311084588.07999998</v>
      </c>
    </row>
    <row r="228" spans="1:15" s="629" customFormat="1" outlineLevel="6">
      <c r="A228" s="165"/>
      <c r="B228" s="632" t="s">
        <v>867</v>
      </c>
      <c r="C228" s="633">
        <v>-87323.92</v>
      </c>
      <c r="D228" s="633">
        <v>-593799.65</v>
      </c>
      <c r="E228" s="633">
        <v>-414778.71</v>
      </c>
      <c r="F228" s="633">
        <v>-342275.28</v>
      </c>
      <c r="G228" s="633">
        <v>-212460.59</v>
      </c>
      <c r="H228" s="633">
        <v>-239148.72</v>
      </c>
      <c r="I228" s="633">
        <v>-238740.75</v>
      </c>
      <c r="J228" s="633">
        <v>-351613.47</v>
      </c>
      <c r="K228" s="633">
        <v>-893707.16</v>
      </c>
      <c r="L228" s="633">
        <v>-1696861.82</v>
      </c>
      <c r="M228" s="633">
        <v>-1336331.69</v>
      </c>
      <c r="N228" s="633">
        <v>-1106896.96</v>
      </c>
      <c r="O228" s="633">
        <v>-7513938.7199999997</v>
      </c>
    </row>
    <row r="229" spans="1:15" s="629" customFormat="1" outlineLevel="6">
      <c r="A229" s="165"/>
      <c r="B229" s="632" t="s">
        <v>868</v>
      </c>
      <c r="C229" s="633">
        <v>-10040.98</v>
      </c>
      <c r="D229" s="633">
        <v>-14426.01</v>
      </c>
      <c r="E229" s="633">
        <v>-14988.46</v>
      </c>
      <c r="F229" s="633">
        <v>-11520.49</v>
      </c>
      <c r="G229" s="633">
        <v>-12129.32</v>
      </c>
      <c r="H229" s="633">
        <v>-12578.69</v>
      </c>
      <c r="I229" s="633">
        <v>-18682.71</v>
      </c>
      <c r="J229" s="633">
        <v>-25757.58</v>
      </c>
      <c r="K229" s="633">
        <v>-48253.61</v>
      </c>
      <c r="L229" s="633">
        <v>-8076.74</v>
      </c>
      <c r="M229" s="633">
        <v>-14576.29</v>
      </c>
      <c r="N229" s="633">
        <v>-18050.32</v>
      </c>
      <c r="O229" s="633">
        <v>-209081.2</v>
      </c>
    </row>
    <row r="230" spans="1:15" s="629" customFormat="1" outlineLevel="6">
      <c r="A230" s="165"/>
      <c r="B230" s="632" t="s">
        <v>410</v>
      </c>
      <c r="C230" s="633">
        <v>-617443.4</v>
      </c>
      <c r="D230" s="633">
        <v>-537583.38</v>
      </c>
      <c r="E230" s="633">
        <v>-307971.73</v>
      </c>
      <c r="F230" s="633">
        <v>-233524.34</v>
      </c>
      <c r="G230" s="633">
        <v>-195823.94</v>
      </c>
      <c r="H230" s="633">
        <v>-227396.63</v>
      </c>
      <c r="I230" s="633">
        <v>-312738.89</v>
      </c>
      <c r="J230" s="633">
        <v>-518753</v>
      </c>
      <c r="K230" s="633">
        <v>-868369.47</v>
      </c>
      <c r="L230" s="633">
        <v>-1191085.7</v>
      </c>
      <c r="M230" s="633">
        <v>-1300865.24</v>
      </c>
      <c r="N230" s="633">
        <v>-1237960.23</v>
      </c>
      <c r="O230" s="633">
        <v>-7549515.9500000002</v>
      </c>
    </row>
    <row r="231" spans="1:15" s="629" customFormat="1" outlineLevel="6">
      <c r="A231" s="165"/>
      <c r="B231" s="632" t="s">
        <v>2202</v>
      </c>
      <c r="C231" s="633">
        <v>-206.82</v>
      </c>
      <c r="D231" s="633">
        <v>-458.05</v>
      </c>
      <c r="E231" s="633">
        <v>-3341.29</v>
      </c>
      <c r="F231" s="633">
        <v>24683.09</v>
      </c>
      <c r="G231" s="633">
        <v>136342.96</v>
      </c>
      <c r="H231" s="633">
        <v>134554.03</v>
      </c>
      <c r="I231" s="633">
        <v>150705.67000000001</v>
      </c>
      <c r="J231" s="633">
        <v>231209.64</v>
      </c>
      <c r="K231" s="633">
        <v>374521.17</v>
      </c>
      <c r="L231" s="633">
        <v>532369.87</v>
      </c>
      <c r="M231" s="633">
        <v>396274.68</v>
      </c>
      <c r="N231" s="633">
        <v>101.2</v>
      </c>
      <c r="O231" s="633">
        <v>1976756.15</v>
      </c>
    </row>
    <row r="232" spans="1:15" s="629" customFormat="1" outlineLevel="5">
      <c r="A232" s="165"/>
      <c r="B232" s="632" t="s">
        <v>551</v>
      </c>
      <c r="C232" s="633">
        <v>316335.19</v>
      </c>
      <c r="D232" s="633">
        <v>297544.13</v>
      </c>
      <c r="E232" s="633">
        <v>275481.86</v>
      </c>
      <c r="F232" s="633">
        <v>213448.59</v>
      </c>
      <c r="G232" s="633">
        <v>187842.41</v>
      </c>
      <c r="H232" s="633">
        <v>187255.69</v>
      </c>
      <c r="I232" s="633">
        <v>217671.09</v>
      </c>
      <c r="J232" s="633">
        <v>347061.65</v>
      </c>
      <c r="K232" s="633">
        <v>575153.59</v>
      </c>
      <c r="L232" s="633">
        <v>815962.04</v>
      </c>
      <c r="M232" s="633">
        <v>879690.72</v>
      </c>
      <c r="N232" s="633">
        <v>858033.9</v>
      </c>
      <c r="O232" s="633">
        <v>5171480.8600000003</v>
      </c>
    </row>
    <row r="233" spans="1:15" s="629" customFormat="1" outlineLevel="6">
      <c r="A233" s="165"/>
      <c r="B233" s="632" t="s">
        <v>3745</v>
      </c>
      <c r="C233" s="633">
        <v>-20060965.07</v>
      </c>
      <c r="D233" s="633">
        <v>-23331778.079999998</v>
      </c>
      <c r="E233" s="633">
        <v>-19037879.399999999</v>
      </c>
      <c r="F233" s="633">
        <v>-15201797.939999999</v>
      </c>
      <c r="G233" s="633">
        <v>-12217292.23</v>
      </c>
      <c r="H233" s="633">
        <v>-15770696.800000001</v>
      </c>
      <c r="I233" s="633">
        <v>-16450704.199999999</v>
      </c>
      <c r="J233" s="633">
        <v>-27228894.449999999</v>
      </c>
      <c r="K233" s="633">
        <v>-37039917.329999998</v>
      </c>
      <c r="L233" s="633">
        <v>-49015124.439999998</v>
      </c>
      <c r="M233" s="633">
        <v>-52231708.869999997</v>
      </c>
      <c r="N233" s="633">
        <v>-47114700.060000002</v>
      </c>
      <c r="O233" s="633">
        <v>-334701458.87</v>
      </c>
    </row>
    <row r="234" spans="1:15" s="629" customFormat="1" outlineLevel="6">
      <c r="A234" s="165"/>
      <c r="B234" s="632" t="s">
        <v>896</v>
      </c>
      <c r="C234" s="633">
        <v>-8637.8799999999992</v>
      </c>
      <c r="D234" s="633">
        <v>-7903.09</v>
      </c>
      <c r="E234" s="633">
        <v>-18520.71</v>
      </c>
      <c r="F234" s="633">
        <v>-11612.88</v>
      </c>
      <c r="G234" s="633">
        <v>-12812.16</v>
      </c>
      <c r="H234" s="633">
        <v>-8522.8799999999992</v>
      </c>
      <c r="I234" s="633">
        <v>-9194.08</v>
      </c>
      <c r="J234" s="633">
        <v>-8070.88</v>
      </c>
      <c r="K234" s="633">
        <v>-8070.88</v>
      </c>
      <c r="L234" s="633">
        <v>-15414.33</v>
      </c>
      <c r="M234" s="633">
        <v>-8070.88</v>
      </c>
      <c r="N234" s="633">
        <v>-11726.47</v>
      </c>
      <c r="O234" s="633">
        <v>-128557.12</v>
      </c>
    </row>
    <row r="235" spans="1:15" s="629" customFormat="1" outlineLevel="6">
      <c r="A235" s="165"/>
      <c r="B235" s="632" t="s">
        <v>1876</v>
      </c>
      <c r="C235" s="633">
        <v>-91647.039999999994</v>
      </c>
      <c r="D235" s="633">
        <v>-64339.46</v>
      </c>
      <c r="E235" s="633">
        <v>-52276.77</v>
      </c>
      <c r="F235" s="633">
        <v>-80244.87</v>
      </c>
      <c r="G235" s="633">
        <v>-67467.97</v>
      </c>
      <c r="H235" s="633">
        <v>-87120.99</v>
      </c>
      <c r="I235" s="633">
        <v>-127067.12</v>
      </c>
      <c r="J235" s="633">
        <v>-147194.32</v>
      </c>
      <c r="K235" s="633">
        <v>-162038.16</v>
      </c>
      <c r="L235" s="633">
        <v>-161867.82999999999</v>
      </c>
      <c r="M235" s="633">
        <v>-138482.69</v>
      </c>
      <c r="N235" s="633">
        <v>-106680.52</v>
      </c>
      <c r="O235" s="633">
        <v>-1286427.74</v>
      </c>
    </row>
    <row r="236" spans="1:15" s="629" customFormat="1" outlineLevel="6">
      <c r="A236" s="165"/>
      <c r="B236" s="632" t="s">
        <v>411</v>
      </c>
      <c r="C236" s="633">
        <v>-112588.86</v>
      </c>
      <c r="D236" s="633">
        <v>-118113.72</v>
      </c>
      <c r="E236" s="633">
        <v>-116901.82</v>
      </c>
      <c r="F236" s="633">
        <v>-117255.9</v>
      </c>
      <c r="G236" s="633">
        <v>-115869.54</v>
      </c>
      <c r="H236" s="633">
        <v>-116860.52</v>
      </c>
      <c r="I236" s="633">
        <v>-116501.7</v>
      </c>
      <c r="J236" s="633">
        <v>-118428.08</v>
      </c>
      <c r="K236" s="633">
        <v>-118627.12</v>
      </c>
      <c r="L236" s="633">
        <v>-119112.15</v>
      </c>
      <c r="M236" s="633">
        <v>-118187.42</v>
      </c>
      <c r="N236" s="633">
        <v>-119176.97</v>
      </c>
      <c r="O236" s="633">
        <v>-1407623.8</v>
      </c>
    </row>
    <row r="237" spans="1:15" s="629" customFormat="1" outlineLevel="6">
      <c r="A237" s="165"/>
      <c r="B237" s="632" t="s">
        <v>3746</v>
      </c>
      <c r="C237" s="633">
        <v>-212873.78</v>
      </c>
      <c r="D237" s="633">
        <v>-190356.27</v>
      </c>
      <c r="E237" s="633">
        <v>-187699.3</v>
      </c>
      <c r="F237" s="633">
        <v>-209113.65</v>
      </c>
      <c r="G237" s="633">
        <v>-196149.67</v>
      </c>
      <c r="H237" s="633">
        <v>-212504.39</v>
      </c>
      <c r="I237" s="633">
        <v>-252762.9</v>
      </c>
      <c r="J237" s="633">
        <v>-273693.28000000003</v>
      </c>
      <c r="K237" s="633">
        <v>-288736.15999999997</v>
      </c>
      <c r="L237" s="633">
        <v>-296394.31</v>
      </c>
      <c r="M237" s="633">
        <v>-264740.99</v>
      </c>
      <c r="N237" s="633">
        <v>-237583.96</v>
      </c>
      <c r="O237" s="633">
        <v>-2822608.66</v>
      </c>
    </row>
    <row r="238" spans="1:15" s="629" customFormat="1" outlineLevel="6">
      <c r="A238" s="165"/>
      <c r="B238" s="632" t="s">
        <v>1327</v>
      </c>
      <c r="C238" s="633">
        <v>-2520653.02</v>
      </c>
      <c r="D238" s="633">
        <v>-4851373.7</v>
      </c>
      <c r="E238" s="633">
        <v>-1334011.47</v>
      </c>
      <c r="F238" s="633">
        <v>57620.63</v>
      </c>
      <c r="G238" s="633">
        <v>-1801262.83</v>
      </c>
      <c r="H238" s="633">
        <v>687580.9</v>
      </c>
      <c r="I238" s="633">
        <v>1527549.63</v>
      </c>
      <c r="J238" s="633">
        <v>4567299.1900000004</v>
      </c>
      <c r="K238" s="633">
        <v>6467282.3700000001</v>
      </c>
      <c r="L238" s="633">
        <v>-338959.48</v>
      </c>
      <c r="M238" s="633">
        <v>1934542.14</v>
      </c>
      <c r="N238" s="633">
        <v>-3477437.69</v>
      </c>
      <c r="O238" s="633">
        <v>918176.67</v>
      </c>
    </row>
    <row r="239" spans="1:15" s="629" customFormat="1" outlineLevel="6">
      <c r="A239" s="165"/>
      <c r="B239" s="632" t="s">
        <v>4483</v>
      </c>
      <c r="C239" s="633">
        <v>-3613667.1</v>
      </c>
      <c r="D239" s="633">
        <v>-2289795.83</v>
      </c>
      <c r="E239" s="633">
        <v>-1634598.18</v>
      </c>
      <c r="F239" s="633">
        <v>15225.01</v>
      </c>
      <c r="G239" s="633">
        <v>-2201189.5099999998</v>
      </c>
      <c r="H239" s="633">
        <v>762733.66</v>
      </c>
      <c r="I239" s="633">
        <v>1881362.45</v>
      </c>
      <c r="J239" s="633">
        <v>3065193.62</v>
      </c>
      <c r="K239" s="633">
        <v>2253678.42</v>
      </c>
      <c r="L239" s="633">
        <v>816792.33</v>
      </c>
      <c r="M239" s="633">
        <v>1602853.34</v>
      </c>
      <c r="N239" s="633">
        <v>-1923397.03</v>
      </c>
      <c r="O239" s="633">
        <v>-1264808.82</v>
      </c>
    </row>
    <row r="240" spans="1:15" s="629" customFormat="1" outlineLevel="6">
      <c r="A240" s="165"/>
      <c r="B240" s="632" t="s">
        <v>4484</v>
      </c>
      <c r="C240" s="633">
        <v>-269592.12</v>
      </c>
      <c r="D240" s="633">
        <v>-176841.3</v>
      </c>
      <c r="E240" s="633">
        <v>-58136.51</v>
      </c>
      <c r="F240" s="633">
        <v>-26.67</v>
      </c>
      <c r="G240" s="633">
        <v>-70750.899999999994</v>
      </c>
      <c r="H240" s="633">
        <v>25145.09</v>
      </c>
      <c r="I240" s="633">
        <v>50923.360000000001</v>
      </c>
      <c r="J240" s="633">
        <v>135223.89000000001</v>
      </c>
      <c r="K240" s="633">
        <v>182613.45</v>
      </c>
      <c r="L240" s="633">
        <v>19515.41</v>
      </c>
      <c r="M240" s="633">
        <v>91738.65</v>
      </c>
      <c r="N240" s="633">
        <v>-257746.14</v>
      </c>
      <c r="O240" s="633">
        <v>-327933.78999999998</v>
      </c>
    </row>
    <row r="241" spans="1:16" s="629" customFormat="1" outlineLevel="5">
      <c r="A241" s="165"/>
      <c r="B241" s="632" t="s">
        <v>4485</v>
      </c>
      <c r="C241" s="633">
        <v>-29790.68</v>
      </c>
      <c r="D241" s="633">
        <v>-201025.48</v>
      </c>
      <c r="E241" s="633">
        <v>-20929.68</v>
      </c>
      <c r="F241" s="633">
        <v>2935.08</v>
      </c>
      <c r="G241" s="633">
        <v>-31255.38</v>
      </c>
      <c r="H241" s="633">
        <v>11820.88</v>
      </c>
      <c r="I241" s="633">
        <v>25528.11</v>
      </c>
      <c r="J241" s="633">
        <v>77022.460000000006</v>
      </c>
      <c r="K241" s="633">
        <v>113626.33</v>
      </c>
      <c r="L241" s="633">
        <v>-3127.18</v>
      </c>
      <c r="M241" s="633">
        <v>39715.74</v>
      </c>
      <c r="N241" s="633">
        <v>-61800.7</v>
      </c>
      <c r="O241" s="633">
        <v>-77280.5</v>
      </c>
    </row>
    <row r="242" spans="1:16" s="629" customFormat="1" outlineLevel="4">
      <c r="A242" s="165"/>
      <c r="B242" s="632" t="s">
        <v>4486</v>
      </c>
      <c r="C242" s="633">
        <v>-242122.97</v>
      </c>
      <c r="D242" s="633">
        <v>-206815.48</v>
      </c>
      <c r="E242" s="633">
        <v>-67497.83</v>
      </c>
      <c r="F242" s="633">
        <v>-318.08999999999997</v>
      </c>
      <c r="G242" s="633">
        <v>-81342.490000000005</v>
      </c>
      <c r="H242" s="633">
        <v>28731.66</v>
      </c>
      <c r="I242" s="633">
        <v>64271.44</v>
      </c>
      <c r="J242" s="633">
        <v>172119.97</v>
      </c>
      <c r="K242" s="633">
        <v>236427.05</v>
      </c>
      <c r="L242" s="633">
        <v>25024.43</v>
      </c>
      <c r="M242" s="633">
        <v>119834.17</v>
      </c>
      <c r="N242" s="633">
        <v>-122459.74</v>
      </c>
      <c r="O242" s="633">
        <v>-74147.88</v>
      </c>
    </row>
    <row r="243" spans="1:16" s="629" customFormat="1" outlineLevel="5">
      <c r="A243" s="165"/>
      <c r="B243" s="632" t="s">
        <v>4487</v>
      </c>
      <c r="C243" s="633">
        <v>93585.96</v>
      </c>
      <c r="D243" s="633">
        <v>105125.58</v>
      </c>
      <c r="E243" s="633">
        <v>28159.08</v>
      </c>
      <c r="F243" s="633">
        <v>-1431.34</v>
      </c>
      <c r="G243" s="633">
        <v>67209.899999999994</v>
      </c>
      <c r="H243" s="633">
        <v>-30814.58</v>
      </c>
      <c r="I243" s="633">
        <v>-64543.66</v>
      </c>
      <c r="J243" s="633">
        <v>-157182.35</v>
      </c>
      <c r="K243" s="633">
        <v>-173390.5</v>
      </c>
      <c r="L243" s="633">
        <v>-20885.939999999999</v>
      </c>
      <c r="M243" s="633">
        <v>97479.06</v>
      </c>
      <c r="N243" s="633">
        <v>53863.28</v>
      </c>
      <c r="O243" s="633">
        <v>-2825.51</v>
      </c>
    </row>
    <row r="244" spans="1:16" s="629" customFormat="1" outlineLevel="5">
      <c r="A244" s="165"/>
      <c r="B244" s="632" t="s">
        <v>3747</v>
      </c>
      <c r="C244" s="633">
        <v>-6582239.9299999997</v>
      </c>
      <c r="D244" s="633">
        <v>-7620726.21</v>
      </c>
      <c r="E244" s="633">
        <v>-3087014.59</v>
      </c>
      <c r="F244" s="633">
        <v>74004.62</v>
      </c>
      <c r="G244" s="633">
        <v>-4118591.21</v>
      </c>
      <c r="H244" s="633">
        <v>1485197.61</v>
      </c>
      <c r="I244" s="633">
        <v>3485091.33</v>
      </c>
      <c r="J244" s="633">
        <v>7859676.7800000003</v>
      </c>
      <c r="K244" s="633">
        <v>9080237.1199999992</v>
      </c>
      <c r="L244" s="633">
        <v>498359.57</v>
      </c>
      <c r="M244" s="633">
        <v>3886163.1</v>
      </c>
      <c r="N244" s="633">
        <v>-5788978.0199999996</v>
      </c>
      <c r="O244" s="633">
        <v>-828819.83</v>
      </c>
    </row>
    <row r="245" spans="1:16" s="629" customFormat="1" outlineLevel="5">
      <c r="A245" s="165"/>
      <c r="B245" s="632" t="s">
        <v>3723</v>
      </c>
      <c r="C245" s="633">
        <v>-26856078.780000001</v>
      </c>
      <c r="D245" s="633">
        <v>-31142860.559999999</v>
      </c>
      <c r="E245" s="633">
        <v>-22312593.289999999</v>
      </c>
      <c r="F245" s="633">
        <v>-15336906.970000001</v>
      </c>
      <c r="G245" s="633">
        <v>-16532033.109999999</v>
      </c>
      <c r="H245" s="633">
        <v>-14498003.58</v>
      </c>
      <c r="I245" s="633">
        <v>-13218375.77</v>
      </c>
      <c r="J245" s="633">
        <v>-19642910.949999999</v>
      </c>
      <c r="K245" s="633">
        <v>-28248416.370000001</v>
      </c>
      <c r="L245" s="633">
        <v>-48813159.18</v>
      </c>
      <c r="M245" s="633">
        <v>-48610286.759999998</v>
      </c>
      <c r="N245" s="633">
        <v>-53141262.039999999</v>
      </c>
      <c r="O245" s="633">
        <v>-338352887.36000001</v>
      </c>
    </row>
    <row r="246" spans="1:16" s="629" customFormat="1" outlineLevel="4">
      <c r="A246" s="165"/>
      <c r="B246" s="632" t="s">
        <v>2297</v>
      </c>
      <c r="C246" s="633">
        <v>-14678.48</v>
      </c>
      <c r="D246" s="633">
        <v>2882.06</v>
      </c>
      <c r="E246" s="633">
        <v>-3449.47</v>
      </c>
      <c r="F246" s="633">
        <v>-3462.37</v>
      </c>
      <c r="G246" s="633">
        <v>-3462.37</v>
      </c>
      <c r="H246" s="633">
        <v>-3462.37</v>
      </c>
      <c r="I246" s="633">
        <v>-3462.37</v>
      </c>
      <c r="J246" s="633">
        <v>-3462.37</v>
      </c>
      <c r="K246" s="633">
        <v>-3470.21</v>
      </c>
      <c r="L246" s="633">
        <v>-3277.06</v>
      </c>
      <c r="M246" s="633">
        <v>-3470.21</v>
      </c>
      <c r="N246" s="633">
        <v>-2937.06</v>
      </c>
      <c r="O246" s="633">
        <v>-45712.28</v>
      </c>
    </row>
    <row r="247" spans="1:16" s="629" customFormat="1" outlineLevel="5">
      <c r="A247" s="165"/>
      <c r="B247" s="632" t="s">
        <v>3748</v>
      </c>
      <c r="C247" s="633">
        <v>-14678.48</v>
      </c>
      <c r="D247" s="633">
        <v>2882.06</v>
      </c>
      <c r="E247" s="633">
        <v>-3449.47</v>
      </c>
      <c r="F247" s="633">
        <v>-3462.37</v>
      </c>
      <c r="G247" s="633">
        <v>-3462.37</v>
      </c>
      <c r="H247" s="633">
        <v>-3462.37</v>
      </c>
      <c r="I247" s="633">
        <v>-3462.37</v>
      </c>
      <c r="J247" s="633">
        <v>-3462.37</v>
      </c>
      <c r="K247" s="633">
        <v>-3470.21</v>
      </c>
      <c r="L247" s="633">
        <v>-3277.06</v>
      </c>
      <c r="M247" s="633">
        <v>-3470.21</v>
      </c>
      <c r="N247" s="633">
        <v>-2937.06</v>
      </c>
      <c r="O247" s="633">
        <v>-45712.28</v>
      </c>
    </row>
    <row r="248" spans="1:16" s="629" customFormat="1" outlineLevel="5">
      <c r="A248" s="165"/>
      <c r="B248" s="632" t="s">
        <v>3749</v>
      </c>
      <c r="C248" s="633">
        <v>-26870757.260000002</v>
      </c>
      <c r="D248" s="633">
        <v>-31139978.5</v>
      </c>
      <c r="E248" s="633">
        <v>-22316042.760000002</v>
      </c>
      <c r="F248" s="633">
        <v>-15340369.34</v>
      </c>
      <c r="G248" s="633">
        <v>-16535495.48</v>
      </c>
      <c r="H248" s="633">
        <v>-14501465.949999999</v>
      </c>
      <c r="I248" s="633">
        <v>-13221838.140000001</v>
      </c>
      <c r="J248" s="633">
        <v>-19646373.32</v>
      </c>
      <c r="K248" s="633">
        <v>-28251886.579999998</v>
      </c>
      <c r="L248" s="633">
        <v>-48816436.240000002</v>
      </c>
      <c r="M248" s="633">
        <v>-48613756.969999999</v>
      </c>
      <c r="N248" s="633">
        <v>-53144199.100000001</v>
      </c>
      <c r="O248" s="633">
        <v>-338398599.63999999</v>
      </c>
    </row>
    <row r="249" spans="1:16" s="629" customFormat="1" outlineLevel="5">
      <c r="A249" s="165"/>
      <c r="B249" s="632" t="s">
        <v>540</v>
      </c>
      <c r="C249" s="633">
        <v>8493562.3100000005</v>
      </c>
      <c r="D249" s="633">
        <v>10607344.01</v>
      </c>
      <c r="E249" s="633">
        <v>7495929.5700000003</v>
      </c>
      <c r="F249" s="633">
        <v>6976849.9299999997</v>
      </c>
      <c r="G249" s="633">
        <v>7536095.2400000002</v>
      </c>
      <c r="H249" s="633">
        <v>8718435.2799999993</v>
      </c>
      <c r="I249" s="633">
        <v>8195527.8099999996</v>
      </c>
      <c r="J249" s="633">
        <v>11897155.83</v>
      </c>
      <c r="K249" s="633">
        <v>15604058.960000001</v>
      </c>
      <c r="L249" s="633">
        <v>18152656.640000001</v>
      </c>
      <c r="M249" s="633">
        <v>18484892.73</v>
      </c>
      <c r="N249" s="633">
        <v>19358366.75</v>
      </c>
      <c r="O249" s="633">
        <v>141520875.06</v>
      </c>
      <c r="P249" s="133" t="s">
        <v>506</v>
      </c>
    </row>
    <row r="250" spans="1:16" s="629" customFormat="1" outlineLevel="5">
      <c r="A250" s="165"/>
      <c r="B250" s="632" t="s">
        <v>541</v>
      </c>
      <c r="C250" s="633">
        <v>2917013.23</v>
      </c>
      <c r="D250" s="633">
        <v>1069126</v>
      </c>
      <c r="E250" s="633">
        <v>-530777</v>
      </c>
      <c r="F250" s="633">
        <v>-554041</v>
      </c>
      <c r="G250" s="633">
        <v>-336489</v>
      </c>
      <c r="H250" s="633">
        <v>-1792428</v>
      </c>
      <c r="I250" s="633">
        <v>597316</v>
      </c>
      <c r="J250" s="633">
        <v>-1232203</v>
      </c>
      <c r="K250" s="633">
        <v>602128</v>
      </c>
      <c r="L250" s="633">
        <v>2689182</v>
      </c>
      <c r="M250" s="633">
        <v>-1460427</v>
      </c>
      <c r="N250" s="633">
        <v>-659941.79</v>
      </c>
      <c r="O250" s="633">
        <v>1308458.44</v>
      </c>
      <c r="P250" s="133" t="s">
        <v>873</v>
      </c>
    </row>
    <row r="251" spans="1:16" s="629" customFormat="1" outlineLevel="5">
      <c r="A251" s="165"/>
      <c r="B251" s="632" t="s">
        <v>2332</v>
      </c>
      <c r="C251" s="633">
        <v>5416978.7199999997</v>
      </c>
      <c r="D251" s="633">
        <v>2333211.13</v>
      </c>
      <c r="E251" s="633">
        <v>473377.5</v>
      </c>
      <c r="F251" s="633">
        <v>386878.62</v>
      </c>
      <c r="G251" s="633">
        <v>-165756.6</v>
      </c>
      <c r="H251" s="633">
        <v>235070.63</v>
      </c>
      <c r="I251" s="633">
        <v>-4561.88</v>
      </c>
      <c r="J251" s="633">
        <v>-44247.92</v>
      </c>
      <c r="K251" s="633">
        <v>219174.63</v>
      </c>
      <c r="L251" s="633">
        <v>5749469.71</v>
      </c>
      <c r="M251" s="633">
        <v>8110043.8399999999</v>
      </c>
      <c r="N251" s="633">
        <v>7970398.6399999997</v>
      </c>
      <c r="O251" s="633">
        <v>30680037.02</v>
      </c>
    </row>
    <row r="252" spans="1:16" s="629" customFormat="1" outlineLevel="5">
      <c r="A252" s="165"/>
      <c r="B252" s="632" t="s">
        <v>2333</v>
      </c>
      <c r="C252" s="633">
        <v>-157785.82999999999</v>
      </c>
      <c r="D252" s="633">
        <v>-266371.03999999998</v>
      </c>
      <c r="E252" s="633">
        <v>-2141596.7200000002</v>
      </c>
      <c r="F252" s="633">
        <v>-3175825.66</v>
      </c>
      <c r="G252" s="633">
        <v>-3864730.12</v>
      </c>
      <c r="H252" s="633">
        <v>-5071661.96</v>
      </c>
      <c r="I252" s="633">
        <v>-5606240.1500000004</v>
      </c>
      <c r="J252" s="633">
        <v>-5526434.7999999998</v>
      </c>
      <c r="K252" s="633">
        <v>-3790998.63</v>
      </c>
      <c r="L252" s="633">
        <v>-167544.19</v>
      </c>
      <c r="M252" s="633">
        <v>-152408.09</v>
      </c>
      <c r="N252" s="633">
        <v>-244536.31</v>
      </c>
      <c r="O252" s="633">
        <v>-30166133.5</v>
      </c>
      <c r="P252" s="133" t="s">
        <v>506</v>
      </c>
    </row>
    <row r="253" spans="1:16" s="629" customFormat="1" outlineLevel="4">
      <c r="A253" s="165"/>
      <c r="B253" s="632" t="s">
        <v>2334</v>
      </c>
      <c r="C253" s="633">
        <v>-62079.53</v>
      </c>
      <c r="D253" s="633">
        <v>-24763.72</v>
      </c>
      <c r="E253" s="633">
        <v>-18278.759999999998</v>
      </c>
      <c r="F253" s="633">
        <v>-11596.64</v>
      </c>
      <c r="G253" s="633">
        <v>-6749.7</v>
      </c>
      <c r="H253" s="633">
        <v>-12090.66</v>
      </c>
      <c r="I253" s="633">
        <v>-20384.38</v>
      </c>
      <c r="J253" s="633">
        <v>-36461.79</v>
      </c>
      <c r="K253" s="633">
        <v>-74349.7</v>
      </c>
      <c r="L253" s="633">
        <v>-103526.56</v>
      </c>
      <c r="M253" s="633">
        <v>-81374.81</v>
      </c>
      <c r="N253" s="633">
        <v>-90168.58</v>
      </c>
      <c r="O253" s="633">
        <v>-541824.82999999996</v>
      </c>
      <c r="P253" s="133" t="s">
        <v>1318</v>
      </c>
    </row>
    <row r="254" spans="1:16" s="629" customFormat="1" outlineLevel="3">
      <c r="A254" s="165"/>
      <c r="B254" s="632" t="s">
        <v>3750</v>
      </c>
      <c r="C254" s="633">
        <v>16607688.9</v>
      </c>
      <c r="D254" s="633">
        <v>13718546.380000001</v>
      </c>
      <c r="E254" s="633">
        <v>5278654.59</v>
      </c>
      <c r="F254" s="633">
        <v>3622265.25</v>
      </c>
      <c r="G254" s="633">
        <v>3162369.82</v>
      </c>
      <c r="H254" s="633">
        <v>2077325.29</v>
      </c>
      <c r="I254" s="633">
        <v>3161657.4</v>
      </c>
      <c r="J254" s="633">
        <v>5057808.32</v>
      </c>
      <c r="K254" s="633">
        <v>12560013.26</v>
      </c>
      <c r="L254" s="633">
        <v>26320237.600000001</v>
      </c>
      <c r="M254" s="633">
        <v>24900726.670000002</v>
      </c>
      <c r="N254" s="633">
        <v>26334118.710000001</v>
      </c>
      <c r="O254" s="633">
        <v>142801412.19</v>
      </c>
    </row>
    <row r="255" spans="1:16" s="629" customFormat="1" outlineLevel="4">
      <c r="A255" s="165"/>
      <c r="B255" s="632" t="s">
        <v>3751</v>
      </c>
      <c r="C255" s="633">
        <v>16607688.9</v>
      </c>
      <c r="D255" s="633">
        <v>13718546.380000001</v>
      </c>
      <c r="E255" s="633">
        <v>5278654.59</v>
      </c>
      <c r="F255" s="633">
        <v>3622265.25</v>
      </c>
      <c r="G255" s="633">
        <v>3162369.82</v>
      </c>
      <c r="H255" s="633">
        <v>2077325.29</v>
      </c>
      <c r="I255" s="633">
        <v>3161657.4</v>
      </c>
      <c r="J255" s="633">
        <v>5057808.32</v>
      </c>
      <c r="K255" s="633">
        <v>12560013.26</v>
      </c>
      <c r="L255" s="633">
        <v>26320237.600000001</v>
      </c>
      <c r="M255" s="633">
        <v>24900726.670000002</v>
      </c>
      <c r="N255" s="633">
        <v>26334118.710000001</v>
      </c>
      <c r="O255" s="633">
        <v>142801412.19</v>
      </c>
    </row>
    <row r="256" spans="1:16" s="629" customFormat="1" outlineLevel="3">
      <c r="A256" s="165"/>
      <c r="B256" s="632" t="s">
        <v>2294</v>
      </c>
      <c r="C256" s="633">
        <v>1492016.55</v>
      </c>
      <c r="D256" s="633">
        <v>1285228.6000000001</v>
      </c>
      <c r="E256" s="633">
        <v>580309.5</v>
      </c>
      <c r="F256" s="633">
        <v>382682.89</v>
      </c>
      <c r="G256" s="633">
        <v>449044.3</v>
      </c>
      <c r="H256" s="633">
        <v>266633.28999999998</v>
      </c>
      <c r="I256" s="633">
        <v>312087.8</v>
      </c>
      <c r="J256" s="633">
        <v>854135.26</v>
      </c>
      <c r="K256" s="633">
        <v>522169.81</v>
      </c>
      <c r="L256" s="633">
        <v>1286222.57</v>
      </c>
      <c r="M256" s="633">
        <v>1714559.85</v>
      </c>
      <c r="N256" s="633">
        <v>1949986.1</v>
      </c>
      <c r="O256" s="633">
        <v>11095076.52</v>
      </c>
    </row>
    <row r="257" spans="1:16" s="629" customFormat="1" outlineLevel="2">
      <c r="A257" s="165"/>
      <c r="B257" s="632" t="s">
        <v>2331</v>
      </c>
      <c r="C257" s="633">
        <v>83786.45</v>
      </c>
      <c r="D257" s="633">
        <v>67140.69</v>
      </c>
      <c r="E257" s="633">
        <v>90614.27</v>
      </c>
      <c r="F257" s="633">
        <v>79296.7</v>
      </c>
      <c r="G257" s="633">
        <v>93882.81</v>
      </c>
      <c r="H257" s="633">
        <v>74622.600000000006</v>
      </c>
      <c r="I257" s="633">
        <v>117016.53</v>
      </c>
      <c r="J257" s="633">
        <v>128741.73</v>
      </c>
      <c r="K257" s="633">
        <v>92843.71</v>
      </c>
      <c r="L257" s="633">
        <v>96931.63</v>
      </c>
      <c r="M257" s="633">
        <v>91271.07</v>
      </c>
      <c r="N257" s="633">
        <v>90352.93</v>
      </c>
      <c r="O257" s="633">
        <v>1106501.1200000001</v>
      </c>
      <c r="P257" s="133" t="s">
        <v>506</v>
      </c>
    </row>
    <row r="258" spans="1:16" s="629" customFormat="1" outlineLevel="5">
      <c r="A258" s="165"/>
      <c r="B258" s="632" t="s">
        <v>2335</v>
      </c>
      <c r="C258" s="633">
        <v>260022.25</v>
      </c>
      <c r="D258" s="633">
        <v>11932.26</v>
      </c>
      <c r="E258" s="633">
        <v>11480.97</v>
      </c>
      <c r="F258" s="633">
        <v>10334.74</v>
      </c>
      <c r="G258" s="633">
        <v>10982.15</v>
      </c>
      <c r="H258" s="633">
        <v>8079.57</v>
      </c>
      <c r="I258" s="633">
        <v>17567.39</v>
      </c>
      <c r="J258" s="633">
        <v>14579.96</v>
      </c>
      <c r="K258" s="633">
        <v>9556.32</v>
      </c>
      <c r="L258" s="633">
        <v>12804.48</v>
      </c>
      <c r="M258" s="633">
        <v>11392.51</v>
      </c>
      <c r="N258" s="633">
        <v>5192.3100000000004</v>
      </c>
      <c r="O258" s="633">
        <v>383924.91</v>
      </c>
      <c r="P258" s="133" t="s">
        <v>505</v>
      </c>
    </row>
    <row r="259" spans="1:16" s="629" customFormat="1" outlineLevel="5">
      <c r="A259" s="165"/>
      <c r="B259" s="632" t="s">
        <v>2336</v>
      </c>
      <c r="C259" s="633">
        <v>0</v>
      </c>
      <c r="D259" s="633">
        <v>0</v>
      </c>
      <c r="E259" s="633">
        <v>0</v>
      </c>
      <c r="F259" s="633">
        <v>0</v>
      </c>
      <c r="G259" s="633">
        <v>0</v>
      </c>
      <c r="H259" s="633">
        <v>0</v>
      </c>
      <c r="I259" s="633">
        <v>0</v>
      </c>
      <c r="J259" s="633">
        <v>-3641.08</v>
      </c>
      <c r="K259" s="633">
        <v>0</v>
      </c>
      <c r="L259" s="633">
        <v>0</v>
      </c>
      <c r="M259" s="633">
        <v>0</v>
      </c>
      <c r="N259" s="633">
        <v>0</v>
      </c>
      <c r="O259" s="633">
        <v>-3641.08</v>
      </c>
      <c r="P259" s="133" t="s">
        <v>505</v>
      </c>
    </row>
    <row r="260" spans="1:16" s="629" customFormat="1" outlineLevel="5">
      <c r="A260" s="165"/>
      <c r="B260" s="632" t="s">
        <v>549</v>
      </c>
      <c r="C260" s="633">
        <v>14587.81</v>
      </c>
      <c r="D260" s="633">
        <v>14935.06</v>
      </c>
      <c r="E260" s="633">
        <v>20924.62</v>
      </c>
      <c r="F260" s="633">
        <v>17790.41</v>
      </c>
      <c r="G260" s="633">
        <v>17402.97</v>
      </c>
      <c r="H260" s="633">
        <v>12421.59</v>
      </c>
      <c r="I260" s="633">
        <v>23977.07</v>
      </c>
      <c r="J260" s="633">
        <v>17851.36</v>
      </c>
      <c r="K260" s="633">
        <v>16071.8</v>
      </c>
      <c r="L260" s="633">
        <v>15824.1</v>
      </c>
      <c r="M260" s="633">
        <v>11803.5</v>
      </c>
      <c r="N260" s="633">
        <v>16791.5</v>
      </c>
      <c r="O260" s="633">
        <v>200381.79</v>
      </c>
      <c r="P260" s="133" t="s">
        <v>505</v>
      </c>
    </row>
    <row r="261" spans="1:16" s="629" customFormat="1" outlineLevel="5">
      <c r="A261" s="165"/>
      <c r="B261" s="632" t="s">
        <v>2337</v>
      </c>
      <c r="C261" s="633">
        <v>16026.01</v>
      </c>
      <c r="D261" s="633">
        <v>17181.939999999999</v>
      </c>
      <c r="E261" s="633">
        <v>21435.11</v>
      </c>
      <c r="F261" s="633">
        <v>18312.37</v>
      </c>
      <c r="G261" s="633">
        <v>16431.77</v>
      </c>
      <c r="H261" s="633">
        <v>25517.599999999999</v>
      </c>
      <c r="I261" s="633">
        <v>17054.71</v>
      </c>
      <c r="J261" s="633">
        <v>20075.68</v>
      </c>
      <c r="K261" s="633">
        <v>19314.79</v>
      </c>
      <c r="L261" s="633">
        <v>18823.12</v>
      </c>
      <c r="M261" s="633">
        <v>20375.09</v>
      </c>
      <c r="N261" s="633">
        <v>26216.87</v>
      </c>
      <c r="O261" s="633">
        <v>236765.06</v>
      </c>
      <c r="P261" s="133" t="s">
        <v>505</v>
      </c>
    </row>
    <row r="262" spans="1:16" s="629" customFormat="1" outlineLevel="5">
      <c r="A262" s="165"/>
      <c r="B262" s="632" t="s">
        <v>420</v>
      </c>
      <c r="C262" s="633">
        <v>24858.28</v>
      </c>
      <c r="D262" s="633">
        <v>22759.74</v>
      </c>
      <c r="E262" s="633">
        <v>17141.09</v>
      </c>
      <c r="F262" s="633">
        <v>11684.45</v>
      </c>
      <c r="G262" s="633">
        <v>19230.77</v>
      </c>
      <c r="H262" s="633">
        <v>5704.82</v>
      </c>
      <c r="I262" s="633">
        <v>11187.74</v>
      </c>
      <c r="J262" s="633">
        <v>32873.730000000003</v>
      </c>
      <c r="K262" s="633">
        <v>13588.78</v>
      </c>
      <c r="L262" s="633">
        <v>21549.85</v>
      </c>
      <c r="M262" s="633">
        <v>27660.34</v>
      </c>
      <c r="N262" s="633">
        <v>32367.56</v>
      </c>
      <c r="O262" s="633">
        <v>240607.15</v>
      </c>
      <c r="P262" s="133" t="s">
        <v>505</v>
      </c>
    </row>
    <row r="263" spans="1:16" s="629" customFormat="1" outlineLevel="4">
      <c r="A263" s="165"/>
      <c r="B263" s="632" t="s">
        <v>421</v>
      </c>
      <c r="C263" s="633">
        <v>47905.65</v>
      </c>
      <c r="D263" s="633">
        <v>21265.75</v>
      </c>
      <c r="E263" s="633">
        <v>25212.91</v>
      </c>
      <c r="F263" s="633">
        <v>17207.5</v>
      </c>
      <c r="G263" s="633">
        <v>21890.41</v>
      </c>
      <c r="H263" s="633">
        <v>-118.27</v>
      </c>
      <c r="I263" s="633">
        <v>49615.93</v>
      </c>
      <c r="J263" s="633">
        <v>29682.14</v>
      </c>
      <c r="K263" s="633">
        <v>36370.51</v>
      </c>
      <c r="L263" s="633">
        <v>30280.32</v>
      </c>
      <c r="M263" s="633">
        <v>28327.03</v>
      </c>
      <c r="N263" s="633">
        <v>29165.81</v>
      </c>
      <c r="O263" s="633">
        <v>336805.69</v>
      </c>
      <c r="P263" s="133" t="s">
        <v>505</v>
      </c>
    </row>
    <row r="264" spans="1:16" s="629" customFormat="1" outlineLevel="3">
      <c r="A264" s="165"/>
      <c r="B264" s="632" t="s">
        <v>2339</v>
      </c>
      <c r="C264" s="633">
        <v>253744.01</v>
      </c>
      <c r="D264" s="633">
        <v>211785.84</v>
      </c>
      <c r="E264" s="633">
        <v>133316.96</v>
      </c>
      <c r="F264" s="633">
        <v>149902.46</v>
      </c>
      <c r="G264" s="633">
        <v>159876.78</v>
      </c>
      <c r="H264" s="633">
        <v>252851.59</v>
      </c>
      <c r="I264" s="633">
        <v>33144.300000000003</v>
      </c>
      <c r="J264" s="633">
        <v>165194.39000000001</v>
      </c>
      <c r="K264" s="633">
        <v>173201.65</v>
      </c>
      <c r="L264" s="633">
        <v>85848.66</v>
      </c>
      <c r="M264" s="633">
        <v>128633.58</v>
      </c>
      <c r="N264" s="633">
        <v>231478.17</v>
      </c>
      <c r="O264" s="633">
        <v>1978978.39</v>
      </c>
      <c r="P264" s="133" t="s">
        <v>505</v>
      </c>
    </row>
    <row r="265" spans="1:16" s="629" customFormat="1" outlineLevel="5">
      <c r="A265" s="165"/>
      <c r="B265" s="632" t="s">
        <v>2340</v>
      </c>
      <c r="C265" s="633">
        <v>54163.47</v>
      </c>
      <c r="D265" s="633">
        <v>52745.06</v>
      </c>
      <c r="E265" s="633">
        <v>89201.09</v>
      </c>
      <c r="F265" s="633">
        <v>59143.96</v>
      </c>
      <c r="G265" s="633">
        <v>56219.06</v>
      </c>
      <c r="H265" s="633">
        <v>47230.78</v>
      </c>
      <c r="I265" s="633">
        <v>59331.85</v>
      </c>
      <c r="J265" s="633">
        <v>43733.97</v>
      </c>
      <c r="K265" s="633">
        <v>47492.56</v>
      </c>
      <c r="L265" s="633">
        <v>56756.95</v>
      </c>
      <c r="M265" s="633">
        <v>40246.120000000003</v>
      </c>
      <c r="N265" s="633">
        <v>139731.48000000001</v>
      </c>
      <c r="O265" s="633">
        <v>745996.35</v>
      </c>
      <c r="P265" s="133" t="s">
        <v>505</v>
      </c>
    </row>
    <row r="266" spans="1:16" s="629" customFormat="1" outlineLevel="5">
      <c r="A266" s="165"/>
      <c r="B266" s="632" t="s">
        <v>2341</v>
      </c>
      <c r="C266" s="633">
        <v>258724</v>
      </c>
      <c r="D266" s="633">
        <v>152758.71</v>
      </c>
      <c r="E266" s="633">
        <v>205534.79</v>
      </c>
      <c r="F266" s="633">
        <v>232550.35</v>
      </c>
      <c r="G266" s="633">
        <v>312973.39</v>
      </c>
      <c r="H266" s="633">
        <v>350119.81</v>
      </c>
      <c r="I266" s="633">
        <v>313667.08</v>
      </c>
      <c r="J266" s="633">
        <v>301364.44</v>
      </c>
      <c r="K266" s="633">
        <v>225750.11</v>
      </c>
      <c r="L266" s="633">
        <v>216266.15</v>
      </c>
      <c r="M266" s="633">
        <v>249232.38</v>
      </c>
      <c r="N266" s="633">
        <v>220383.31</v>
      </c>
      <c r="O266" s="633">
        <v>3039324.52</v>
      </c>
      <c r="P266" s="133" t="s">
        <v>505</v>
      </c>
    </row>
    <row r="267" spans="1:16" s="629" customFormat="1" outlineLevel="5">
      <c r="A267" s="165"/>
      <c r="B267" s="632" t="s">
        <v>2342</v>
      </c>
      <c r="C267" s="633">
        <v>154182.04999999999</v>
      </c>
      <c r="D267" s="633">
        <v>57623.97</v>
      </c>
      <c r="E267" s="633">
        <v>104188.96</v>
      </c>
      <c r="F267" s="633">
        <v>81139.600000000006</v>
      </c>
      <c r="G267" s="633">
        <v>99835.8</v>
      </c>
      <c r="H267" s="633">
        <v>71923.48</v>
      </c>
      <c r="I267" s="633">
        <v>121941.09</v>
      </c>
      <c r="J267" s="633">
        <v>96273.279999999999</v>
      </c>
      <c r="K267" s="633">
        <v>99350.69</v>
      </c>
      <c r="L267" s="633">
        <v>113445.18</v>
      </c>
      <c r="M267" s="633">
        <v>129817.97</v>
      </c>
      <c r="N267" s="633">
        <v>155572.47</v>
      </c>
      <c r="O267" s="633">
        <v>1285294.54</v>
      </c>
      <c r="P267" s="133" t="s">
        <v>505</v>
      </c>
    </row>
    <row r="268" spans="1:16" s="629" customFormat="1" outlineLevel="5">
      <c r="A268" s="165"/>
      <c r="B268" s="632" t="s">
        <v>1316</v>
      </c>
      <c r="C268" s="633">
        <v>59376.91</v>
      </c>
      <c r="D268" s="633">
        <v>55413.599999999999</v>
      </c>
      <c r="E268" s="633">
        <v>49951.59</v>
      </c>
      <c r="F268" s="633">
        <v>58318.62</v>
      </c>
      <c r="G268" s="633">
        <v>66581.09</v>
      </c>
      <c r="H268" s="633">
        <v>49480.55</v>
      </c>
      <c r="I268" s="633">
        <v>65324.3</v>
      </c>
      <c r="J268" s="633">
        <v>61426.31</v>
      </c>
      <c r="K268" s="633">
        <v>61751.81</v>
      </c>
      <c r="L268" s="633">
        <v>75940.600000000006</v>
      </c>
      <c r="M268" s="633">
        <v>79141.22</v>
      </c>
      <c r="N268" s="633">
        <v>78126.92</v>
      </c>
      <c r="O268" s="633">
        <v>760833.52</v>
      </c>
      <c r="P268" s="133" t="s">
        <v>505</v>
      </c>
    </row>
    <row r="269" spans="1:16" s="629" customFormat="1" outlineLevel="5">
      <c r="A269" s="165"/>
      <c r="B269" s="632" t="s">
        <v>2343</v>
      </c>
      <c r="C269" s="633">
        <v>187627.46</v>
      </c>
      <c r="D269" s="633">
        <v>189919.82</v>
      </c>
      <c r="E269" s="633">
        <v>352352.18</v>
      </c>
      <c r="F269" s="633">
        <v>342434.03</v>
      </c>
      <c r="G269" s="633">
        <v>194221.98</v>
      </c>
      <c r="H269" s="633">
        <v>149734.39999999999</v>
      </c>
      <c r="I269" s="633">
        <v>285455.61</v>
      </c>
      <c r="J269" s="633">
        <v>-154543.60999999999</v>
      </c>
      <c r="K269" s="633">
        <v>268591.05</v>
      </c>
      <c r="L269" s="633">
        <v>568491.78</v>
      </c>
      <c r="M269" s="633">
        <v>482944.67</v>
      </c>
      <c r="N269" s="633">
        <v>329437.84999999998</v>
      </c>
      <c r="O269" s="633">
        <v>3196667.22</v>
      </c>
      <c r="P269" s="133" t="s">
        <v>505</v>
      </c>
    </row>
    <row r="270" spans="1:16" s="629" customFormat="1" outlineLevel="5">
      <c r="A270" s="165"/>
      <c r="B270" s="632" t="s">
        <v>762</v>
      </c>
      <c r="C270" s="633">
        <v>123807.65</v>
      </c>
      <c r="D270" s="633">
        <v>130827.04</v>
      </c>
      <c r="E270" s="633">
        <v>98543.92</v>
      </c>
      <c r="F270" s="633">
        <v>102096.62</v>
      </c>
      <c r="G270" s="633">
        <v>104565</v>
      </c>
      <c r="H270" s="633">
        <v>89174.73</v>
      </c>
      <c r="I270" s="633">
        <v>148532.32</v>
      </c>
      <c r="J270" s="633">
        <v>132384.43</v>
      </c>
      <c r="K270" s="633">
        <v>130678.65</v>
      </c>
      <c r="L270" s="633">
        <v>189532.76</v>
      </c>
      <c r="M270" s="633">
        <v>174670.63</v>
      </c>
      <c r="N270" s="633">
        <v>173168.92</v>
      </c>
      <c r="O270" s="633">
        <v>1597982.67</v>
      </c>
      <c r="P270" s="133" t="s">
        <v>505</v>
      </c>
    </row>
    <row r="271" spans="1:16" s="629" customFormat="1" outlineLevel="5">
      <c r="A271" s="165"/>
      <c r="B271" s="632" t="s">
        <v>2648</v>
      </c>
      <c r="C271" s="633">
        <v>858107.12</v>
      </c>
      <c r="D271" s="633">
        <v>538423.15</v>
      </c>
      <c r="E271" s="633">
        <v>579159.88</v>
      </c>
      <c r="F271" s="633">
        <v>502308.37</v>
      </c>
      <c r="G271" s="633">
        <v>560917.56999999995</v>
      </c>
      <c r="H271" s="633">
        <v>343517.33</v>
      </c>
      <c r="I271" s="633">
        <v>858666.94</v>
      </c>
      <c r="J271" s="633">
        <v>645671.81999999995</v>
      </c>
      <c r="K271" s="633">
        <v>745627.16</v>
      </c>
      <c r="L271" s="633">
        <v>776482.46</v>
      </c>
      <c r="M271" s="633">
        <v>659873.52</v>
      </c>
      <c r="N271" s="633">
        <v>691030.63</v>
      </c>
      <c r="O271" s="633">
        <v>7759785.9500000002</v>
      </c>
      <c r="P271" s="133" t="s">
        <v>505</v>
      </c>
    </row>
    <row r="272" spans="1:16" s="629" customFormat="1" outlineLevel="5">
      <c r="A272" s="165"/>
      <c r="B272" s="632" t="s">
        <v>2649</v>
      </c>
      <c r="C272" s="633">
        <v>2819.55</v>
      </c>
      <c r="D272" s="633">
        <v>0</v>
      </c>
      <c r="E272" s="633">
        <v>0</v>
      </c>
      <c r="F272" s="633">
        <v>0</v>
      </c>
      <c r="G272" s="633">
        <v>0</v>
      </c>
      <c r="H272" s="633">
        <v>0</v>
      </c>
      <c r="I272" s="633">
        <v>250.77</v>
      </c>
      <c r="J272" s="633">
        <v>0</v>
      </c>
      <c r="K272" s="633">
        <v>0</v>
      </c>
      <c r="L272" s="633">
        <v>24903.07</v>
      </c>
      <c r="M272" s="633">
        <v>100</v>
      </c>
      <c r="N272" s="633">
        <v>1000</v>
      </c>
      <c r="O272" s="633">
        <v>29073.39</v>
      </c>
      <c r="P272" s="133" t="s">
        <v>505</v>
      </c>
    </row>
    <row r="273" spans="1:16" s="629" customFormat="1" outlineLevel="5">
      <c r="A273" s="165"/>
      <c r="B273" s="632" t="s">
        <v>1317</v>
      </c>
      <c r="C273" s="633">
        <v>27547.81</v>
      </c>
      <c r="D273" s="633">
        <v>34897.620000000003</v>
      </c>
      <c r="E273" s="633">
        <v>34856.050000000003</v>
      </c>
      <c r="F273" s="633">
        <v>31921.81</v>
      </c>
      <c r="G273" s="633">
        <v>31303.74</v>
      </c>
      <c r="H273" s="633">
        <v>27548.91</v>
      </c>
      <c r="I273" s="633">
        <v>45548.53</v>
      </c>
      <c r="J273" s="633">
        <v>36096.620000000003</v>
      </c>
      <c r="K273" s="633">
        <v>33202.660000000003</v>
      </c>
      <c r="L273" s="633">
        <v>39468.699999999997</v>
      </c>
      <c r="M273" s="633">
        <v>34394.449999999997</v>
      </c>
      <c r="N273" s="633">
        <v>30101.99</v>
      </c>
      <c r="O273" s="633">
        <v>406888.89</v>
      </c>
      <c r="P273" s="133" t="s">
        <v>505</v>
      </c>
    </row>
    <row r="274" spans="1:16" s="629" customFormat="1" outlineLevel="5">
      <c r="A274" s="165"/>
      <c r="B274" s="632" t="s">
        <v>1279</v>
      </c>
      <c r="C274" s="633">
        <v>182760.9</v>
      </c>
      <c r="D274" s="633">
        <v>207190.84</v>
      </c>
      <c r="E274" s="633">
        <v>251505.06</v>
      </c>
      <c r="F274" s="633">
        <v>234338.35</v>
      </c>
      <c r="G274" s="633">
        <v>271873.76</v>
      </c>
      <c r="H274" s="633">
        <v>208207.75</v>
      </c>
      <c r="I274" s="633">
        <v>273197.59999999998</v>
      </c>
      <c r="J274" s="633">
        <v>248378.01</v>
      </c>
      <c r="K274" s="633">
        <v>227863.95</v>
      </c>
      <c r="L274" s="633">
        <v>286328.58</v>
      </c>
      <c r="M274" s="633">
        <v>205026.78</v>
      </c>
      <c r="N274" s="633">
        <v>249911.78</v>
      </c>
      <c r="O274" s="633">
        <v>2846583.36</v>
      </c>
      <c r="P274" s="133" t="s">
        <v>505</v>
      </c>
    </row>
    <row r="275" spans="1:16" s="629" customFormat="1" outlineLevel="5">
      <c r="A275" s="165"/>
      <c r="B275" s="632" t="s">
        <v>1280</v>
      </c>
      <c r="C275" s="633">
        <v>521646.06</v>
      </c>
      <c r="D275" s="633">
        <v>425852.41</v>
      </c>
      <c r="E275" s="633">
        <v>550179.69999999995</v>
      </c>
      <c r="F275" s="633">
        <v>487188.89</v>
      </c>
      <c r="G275" s="633">
        <v>504904.71</v>
      </c>
      <c r="H275" s="633">
        <v>465452.91</v>
      </c>
      <c r="I275" s="633">
        <v>458517.66</v>
      </c>
      <c r="J275" s="633">
        <v>466840.3</v>
      </c>
      <c r="K275" s="633">
        <v>495740.92</v>
      </c>
      <c r="L275" s="633">
        <v>476736.52</v>
      </c>
      <c r="M275" s="633">
        <v>401300.71</v>
      </c>
      <c r="N275" s="633">
        <v>452424.27</v>
      </c>
      <c r="O275" s="633">
        <v>5706785.0599999996</v>
      </c>
      <c r="P275" s="133" t="s">
        <v>505</v>
      </c>
    </row>
    <row r="276" spans="1:16" s="629" customFormat="1" outlineLevel="5">
      <c r="A276" s="165"/>
      <c r="B276" s="632" t="s">
        <v>1873</v>
      </c>
      <c r="C276" s="633">
        <v>-974177.08</v>
      </c>
      <c r="D276" s="633">
        <v>350032.53</v>
      </c>
      <c r="E276" s="633">
        <v>632647.26</v>
      </c>
      <c r="F276" s="633">
        <v>257297.93</v>
      </c>
      <c r="G276" s="633">
        <v>508229.49</v>
      </c>
      <c r="H276" s="633">
        <v>719130.06</v>
      </c>
      <c r="I276" s="633">
        <v>515003.45</v>
      </c>
      <c r="J276" s="633">
        <v>604510.71</v>
      </c>
      <c r="K276" s="633">
        <v>888736.68</v>
      </c>
      <c r="L276" s="633">
        <v>381446.68</v>
      </c>
      <c r="M276" s="633">
        <v>494610.12</v>
      </c>
      <c r="N276" s="633">
        <v>807995.88</v>
      </c>
      <c r="O276" s="633">
        <v>5185463.71</v>
      </c>
      <c r="P276" s="133" t="s">
        <v>505</v>
      </c>
    </row>
    <row r="277" spans="1:16" s="629" customFormat="1" outlineLevel="5">
      <c r="A277" s="165"/>
      <c r="B277" s="632" t="s">
        <v>547</v>
      </c>
      <c r="C277" s="633">
        <v>531867.68999999994</v>
      </c>
      <c r="D277" s="633">
        <v>556283.02</v>
      </c>
      <c r="E277" s="633">
        <v>555701.5</v>
      </c>
      <c r="F277" s="633">
        <v>561289.01</v>
      </c>
      <c r="G277" s="633">
        <v>587703.92000000004</v>
      </c>
      <c r="H277" s="633">
        <v>582636.52</v>
      </c>
      <c r="I277" s="633">
        <v>610668.13</v>
      </c>
      <c r="J277" s="633">
        <v>636141.59</v>
      </c>
      <c r="K277" s="633">
        <v>603152.18000000005</v>
      </c>
      <c r="L277" s="633">
        <v>614691.06999999995</v>
      </c>
      <c r="M277" s="633">
        <v>584250.02</v>
      </c>
      <c r="N277" s="633">
        <v>587316.31000000006</v>
      </c>
      <c r="O277" s="633">
        <v>7011700.96</v>
      </c>
      <c r="P277" s="133" t="s">
        <v>505</v>
      </c>
    </row>
    <row r="278" spans="1:16" s="629" customFormat="1" outlineLevel="5">
      <c r="A278" s="165"/>
      <c r="B278" s="632" t="s">
        <v>1931</v>
      </c>
      <c r="C278" s="633">
        <v>628881.48</v>
      </c>
      <c r="D278" s="633">
        <v>573505.11</v>
      </c>
      <c r="E278" s="633">
        <v>560534.69999999995</v>
      </c>
      <c r="F278" s="633">
        <v>561177.64</v>
      </c>
      <c r="G278" s="633">
        <v>517386.72</v>
      </c>
      <c r="H278" s="633">
        <v>514499.66</v>
      </c>
      <c r="I278" s="633">
        <v>588011.72</v>
      </c>
      <c r="J278" s="633">
        <v>657525.36</v>
      </c>
      <c r="K278" s="633">
        <v>699667.36</v>
      </c>
      <c r="L278" s="633">
        <v>678815.89</v>
      </c>
      <c r="M278" s="633">
        <v>659940.44999999995</v>
      </c>
      <c r="N278" s="633">
        <v>691829.24</v>
      </c>
      <c r="O278" s="633">
        <v>7331775.3300000001</v>
      </c>
      <c r="P278" s="133" t="s">
        <v>505</v>
      </c>
    </row>
    <row r="279" spans="1:16" s="629" customFormat="1" outlineLevel="5">
      <c r="A279" s="165"/>
      <c r="B279" s="632" t="s">
        <v>548</v>
      </c>
      <c r="C279" s="633">
        <v>1080.24</v>
      </c>
      <c r="D279" s="633">
        <v>4449.09</v>
      </c>
      <c r="E279" s="633">
        <v>7243.66</v>
      </c>
      <c r="F279" s="633">
        <v>6527.46</v>
      </c>
      <c r="G279" s="633">
        <v>5310.9</v>
      </c>
      <c r="H279" s="633">
        <v>1561.9</v>
      </c>
      <c r="I279" s="633">
        <v>481.93</v>
      </c>
      <c r="J279" s="633">
        <v>366.33</v>
      </c>
      <c r="K279" s="633">
        <v>676.75</v>
      </c>
      <c r="L279" s="633">
        <v>1577.94</v>
      </c>
      <c r="M279" s="633">
        <v>4545.9799999999996</v>
      </c>
      <c r="N279" s="633">
        <v>6193.01</v>
      </c>
      <c r="O279" s="633">
        <v>40015.19</v>
      </c>
      <c r="P279" s="133" t="s">
        <v>505</v>
      </c>
    </row>
    <row r="280" spans="1:16" s="629" customFormat="1" outlineLevel="5">
      <c r="A280" s="165"/>
      <c r="B280" s="632" t="s">
        <v>2834</v>
      </c>
      <c r="C280" s="633">
        <v>4527.1899999999996</v>
      </c>
      <c r="D280" s="633">
        <v>3547.7</v>
      </c>
      <c r="E280" s="633">
        <v>2655.71</v>
      </c>
      <c r="F280" s="633">
        <v>3324.13</v>
      </c>
      <c r="G280" s="633">
        <v>3795.93</v>
      </c>
      <c r="H280" s="633">
        <v>2970.71</v>
      </c>
      <c r="I280" s="633">
        <v>1521.9</v>
      </c>
      <c r="J280" s="633">
        <v>2333.54</v>
      </c>
      <c r="K280" s="633">
        <v>2989.16</v>
      </c>
      <c r="L280" s="633">
        <v>1125.6400000000001</v>
      </c>
      <c r="M280" s="633">
        <v>-49.75</v>
      </c>
      <c r="N280" s="633">
        <v>11556.07</v>
      </c>
      <c r="O280" s="633">
        <v>40297.93</v>
      </c>
      <c r="P280" s="133" t="s">
        <v>505</v>
      </c>
    </row>
    <row r="281" spans="1:16" s="629" customFormat="1" outlineLevel="5">
      <c r="A281" s="165"/>
      <c r="B281" s="632" t="s">
        <v>767</v>
      </c>
      <c r="C281" s="633">
        <v>39136.769999999997</v>
      </c>
      <c r="D281" s="633">
        <v>32196.98</v>
      </c>
      <c r="E281" s="633">
        <v>44339.4</v>
      </c>
      <c r="F281" s="633">
        <v>22145.27</v>
      </c>
      <c r="G281" s="633">
        <v>22597.48</v>
      </c>
      <c r="H281" s="633">
        <v>28805.8</v>
      </c>
      <c r="I281" s="633">
        <v>14224.91</v>
      </c>
      <c r="J281" s="633">
        <v>10591.73</v>
      </c>
      <c r="K281" s="633">
        <v>-979499.71</v>
      </c>
      <c r="L281" s="633">
        <v>20424.13</v>
      </c>
      <c r="M281" s="633">
        <v>15516.95</v>
      </c>
      <c r="N281" s="633">
        <v>31488.09</v>
      </c>
      <c r="O281" s="633">
        <v>-698032.2</v>
      </c>
      <c r="P281" s="133" t="s">
        <v>505</v>
      </c>
    </row>
    <row r="282" spans="1:16" s="629" customFormat="1" outlineLevel="5">
      <c r="A282" s="165"/>
      <c r="B282" s="632" t="s">
        <v>2835</v>
      </c>
      <c r="C282" s="633">
        <v>1581.61</v>
      </c>
      <c r="D282" s="633">
        <v>2343.2399999999998</v>
      </c>
      <c r="E282" s="633">
        <v>2029.31</v>
      </c>
      <c r="F282" s="633">
        <v>811.6</v>
      </c>
      <c r="G282" s="633">
        <v>866.44</v>
      </c>
      <c r="H282" s="633">
        <v>622.73</v>
      </c>
      <c r="I282" s="633">
        <v>589.9</v>
      </c>
      <c r="J282" s="633">
        <v>1089.8399999999999</v>
      </c>
      <c r="K282" s="633">
        <v>795.85</v>
      </c>
      <c r="L282" s="633">
        <v>2039.35</v>
      </c>
      <c r="M282" s="633">
        <v>2097.9499999999998</v>
      </c>
      <c r="N282" s="633">
        <v>1033.92</v>
      </c>
      <c r="O282" s="633">
        <v>15901.74</v>
      </c>
      <c r="P282" s="133" t="s">
        <v>505</v>
      </c>
    </row>
    <row r="283" spans="1:16" s="629" customFormat="1" outlineLevel="5">
      <c r="A283" s="165"/>
      <c r="B283" s="632" t="s">
        <v>768</v>
      </c>
      <c r="C283" s="633">
        <v>393890.16</v>
      </c>
      <c r="D283" s="633">
        <v>183846.82</v>
      </c>
      <c r="E283" s="633">
        <v>167497.04</v>
      </c>
      <c r="F283" s="633">
        <v>483963.05</v>
      </c>
      <c r="G283" s="633">
        <v>170581.7</v>
      </c>
      <c r="H283" s="633">
        <v>184739.59</v>
      </c>
      <c r="I283" s="633">
        <v>197445.94</v>
      </c>
      <c r="J283" s="633">
        <v>157918.84</v>
      </c>
      <c r="K283" s="633">
        <v>172401.52</v>
      </c>
      <c r="L283" s="633">
        <v>163107.20000000001</v>
      </c>
      <c r="M283" s="633">
        <v>147239.62</v>
      </c>
      <c r="N283" s="633">
        <v>179475.07</v>
      </c>
      <c r="O283" s="633">
        <v>2602106.5499999998</v>
      </c>
      <c r="P283" s="133" t="s">
        <v>505</v>
      </c>
    </row>
    <row r="284" spans="1:16" s="629" customFormat="1" outlineLevel="5">
      <c r="A284" s="165"/>
      <c r="B284" s="632" t="s">
        <v>769</v>
      </c>
      <c r="C284" s="633">
        <v>157527.15</v>
      </c>
      <c r="D284" s="633">
        <v>72879.83</v>
      </c>
      <c r="E284" s="633">
        <v>80767.899999999994</v>
      </c>
      <c r="F284" s="633">
        <v>73481.3</v>
      </c>
      <c r="G284" s="633">
        <v>80165.31</v>
      </c>
      <c r="H284" s="633">
        <v>75614.03</v>
      </c>
      <c r="I284" s="633">
        <v>69269.97</v>
      </c>
      <c r="J284" s="633">
        <v>49204.17</v>
      </c>
      <c r="K284" s="633">
        <v>102089.51</v>
      </c>
      <c r="L284" s="633">
        <v>121247.55</v>
      </c>
      <c r="M284" s="633">
        <v>163037</v>
      </c>
      <c r="N284" s="633">
        <v>82535.72</v>
      </c>
      <c r="O284" s="633">
        <v>1127819.44</v>
      </c>
      <c r="P284" s="133" t="s">
        <v>505</v>
      </c>
    </row>
    <row r="285" spans="1:16" s="629" customFormat="1" outlineLevel="5">
      <c r="A285" s="165"/>
      <c r="B285" s="632" t="s">
        <v>2836</v>
      </c>
      <c r="C285" s="633">
        <v>-125685.86</v>
      </c>
      <c r="D285" s="633">
        <v>-148138.53</v>
      </c>
      <c r="E285" s="633">
        <v>-154541.51999999999</v>
      </c>
      <c r="F285" s="633">
        <v>-135989.81</v>
      </c>
      <c r="G285" s="633">
        <v>-155966.79</v>
      </c>
      <c r="H285" s="633">
        <v>-147901.39000000001</v>
      </c>
      <c r="I285" s="633">
        <v>-109988.72</v>
      </c>
      <c r="J285" s="633">
        <v>-170395.19</v>
      </c>
      <c r="K285" s="633">
        <v>-198652.46</v>
      </c>
      <c r="L285" s="633">
        <v>-207701.44</v>
      </c>
      <c r="M285" s="633">
        <v>-193928.52</v>
      </c>
      <c r="N285" s="633">
        <v>-257784.76</v>
      </c>
      <c r="O285" s="633">
        <v>-2006674.99</v>
      </c>
      <c r="P285" s="133" t="s">
        <v>505</v>
      </c>
    </row>
    <row r="286" spans="1:16" s="634" customFormat="1" outlineLevel="5">
      <c r="A286" s="165"/>
      <c r="B286" s="632" t="s">
        <v>770</v>
      </c>
      <c r="C286" s="633">
        <v>1274216.3500000001</v>
      </c>
      <c r="D286" s="633">
        <v>593250.41</v>
      </c>
      <c r="E286" s="633">
        <v>636509.31000000006</v>
      </c>
      <c r="F286" s="633">
        <v>842657.16</v>
      </c>
      <c r="G286" s="633">
        <v>611735.38</v>
      </c>
      <c r="H286" s="633">
        <v>553224.97</v>
      </c>
      <c r="I286" s="633">
        <v>623074.86</v>
      </c>
      <c r="J286" s="633">
        <v>472287.08</v>
      </c>
      <c r="K286" s="633">
        <v>528436.88</v>
      </c>
      <c r="L286" s="633">
        <v>580115.11</v>
      </c>
      <c r="M286" s="633">
        <v>462308.41</v>
      </c>
      <c r="N286" s="633">
        <v>622995.23</v>
      </c>
      <c r="O286" s="633">
        <v>7800811.1500000004</v>
      </c>
      <c r="P286" s="133" t="s">
        <v>505</v>
      </c>
    </row>
    <row r="287" spans="1:16" s="629" customFormat="1" outlineLevel="5">
      <c r="A287" s="165"/>
      <c r="B287" s="632" t="s">
        <v>2837</v>
      </c>
      <c r="C287" s="633">
        <v>153532.17000000001</v>
      </c>
      <c r="D287" s="633">
        <v>52710.26</v>
      </c>
      <c r="E287" s="633">
        <v>64932.63</v>
      </c>
      <c r="F287" s="633">
        <v>76641.039999999994</v>
      </c>
      <c r="G287" s="633">
        <v>65807.23</v>
      </c>
      <c r="H287" s="633">
        <v>63661.64</v>
      </c>
      <c r="I287" s="633">
        <v>79594.52</v>
      </c>
      <c r="J287" s="633">
        <v>51084.59</v>
      </c>
      <c r="K287" s="633">
        <v>52840.88</v>
      </c>
      <c r="L287" s="633">
        <v>21858.22</v>
      </c>
      <c r="M287" s="633">
        <v>72332</v>
      </c>
      <c r="N287" s="633">
        <v>21606.94</v>
      </c>
      <c r="O287" s="633">
        <v>776602.12</v>
      </c>
      <c r="P287" s="133" t="s">
        <v>505</v>
      </c>
    </row>
    <row r="288" spans="1:16" s="629" customFormat="1" outlineLevel="5">
      <c r="A288" s="165"/>
      <c r="B288" s="632" t="s">
        <v>2838</v>
      </c>
      <c r="C288" s="633">
        <v>72826.789999999994</v>
      </c>
      <c r="D288" s="633">
        <v>-86235.25</v>
      </c>
      <c r="E288" s="633">
        <v>-37159.14</v>
      </c>
      <c r="F288" s="633">
        <v>-189128.99</v>
      </c>
      <c r="G288" s="633">
        <v>28888.53</v>
      </c>
      <c r="H288" s="633">
        <v>37515.93</v>
      </c>
      <c r="I288" s="633">
        <v>-502191.6</v>
      </c>
      <c r="J288" s="633">
        <v>7202.89</v>
      </c>
      <c r="K288" s="633">
        <v>301436.15999999997</v>
      </c>
      <c r="L288" s="633">
        <v>62878.09</v>
      </c>
      <c r="M288" s="633">
        <v>236663.69</v>
      </c>
      <c r="N288" s="633">
        <v>-3961.32</v>
      </c>
      <c r="O288" s="633">
        <v>-71264.22</v>
      </c>
      <c r="P288" s="133" t="s">
        <v>505</v>
      </c>
    </row>
    <row r="289" spans="1:16" s="629" customFormat="1" outlineLevel="5">
      <c r="A289" s="165"/>
      <c r="B289" s="632" t="s">
        <v>771</v>
      </c>
      <c r="C289" s="633">
        <v>-32227.22</v>
      </c>
      <c r="D289" s="633">
        <v>-39080.410000000003</v>
      </c>
      <c r="E289" s="633">
        <v>-71515.070000000007</v>
      </c>
      <c r="F289" s="633">
        <v>-74426.740000000005</v>
      </c>
      <c r="G289" s="633">
        <v>-173700.71</v>
      </c>
      <c r="H289" s="633">
        <v>23431.07</v>
      </c>
      <c r="I289" s="633">
        <v>-23118.38</v>
      </c>
      <c r="J289" s="633">
        <v>-81064.87</v>
      </c>
      <c r="K289" s="633">
        <v>-88795.43</v>
      </c>
      <c r="L289" s="633">
        <v>-84063.47</v>
      </c>
      <c r="M289" s="633">
        <v>-434147.98</v>
      </c>
      <c r="N289" s="633">
        <v>-154545.01</v>
      </c>
      <c r="O289" s="633">
        <v>-1233254.22</v>
      </c>
      <c r="P289" s="133" t="s">
        <v>505</v>
      </c>
    </row>
    <row r="290" spans="1:16" s="629" customFormat="1" outlineLevel="5">
      <c r="A290" s="165"/>
      <c r="B290" s="632" t="s">
        <v>2291</v>
      </c>
      <c r="C290" s="633">
        <v>694531.61</v>
      </c>
      <c r="D290" s="633">
        <v>668076.76</v>
      </c>
      <c r="E290" s="633">
        <v>668278.13</v>
      </c>
      <c r="F290" s="633">
        <v>-98746.03</v>
      </c>
      <c r="G290" s="633">
        <v>825691.76</v>
      </c>
      <c r="H290" s="633">
        <v>821003.42</v>
      </c>
      <c r="I290" s="633">
        <v>821906.01</v>
      </c>
      <c r="J290" s="633">
        <v>822816.84</v>
      </c>
      <c r="K290" s="633">
        <v>822303.93</v>
      </c>
      <c r="L290" s="633">
        <v>821407.01</v>
      </c>
      <c r="M290" s="633">
        <v>820907.66</v>
      </c>
      <c r="N290" s="633">
        <v>823871.99</v>
      </c>
      <c r="O290" s="633">
        <v>8512049.0899999999</v>
      </c>
      <c r="P290" s="133" t="s">
        <v>505</v>
      </c>
    </row>
    <row r="291" spans="1:16" s="629" customFormat="1" outlineLevel="5">
      <c r="A291" s="165"/>
      <c r="B291" s="632" t="s">
        <v>2292</v>
      </c>
      <c r="C291" s="633">
        <v>11.03</v>
      </c>
      <c r="D291" s="633">
        <v>148713.85</v>
      </c>
      <c r="E291" s="633">
        <v>43706.28</v>
      </c>
      <c r="F291" s="633">
        <v>7452.87</v>
      </c>
      <c r="G291" s="633">
        <v>5164.26</v>
      </c>
      <c r="H291" s="633">
        <v>46973.69</v>
      </c>
      <c r="I291" s="633">
        <v>90788.83</v>
      </c>
      <c r="J291" s="633">
        <v>8751.01</v>
      </c>
      <c r="K291" s="633">
        <v>14483.67</v>
      </c>
      <c r="L291" s="633">
        <v>8444.18</v>
      </c>
      <c r="M291" s="633">
        <v>45661.89</v>
      </c>
      <c r="N291" s="633">
        <v>6332.49</v>
      </c>
      <c r="O291" s="633">
        <v>426484.05</v>
      </c>
      <c r="P291" s="133" t="s">
        <v>505</v>
      </c>
    </row>
    <row r="292" spans="1:16" s="629" customFormat="1" outlineLevel="5">
      <c r="A292" s="165"/>
      <c r="B292" s="632" t="s">
        <v>1761</v>
      </c>
      <c r="C292" s="633">
        <v>192904.57</v>
      </c>
      <c r="D292" s="633">
        <v>447967.51</v>
      </c>
      <c r="E292" s="633">
        <v>348692.1</v>
      </c>
      <c r="F292" s="633">
        <v>663979.22</v>
      </c>
      <c r="G292" s="633">
        <v>317629.02</v>
      </c>
      <c r="H292" s="633">
        <v>404456.2</v>
      </c>
      <c r="I292" s="633">
        <v>728703.36</v>
      </c>
      <c r="J292" s="633">
        <v>403771.71</v>
      </c>
      <c r="K292" s="633">
        <v>405424.94</v>
      </c>
      <c r="L292" s="633">
        <v>512043.79</v>
      </c>
      <c r="M292" s="633">
        <v>411184.01</v>
      </c>
      <c r="N292" s="633">
        <v>387267.83</v>
      </c>
      <c r="O292" s="633">
        <v>5224024.26</v>
      </c>
      <c r="P292" s="133" t="s">
        <v>505</v>
      </c>
    </row>
    <row r="293" spans="1:16" s="629" customFormat="1" outlineLevel="5">
      <c r="A293" s="165"/>
      <c r="B293" s="632" t="s">
        <v>1762</v>
      </c>
      <c r="C293" s="633">
        <v>32248.27</v>
      </c>
      <c r="D293" s="633">
        <v>23696.32</v>
      </c>
      <c r="E293" s="633">
        <v>17019.259999999998</v>
      </c>
      <c r="F293" s="633">
        <v>16902.91</v>
      </c>
      <c r="G293" s="633">
        <v>21060.11</v>
      </c>
      <c r="H293" s="633">
        <v>20574.52</v>
      </c>
      <c r="I293" s="633">
        <v>20206.599999999999</v>
      </c>
      <c r="J293" s="633">
        <v>12068.89</v>
      </c>
      <c r="K293" s="633">
        <v>16819.71</v>
      </c>
      <c r="L293" s="633">
        <v>21367.85</v>
      </c>
      <c r="M293" s="633">
        <v>39862.26</v>
      </c>
      <c r="N293" s="633">
        <v>13251.08</v>
      </c>
      <c r="O293" s="633">
        <v>255077.78</v>
      </c>
      <c r="P293" s="133" t="s">
        <v>505</v>
      </c>
    </row>
    <row r="294" spans="1:16" s="629" customFormat="1" outlineLevel="5">
      <c r="A294" s="165"/>
      <c r="B294" s="632" t="s">
        <v>3752</v>
      </c>
      <c r="C294" s="633">
        <v>7670382.9100000001</v>
      </c>
      <c r="D294" s="633">
        <v>6937927.3399999999</v>
      </c>
      <c r="E294" s="633">
        <v>6785247.1100000003</v>
      </c>
      <c r="F294" s="633">
        <v>5898011.1399999997</v>
      </c>
      <c r="G294" s="633">
        <v>6435084.7400000002</v>
      </c>
      <c r="H294" s="633">
        <v>6381624.4900000002</v>
      </c>
      <c r="I294" s="633">
        <v>6938278.5499999998</v>
      </c>
      <c r="J294" s="633">
        <v>6783323.7999999998</v>
      </c>
      <c r="K294" s="633">
        <v>6564474.5099999998</v>
      </c>
      <c r="L294" s="633">
        <v>8113462.2699999996</v>
      </c>
      <c r="M294" s="633">
        <v>8022803.1799999997</v>
      </c>
      <c r="N294" s="633">
        <v>8760898.6500000004</v>
      </c>
      <c r="O294" s="633">
        <v>85291518.689999998</v>
      </c>
      <c r="P294" s="133"/>
    </row>
    <row r="295" spans="1:16" s="629" customFormat="1" outlineLevel="5">
      <c r="A295" s="165"/>
      <c r="B295" s="632" t="s">
        <v>2338</v>
      </c>
      <c r="C295" s="633">
        <v>14755.77</v>
      </c>
      <c r="D295" s="633">
        <v>9277</v>
      </c>
      <c r="E295" s="633">
        <v>9876.59</v>
      </c>
      <c r="F295" s="633">
        <v>11769.26</v>
      </c>
      <c r="G295" s="633">
        <v>9801.7199999999993</v>
      </c>
      <c r="H295" s="633">
        <v>6500.87</v>
      </c>
      <c r="I295" s="633">
        <v>16785.43</v>
      </c>
      <c r="J295" s="633">
        <v>9309.14</v>
      </c>
      <c r="K295" s="633">
        <v>11655.19</v>
      </c>
      <c r="L295" s="633">
        <v>13653.49</v>
      </c>
      <c r="M295" s="633">
        <v>8382.49</v>
      </c>
      <c r="N295" s="633">
        <v>10181.040000000001</v>
      </c>
      <c r="O295" s="633">
        <v>131947.99</v>
      </c>
      <c r="P295" s="133" t="s">
        <v>505</v>
      </c>
    </row>
    <row r="296" spans="1:16" s="629" customFormat="1" outlineLevel="5">
      <c r="A296" s="165"/>
      <c r="B296" s="632" t="s">
        <v>4838</v>
      </c>
      <c r="C296" s="633">
        <v>0</v>
      </c>
      <c r="D296" s="633">
        <v>0</v>
      </c>
      <c r="E296" s="633">
        <v>0</v>
      </c>
      <c r="F296" s="633">
        <v>0</v>
      </c>
      <c r="G296" s="633">
        <v>-2586.09</v>
      </c>
      <c r="H296" s="633">
        <v>2586.09</v>
      </c>
      <c r="I296" s="633">
        <v>0</v>
      </c>
      <c r="J296" s="633">
        <v>0</v>
      </c>
      <c r="K296" s="633">
        <v>0</v>
      </c>
      <c r="L296" s="633">
        <v>0</v>
      </c>
      <c r="M296" s="633">
        <v>0</v>
      </c>
      <c r="N296" s="633">
        <v>0</v>
      </c>
      <c r="O296" s="633">
        <v>0</v>
      </c>
      <c r="P296" s="133" t="s">
        <v>505</v>
      </c>
    </row>
    <row r="297" spans="1:16" s="629" customFormat="1" outlineLevel="5">
      <c r="A297" s="165"/>
      <c r="B297" s="632" t="s">
        <v>422</v>
      </c>
      <c r="C297" s="633">
        <v>37318.480000000003</v>
      </c>
      <c r="D297" s="633">
        <v>17873.88</v>
      </c>
      <c r="E297" s="633">
        <v>80708.22</v>
      </c>
      <c r="F297" s="633">
        <v>158322.23000000001</v>
      </c>
      <c r="G297" s="633">
        <v>17222.45</v>
      </c>
      <c r="H297" s="633">
        <v>0</v>
      </c>
      <c r="I297" s="633">
        <v>20960.8</v>
      </c>
      <c r="J297" s="633">
        <v>10747.93</v>
      </c>
      <c r="K297" s="633">
        <v>486.73</v>
      </c>
      <c r="L297" s="633">
        <v>4753.12</v>
      </c>
      <c r="M297" s="633">
        <v>-16046.12</v>
      </c>
      <c r="N297" s="633">
        <v>406.1</v>
      </c>
      <c r="O297" s="633">
        <v>332753.82</v>
      </c>
      <c r="P297" s="133" t="s">
        <v>505</v>
      </c>
    </row>
    <row r="298" spans="1:16" s="629" customFormat="1" outlineLevel="5">
      <c r="A298" s="165"/>
      <c r="B298" s="632" t="s">
        <v>423</v>
      </c>
      <c r="C298" s="633">
        <v>4096.66</v>
      </c>
      <c r="D298" s="633">
        <v>1754.12</v>
      </c>
      <c r="E298" s="633">
        <v>1747.25</v>
      </c>
      <c r="F298" s="633">
        <v>4722.3100000000004</v>
      </c>
      <c r="G298" s="633">
        <v>14495.19</v>
      </c>
      <c r="H298" s="633">
        <v>1998.04</v>
      </c>
      <c r="I298" s="633">
        <v>168.37</v>
      </c>
      <c r="J298" s="633">
        <v>1375.11</v>
      </c>
      <c r="K298" s="633">
        <v>2974.81</v>
      </c>
      <c r="L298" s="633">
        <v>3082.33</v>
      </c>
      <c r="M298" s="633">
        <v>3206.41</v>
      </c>
      <c r="N298" s="633">
        <v>1590.55</v>
      </c>
      <c r="O298" s="633">
        <v>41211.15</v>
      </c>
      <c r="P298" s="133" t="s">
        <v>505</v>
      </c>
    </row>
    <row r="299" spans="1:16" s="629" customFormat="1" outlineLevel="5">
      <c r="A299" s="165"/>
      <c r="B299" s="632" t="s">
        <v>542</v>
      </c>
      <c r="C299" s="633">
        <v>1367418.67</v>
      </c>
      <c r="D299" s="633">
        <v>685414.89</v>
      </c>
      <c r="E299" s="633">
        <v>805241.27</v>
      </c>
      <c r="F299" s="633">
        <v>722437.82</v>
      </c>
      <c r="G299" s="633">
        <v>582336.77</v>
      </c>
      <c r="H299" s="633">
        <v>848314.11</v>
      </c>
      <c r="I299" s="633">
        <v>168742.87</v>
      </c>
      <c r="J299" s="633">
        <v>764375.82</v>
      </c>
      <c r="K299" s="633">
        <v>642103.15</v>
      </c>
      <c r="L299" s="633">
        <v>271403.02</v>
      </c>
      <c r="M299" s="633">
        <v>582168.16</v>
      </c>
      <c r="N299" s="633">
        <v>863876.42</v>
      </c>
      <c r="O299" s="633">
        <v>8303832.9699999997</v>
      </c>
      <c r="P299" s="133" t="s">
        <v>505</v>
      </c>
    </row>
    <row r="300" spans="1:16" s="629" customFormat="1" outlineLevel="5">
      <c r="A300" s="165"/>
      <c r="B300" s="632" t="s">
        <v>2956</v>
      </c>
      <c r="C300" s="633">
        <v>85386.93</v>
      </c>
      <c r="D300" s="633">
        <v>90017.05</v>
      </c>
      <c r="E300" s="633">
        <v>50628.06</v>
      </c>
      <c r="F300" s="633">
        <v>42839.25</v>
      </c>
      <c r="G300" s="633">
        <v>64178.2</v>
      </c>
      <c r="H300" s="633">
        <v>47992.87</v>
      </c>
      <c r="I300" s="633">
        <v>49984.06</v>
      </c>
      <c r="J300" s="633">
        <v>26208.75</v>
      </c>
      <c r="K300" s="633">
        <v>41342.699999999997</v>
      </c>
      <c r="L300" s="633">
        <v>32777.21</v>
      </c>
      <c r="M300" s="633">
        <v>30452.27</v>
      </c>
      <c r="N300" s="633">
        <v>49124.78</v>
      </c>
      <c r="O300" s="633">
        <v>610932.13</v>
      </c>
      <c r="P300" s="133" t="s">
        <v>505</v>
      </c>
    </row>
    <row r="301" spans="1:16" s="629" customFormat="1" outlineLevel="5">
      <c r="A301" s="165"/>
      <c r="B301" s="632" t="s">
        <v>2957</v>
      </c>
      <c r="C301" s="633">
        <v>439685</v>
      </c>
      <c r="D301" s="633">
        <v>133336.09</v>
      </c>
      <c r="E301" s="633">
        <v>352924.5</v>
      </c>
      <c r="F301" s="633">
        <v>345903.77</v>
      </c>
      <c r="G301" s="633">
        <v>1330102.3899999999</v>
      </c>
      <c r="H301" s="633">
        <v>-793280.9</v>
      </c>
      <c r="I301" s="633">
        <v>270566.57</v>
      </c>
      <c r="J301" s="633">
        <v>192459</v>
      </c>
      <c r="K301" s="633">
        <v>157215.89000000001</v>
      </c>
      <c r="L301" s="633">
        <v>253318.07</v>
      </c>
      <c r="M301" s="633">
        <v>275817.64</v>
      </c>
      <c r="N301" s="633">
        <v>98533.97</v>
      </c>
      <c r="O301" s="633">
        <v>3056581.99</v>
      </c>
      <c r="P301" s="133" t="s">
        <v>505</v>
      </c>
    </row>
    <row r="302" spans="1:16" s="629" customFormat="1" outlineLevel="5">
      <c r="A302" s="165"/>
      <c r="B302" s="632" t="s">
        <v>543</v>
      </c>
      <c r="C302" s="633">
        <v>194.07</v>
      </c>
      <c r="D302" s="633">
        <v>0</v>
      </c>
      <c r="E302" s="633">
        <v>188.6</v>
      </c>
      <c r="F302" s="633">
        <v>1495.63</v>
      </c>
      <c r="G302" s="633">
        <v>139.13999999999999</v>
      </c>
      <c r="H302" s="633">
        <v>359.51</v>
      </c>
      <c r="I302" s="633">
        <v>84.54</v>
      </c>
      <c r="J302" s="633">
        <v>140.52000000000001</v>
      </c>
      <c r="K302" s="633">
        <v>310.42</v>
      </c>
      <c r="L302" s="633">
        <v>0</v>
      </c>
      <c r="M302" s="633">
        <v>77.5</v>
      </c>
      <c r="N302" s="633">
        <v>3257.75</v>
      </c>
      <c r="O302" s="633">
        <v>6247.68</v>
      </c>
      <c r="P302" s="133" t="s">
        <v>505</v>
      </c>
    </row>
    <row r="303" spans="1:16" s="629" customFormat="1" outlineLevel="5">
      <c r="A303" s="165"/>
      <c r="B303" s="632" t="s">
        <v>544</v>
      </c>
      <c r="C303" s="633">
        <v>22284.97</v>
      </c>
      <c r="D303" s="633">
        <v>10527.15</v>
      </c>
      <c r="E303" s="633">
        <v>39505.800000000003</v>
      </c>
      <c r="F303" s="633">
        <v>21130.39</v>
      </c>
      <c r="G303" s="633">
        <v>33088.33</v>
      </c>
      <c r="H303" s="633">
        <v>5749.43</v>
      </c>
      <c r="I303" s="633">
        <v>32040.63</v>
      </c>
      <c r="J303" s="633">
        <v>21215.24</v>
      </c>
      <c r="K303" s="633">
        <v>13216.49</v>
      </c>
      <c r="L303" s="633">
        <v>28638.46</v>
      </c>
      <c r="M303" s="633">
        <v>11274.84</v>
      </c>
      <c r="N303" s="633">
        <v>10662.49</v>
      </c>
      <c r="O303" s="633">
        <v>249334.22</v>
      </c>
      <c r="P303" s="133" t="s">
        <v>505</v>
      </c>
    </row>
    <row r="304" spans="1:16" s="629" customFormat="1" outlineLevel="4">
      <c r="A304" s="165"/>
      <c r="B304" s="632" t="s">
        <v>545</v>
      </c>
      <c r="C304" s="633">
        <v>64763.91</v>
      </c>
      <c r="D304" s="633">
        <v>34075.22</v>
      </c>
      <c r="E304" s="633">
        <v>21933.74</v>
      </c>
      <c r="F304" s="633">
        <v>22464.57</v>
      </c>
      <c r="G304" s="633">
        <v>12418.82</v>
      </c>
      <c r="H304" s="633">
        <v>37450.800000000003</v>
      </c>
      <c r="I304" s="633">
        <v>48271.41</v>
      </c>
      <c r="J304" s="633">
        <v>14999.53</v>
      </c>
      <c r="K304" s="633">
        <v>19328</v>
      </c>
      <c r="L304" s="633">
        <v>22062.39</v>
      </c>
      <c r="M304" s="633">
        <v>19788.47</v>
      </c>
      <c r="N304" s="633">
        <v>46929.07</v>
      </c>
      <c r="O304" s="633">
        <v>364485.93</v>
      </c>
      <c r="P304" s="133" t="s">
        <v>505</v>
      </c>
    </row>
    <row r="305" spans="1:16" s="629" customFormat="1" outlineLevel="5">
      <c r="A305" s="165"/>
      <c r="B305" s="632" t="s">
        <v>389</v>
      </c>
      <c r="C305" s="633">
        <v>120170.99</v>
      </c>
      <c r="D305" s="633">
        <v>127860.67</v>
      </c>
      <c r="E305" s="633">
        <v>197372.17</v>
      </c>
      <c r="F305" s="633">
        <v>349895.9</v>
      </c>
      <c r="G305" s="633">
        <v>326609.55</v>
      </c>
      <c r="H305" s="633">
        <v>279006.37</v>
      </c>
      <c r="I305" s="633">
        <v>339757.93</v>
      </c>
      <c r="J305" s="633">
        <v>133758.85</v>
      </c>
      <c r="K305" s="633">
        <v>204650.12</v>
      </c>
      <c r="L305" s="633">
        <v>204322.01</v>
      </c>
      <c r="M305" s="633">
        <v>114118.03</v>
      </c>
      <c r="N305" s="633">
        <v>105474.37</v>
      </c>
      <c r="O305" s="633">
        <v>2502996.96</v>
      </c>
      <c r="P305" s="133" t="s">
        <v>505</v>
      </c>
    </row>
    <row r="306" spans="1:16" s="629" customFormat="1" outlineLevel="5">
      <c r="A306" s="165"/>
      <c r="B306" s="632" t="s">
        <v>390</v>
      </c>
      <c r="C306" s="633">
        <v>14618.69</v>
      </c>
      <c r="D306" s="633">
        <v>17536.29</v>
      </c>
      <c r="E306" s="633">
        <v>10957.69</v>
      </c>
      <c r="F306" s="633">
        <v>22502.53</v>
      </c>
      <c r="G306" s="633">
        <v>22147.11</v>
      </c>
      <c r="H306" s="633">
        <v>18011.599999999999</v>
      </c>
      <c r="I306" s="633">
        <v>18228</v>
      </c>
      <c r="J306" s="633">
        <v>9277.31</v>
      </c>
      <c r="K306" s="633">
        <v>10336.92</v>
      </c>
      <c r="L306" s="633">
        <v>22051.45</v>
      </c>
      <c r="M306" s="633">
        <v>8299.2999999999993</v>
      </c>
      <c r="N306" s="633">
        <v>13784.31</v>
      </c>
      <c r="O306" s="633">
        <v>187751.2</v>
      </c>
      <c r="P306" s="133" t="s">
        <v>505</v>
      </c>
    </row>
    <row r="307" spans="1:16" s="629" customFormat="1" outlineLevel="5">
      <c r="A307" s="165"/>
      <c r="B307" s="632" t="s">
        <v>546</v>
      </c>
      <c r="C307" s="633">
        <v>-24991.23</v>
      </c>
      <c r="D307" s="633">
        <v>0</v>
      </c>
      <c r="E307" s="633">
        <v>-97780.69</v>
      </c>
      <c r="F307" s="633">
        <v>0</v>
      </c>
      <c r="G307" s="633">
        <v>-297706.23</v>
      </c>
      <c r="H307" s="633">
        <v>0</v>
      </c>
      <c r="I307" s="633">
        <v>0</v>
      </c>
      <c r="J307" s="633">
        <v>0</v>
      </c>
      <c r="K307" s="633">
        <v>-1.01</v>
      </c>
      <c r="L307" s="633">
        <v>71703.38</v>
      </c>
      <c r="M307" s="633">
        <v>109707.09</v>
      </c>
      <c r="N307" s="633">
        <v>124770.98</v>
      </c>
      <c r="O307" s="633">
        <v>-114297.71</v>
      </c>
      <c r="P307" s="133" t="s">
        <v>505</v>
      </c>
    </row>
    <row r="308" spans="1:16" s="629" customFormat="1" outlineLevel="5">
      <c r="A308" s="165"/>
      <c r="B308" s="632" t="s">
        <v>2293</v>
      </c>
      <c r="C308" s="633">
        <v>153601.07</v>
      </c>
      <c r="D308" s="633">
        <v>85644.77</v>
      </c>
      <c r="E308" s="633">
        <v>151032.45000000001</v>
      </c>
      <c r="F308" s="633">
        <v>97672.81</v>
      </c>
      <c r="G308" s="633">
        <v>109286.63</v>
      </c>
      <c r="H308" s="633">
        <v>69261.33</v>
      </c>
      <c r="I308" s="633">
        <v>110850.61</v>
      </c>
      <c r="J308" s="633">
        <v>90415.42</v>
      </c>
      <c r="K308" s="633">
        <v>112012.86</v>
      </c>
      <c r="L308" s="633">
        <v>160629.57</v>
      </c>
      <c r="M308" s="633">
        <v>153867.15</v>
      </c>
      <c r="N308" s="633">
        <v>156235.04</v>
      </c>
      <c r="O308" s="633">
        <v>1450509.71</v>
      </c>
      <c r="P308" s="133" t="s">
        <v>505</v>
      </c>
    </row>
    <row r="309" spans="1:16" s="629" customFormat="1" outlineLevel="5">
      <c r="A309" s="165"/>
      <c r="B309" s="632" t="s">
        <v>3753</v>
      </c>
      <c r="C309" s="633">
        <v>2299303.98</v>
      </c>
      <c r="D309" s="633">
        <v>1213317.1299999999</v>
      </c>
      <c r="E309" s="633">
        <v>1624335.65</v>
      </c>
      <c r="F309" s="633">
        <v>1801156.47</v>
      </c>
      <c r="G309" s="633">
        <v>2221533.98</v>
      </c>
      <c r="H309" s="633">
        <v>523950.12</v>
      </c>
      <c r="I309" s="633">
        <v>1076441.22</v>
      </c>
      <c r="J309" s="633">
        <v>1274282.6200000001</v>
      </c>
      <c r="K309" s="633">
        <v>1215632.27</v>
      </c>
      <c r="L309" s="633">
        <v>1088394.5</v>
      </c>
      <c r="M309" s="633">
        <v>1301113.23</v>
      </c>
      <c r="N309" s="633">
        <v>1484826.87</v>
      </c>
      <c r="O309" s="633">
        <v>17124288.039999999</v>
      </c>
      <c r="P309" s="133"/>
    </row>
    <row r="310" spans="1:16" s="629" customFormat="1" outlineLevel="5">
      <c r="A310" s="165"/>
      <c r="B310" s="632" t="s">
        <v>3729</v>
      </c>
      <c r="C310" s="633">
        <v>9969686.8900000006</v>
      </c>
      <c r="D310" s="633">
        <v>8151244.4699999997</v>
      </c>
      <c r="E310" s="633">
        <v>8409582.7599999998</v>
      </c>
      <c r="F310" s="633">
        <v>7699167.6100000003</v>
      </c>
      <c r="G310" s="633">
        <v>8656618.7200000007</v>
      </c>
      <c r="H310" s="633">
        <v>6905574.6100000003</v>
      </c>
      <c r="I310" s="633">
        <v>8014719.7699999996</v>
      </c>
      <c r="J310" s="633">
        <v>8057606.4199999999</v>
      </c>
      <c r="K310" s="633">
        <v>7780106.7800000003</v>
      </c>
      <c r="L310" s="633">
        <v>9201856.7699999996</v>
      </c>
      <c r="M310" s="633">
        <v>9323916.4100000001</v>
      </c>
      <c r="N310" s="633">
        <v>10245725.52</v>
      </c>
      <c r="O310" s="633">
        <v>102415806.73</v>
      </c>
      <c r="P310" s="133"/>
    </row>
    <row r="311" spans="1:16" s="629" customFormat="1" outlineLevel="5">
      <c r="A311" s="165"/>
      <c r="B311" s="632" t="s">
        <v>94</v>
      </c>
      <c r="C311" s="633">
        <v>2039907.79</v>
      </c>
      <c r="D311" s="633">
        <v>1833443.75</v>
      </c>
      <c r="E311" s="633">
        <v>1836295.97</v>
      </c>
      <c r="F311" s="633">
        <v>1834966.18</v>
      </c>
      <c r="G311" s="633">
        <v>1703050.54</v>
      </c>
      <c r="H311" s="633">
        <v>1835885.04</v>
      </c>
      <c r="I311" s="633">
        <v>1775110.94</v>
      </c>
      <c r="J311" s="633">
        <v>1836575.36</v>
      </c>
      <c r="K311" s="633">
        <v>1766962.85</v>
      </c>
      <c r="L311" s="633">
        <v>1764459.91</v>
      </c>
      <c r="M311" s="633">
        <v>1759388.42</v>
      </c>
      <c r="N311" s="633">
        <v>1757234.42</v>
      </c>
      <c r="O311" s="633">
        <v>21743281.170000002</v>
      </c>
      <c r="P311" s="133"/>
    </row>
    <row r="312" spans="1:16" s="629" customFormat="1" outlineLevel="5">
      <c r="A312" s="165"/>
      <c r="B312" s="632" t="s">
        <v>95</v>
      </c>
      <c r="C312" s="633">
        <v>129320.56</v>
      </c>
      <c r="D312" s="633">
        <v>128613.7</v>
      </c>
      <c r="E312" s="633">
        <v>130182.97</v>
      </c>
      <c r="F312" s="633">
        <v>136068.79</v>
      </c>
      <c r="G312" s="633">
        <v>136068.79999999999</v>
      </c>
      <c r="H312" s="633">
        <v>141101.60999999999</v>
      </c>
      <c r="I312" s="633">
        <v>146510.34</v>
      </c>
      <c r="J312" s="633">
        <v>146845.85</v>
      </c>
      <c r="K312" s="633">
        <v>124798.43</v>
      </c>
      <c r="L312" s="633">
        <v>155523.44</v>
      </c>
      <c r="M312" s="633">
        <v>341809.98</v>
      </c>
      <c r="N312" s="633">
        <v>119828.99</v>
      </c>
      <c r="O312" s="633">
        <v>1836673.46</v>
      </c>
      <c r="P312" s="133"/>
    </row>
    <row r="313" spans="1:16" s="629" customFormat="1" outlineLevel="5">
      <c r="A313" s="165"/>
      <c r="B313" s="632" t="s">
        <v>3754</v>
      </c>
      <c r="C313" s="633">
        <v>2169228.35</v>
      </c>
      <c r="D313" s="633">
        <v>1962057.45</v>
      </c>
      <c r="E313" s="633">
        <v>1966478.94</v>
      </c>
      <c r="F313" s="633">
        <v>1971034.97</v>
      </c>
      <c r="G313" s="633">
        <v>1839119.34</v>
      </c>
      <c r="H313" s="633">
        <v>1976986.65</v>
      </c>
      <c r="I313" s="633">
        <v>1921621.28</v>
      </c>
      <c r="J313" s="633">
        <v>1983421.21</v>
      </c>
      <c r="K313" s="633">
        <v>1891761.28</v>
      </c>
      <c r="L313" s="633">
        <v>1919983.35</v>
      </c>
      <c r="M313" s="633">
        <v>2101198.4</v>
      </c>
      <c r="N313" s="633">
        <v>1877063.41</v>
      </c>
      <c r="O313" s="633">
        <v>23579954.629999999</v>
      </c>
      <c r="P313" s="133"/>
    </row>
    <row r="314" spans="1:16" s="629" customFormat="1" outlineLevel="5">
      <c r="A314" s="165"/>
      <c r="B314" s="632" t="s">
        <v>1763</v>
      </c>
      <c r="C314" s="633">
        <v>2255068.63</v>
      </c>
      <c r="D314" s="633">
        <v>2216791.09</v>
      </c>
      <c r="E314" s="633">
        <v>2147391.64</v>
      </c>
      <c r="F314" s="633">
        <v>2045424.84</v>
      </c>
      <c r="G314" s="633">
        <v>2089052.94</v>
      </c>
      <c r="H314" s="633">
        <v>2045563.05</v>
      </c>
      <c r="I314" s="633">
        <v>1986461.15</v>
      </c>
      <c r="J314" s="633">
        <v>2156692.29</v>
      </c>
      <c r="K314" s="633">
        <v>2344267.46</v>
      </c>
      <c r="L314" s="633">
        <v>1935088.43</v>
      </c>
      <c r="M314" s="633">
        <v>2406028.09</v>
      </c>
      <c r="N314" s="633">
        <v>2407536.33</v>
      </c>
      <c r="O314" s="633">
        <v>26035365.940000001</v>
      </c>
      <c r="P314" s="133"/>
    </row>
    <row r="315" spans="1:16" s="629" customFormat="1" outlineLevel="5">
      <c r="A315" s="165"/>
      <c r="B315" s="632" t="s">
        <v>3731</v>
      </c>
      <c r="C315" s="633">
        <v>2255068.63</v>
      </c>
      <c r="D315" s="633">
        <v>2216791.09</v>
      </c>
      <c r="E315" s="633">
        <v>2147391.64</v>
      </c>
      <c r="F315" s="633">
        <v>2045424.84</v>
      </c>
      <c r="G315" s="633">
        <v>2089052.94</v>
      </c>
      <c r="H315" s="633">
        <v>2045563.05</v>
      </c>
      <c r="I315" s="633">
        <v>1986461.15</v>
      </c>
      <c r="J315" s="633">
        <v>2156692.29</v>
      </c>
      <c r="K315" s="633">
        <v>2344267.46</v>
      </c>
      <c r="L315" s="633">
        <v>1935088.43</v>
      </c>
      <c r="M315" s="633">
        <v>2406028.09</v>
      </c>
      <c r="N315" s="633">
        <v>2407536.33</v>
      </c>
      <c r="O315" s="633">
        <v>26035365.940000001</v>
      </c>
      <c r="P315" s="133"/>
    </row>
    <row r="316" spans="1:16" s="629" customFormat="1" outlineLevel="5">
      <c r="A316" s="165"/>
      <c r="B316" s="632" t="s">
        <v>2299</v>
      </c>
      <c r="C316" s="633">
        <v>-353423.37</v>
      </c>
      <c r="D316" s="633">
        <v>-357375.17</v>
      </c>
      <c r="E316" s="633">
        <v>-358008.58</v>
      </c>
      <c r="F316" s="633">
        <v>-356426.22</v>
      </c>
      <c r="G316" s="633">
        <v>-348245.83</v>
      </c>
      <c r="H316" s="633">
        <v>-347956.55</v>
      </c>
      <c r="I316" s="633">
        <v>-734909.9</v>
      </c>
      <c r="J316" s="633">
        <v>-325748.38</v>
      </c>
      <c r="K316" s="633">
        <v>-328986.89</v>
      </c>
      <c r="L316" s="633">
        <v>-656288.36</v>
      </c>
      <c r="M316" s="633">
        <v>-315594.52</v>
      </c>
      <c r="N316" s="633">
        <v>-336396.71</v>
      </c>
      <c r="O316" s="633">
        <v>-4819360.4800000004</v>
      </c>
      <c r="P316" s="133"/>
    </row>
    <row r="317" spans="1:16" s="629" customFormat="1" outlineLevel="5">
      <c r="A317" s="165"/>
      <c r="B317" s="632" t="s">
        <v>3732</v>
      </c>
      <c r="C317" s="633">
        <v>-353423.37</v>
      </c>
      <c r="D317" s="633">
        <v>-357375.17</v>
      </c>
      <c r="E317" s="633">
        <v>-358008.58</v>
      </c>
      <c r="F317" s="633">
        <v>-356426.22</v>
      </c>
      <c r="G317" s="633">
        <v>-348245.83</v>
      </c>
      <c r="H317" s="633">
        <v>-347956.55</v>
      </c>
      <c r="I317" s="633">
        <v>-734909.9</v>
      </c>
      <c r="J317" s="633">
        <v>-325748.38</v>
      </c>
      <c r="K317" s="633">
        <v>-328986.89</v>
      </c>
      <c r="L317" s="633">
        <v>-656288.36</v>
      </c>
      <c r="M317" s="633">
        <v>-315594.52</v>
      </c>
      <c r="N317" s="633">
        <v>-336396.71</v>
      </c>
      <c r="O317" s="633">
        <v>-4819360.4800000004</v>
      </c>
      <c r="P317" s="133"/>
    </row>
    <row r="318" spans="1:16" s="629" customFormat="1" outlineLevel="5">
      <c r="A318" s="165"/>
      <c r="B318" s="632" t="s">
        <v>778</v>
      </c>
      <c r="C318" s="633">
        <v>-57615.47</v>
      </c>
      <c r="D318" s="633">
        <v>-65425.43</v>
      </c>
      <c r="E318" s="633">
        <v>-62154.19</v>
      </c>
      <c r="F318" s="633">
        <v>-61999.01</v>
      </c>
      <c r="G318" s="633">
        <v>-56486.42</v>
      </c>
      <c r="H318" s="633">
        <v>-51598.11</v>
      </c>
      <c r="I318" s="633">
        <v>-44206.62</v>
      </c>
      <c r="J318" s="633">
        <v>-33524.14</v>
      </c>
      <c r="K318" s="633">
        <v>-30449.19</v>
      </c>
      <c r="L318" s="633">
        <v>-25534.11</v>
      </c>
      <c r="M318" s="633">
        <v>-34415.32</v>
      </c>
      <c r="N318" s="633">
        <v>-42392.73</v>
      </c>
      <c r="O318" s="633">
        <v>-565800.74</v>
      </c>
      <c r="P318" s="133"/>
    </row>
    <row r="319" spans="1:16" s="629" customFormat="1" outlineLevel="4">
      <c r="A319" s="165"/>
      <c r="B319" s="632" t="s">
        <v>3733</v>
      </c>
      <c r="C319" s="633">
        <v>-57615.47</v>
      </c>
      <c r="D319" s="633">
        <v>-65425.43</v>
      </c>
      <c r="E319" s="633">
        <v>-62154.19</v>
      </c>
      <c r="F319" s="633">
        <v>-61999.01</v>
      </c>
      <c r="G319" s="633">
        <v>-56486.42</v>
      </c>
      <c r="H319" s="633">
        <v>-51598.11</v>
      </c>
      <c r="I319" s="633">
        <v>-44206.62</v>
      </c>
      <c r="J319" s="633">
        <v>-33524.14</v>
      </c>
      <c r="K319" s="633">
        <v>-30449.19</v>
      </c>
      <c r="L319" s="633">
        <v>-25534.11</v>
      </c>
      <c r="M319" s="633">
        <v>-34415.32</v>
      </c>
      <c r="N319" s="633">
        <v>-42392.73</v>
      </c>
      <c r="O319" s="633">
        <v>-565800.74</v>
      </c>
    </row>
    <row r="320" spans="1:16" s="629" customFormat="1" outlineLevel="3">
      <c r="A320" s="165"/>
      <c r="B320" s="632" t="s">
        <v>2298</v>
      </c>
      <c r="C320" s="633">
        <v>3296.63</v>
      </c>
      <c r="D320" s="633">
        <v>-52.49</v>
      </c>
      <c r="E320" s="633">
        <v>-51.7</v>
      </c>
      <c r="F320" s="633">
        <v>-88.45</v>
      </c>
      <c r="G320" s="633">
        <v>-2907.21</v>
      </c>
      <c r="H320" s="633">
        <v>-2072.89</v>
      </c>
      <c r="I320" s="633">
        <v>-2198.54</v>
      </c>
      <c r="J320" s="633">
        <v>-1517.84</v>
      </c>
      <c r="K320" s="633">
        <v>1341.08</v>
      </c>
      <c r="L320" s="633">
        <v>-1134.79</v>
      </c>
      <c r="M320" s="633">
        <v>467392.5</v>
      </c>
      <c r="N320" s="633">
        <v>-468983.75</v>
      </c>
      <c r="O320" s="633">
        <v>-6977.45</v>
      </c>
    </row>
    <row r="321" spans="1:15" s="629" customFormat="1" outlineLevel="4">
      <c r="A321" s="165"/>
      <c r="B321" s="632" t="s">
        <v>4745</v>
      </c>
      <c r="C321" s="633">
        <v>0</v>
      </c>
      <c r="D321" s="633">
        <v>0</v>
      </c>
      <c r="E321" s="633">
        <v>0</v>
      </c>
      <c r="F321" s="633">
        <v>0</v>
      </c>
      <c r="G321" s="633">
        <v>0</v>
      </c>
      <c r="H321" s="633">
        <v>0</v>
      </c>
      <c r="I321" s="633">
        <v>0</v>
      </c>
      <c r="J321" s="633">
        <v>0</v>
      </c>
      <c r="K321" s="633">
        <v>0</v>
      </c>
      <c r="L321" s="633">
        <v>0</v>
      </c>
      <c r="M321" s="633">
        <v>0</v>
      </c>
      <c r="N321" s="633">
        <v>-19.91</v>
      </c>
      <c r="O321" s="633">
        <v>-19.91</v>
      </c>
    </row>
    <row r="322" spans="1:15" s="629" customFormat="1" outlineLevel="4">
      <c r="A322" s="165"/>
      <c r="B322" s="632" t="s">
        <v>3734</v>
      </c>
      <c r="C322" s="633">
        <v>3296.63</v>
      </c>
      <c r="D322" s="633">
        <v>-52.49</v>
      </c>
      <c r="E322" s="633">
        <v>-51.7</v>
      </c>
      <c r="F322" s="633">
        <v>-88.45</v>
      </c>
      <c r="G322" s="633">
        <v>-2907.21</v>
      </c>
      <c r="H322" s="633">
        <v>-2072.89</v>
      </c>
      <c r="I322" s="633">
        <v>-2198.54</v>
      </c>
      <c r="J322" s="633">
        <v>-1517.84</v>
      </c>
      <c r="K322" s="633">
        <v>1341.08</v>
      </c>
      <c r="L322" s="633">
        <v>-1134.79</v>
      </c>
      <c r="M322" s="633">
        <v>467392.5</v>
      </c>
      <c r="N322" s="633">
        <v>-469003.66</v>
      </c>
      <c r="O322" s="633">
        <v>-6997.36</v>
      </c>
    </row>
    <row r="323" spans="1:15" s="629" customFormat="1" outlineLevel="3">
      <c r="A323" s="165"/>
      <c r="B323" s="632" t="s">
        <v>2300</v>
      </c>
      <c r="C323" s="633">
        <v>49342.79</v>
      </c>
      <c r="D323" s="633">
        <v>0</v>
      </c>
      <c r="E323" s="633">
        <v>0</v>
      </c>
      <c r="F323" s="633">
        <v>0</v>
      </c>
      <c r="G323" s="633">
        <v>0</v>
      </c>
      <c r="H323" s="633">
        <v>0</v>
      </c>
      <c r="I323" s="633">
        <v>0</v>
      </c>
      <c r="J323" s="633">
        <v>0</v>
      </c>
      <c r="K323" s="633">
        <v>0</v>
      </c>
      <c r="L323" s="633">
        <v>0</v>
      </c>
      <c r="M323" s="633">
        <v>0</v>
      </c>
      <c r="N323" s="633">
        <v>0</v>
      </c>
      <c r="O323" s="633">
        <v>49342.79</v>
      </c>
    </row>
    <row r="324" spans="1:15" s="629" customFormat="1" outlineLevel="4">
      <c r="A324" s="165"/>
      <c r="B324" s="632" t="s">
        <v>779</v>
      </c>
      <c r="C324" s="633">
        <v>630.85</v>
      </c>
      <c r="D324" s="633">
        <v>26220.880000000001</v>
      </c>
      <c r="E324" s="633">
        <v>258</v>
      </c>
      <c r="F324" s="633">
        <v>28344.2</v>
      </c>
      <c r="G324" s="633">
        <v>4577.68</v>
      </c>
      <c r="H324" s="633">
        <v>3819.5</v>
      </c>
      <c r="I324" s="633">
        <v>23.65</v>
      </c>
      <c r="J324" s="633">
        <v>275.41000000000003</v>
      </c>
      <c r="K324" s="633">
        <v>902.21</v>
      </c>
      <c r="L324" s="633">
        <v>717.39</v>
      </c>
      <c r="M324" s="633">
        <v>-3899.8</v>
      </c>
      <c r="N324" s="633">
        <v>10930.3</v>
      </c>
      <c r="O324" s="633">
        <v>72800.27</v>
      </c>
    </row>
    <row r="325" spans="1:15" s="629" customFormat="1" outlineLevel="3">
      <c r="A325" s="165"/>
      <c r="B325" s="632" t="s">
        <v>2266</v>
      </c>
      <c r="C325" s="633">
        <v>321.47000000000003</v>
      </c>
      <c r="D325" s="633">
        <v>2530.79</v>
      </c>
      <c r="E325" s="633">
        <v>1426.93</v>
      </c>
      <c r="F325" s="633">
        <v>1430.43</v>
      </c>
      <c r="G325" s="633">
        <v>1447.43</v>
      </c>
      <c r="H325" s="633">
        <v>1520.4</v>
      </c>
      <c r="I325" s="633">
        <v>2831.97</v>
      </c>
      <c r="J325" s="633">
        <v>1437.55</v>
      </c>
      <c r="K325" s="633">
        <v>1442.22</v>
      </c>
      <c r="L325" s="633">
        <v>1491.16</v>
      </c>
      <c r="M325" s="633">
        <v>4038.8</v>
      </c>
      <c r="N325" s="633">
        <v>-1252.82</v>
      </c>
      <c r="O325" s="633">
        <v>18666.330000000002</v>
      </c>
    </row>
    <row r="326" spans="1:15" s="629" customFormat="1" outlineLevel="5">
      <c r="A326" s="165"/>
      <c r="B326" s="632" t="s">
        <v>2265</v>
      </c>
      <c r="C326" s="633">
        <v>0</v>
      </c>
      <c r="D326" s="633">
        <v>262.95</v>
      </c>
      <c r="E326" s="633">
        <v>0</v>
      </c>
      <c r="F326" s="633">
        <v>18.96</v>
      </c>
      <c r="G326" s="633">
        <v>0</v>
      </c>
      <c r="H326" s="633">
        <v>0</v>
      </c>
      <c r="I326" s="633">
        <v>10.32</v>
      </c>
      <c r="J326" s="633">
        <v>1500</v>
      </c>
      <c r="K326" s="633">
        <v>0</v>
      </c>
      <c r="L326" s="633">
        <v>0</v>
      </c>
      <c r="M326" s="633">
        <v>0</v>
      </c>
      <c r="N326" s="633">
        <v>0</v>
      </c>
      <c r="O326" s="633">
        <v>1792.23</v>
      </c>
    </row>
    <row r="327" spans="1:15" s="629" customFormat="1" outlineLevel="4">
      <c r="A327" s="165"/>
      <c r="B327" s="632" t="s">
        <v>3735</v>
      </c>
      <c r="C327" s="633">
        <v>50295.11</v>
      </c>
      <c r="D327" s="633">
        <v>29014.62</v>
      </c>
      <c r="E327" s="633">
        <v>1684.93</v>
      </c>
      <c r="F327" s="633">
        <v>29793.59</v>
      </c>
      <c r="G327" s="633">
        <v>6025.11</v>
      </c>
      <c r="H327" s="633">
        <v>5339.9</v>
      </c>
      <c r="I327" s="633">
        <v>2865.94</v>
      </c>
      <c r="J327" s="633">
        <v>3212.96</v>
      </c>
      <c r="K327" s="633">
        <v>2344.4299999999998</v>
      </c>
      <c r="L327" s="633">
        <v>2208.5500000000002</v>
      </c>
      <c r="M327" s="633">
        <v>139</v>
      </c>
      <c r="N327" s="633">
        <v>9677.48</v>
      </c>
      <c r="O327" s="633">
        <v>142601.62</v>
      </c>
    </row>
    <row r="328" spans="1:15" s="634" customFormat="1" outlineLevel="5">
      <c r="A328" s="165"/>
      <c r="B328" s="632" t="s">
        <v>3736</v>
      </c>
      <c r="C328" s="633">
        <v>-357447.1</v>
      </c>
      <c r="D328" s="633">
        <v>-393838.47</v>
      </c>
      <c r="E328" s="633">
        <v>-418529.54</v>
      </c>
      <c r="F328" s="633">
        <v>-388720.09</v>
      </c>
      <c r="G328" s="633">
        <v>-401614.35</v>
      </c>
      <c r="H328" s="633">
        <v>-396287.65</v>
      </c>
      <c r="I328" s="633">
        <v>-778449.12</v>
      </c>
      <c r="J328" s="633">
        <v>-357577.4</v>
      </c>
      <c r="K328" s="633">
        <v>-355750.57</v>
      </c>
      <c r="L328" s="633">
        <v>-680748.71</v>
      </c>
      <c r="M328" s="633">
        <v>117521.66</v>
      </c>
      <c r="N328" s="633">
        <v>-838115.62</v>
      </c>
      <c r="O328" s="633">
        <v>-5249556.96</v>
      </c>
    </row>
    <row r="329" spans="1:15" s="629" customFormat="1" outlineLevel="4">
      <c r="A329" s="165"/>
      <c r="B329" s="632" t="s">
        <v>1319</v>
      </c>
      <c r="C329" s="633">
        <v>803252.84</v>
      </c>
      <c r="D329" s="633">
        <v>819374.63</v>
      </c>
      <c r="E329" s="633">
        <v>819800.62</v>
      </c>
      <c r="F329" s="633">
        <v>819556.27</v>
      </c>
      <c r="G329" s="633">
        <v>819882.92</v>
      </c>
      <c r="H329" s="633">
        <v>821014.65</v>
      </c>
      <c r="I329" s="633">
        <v>821458.57</v>
      </c>
      <c r="J329" s="633">
        <v>820500.73</v>
      </c>
      <c r="K329" s="633">
        <v>821436.42</v>
      </c>
      <c r="L329" s="633">
        <v>778970.75</v>
      </c>
      <c r="M329" s="633">
        <v>233548.14</v>
      </c>
      <c r="N329" s="633">
        <v>1734753.76</v>
      </c>
      <c r="O329" s="633">
        <v>10113550.300000001</v>
      </c>
    </row>
    <row r="330" spans="1:15" s="629" customFormat="1" outlineLevel="5">
      <c r="A330" s="165"/>
      <c r="B330" s="632" t="s">
        <v>2304</v>
      </c>
      <c r="C330" s="633">
        <v>21428.400000000001</v>
      </c>
      <c r="D330" s="633">
        <v>21428.400000000001</v>
      </c>
      <c r="E330" s="633">
        <v>21428.400000000001</v>
      </c>
      <c r="F330" s="633">
        <v>21428.400000000001</v>
      </c>
      <c r="G330" s="633">
        <v>21428.400000000001</v>
      </c>
      <c r="H330" s="633">
        <v>21560.87</v>
      </c>
      <c r="I330" s="633">
        <v>21560.87</v>
      </c>
      <c r="J330" s="633">
        <v>21560.87</v>
      </c>
      <c r="K330" s="633">
        <v>21609.77</v>
      </c>
      <c r="L330" s="633">
        <v>21609.77</v>
      </c>
      <c r="M330" s="633">
        <v>21609.77</v>
      </c>
      <c r="N330" s="633">
        <v>21609.77</v>
      </c>
      <c r="O330" s="633">
        <v>258263.69</v>
      </c>
    </row>
    <row r="331" spans="1:15" s="629" customFormat="1" outlineLevel="5">
      <c r="A331" s="165"/>
      <c r="B331" s="632" t="s">
        <v>2867</v>
      </c>
      <c r="C331" s="633">
        <v>8168.66</v>
      </c>
      <c r="D331" s="633">
        <v>42976.800000000003</v>
      </c>
      <c r="E331" s="633">
        <v>42976.800000000003</v>
      </c>
      <c r="F331" s="633">
        <v>42976.800000000003</v>
      </c>
      <c r="G331" s="633">
        <v>42976.800000000003</v>
      </c>
      <c r="H331" s="633">
        <v>42976.800000000003</v>
      </c>
      <c r="I331" s="633">
        <v>44474.05</v>
      </c>
      <c r="J331" s="633">
        <v>44474.05</v>
      </c>
      <c r="K331" s="633">
        <v>47176.81</v>
      </c>
      <c r="L331" s="633">
        <v>47176.81</v>
      </c>
      <c r="M331" s="633">
        <v>47176.81</v>
      </c>
      <c r="N331" s="633">
        <v>85315.77</v>
      </c>
      <c r="O331" s="633">
        <v>538846.96</v>
      </c>
    </row>
    <row r="332" spans="1:15" s="629" customFormat="1" outlineLevel="4">
      <c r="A332" s="165"/>
      <c r="B332" s="632" t="s">
        <v>4839</v>
      </c>
      <c r="C332" s="633">
        <v>271.83999999999997</v>
      </c>
      <c r="D332" s="633">
        <v>-102.98</v>
      </c>
      <c r="E332" s="633">
        <v>-102.98</v>
      </c>
      <c r="F332" s="633">
        <v>-102.98</v>
      </c>
      <c r="G332" s="633">
        <v>-102.98</v>
      </c>
      <c r="H332" s="633">
        <v>0</v>
      </c>
      <c r="I332" s="633">
        <v>0</v>
      </c>
      <c r="J332" s="633">
        <v>0</v>
      </c>
      <c r="K332" s="633">
        <v>0</v>
      </c>
      <c r="L332" s="633">
        <v>0</v>
      </c>
      <c r="M332" s="633">
        <v>0</v>
      </c>
      <c r="N332" s="633">
        <v>0</v>
      </c>
      <c r="O332" s="633">
        <v>-140.08000000000001</v>
      </c>
    </row>
    <row r="333" spans="1:15" s="629" customFormat="1" outlineLevel="5">
      <c r="A333" s="165"/>
      <c r="B333" s="632" t="s">
        <v>3737</v>
      </c>
      <c r="C333" s="633">
        <v>833121.74</v>
      </c>
      <c r="D333" s="633">
        <v>883676.85</v>
      </c>
      <c r="E333" s="633">
        <v>884102.84</v>
      </c>
      <c r="F333" s="633">
        <v>883858.49</v>
      </c>
      <c r="G333" s="633">
        <v>884185.14</v>
      </c>
      <c r="H333" s="633">
        <v>885552.32</v>
      </c>
      <c r="I333" s="633">
        <v>887493.49</v>
      </c>
      <c r="J333" s="633">
        <v>886535.65</v>
      </c>
      <c r="K333" s="633">
        <v>890223</v>
      </c>
      <c r="L333" s="633">
        <v>847757.33</v>
      </c>
      <c r="M333" s="633">
        <v>302334.71999999997</v>
      </c>
      <c r="N333" s="633">
        <v>1841679.3</v>
      </c>
      <c r="O333" s="633">
        <v>10910520.869999999</v>
      </c>
    </row>
    <row r="334" spans="1:15" s="629" customFormat="1" outlineLevel="5">
      <c r="A334" s="165"/>
      <c r="B334" s="632" t="s">
        <v>1654</v>
      </c>
      <c r="C334" s="633">
        <v>553333.07999999996</v>
      </c>
      <c r="D334" s="633">
        <v>542367.81999999995</v>
      </c>
      <c r="E334" s="633">
        <v>547537.35</v>
      </c>
      <c r="F334" s="633">
        <v>551791.86</v>
      </c>
      <c r="G334" s="633">
        <v>634036.79</v>
      </c>
      <c r="H334" s="633">
        <v>521213.48</v>
      </c>
      <c r="I334" s="633">
        <v>969073.06</v>
      </c>
      <c r="J334" s="633">
        <v>579313.12</v>
      </c>
      <c r="K334" s="633">
        <v>455703.1</v>
      </c>
      <c r="L334" s="633">
        <v>547059.35</v>
      </c>
      <c r="M334" s="633">
        <v>543225.43000000005</v>
      </c>
      <c r="N334" s="633">
        <v>548395.35</v>
      </c>
      <c r="O334" s="633">
        <v>6993049.79</v>
      </c>
    </row>
    <row r="335" spans="1:15" s="629" customFormat="1" outlineLevel="5">
      <c r="A335" s="165"/>
      <c r="B335" s="632" t="s">
        <v>2869</v>
      </c>
      <c r="C335" s="633">
        <v>18164.310000000001</v>
      </c>
      <c r="D335" s="633">
        <v>13450.32</v>
      </c>
      <c r="E335" s="633">
        <v>12629.04</v>
      </c>
      <c r="F335" s="633">
        <v>9991.92</v>
      </c>
      <c r="G335" s="633">
        <v>9746.6200000000008</v>
      </c>
      <c r="H335" s="633">
        <v>8015.61</v>
      </c>
      <c r="I335" s="633">
        <v>7527.72</v>
      </c>
      <c r="J335" s="633">
        <v>9386.14</v>
      </c>
      <c r="K335" s="633">
        <v>9656.94</v>
      </c>
      <c r="L335" s="633">
        <v>10887.98</v>
      </c>
      <c r="M335" s="633">
        <v>9746.68</v>
      </c>
      <c r="N335" s="633">
        <v>10154.459999999999</v>
      </c>
      <c r="O335" s="633">
        <v>129357.74</v>
      </c>
    </row>
    <row r="336" spans="1:15" s="629" customFormat="1" outlineLevel="5">
      <c r="A336" s="165"/>
      <c r="B336" s="632" t="s">
        <v>3738</v>
      </c>
      <c r="C336" s="633">
        <v>571497.39</v>
      </c>
      <c r="D336" s="633">
        <v>555818.14</v>
      </c>
      <c r="E336" s="633">
        <v>560166.39</v>
      </c>
      <c r="F336" s="633">
        <v>561783.78</v>
      </c>
      <c r="G336" s="633">
        <v>643783.41</v>
      </c>
      <c r="H336" s="633">
        <v>529229.09</v>
      </c>
      <c r="I336" s="633">
        <v>976600.78</v>
      </c>
      <c r="J336" s="633">
        <v>588699.26</v>
      </c>
      <c r="K336" s="633">
        <v>465360.04</v>
      </c>
      <c r="L336" s="633">
        <v>557947.32999999996</v>
      </c>
      <c r="M336" s="633">
        <v>552972.11</v>
      </c>
      <c r="N336" s="633">
        <v>558549.81000000006</v>
      </c>
      <c r="O336" s="633">
        <v>7122407.5300000003</v>
      </c>
    </row>
    <row r="337" spans="1:15" s="629" customFormat="1" outlineLevel="4">
      <c r="A337" s="165"/>
      <c r="B337" s="632" t="s">
        <v>2868</v>
      </c>
      <c r="C337" s="633">
        <v>-28228.560000000001</v>
      </c>
      <c r="D337" s="633">
        <v>-33925.93</v>
      </c>
      <c r="E337" s="633">
        <v>-31672.17</v>
      </c>
      <c r="F337" s="633">
        <v>-32216.22</v>
      </c>
      <c r="G337" s="633">
        <v>-29351.49</v>
      </c>
      <c r="H337" s="633">
        <v>-26801.7</v>
      </c>
      <c r="I337" s="633">
        <v>-19128.87</v>
      </c>
      <c r="J337" s="633">
        <v>-14523.05</v>
      </c>
      <c r="K337" s="633">
        <v>-15139.79</v>
      </c>
      <c r="L337" s="633">
        <v>-11087.82</v>
      </c>
      <c r="M337" s="633">
        <v>-14942.11</v>
      </c>
      <c r="N337" s="633">
        <v>-18132.12</v>
      </c>
      <c r="O337" s="633">
        <v>-275149.83</v>
      </c>
    </row>
    <row r="338" spans="1:15" s="629" customFormat="1" outlineLevel="3">
      <c r="A338" s="165"/>
      <c r="B338" s="632" t="s">
        <v>3739</v>
      </c>
      <c r="C338" s="633">
        <v>-28228.560000000001</v>
      </c>
      <c r="D338" s="633">
        <v>-33925.93</v>
      </c>
      <c r="E338" s="633">
        <v>-31672.17</v>
      </c>
      <c r="F338" s="633">
        <v>-32216.22</v>
      </c>
      <c r="G338" s="633">
        <v>-29351.49</v>
      </c>
      <c r="H338" s="633">
        <v>-26801.7</v>
      </c>
      <c r="I338" s="633">
        <v>-19128.87</v>
      </c>
      <c r="J338" s="633">
        <v>-14523.05</v>
      </c>
      <c r="K338" s="633">
        <v>-15139.79</v>
      </c>
      <c r="L338" s="633">
        <v>-11087.82</v>
      </c>
      <c r="M338" s="633">
        <v>-14942.11</v>
      </c>
      <c r="N338" s="633">
        <v>-18132.12</v>
      </c>
      <c r="O338" s="633">
        <v>-275149.83</v>
      </c>
    </row>
    <row r="339" spans="1:15" s="629" customFormat="1" outlineLevel="5">
      <c r="A339" s="165"/>
      <c r="B339" s="632" t="s">
        <v>3740</v>
      </c>
      <c r="C339" s="633">
        <v>1376390.57</v>
      </c>
      <c r="D339" s="633">
        <v>1405569.06</v>
      </c>
      <c r="E339" s="633">
        <v>1412597.06</v>
      </c>
      <c r="F339" s="633">
        <v>1413426.05</v>
      </c>
      <c r="G339" s="633">
        <v>1498617.06</v>
      </c>
      <c r="H339" s="633">
        <v>1387979.71</v>
      </c>
      <c r="I339" s="633">
        <v>1844965.4</v>
      </c>
      <c r="J339" s="633">
        <v>1460711.86</v>
      </c>
      <c r="K339" s="633">
        <v>1340443.25</v>
      </c>
      <c r="L339" s="633">
        <v>1394616.84</v>
      </c>
      <c r="M339" s="633">
        <v>840364.72</v>
      </c>
      <c r="N339" s="633">
        <v>2382096.9900000002</v>
      </c>
      <c r="O339" s="633">
        <v>17757778.57</v>
      </c>
    </row>
    <row r="340" spans="1:15" s="629" customFormat="1" outlineLevel="5">
      <c r="A340" s="165"/>
      <c r="B340" s="632" t="s">
        <v>1764</v>
      </c>
      <c r="C340" s="633">
        <v>1727951.76</v>
      </c>
      <c r="D340" s="633">
        <v>958855</v>
      </c>
      <c r="E340" s="633">
        <v>-5552962.5999999996</v>
      </c>
      <c r="F340" s="633">
        <v>-7753076.8099999996</v>
      </c>
      <c r="G340" s="633">
        <v>-243875.5</v>
      </c>
      <c r="H340" s="633">
        <v>-3971306.58</v>
      </c>
      <c r="I340" s="633">
        <v>-893861.73</v>
      </c>
      <c r="J340" s="633">
        <v>-480647.9</v>
      </c>
      <c r="K340" s="633">
        <v>2193390.04</v>
      </c>
      <c r="L340" s="633">
        <v>4561290.3099999996</v>
      </c>
      <c r="M340" s="633">
        <v>3626006.23</v>
      </c>
      <c r="N340" s="633">
        <v>4721488.91</v>
      </c>
      <c r="O340" s="633">
        <v>-1106748.8700000001</v>
      </c>
    </row>
    <row r="341" spans="1:15" s="629" customFormat="1" outlineLevel="5">
      <c r="A341" s="165"/>
      <c r="B341" s="632" t="s">
        <v>2301</v>
      </c>
      <c r="C341" s="633">
        <v>140707.20000000001</v>
      </c>
      <c r="D341" s="633">
        <v>132656.5</v>
      </c>
      <c r="E341" s="633">
        <v>142676.66</v>
      </c>
      <c r="F341" s="633">
        <v>724455.84</v>
      </c>
      <c r="G341" s="633">
        <v>-450677.94</v>
      </c>
      <c r="H341" s="633">
        <v>138052.43</v>
      </c>
      <c r="I341" s="633">
        <v>292373.83</v>
      </c>
      <c r="J341" s="633">
        <v>129877.37</v>
      </c>
      <c r="K341" s="633">
        <v>130374.91</v>
      </c>
      <c r="L341" s="633">
        <v>260993.52</v>
      </c>
      <c r="M341" s="633">
        <v>-58683.06</v>
      </c>
      <c r="N341" s="633">
        <v>316521.19</v>
      </c>
      <c r="O341" s="633">
        <v>1899328.45</v>
      </c>
    </row>
    <row r="342" spans="1:15" s="629" customFormat="1" outlineLevel="5">
      <c r="A342" s="165"/>
      <c r="B342" s="632" t="s">
        <v>2295</v>
      </c>
      <c r="C342" s="633">
        <v>29540969.239999998</v>
      </c>
      <c r="D342" s="633">
        <v>5299103.0599999996</v>
      </c>
      <c r="E342" s="633">
        <v>8747713.7599999998</v>
      </c>
      <c r="F342" s="633">
        <v>11706775</v>
      </c>
      <c r="G342" s="633">
        <v>2407315.38</v>
      </c>
      <c r="H342" s="633">
        <v>5747153.8700000001</v>
      </c>
      <c r="I342" s="633">
        <v>3107722.4</v>
      </c>
      <c r="J342" s="633">
        <v>2919407.38</v>
      </c>
      <c r="K342" s="633">
        <v>1359685.17</v>
      </c>
      <c r="L342" s="633">
        <v>2190034.42</v>
      </c>
      <c r="M342" s="633">
        <v>2926551.82</v>
      </c>
      <c r="N342" s="633">
        <v>2547005.94</v>
      </c>
      <c r="O342" s="633">
        <v>78499437.439999998</v>
      </c>
    </row>
    <row r="343" spans="1:15" s="629" customFormat="1" outlineLevel="4">
      <c r="A343" s="165"/>
      <c r="B343" s="632" t="s">
        <v>2302</v>
      </c>
      <c r="C343" s="633">
        <v>56124.5</v>
      </c>
      <c r="D343" s="633">
        <v>56124.5</v>
      </c>
      <c r="E343" s="633">
        <v>56124.5</v>
      </c>
      <c r="F343" s="633">
        <v>56124.5</v>
      </c>
      <c r="G343" s="633">
        <v>56124.5</v>
      </c>
      <c r="H343" s="633">
        <v>56124.5</v>
      </c>
      <c r="I343" s="633">
        <v>56124.5</v>
      </c>
      <c r="J343" s="633">
        <v>56124.5</v>
      </c>
      <c r="K343" s="633">
        <v>56124.5</v>
      </c>
      <c r="L343" s="633">
        <v>56124.5</v>
      </c>
      <c r="M343" s="633">
        <v>56124.5</v>
      </c>
      <c r="N343" s="633">
        <v>56124.5</v>
      </c>
      <c r="O343" s="633">
        <v>673494</v>
      </c>
    </row>
    <row r="344" spans="1:15" s="629" customFormat="1" outlineLevel="5">
      <c r="A344" s="165"/>
      <c r="B344" s="632" t="s">
        <v>2296</v>
      </c>
      <c r="C344" s="633">
        <v>-40049930.729999997</v>
      </c>
      <c r="D344" s="633">
        <v>-4837966.3</v>
      </c>
      <c r="E344" s="633">
        <v>-1835561.91</v>
      </c>
      <c r="F344" s="633">
        <v>-5185288.76</v>
      </c>
      <c r="G344" s="633">
        <v>-1919028.37</v>
      </c>
      <c r="H344" s="633">
        <v>-1736071.1</v>
      </c>
      <c r="I344" s="633">
        <v>-5247472.51</v>
      </c>
      <c r="J344" s="633">
        <v>-2046039.91</v>
      </c>
      <c r="K344" s="633">
        <v>-3120583.72</v>
      </c>
      <c r="L344" s="633">
        <v>-4955186.21</v>
      </c>
      <c r="M344" s="633">
        <v>-2428908.88</v>
      </c>
      <c r="N344" s="633">
        <v>-2686272.13</v>
      </c>
      <c r="O344" s="633">
        <v>-76048310.530000001</v>
      </c>
    </row>
    <row r="345" spans="1:15" s="629" customFormat="1" outlineLevel="5">
      <c r="A345" s="165"/>
      <c r="B345" s="632" t="s">
        <v>2303</v>
      </c>
      <c r="C345" s="633">
        <v>0</v>
      </c>
      <c r="D345" s="633">
        <v>0</v>
      </c>
      <c r="E345" s="633">
        <v>0</v>
      </c>
      <c r="F345" s="633">
        <v>-5999.35</v>
      </c>
      <c r="G345" s="633">
        <v>0</v>
      </c>
      <c r="H345" s="633">
        <v>0</v>
      </c>
      <c r="I345" s="633">
        <v>0</v>
      </c>
      <c r="J345" s="633">
        <v>0</v>
      </c>
      <c r="K345" s="633">
        <v>0</v>
      </c>
      <c r="L345" s="633">
        <v>0</v>
      </c>
      <c r="M345" s="633">
        <v>0</v>
      </c>
      <c r="N345" s="633">
        <v>0</v>
      </c>
      <c r="O345" s="633">
        <v>-5999.35</v>
      </c>
    </row>
    <row r="346" spans="1:15" s="629" customFormat="1" outlineLevel="4">
      <c r="A346" s="165"/>
      <c r="B346" s="632" t="s">
        <v>2267</v>
      </c>
      <c r="C346" s="633">
        <v>-12416.67</v>
      </c>
      <c r="D346" s="633">
        <v>-12416.66</v>
      </c>
      <c r="E346" s="633">
        <v>-12416.67</v>
      </c>
      <c r="F346" s="633">
        <v>-12416.67</v>
      </c>
      <c r="G346" s="633">
        <v>-15333.33</v>
      </c>
      <c r="H346" s="633">
        <v>-12000</v>
      </c>
      <c r="I346" s="633">
        <v>-12000</v>
      </c>
      <c r="J346" s="633">
        <v>-12000</v>
      </c>
      <c r="K346" s="633">
        <v>-5204</v>
      </c>
      <c r="L346" s="633">
        <v>-14265.33</v>
      </c>
      <c r="M346" s="633">
        <v>-14265.34</v>
      </c>
      <c r="N346" s="633">
        <v>-14265.33</v>
      </c>
      <c r="O346" s="633">
        <v>-149000</v>
      </c>
    </row>
    <row r="347" spans="1:15" s="629" customFormat="1" outlineLevel="5">
      <c r="A347" s="165"/>
      <c r="B347" s="632" t="s">
        <v>3741</v>
      </c>
      <c r="C347" s="633">
        <v>-8596594.6999999993</v>
      </c>
      <c r="D347" s="633">
        <v>1596356.1</v>
      </c>
      <c r="E347" s="633">
        <v>1545573.74</v>
      </c>
      <c r="F347" s="633">
        <v>-469426.25</v>
      </c>
      <c r="G347" s="633">
        <v>-165475.26</v>
      </c>
      <c r="H347" s="633">
        <v>221953.12</v>
      </c>
      <c r="I347" s="633">
        <v>-2697113.51</v>
      </c>
      <c r="J347" s="633">
        <v>566721.43999999994</v>
      </c>
      <c r="K347" s="633">
        <v>613786.9</v>
      </c>
      <c r="L347" s="633">
        <v>2098991.21</v>
      </c>
      <c r="M347" s="633">
        <v>4106825.27</v>
      </c>
      <c r="N347" s="633">
        <v>4940603.08</v>
      </c>
      <c r="O347" s="633">
        <v>3762201.14</v>
      </c>
    </row>
    <row r="348" spans="1:15" s="629" customFormat="1" outlineLevel="4">
      <c r="A348" s="165"/>
      <c r="B348" s="632" t="s">
        <v>3755</v>
      </c>
      <c r="C348" s="633">
        <v>23424021.539999999</v>
      </c>
      <c r="D348" s="633">
        <v>28656726.079999998</v>
      </c>
      <c r="E348" s="633">
        <v>20341749.190000001</v>
      </c>
      <c r="F348" s="633">
        <v>15893172.380000001</v>
      </c>
      <c r="G348" s="633">
        <v>16678688.27</v>
      </c>
      <c r="H348" s="633">
        <v>14219094.779999999</v>
      </c>
      <c r="I348" s="633">
        <v>13453862.369999999</v>
      </c>
      <c r="J348" s="633">
        <v>18925384.140000001</v>
      </c>
      <c r="K348" s="633">
        <v>26174628.359999999</v>
      </c>
      <c r="L348" s="633">
        <v>42190025.490000002</v>
      </c>
      <c r="M348" s="633">
        <v>43796581.219999999</v>
      </c>
      <c r="N348" s="633">
        <v>47349028.420000002</v>
      </c>
      <c r="O348" s="633">
        <v>311102962.24000001</v>
      </c>
    </row>
    <row r="349" spans="1:15" s="629" customFormat="1" outlineLevel="3">
      <c r="A349" s="165"/>
      <c r="B349" s="632" t="s">
        <v>3756</v>
      </c>
      <c r="C349" s="633">
        <v>-3446735.72</v>
      </c>
      <c r="D349" s="633">
        <v>-2483252.42</v>
      </c>
      <c r="E349" s="633">
        <v>-1974293.57</v>
      </c>
      <c r="F349" s="633">
        <v>552803.04</v>
      </c>
      <c r="G349" s="633">
        <v>143192.79</v>
      </c>
      <c r="H349" s="633">
        <v>-282371.17</v>
      </c>
      <c r="I349" s="633">
        <v>232024.23</v>
      </c>
      <c r="J349" s="633">
        <v>-720989.18</v>
      </c>
      <c r="K349" s="633">
        <v>-2077258.22</v>
      </c>
      <c r="L349" s="633">
        <v>-6626410.75</v>
      </c>
      <c r="M349" s="633">
        <v>-4817175.75</v>
      </c>
      <c r="N349" s="633">
        <v>-5795170.6799999997</v>
      </c>
      <c r="O349" s="633">
        <v>-27295637.399999999</v>
      </c>
    </row>
    <row r="350" spans="1:15" s="629" customFormat="1" outlineLevel="4">
      <c r="A350" s="165"/>
      <c r="B350" s="635" t="s">
        <v>3757</v>
      </c>
      <c r="C350" s="636">
        <v>-9588617.7200000007</v>
      </c>
      <c r="D350" s="636">
        <v>-7423708.2400000002</v>
      </c>
      <c r="E350" s="636">
        <v>-7861229.4900000002</v>
      </c>
      <c r="F350" s="636">
        <v>-6040414</v>
      </c>
      <c r="G350" s="636">
        <v>-8064073.3700000001</v>
      </c>
      <c r="H350" s="636">
        <v>-8071724.1699999999</v>
      </c>
      <c r="I350" s="636">
        <v>-12098209.51</v>
      </c>
      <c r="J350" s="636">
        <v>-8317474.1100000003</v>
      </c>
      <c r="K350" s="636">
        <v>-9447331.0500000007</v>
      </c>
      <c r="L350" s="636">
        <v>-11989593.75</v>
      </c>
      <c r="M350" s="636">
        <v>-11391260.48</v>
      </c>
      <c r="N350" s="636">
        <v>-14684885.18</v>
      </c>
      <c r="O350" s="636">
        <v>-114978521.06999999</v>
      </c>
    </row>
    <row r="351" spans="1:15" s="629" customFormat="1" outlineLevel="4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</row>
    <row r="352" spans="1:15" s="629" customFormat="1"/>
    <row r="353" spans="2:16" s="629" customFormat="1">
      <c r="B353" s="133" t="s">
        <v>503</v>
      </c>
      <c r="C353" s="637"/>
      <c r="D353" s="637"/>
      <c r="E353" s="637"/>
      <c r="F353" s="637"/>
      <c r="G353" s="637"/>
      <c r="H353" s="637"/>
      <c r="I353" s="637"/>
      <c r="J353" s="637"/>
      <c r="K353" s="637"/>
      <c r="L353" s="637"/>
      <c r="M353" s="637"/>
      <c r="N353" s="637"/>
      <c r="O353" s="637"/>
      <c r="P353" s="634"/>
    </row>
    <row r="354" spans="2:16" s="629" customFormat="1">
      <c r="B354" s="133" t="s">
        <v>502</v>
      </c>
      <c r="C354" s="638">
        <f>SUMIF($P$10:$P$351,$B354,C$10:C$351)</f>
        <v>41741837.119999997</v>
      </c>
      <c r="D354" s="638">
        <f>SUMIF($P$10:$P$351,$B354,D$10:D$351)</f>
        <v>30540084.75</v>
      </c>
      <c r="E354" s="638">
        <f>SUMIF($P$10:$P$351,$B354,E$10:E$351)</f>
        <v>35805545.719999999</v>
      </c>
      <c r="F354" s="638">
        <f>SUMIF($P$10:$P$351,$B354,F$10:F$351)</f>
        <v>28590562.68</v>
      </c>
      <c r="G354" s="638">
        <f>SUMIF($P$10:$P$351,$B354,G$10:G$351)</f>
        <v>32133490.329999998</v>
      </c>
      <c r="H354" s="638">
        <f>SUMIF($P$10:$P$351,$B354,H$10:H$351)</f>
        <v>45458271.57</v>
      </c>
      <c r="I354" s="638">
        <f>SUMIF($P$10:$P$351,$B354,I$10:I$351)</f>
        <v>30533786.84</v>
      </c>
      <c r="J354" s="638">
        <f>SUMIF($P$10:$P$351,$B354,J$10:J$351)</f>
        <v>22422950.870000001</v>
      </c>
      <c r="K354" s="638">
        <f>SUMIF($P$10:$P$351,$B354,K$10:K$351)</f>
        <v>34297909.460000001</v>
      </c>
      <c r="L354" s="638">
        <f>SUMIF($P$10:$P$351,$B354,L$10:L$351)</f>
        <v>73652524.140000001</v>
      </c>
      <c r="M354" s="638">
        <f>SUMIF($P$10:$P$351,$B354,M$10:M$351)</f>
        <v>71267638.269999996</v>
      </c>
      <c r="N354" s="638">
        <f>SUMIF($P$10:$P$351,$B354,N$10:N$351)</f>
        <v>113857933.52</v>
      </c>
      <c r="O354" s="638">
        <f>SUMIF($P$10:$P$351,$B354,O$10:O$351)</f>
        <v>560302535.26999998</v>
      </c>
      <c r="P354" s="634"/>
    </row>
    <row r="355" spans="2:16" s="629" customFormat="1">
      <c r="B355" s="133" t="s">
        <v>506</v>
      </c>
      <c r="C355" s="638">
        <f>SUMIF($P$10:$P$351,$B355,C$10:C$351)</f>
        <v>8419562.9299999997</v>
      </c>
      <c r="D355" s="638">
        <f>SUMIF($P$10:$P$351,$B355,D$10:D$351)</f>
        <v>10408113.66</v>
      </c>
      <c r="E355" s="638">
        <f>SUMIF($P$10:$P$351,$B355,E$10:E$351)</f>
        <v>5444947.1199999992</v>
      </c>
      <c r="F355" s="638">
        <f>SUMIF($P$10:$P$351,$B355,F$10:F$351)</f>
        <v>3880320.9699999997</v>
      </c>
      <c r="G355" s="638">
        <f>SUMIF($P$10:$P$351,$B355,G$10:G$351)</f>
        <v>3765247.93</v>
      </c>
      <c r="H355" s="638">
        <f>SUMIF($P$10:$P$351,$B355,H$10:H$351)</f>
        <v>3721395.9199999995</v>
      </c>
      <c r="I355" s="638">
        <f>SUMIF($P$10:$P$351,$B355,I$10:I$351)</f>
        <v>2706304.189999999</v>
      </c>
      <c r="J355" s="638">
        <f>SUMIF($P$10:$P$351,$B355,J$10:J$351)</f>
        <v>6499462.7600000007</v>
      </c>
      <c r="K355" s="638">
        <f>SUMIF($P$10:$P$351,$B355,K$10:K$351)</f>
        <v>11905904.040000003</v>
      </c>
      <c r="L355" s="638">
        <f>SUMIF($P$10:$P$351,$B355,L$10:L$351)</f>
        <v>18082044.079999998</v>
      </c>
      <c r="M355" s="638">
        <f>SUMIF($P$10:$P$351,$B355,M$10:M$351)</f>
        <v>18423755.710000001</v>
      </c>
      <c r="N355" s="638">
        <f>SUMIF($P$10:$P$351,$B355,N$10:N$351)</f>
        <v>19204183.370000001</v>
      </c>
      <c r="O355" s="638">
        <f>SUMIF($P$10:$P$351,$B355,O$10:O$351)</f>
        <v>112461242.68000001</v>
      </c>
      <c r="P355" s="634"/>
    </row>
    <row r="356" spans="2:16" s="629" customFormat="1">
      <c r="B356" s="133" t="s">
        <v>504</v>
      </c>
      <c r="C356" s="638">
        <f>SUMIF($P$10:$P$351,$B356,C$10:C$351)</f>
        <v>50587857.440000013</v>
      </c>
      <c r="D356" s="638">
        <f>SUMIF($P$10:$P$351,$B356,D$10:D$351)</f>
        <v>42858878.080000006</v>
      </c>
      <c r="E356" s="638">
        <f>SUMIF($P$10:$P$351,$B356,E$10:E$351)</f>
        <v>41559318.139999993</v>
      </c>
      <c r="F356" s="638">
        <f>SUMIF($P$10:$P$351,$B356,F$10:F$351)</f>
        <v>39933206.869999997</v>
      </c>
      <c r="G356" s="638">
        <f>SUMIF($P$10:$P$351,$B356,G$10:G$351)</f>
        <v>25310062.780000005</v>
      </c>
      <c r="H356" s="638">
        <f>SUMIF($P$10:$P$351,$B356,H$10:H$351)</f>
        <v>43498232.399999999</v>
      </c>
      <c r="I356" s="638">
        <f>SUMIF($P$10:$P$351,$B356,I$10:I$351)</f>
        <v>39139608.07</v>
      </c>
      <c r="J356" s="638">
        <f>SUMIF($P$10:$P$351,$B356,J$10:J$351)</f>
        <v>41558225.659999996</v>
      </c>
      <c r="K356" s="638">
        <f>SUMIF($P$10:$P$351,$B356,K$10:K$351)</f>
        <v>41606236.150000006</v>
      </c>
      <c r="L356" s="638">
        <f>SUMIF($P$10:$P$351,$B356,L$10:L$351)</f>
        <v>35277488.840000004</v>
      </c>
      <c r="M356" s="638">
        <f>SUMIF($P$10:$P$351,$B356,M$10:M$351)</f>
        <v>38658532.870000012</v>
      </c>
      <c r="N356" s="638">
        <f>SUMIF($P$10:$P$351,$B356,N$10:N$351)</f>
        <v>40761106.250000007</v>
      </c>
      <c r="O356" s="638">
        <f>SUMIF($P$10:$P$351,$B356,O$10:O$351)</f>
        <v>480748753.55000025</v>
      </c>
      <c r="P356" s="634"/>
    </row>
    <row r="357" spans="2:16" s="629" customFormat="1">
      <c r="B357" s="133" t="s">
        <v>505</v>
      </c>
      <c r="C357" s="638">
        <f>SUMIF($P$10:$P$351,$B357,C$10:C$351)</f>
        <v>8393883.8900000006</v>
      </c>
      <c r="D357" s="638">
        <f>SUMIF($P$10:$P$351,$B357,D$10:D$351)</f>
        <v>6798875.1799999978</v>
      </c>
      <c r="E357" s="638">
        <f>SUMIF($P$10:$P$351,$B357,E$10:E$351)</f>
        <v>7738658.9899999993</v>
      </c>
      <c r="F357" s="638">
        <f>SUMIF($P$10:$P$351,$B357,F$10:F$351)</f>
        <v>7237188.0199999996</v>
      </c>
      <c r="G357" s="638">
        <f>SUMIF($P$10:$P$351,$B357,G$10:G$351)</f>
        <v>8113691.6100000003</v>
      </c>
      <c r="H357" s="638">
        <f>SUMIF($P$10:$P$351,$B357,H$10:H$351)</f>
        <v>6564318.7199999988</v>
      </c>
      <c r="I357" s="638">
        <f>SUMIF($P$10:$P$351,$B357,I$10:I$351)</f>
        <v>7585615.4400000013</v>
      </c>
      <c r="J357" s="638">
        <f>SUMIF($P$10:$P$351,$B357,J$10:J$351)</f>
        <v>7074729.4299999978</v>
      </c>
      <c r="K357" s="638">
        <f>SUMIF($P$10:$P$351,$B357,K$10:K$351)</f>
        <v>7165093.2600000016</v>
      </c>
      <c r="L357" s="638">
        <f>SUMIF($P$10:$P$351,$B357,L$10:L$351)</f>
        <v>7818702.5699999994</v>
      </c>
      <c r="M357" s="638">
        <f>SUMIF($P$10:$P$351,$B357,M$10:M$351)</f>
        <v>7518085.4900000002</v>
      </c>
      <c r="N357" s="638">
        <f>SUMIF($P$10:$P$351,$B357,N$10:N$351)</f>
        <v>8205386.4900000002</v>
      </c>
      <c r="O357" s="638">
        <f>SUMIF($P$10:$P$351,$B357,O$10:O$351)</f>
        <v>90214229.089999974</v>
      </c>
      <c r="P357" s="634"/>
    </row>
    <row r="358" spans="2:16" s="629" customFormat="1"/>
    <row r="359" spans="2:16" s="629" customFormat="1"/>
    <row r="360" spans="2:16" s="629" customFormat="1"/>
    <row r="361" spans="2:16" s="629" customFormat="1"/>
    <row r="362" spans="2:16" s="629" customFormat="1"/>
    <row r="363" spans="2:16" s="629" customFormat="1"/>
    <row r="364" spans="2:16" s="629" customFormat="1"/>
  </sheetData>
  <dataConsolidate/>
  <pageMargins left="0.3" right="0.33" top="0.57999999999999996" bottom="0.55000000000000004" header="0.28999999999999998" footer="0.26"/>
  <pageSetup scale="54" fitToHeight="4" orientation="landscape" r:id="rId1"/>
  <headerFooter alignWithMargins="0">
    <oddFooter>&amp;C&amp;P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0"/>
  <dimension ref="A1:AD490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3.7109375" customWidth="1"/>
    <col min="2" max="2" width="12.5703125" style="2" customWidth="1"/>
    <col min="3" max="3" width="19.85546875" style="2" customWidth="1"/>
    <col min="4" max="7" width="16.7109375" style="21" customWidth="1"/>
    <col min="8" max="8" width="2.5703125" style="29" customWidth="1"/>
    <col min="9" max="16384" width="9.140625" style="29"/>
  </cols>
  <sheetData>
    <row r="1" spans="1:14" s="24" customFormat="1">
      <c r="B1" s="25"/>
      <c r="C1" s="25"/>
      <c r="D1" s="26"/>
      <c r="E1" s="26"/>
      <c r="F1" s="26"/>
      <c r="G1" s="26"/>
      <c r="I1" s="107"/>
      <c r="J1" s="107"/>
      <c r="K1" s="108"/>
      <c r="L1" s="108"/>
      <c r="M1" s="108"/>
      <c r="N1" s="108"/>
    </row>
    <row r="2" spans="1:14" s="24" customFormat="1">
      <c r="B2" s="25" t="s">
        <v>995</v>
      </c>
      <c r="C2" s="25" t="s">
        <v>996</v>
      </c>
      <c r="D2" s="26" t="s">
        <v>1177</v>
      </c>
      <c r="E2" s="26" t="s">
        <v>1178</v>
      </c>
      <c r="F2" s="26" t="s">
        <v>997</v>
      </c>
      <c r="G2" s="26" t="s">
        <v>1179</v>
      </c>
      <c r="I2" s="107"/>
      <c r="J2" s="107"/>
      <c r="K2" s="108"/>
      <c r="L2" s="108"/>
      <c r="M2" s="108"/>
      <c r="N2" s="108"/>
    </row>
    <row r="3" spans="1:14" s="24" customFormat="1">
      <c r="B3" s="25"/>
      <c r="C3" s="25"/>
      <c r="D3" s="26"/>
      <c r="E3" s="26"/>
      <c r="F3" s="26"/>
      <c r="G3" s="26"/>
      <c r="I3" s="107"/>
      <c r="J3" s="107"/>
      <c r="K3" s="108"/>
      <c r="L3" s="108"/>
      <c r="M3" s="108"/>
      <c r="N3" s="108"/>
    </row>
    <row r="4" spans="1:14">
      <c r="A4" s="29"/>
      <c r="B4" s="27" t="s">
        <v>1181</v>
      </c>
      <c r="C4" s="27" t="s">
        <v>2588</v>
      </c>
      <c r="D4" s="28">
        <v>0.871</v>
      </c>
      <c r="E4" s="28">
        <v>0.129</v>
      </c>
      <c r="F4" s="28">
        <v>0</v>
      </c>
      <c r="G4" s="28">
        <v>1</v>
      </c>
    </row>
    <row r="5" spans="1:14">
      <c r="A5" s="29"/>
      <c r="B5" s="27" t="s">
        <v>1182</v>
      </c>
      <c r="C5" s="27" t="s">
        <v>1693</v>
      </c>
      <c r="D5" s="35">
        <f>D27</f>
        <v>0.79196546646577504</v>
      </c>
      <c r="E5" s="35">
        <f>E27</f>
        <v>0.20803453353422496</v>
      </c>
      <c r="F5" s="28">
        <v>0</v>
      </c>
      <c r="G5" s="28">
        <v>1</v>
      </c>
    </row>
    <row r="6" spans="1:14">
      <c r="A6" s="29"/>
      <c r="B6" s="27" t="s">
        <v>1183</v>
      </c>
      <c r="C6" s="27" t="s">
        <v>1177</v>
      </c>
      <c r="D6" s="28">
        <v>1</v>
      </c>
      <c r="E6" s="28">
        <v>0</v>
      </c>
      <c r="F6" s="28">
        <v>0</v>
      </c>
      <c r="G6" s="28">
        <v>1</v>
      </c>
    </row>
    <row r="7" spans="1:14">
      <c r="A7" s="29"/>
      <c r="B7" s="27" t="s">
        <v>1184</v>
      </c>
      <c r="C7" s="27" t="s">
        <v>1178</v>
      </c>
      <c r="D7" s="28">
        <v>0</v>
      </c>
      <c r="E7" s="28">
        <v>1</v>
      </c>
      <c r="F7" s="28">
        <v>0</v>
      </c>
      <c r="G7" s="28">
        <v>1</v>
      </c>
    </row>
    <row r="8" spans="1:14">
      <c r="A8" s="29"/>
      <c r="B8" s="27" t="s">
        <v>1185</v>
      </c>
      <c r="C8" s="27" t="s">
        <v>1185</v>
      </c>
      <c r="D8" s="35">
        <f>D91</f>
        <v>0.91800000000000004</v>
      </c>
      <c r="E8" s="35">
        <f>E91</f>
        <v>8.2000000000000003E-2</v>
      </c>
      <c r="F8" s="28">
        <v>0</v>
      </c>
      <c r="G8" s="28">
        <v>1</v>
      </c>
    </row>
    <row r="9" spans="1:14">
      <c r="A9" s="29"/>
      <c r="B9" s="27" t="s">
        <v>1186</v>
      </c>
      <c r="C9" s="27" t="s">
        <v>1187</v>
      </c>
      <c r="D9" s="28">
        <v>0</v>
      </c>
      <c r="E9" s="28">
        <v>0</v>
      </c>
      <c r="F9" s="28">
        <v>1</v>
      </c>
      <c r="G9" s="28">
        <v>1</v>
      </c>
    </row>
    <row r="10" spans="1:14">
      <c r="A10" s="29"/>
      <c r="B10" s="27" t="s">
        <v>1188</v>
      </c>
      <c r="C10" s="27" t="s">
        <v>1843</v>
      </c>
      <c r="D10" s="35">
        <f>D40</f>
        <v>0.76071990262269951</v>
      </c>
      <c r="E10" s="35">
        <f>E40</f>
        <v>0.23928009737730072</v>
      </c>
      <c r="F10" s="28">
        <v>0</v>
      </c>
      <c r="G10" s="28">
        <v>1</v>
      </c>
    </row>
    <row r="11" spans="1:14">
      <c r="A11" s="29"/>
      <c r="B11" s="27" t="s">
        <v>1553</v>
      </c>
      <c r="C11" s="27" t="s">
        <v>2587</v>
      </c>
      <c r="D11" s="35">
        <f>D83</f>
        <v>0.81899999999999995</v>
      </c>
      <c r="E11" s="35">
        <f>E83</f>
        <v>0.18099999999999999</v>
      </c>
      <c r="F11" s="28">
        <v>0</v>
      </c>
      <c r="G11" s="28">
        <v>1</v>
      </c>
    </row>
    <row r="12" spans="1:14">
      <c r="A12" s="29"/>
      <c r="B12" s="27" t="s">
        <v>1554</v>
      </c>
      <c r="C12" s="27" t="s">
        <v>1555</v>
      </c>
      <c r="D12" s="35">
        <f>D63</f>
        <v>0.80958645835662735</v>
      </c>
      <c r="E12" s="35">
        <f>E63</f>
        <v>0.19041354164337276</v>
      </c>
      <c r="F12" s="28">
        <v>0</v>
      </c>
      <c r="G12" s="28">
        <v>1</v>
      </c>
    </row>
    <row r="13" spans="1:14">
      <c r="A13" s="29"/>
      <c r="B13" s="27" t="s">
        <v>1556</v>
      </c>
      <c r="C13" s="27" t="s">
        <v>1844</v>
      </c>
      <c r="D13" s="35">
        <f>D72</f>
        <v>0.73949302143550677</v>
      </c>
      <c r="E13" s="35">
        <f>E72</f>
        <v>0.26050697856449312</v>
      </c>
      <c r="F13" s="28">
        <v>0</v>
      </c>
      <c r="G13" s="28">
        <v>1</v>
      </c>
      <c r="I13" s="24"/>
    </row>
    <row r="14" spans="1:14">
      <c r="A14" s="29"/>
      <c r="B14" s="27" t="s">
        <v>1557</v>
      </c>
      <c r="C14" s="27" t="s">
        <v>1891</v>
      </c>
      <c r="D14" s="35">
        <f>D49</f>
        <v>0.77544352505021785</v>
      </c>
      <c r="E14" s="35">
        <f>E49</f>
        <v>0.22455647494978223</v>
      </c>
      <c r="F14" s="28">
        <v>0</v>
      </c>
      <c r="G14" s="28">
        <v>1</v>
      </c>
    </row>
    <row r="15" spans="1:14">
      <c r="D15" s="16"/>
      <c r="E15" s="16"/>
      <c r="F15" s="16"/>
      <c r="G15" s="16"/>
    </row>
    <row r="19" spans="2:7">
      <c r="C19" s="157" t="s">
        <v>1189</v>
      </c>
      <c r="D19" s="78" t="s">
        <v>4652</v>
      </c>
      <c r="E19" s="29"/>
    </row>
    <row r="21" spans="2:7">
      <c r="C21" s="2" t="s">
        <v>1109</v>
      </c>
      <c r="D21" s="17">
        <v>2880467797</v>
      </c>
      <c r="E21" s="17">
        <v>772007485</v>
      </c>
      <c r="G21" s="88">
        <f>SUM(D21:E21)</f>
        <v>3652475282</v>
      </c>
    </row>
    <row r="22" spans="2:7" ht="15">
      <c r="C22" s="2" t="s">
        <v>2197</v>
      </c>
      <c r="D22" s="158">
        <v>97811828</v>
      </c>
      <c r="E22" s="158">
        <v>10330936</v>
      </c>
      <c r="G22" s="140">
        <f>SUM(D22:E22)</f>
        <v>108142764</v>
      </c>
    </row>
    <row r="24" spans="2:7" ht="15">
      <c r="C24" s="2" t="s">
        <v>1179</v>
      </c>
      <c r="D24" s="89">
        <f>SUM(D21:D23)</f>
        <v>2978279625</v>
      </c>
      <c r="E24" s="89">
        <f>SUM(E21:E23)</f>
        <v>782338421</v>
      </c>
      <c r="F24" s="90"/>
      <c r="G24" s="89">
        <f>SUM(G21:G23)</f>
        <v>3760618046</v>
      </c>
    </row>
    <row r="25" spans="2:7">
      <c r="B25" s="3"/>
      <c r="D25" s="17"/>
      <c r="E25" s="17"/>
      <c r="F25" s="17"/>
      <c r="G25" s="17"/>
    </row>
    <row r="26" spans="2:7">
      <c r="B26" s="3"/>
      <c r="C26" s="2" t="s">
        <v>133</v>
      </c>
      <c r="D26" s="20">
        <f>D24/$G24</f>
        <v>0.7919654664657747</v>
      </c>
      <c r="E26" s="20">
        <f>E24/$G24</f>
        <v>0.20803453353422535</v>
      </c>
      <c r="F26" s="20"/>
      <c r="G26" s="20">
        <v>1</v>
      </c>
    </row>
    <row r="27" spans="2:7">
      <c r="B27" s="3"/>
      <c r="C27" s="156" t="s">
        <v>134</v>
      </c>
      <c r="D27" s="159">
        <v>0.79196546646577504</v>
      </c>
      <c r="E27" s="159">
        <v>0.20803453353422496</v>
      </c>
      <c r="G27" s="159">
        <v>1</v>
      </c>
    </row>
    <row r="28" spans="2:7">
      <c r="B28" s="154"/>
      <c r="C28" s="155" t="s">
        <v>4638</v>
      </c>
      <c r="D28" s="33"/>
      <c r="E28" s="33"/>
      <c r="G28" s="33"/>
    </row>
    <row r="29" spans="2:7">
      <c r="B29" s="3"/>
      <c r="C29" s="155"/>
    </row>
    <row r="30" spans="2:7">
      <c r="B30" s="3"/>
      <c r="C30" s="32" t="s">
        <v>4653</v>
      </c>
      <c r="D30" s="30">
        <v>0.79100000000000004</v>
      </c>
      <c r="E30" s="30">
        <v>0.20899999999999999</v>
      </c>
      <c r="F30" s="31"/>
      <c r="G30" s="31">
        <v>1</v>
      </c>
    </row>
    <row r="31" spans="2:7">
      <c r="B31" s="3"/>
      <c r="D31" s="17"/>
      <c r="E31" s="17"/>
      <c r="F31" s="17"/>
      <c r="G31" s="17"/>
    </row>
    <row r="32" spans="2:7">
      <c r="B32" s="3"/>
      <c r="D32" s="17"/>
      <c r="E32" s="17"/>
      <c r="F32" s="17"/>
      <c r="G32" s="17"/>
    </row>
    <row r="33" spans="2:16">
      <c r="B33" s="3"/>
      <c r="C33" s="43" t="s">
        <v>1511</v>
      </c>
      <c r="D33" s="13" t="s">
        <v>1277</v>
      </c>
      <c r="E33" s="17"/>
      <c r="F33" s="17"/>
      <c r="G33" s="17"/>
    </row>
    <row r="34" spans="2:16">
      <c r="C34" s="3" t="s">
        <v>132</v>
      </c>
      <c r="D34" s="17">
        <f>+'Balance Sheet Detail'!U1583</f>
        <v>3832145.2582288715</v>
      </c>
      <c r="E34" s="17">
        <f>+'Balance Sheet Detail'!V1583</f>
        <v>932984.67615820921</v>
      </c>
      <c r="F34" s="17"/>
      <c r="G34" s="88">
        <f>SUM(D34:E34)</f>
        <v>4765129.9343870804</v>
      </c>
      <c r="L34" s="17"/>
      <c r="P34" s="17"/>
    </row>
    <row r="35" spans="2:16" ht="15">
      <c r="C35" s="3" t="s">
        <v>1820</v>
      </c>
      <c r="D35" s="18">
        <f>+'Balance Sheet Detail'!U1585</f>
        <v>-2001093.2911065009</v>
      </c>
      <c r="E35" s="18">
        <f>+'Balance Sheet Detail'!V1585</f>
        <v>-357037.74551224947</v>
      </c>
      <c r="F35" s="17"/>
      <c r="G35" s="140">
        <f>SUM(D35:E35)</f>
        <v>-2358131.0366187505</v>
      </c>
      <c r="L35" s="17"/>
      <c r="P35" s="17"/>
    </row>
    <row r="36" spans="2:16">
      <c r="C36" s="3"/>
      <c r="D36" s="17"/>
      <c r="E36" s="17"/>
      <c r="F36" s="17"/>
    </row>
    <row r="37" spans="2:16" ht="15">
      <c r="C37" s="3" t="s">
        <v>1843</v>
      </c>
      <c r="D37" s="19">
        <f>SUM(D34:D36)</f>
        <v>1831051.9671223706</v>
      </c>
      <c r="E37" s="19">
        <f>SUM(E34:E36)</f>
        <v>575946.93064595968</v>
      </c>
      <c r="F37" s="19"/>
      <c r="G37" s="89">
        <f>SUM(G34:G36)</f>
        <v>2406998.8977683298</v>
      </c>
      <c r="I37" s="19"/>
      <c r="J37" s="19"/>
      <c r="K37" s="19"/>
      <c r="L37" s="19"/>
      <c r="M37" s="19"/>
      <c r="N37" s="19"/>
      <c r="O37" s="19"/>
      <c r="P37" s="19"/>
    </row>
    <row r="38" spans="2:16">
      <c r="C38" s="3"/>
      <c r="D38" s="17"/>
      <c r="E38" s="17"/>
      <c r="F38" s="17"/>
      <c r="G38" s="17"/>
      <c r="I38" s="17"/>
      <c r="J38" s="17"/>
      <c r="K38" s="17"/>
      <c r="L38" s="17"/>
      <c r="M38" s="17"/>
      <c r="N38" s="17"/>
      <c r="O38" s="17"/>
      <c r="P38" s="17"/>
    </row>
    <row r="39" spans="2:16">
      <c r="C39" s="3" t="s">
        <v>133</v>
      </c>
      <c r="D39" s="20">
        <f>D37/$G37</f>
        <v>0.76071990262232625</v>
      </c>
      <c r="E39" s="20">
        <f>E37/$G37</f>
        <v>0.23928009737767389</v>
      </c>
      <c r="F39" s="20"/>
      <c r="G39" s="20">
        <v>1</v>
      </c>
      <c r="I39" s="20"/>
      <c r="J39" s="20"/>
      <c r="K39" s="20"/>
      <c r="L39" s="20"/>
      <c r="M39" s="20"/>
      <c r="N39" s="20"/>
      <c r="O39" s="20"/>
      <c r="P39" s="20"/>
    </row>
    <row r="40" spans="2:16">
      <c r="C40" s="3" t="s">
        <v>134</v>
      </c>
      <c r="D40" s="33">
        <v>0.76071990262269951</v>
      </c>
      <c r="E40" s="33">
        <v>0.23928009737730072</v>
      </c>
      <c r="G40" s="33">
        <v>1</v>
      </c>
    </row>
    <row r="41" spans="2:16">
      <c r="C41" s="3"/>
    </row>
    <row r="42" spans="2:16">
      <c r="C42" s="32" t="s">
        <v>932</v>
      </c>
      <c r="D42" s="30">
        <v>0.740963823692246</v>
      </c>
      <c r="E42" s="30">
        <v>0.259036176307754</v>
      </c>
      <c r="F42" s="31"/>
      <c r="G42" s="31">
        <v>1</v>
      </c>
    </row>
    <row r="43" spans="2:16">
      <c r="B43" s="3"/>
      <c r="C43" s="23"/>
    </row>
    <row r="44" spans="2:16">
      <c r="B44" s="3"/>
    </row>
    <row r="45" spans="2:16">
      <c r="B45" s="3"/>
      <c r="C45" s="43" t="s">
        <v>1512</v>
      </c>
      <c r="D45" s="13" t="s">
        <v>1277</v>
      </c>
    </row>
    <row r="46" spans="2:16">
      <c r="B46" s="3"/>
      <c r="C46" s="3" t="s">
        <v>2205</v>
      </c>
      <c r="D46" s="19">
        <f>+'Balance Sheet Detail'!U1598</f>
        <v>1771831.5705365192</v>
      </c>
      <c r="E46" s="19">
        <f>+'Balance Sheet Detail'!V1598</f>
        <v>513033.50614681118</v>
      </c>
      <c r="F46" s="19"/>
      <c r="G46" s="19">
        <f>SUM(D46:E46)</f>
        <v>2284865.0766833303</v>
      </c>
    </row>
    <row r="47" spans="2:16">
      <c r="B47" s="3"/>
    </row>
    <row r="48" spans="2:16">
      <c r="B48" s="3"/>
      <c r="C48" s="3" t="s">
        <v>133</v>
      </c>
      <c r="D48" s="20">
        <v>0.77544352505021785</v>
      </c>
      <c r="E48" s="20">
        <v>0.22455647494978223</v>
      </c>
      <c r="F48" s="20"/>
      <c r="G48" s="20">
        <v>1</v>
      </c>
    </row>
    <row r="49" spans="1:7">
      <c r="B49" s="3"/>
      <c r="C49" s="3" t="s">
        <v>134</v>
      </c>
      <c r="D49" s="22">
        <v>0.77544352505021785</v>
      </c>
      <c r="E49" s="22">
        <v>0.22455647494978223</v>
      </c>
      <c r="F49" s="22"/>
      <c r="G49" s="22">
        <v>1</v>
      </c>
    </row>
    <row r="50" spans="1:7">
      <c r="B50" s="3"/>
    </row>
    <row r="51" spans="1:7">
      <c r="C51" s="32" t="s">
        <v>932</v>
      </c>
      <c r="D51" s="30">
        <v>0.73997219168442596</v>
      </c>
      <c r="E51" s="30">
        <v>0.26002780831557404</v>
      </c>
      <c r="F51" s="34"/>
      <c r="G51" s="31">
        <v>1</v>
      </c>
    </row>
    <row r="54" spans="1:7">
      <c r="C54" s="43" t="s">
        <v>1513</v>
      </c>
    </row>
    <row r="55" spans="1:7">
      <c r="C55" s="2" t="s">
        <v>1938</v>
      </c>
      <c r="D55" s="17">
        <f>'591040'!C6</f>
        <v>84138814.769999996</v>
      </c>
      <c r="E55" s="44">
        <v>0</v>
      </c>
      <c r="F55" s="17"/>
      <c r="G55" s="17">
        <f>SUM(D55:E55)</f>
        <v>84138814.769999996</v>
      </c>
    </row>
    <row r="56" spans="1:7">
      <c r="C56" s="2" t="s">
        <v>1939</v>
      </c>
      <c r="D56" s="17">
        <v>0</v>
      </c>
      <c r="E56" s="44">
        <v>0</v>
      </c>
      <c r="F56" s="17"/>
      <c r="G56" s="17">
        <f>SUM(D56:E56)</f>
        <v>0</v>
      </c>
    </row>
    <row r="57" spans="1:7">
      <c r="C57" s="2" t="s">
        <v>1940</v>
      </c>
      <c r="D57" s="44">
        <v>0</v>
      </c>
      <c r="E57" s="17">
        <f>'591050'!C5</f>
        <v>19789325.210000001</v>
      </c>
      <c r="F57" s="17"/>
      <c r="G57" s="17">
        <f>SUM(D57:E57)</f>
        <v>19789325.210000001</v>
      </c>
    </row>
    <row r="58" spans="1:7" ht="15">
      <c r="C58" s="2" t="s">
        <v>1941</v>
      </c>
      <c r="D58" s="103">
        <v>0</v>
      </c>
      <c r="E58" s="46">
        <v>0</v>
      </c>
      <c r="F58" s="45"/>
      <c r="G58" s="141">
        <f>SUM(D58:E58)</f>
        <v>0</v>
      </c>
    </row>
    <row r="59" spans="1:7">
      <c r="D59" s="17"/>
      <c r="E59" s="17"/>
      <c r="F59" s="17"/>
      <c r="G59" s="17"/>
    </row>
    <row r="60" spans="1:7">
      <c r="A60" s="29"/>
      <c r="C60" s="2" t="s">
        <v>1514</v>
      </c>
      <c r="D60" s="17">
        <f>SUM(D55:D59)</f>
        <v>84138814.769999996</v>
      </c>
      <c r="E60" s="17">
        <f>SUM(E55:E59)</f>
        <v>19789325.210000001</v>
      </c>
      <c r="F60" s="17"/>
      <c r="G60" s="17">
        <f>SUM(G55:G59)</f>
        <v>103928139.97999999</v>
      </c>
    </row>
    <row r="61" spans="1:7">
      <c r="A61" s="29"/>
    </row>
    <row r="62" spans="1:7">
      <c r="A62" s="29"/>
      <c r="C62" s="3" t="s">
        <v>133</v>
      </c>
      <c r="D62" s="20">
        <f>D60/$G60</f>
        <v>0.80958645835662735</v>
      </c>
      <c r="E62" s="20">
        <f>E60/$G60</f>
        <v>0.19041354164337276</v>
      </c>
      <c r="F62" s="20"/>
      <c r="G62" s="20">
        <v>1</v>
      </c>
    </row>
    <row r="63" spans="1:7">
      <c r="A63" s="29"/>
      <c r="C63" s="3" t="s">
        <v>134</v>
      </c>
      <c r="D63" s="33">
        <v>0.80958645835662735</v>
      </c>
      <c r="E63" s="33">
        <v>0.19041354164337276</v>
      </c>
      <c r="G63" s="33">
        <v>1</v>
      </c>
    </row>
    <row r="64" spans="1:7">
      <c r="A64" s="29"/>
    </row>
    <row r="65" spans="1:11">
      <c r="A65" s="29"/>
      <c r="C65" s="32" t="s">
        <v>932</v>
      </c>
      <c r="D65" s="30">
        <v>0.79234127765578999</v>
      </c>
      <c r="E65" s="30">
        <v>0.20765872234421001</v>
      </c>
      <c r="F65" s="31"/>
      <c r="G65" s="31">
        <v>1</v>
      </c>
    </row>
    <row r="66" spans="1:11">
      <c r="A66" s="29"/>
    </row>
    <row r="67" spans="1:11">
      <c r="A67" s="29"/>
    </row>
    <row r="68" spans="1:11">
      <c r="A68" s="29"/>
      <c r="C68" s="43" t="s">
        <v>912</v>
      </c>
      <c r="D68" s="78" t="s">
        <v>4850</v>
      </c>
    </row>
    <row r="69" spans="1:11">
      <c r="A69" s="29"/>
      <c r="C69" s="2" t="s">
        <v>913</v>
      </c>
      <c r="D69" s="17">
        <f>24593580.68+3339120.38+1165644.36</f>
        <v>29098345.419999998</v>
      </c>
      <c r="E69" s="17">
        <f>8661392.41+1175974.83+413334.02</f>
        <v>10250701.26</v>
      </c>
      <c r="F69" s="17"/>
      <c r="G69" s="17">
        <f>SUM(D69:F69)</f>
        <v>39349046.68</v>
      </c>
    </row>
    <row r="70" spans="1:11">
      <c r="A70" s="29"/>
      <c r="D70" s="17"/>
      <c r="E70" s="17"/>
      <c r="F70" s="17"/>
      <c r="G70" s="17"/>
    </row>
    <row r="71" spans="1:11">
      <c r="A71" s="29"/>
      <c r="C71" s="3" t="s">
        <v>133</v>
      </c>
      <c r="D71" s="20">
        <f>D69/$G69</f>
        <v>0.73949302143550677</v>
      </c>
      <c r="E71" s="20">
        <f>E69/$G69</f>
        <v>0.26050697856449312</v>
      </c>
      <c r="F71" s="20"/>
      <c r="G71" s="20">
        <v>1</v>
      </c>
    </row>
    <row r="72" spans="1:11">
      <c r="A72" s="29"/>
      <c r="C72" s="3" t="s">
        <v>134</v>
      </c>
      <c r="D72" s="33">
        <v>0.73949302143550677</v>
      </c>
      <c r="E72" s="33">
        <v>0.26050697856449312</v>
      </c>
      <c r="G72" s="33">
        <v>1</v>
      </c>
    </row>
    <row r="73" spans="1:11">
      <c r="A73" s="29"/>
    </row>
    <row r="74" spans="1:11">
      <c r="A74" s="29"/>
      <c r="C74" s="32" t="s">
        <v>932</v>
      </c>
      <c r="D74" s="30">
        <v>0.84692674402827195</v>
      </c>
      <c r="E74" s="30">
        <v>0.15307325597172805</v>
      </c>
      <c r="F74" s="31"/>
      <c r="G74" s="31">
        <v>1</v>
      </c>
    </row>
    <row r="75" spans="1:11">
      <c r="A75" s="29"/>
    </row>
    <row r="76" spans="1:11">
      <c r="A76" s="29"/>
    </row>
    <row r="77" spans="1:11">
      <c r="A77" s="29"/>
      <c r="C77" s="43" t="s">
        <v>1270</v>
      </c>
      <c r="D77" s="78" t="s">
        <v>2839</v>
      </c>
    </row>
    <row r="78" spans="1:11">
      <c r="A78" s="29"/>
      <c r="C78" s="72" t="s">
        <v>1272</v>
      </c>
      <c r="D78" s="74">
        <v>30056662.144375559</v>
      </c>
      <c r="E78" s="74">
        <v>7684516.487359507</v>
      </c>
      <c r="F78" s="74"/>
      <c r="G78" s="74">
        <f>SUM(D78:E78)</f>
        <v>37741178.631735064</v>
      </c>
      <c r="I78" t="s">
        <v>1274</v>
      </c>
      <c r="J78" t="s">
        <v>1275</v>
      </c>
      <c r="K78" s="167">
        <v>0.7963890698183469</v>
      </c>
    </row>
    <row r="79" spans="1:11" ht="15">
      <c r="A79" s="29"/>
      <c r="C79" s="72" t="s">
        <v>1273</v>
      </c>
      <c r="D79" s="75">
        <v>129543796.39170554</v>
      </c>
      <c r="E79" s="75">
        <v>27558643.85613228</v>
      </c>
      <c r="F79" s="75"/>
      <c r="G79" s="75">
        <f>SUM(D79:E79)</f>
        <v>157102440.24783781</v>
      </c>
      <c r="I79" s="29" t="s">
        <v>1183</v>
      </c>
      <c r="J79" s="29" t="s">
        <v>1184</v>
      </c>
      <c r="K79" s="167">
        <v>0.82458169451310248</v>
      </c>
    </row>
    <row r="80" spans="1:11">
      <c r="A80" s="29"/>
      <c r="C80" s="72"/>
      <c r="D80" s="17"/>
      <c r="E80" s="17"/>
      <c r="F80" s="17"/>
      <c r="G80" s="17"/>
    </row>
    <row r="81" spans="1:7">
      <c r="A81" s="29"/>
      <c r="C81" s="73" t="s">
        <v>1271</v>
      </c>
      <c r="D81" s="17">
        <f>SUM(D78:D80)</f>
        <v>159600458.53608111</v>
      </c>
      <c r="E81" s="17">
        <f>SUM(E78:E80)</f>
        <v>35243160.343491785</v>
      </c>
      <c r="F81" s="17"/>
      <c r="G81" s="17">
        <f>SUM(G78:G80)</f>
        <v>194843618.87957287</v>
      </c>
    </row>
    <row r="82" spans="1:7">
      <c r="A82" s="29"/>
      <c r="C82" s="72" t="s">
        <v>133</v>
      </c>
      <c r="D82" s="76">
        <f>D81/$G81</f>
        <v>0.81912078750049022</v>
      </c>
      <c r="E82" s="76">
        <f>E81/$G81</f>
        <v>0.18087921249950992</v>
      </c>
      <c r="F82" s="77"/>
      <c r="G82" s="76">
        <v>1</v>
      </c>
    </row>
    <row r="83" spans="1:7">
      <c r="A83" s="29"/>
      <c r="C83" s="3" t="s">
        <v>134</v>
      </c>
      <c r="D83" s="33">
        <v>0.81899999999999995</v>
      </c>
      <c r="E83" s="33">
        <v>0.18099999999999999</v>
      </c>
      <c r="G83" s="33">
        <v>1</v>
      </c>
    </row>
    <row r="84" spans="1:7">
      <c r="A84" s="29"/>
    </row>
    <row r="85" spans="1:7">
      <c r="A85" s="29"/>
      <c r="C85" s="32" t="s">
        <v>932</v>
      </c>
      <c r="D85" s="30">
        <v>0.81899999999999995</v>
      </c>
      <c r="E85" s="30">
        <v>0.18099999999999999</v>
      </c>
      <c r="F85" s="31"/>
      <c r="G85" s="31">
        <v>1</v>
      </c>
    </row>
    <row r="86" spans="1:7">
      <c r="A86" s="29"/>
    </row>
    <row r="87" spans="1:7">
      <c r="A87" s="29"/>
    </row>
    <row r="88" spans="1:7">
      <c r="A88" s="29"/>
      <c r="C88" s="43" t="s">
        <v>1878</v>
      </c>
      <c r="D88" s="78" t="s">
        <v>3006</v>
      </c>
    </row>
    <row r="89" spans="1:7">
      <c r="A89" s="29"/>
      <c r="C89" s="2" t="s">
        <v>3005</v>
      </c>
      <c r="D89" s="17">
        <v>154041.85</v>
      </c>
      <c r="E89" s="17">
        <v>13696.52</v>
      </c>
      <c r="F89" s="17"/>
      <c r="G89" s="17">
        <f>SUM(D89:E89)</f>
        <v>167738.37</v>
      </c>
    </row>
    <row r="90" spans="1:7">
      <c r="A90" s="29"/>
      <c r="C90" s="72" t="s">
        <v>133</v>
      </c>
      <c r="D90" s="76">
        <f>D89/$G89</f>
        <v>0.91834593361077732</v>
      </c>
      <c r="E90" s="76">
        <f>E89/$G89</f>
        <v>8.1654066389222693E-2</v>
      </c>
      <c r="F90" s="77"/>
      <c r="G90" s="76">
        <v>1</v>
      </c>
    </row>
    <row r="91" spans="1:7">
      <c r="A91" s="29"/>
      <c r="C91" s="3" t="s">
        <v>134</v>
      </c>
      <c r="D91" s="33">
        <v>0.91800000000000004</v>
      </c>
      <c r="E91" s="33">
        <v>8.2000000000000003E-2</v>
      </c>
      <c r="G91" s="33">
        <v>1</v>
      </c>
    </row>
    <row r="92" spans="1:7">
      <c r="A92" s="29"/>
    </row>
    <row r="93" spans="1:7">
      <c r="A93" s="29"/>
      <c r="C93" s="32" t="s">
        <v>932</v>
      </c>
      <c r="D93" s="30">
        <v>0.91800000000000004</v>
      </c>
      <c r="E93" s="30">
        <v>8.2000000000000003E-2</v>
      </c>
      <c r="F93" s="31"/>
      <c r="G93" s="31">
        <v>1</v>
      </c>
    </row>
    <row r="94" spans="1:7">
      <c r="A94" s="29"/>
    </row>
    <row r="95" spans="1:7">
      <c r="A95" s="29"/>
    </row>
    <row r="96" spans="1:7">
      <c r="A96" s="29"/>
    </row>
    <row r="97" spans="1:1">
      <c r="A97" s="29"/>
    </row>
    <row r="98" spans="1:1">
      <c r="A98" s="29"/>
    </row>
    <row r="99" spans="1:1">
      <c r="A99" s="29"/>
    </row>
    <row r="100" spans="1:1">
      <c r="A100" s="29"/>
    </row>
    <row r="101" spans="1:1">
      <c r="A101" s="29"/>
    </row>
    <row r="102" spans="1:1">
      <c r="A102" s="29"/>
    </row>
    <row r="103" spans="1:1">
      <c r="A103" s="29"/>
    </row>
    <row r="104" spans="1:1">
      <c r="A104" s="29"/>
    </row>
    <row r="105" spans="1:1">
      <c r="A105" s="29"/>
    </row>
    <row r="106" spans="1:1">
      <c r="A106" s="29"/>
    </row>
    <row r="107" spans="1:1">
      <c r="A107" s="29"/>
    </row>
    <row r="108" spans="1:1">
      <c r="A108" s="29"/>
    </row>
    <row r="109" spans="1:1">
      <c r="A109" s="29"/>
    </row>
    <row r="110" spans="1:1">
      <c r="A110" s="29"/>
    </row>
    <row r="111" spans="1:1">
      <c r="A111" s="29"/>
    </row>
    <row r="112" spans="1:1">
      <c r="A112" s="29"/>
    </row>
    <row r="113" spans="1:1">
      <c r="A113" s="29"/>
    </row>
    <row r="114" spans="1:1">
      <c r="A114" s="29"/>
    </row>
    <row r="115" spans="1:1">
      <c r="A115" s="29"/>
    </row>
    <row r="116" spans="1:1">
      <c r="A116" s="29"/>
    </row>
    <row r="117" spans="1:1">
      <c r="A117" s="29"/>
    </row>
    <row r="118" spans="1:1">
      <c r="A118" s="29"/>
    </row>
    <row r="119" spans="1:1">
      <c r="A119" s="29"/>
    </row>
    <row r="120" spans="1:1">
      <c r="A120" s="29"/>
    </row>
    <row r="121" spans="1:1">
      <c r="A121" s="29"/>
    </row>
    <row r="122" spans="1:1">
      <c r="A122" s="29"/>
    </row>
    <row r="123" spans="1:1">
      <c r="A123" s="29"/>
    </row>
    <row r="124" spans="1:1">
      <c r="A124" s="29"/>
    </row>
    <row r="125" spans="1:1">
      <c r="A125" s="29"/>
    </row>
    <row r="126" spans="1:1">
      <c r="A126" s="29"/>
    </row>
    <row r="127" spans="1:1">
      <c r="A127" s="29"/>
    </row>
    <row r="128" spans="1:1">
      <c r="A128" s="29"/>
    </row>
    <row r="129" spans="1:1">
      <c r="A129" s="29"/>
    </row>
    <row r="130" spans="1:1">
      <c r="A130" s="29"/>
    </row>
    <row r="131" spans="1:1">
      <c r="A131" s="29"/>
    </row>
    <row r="132" spans="1:1">
      <c r="A132" s="29"/>
    </row>
    <row r="133" spans="1:1">
      <c r="A133" s="29"/>
    </row>
    <row r="134" spans="1:1">
      <c r="A134" s="29"/>
    </row>
    <row r="135" spans="1:1">
      <c r="A135" s="29"/>
    </row>
    <row r="136" spans="1:1">
      <c r="A136" s="29"/>
    </row>
    <row r="137" spans="1:1">
      <c r="A137" s="29"/>
    </row>
    <row r="138" spans="1:1">
      <c r="A138" s="29"/>
    </row>
    <row r="139" spans="1:1">
      <c r="A139" s="29"/>
    </row>
    <row r="140" spans="1:1">
      <c r="A140" s="29"/>
    </row>
    <row r="141" spans="1:1">
      <c r="A141" s="29"/>
    </row>
    <row r="142" spans="1:1">
      <c r="A142" s="29"/>
    </row>
    <row r="143" spans="1:1">
      <c r="A143" s="29"/>
    </row>
    <row r="144" spans="1:1">
      <c r="A144" s="29"/>
    </row>
    <row r="145" spans="1:1">
      <c r="A145" s="29"/>
    </row>
    <row r="146" spans="1:1">
      <c r="A146" s="29"/>
    </row>
    <row r="147" spans="1:1">
      <c r="A147" s="29"/>
    </row>
    <row r="148" spans="1:1">
      <c r="A148" s="29"/>
    </row>
    <row r="149" spans="1:1">
      <c r="A149" s="29"/>
    </row>
    <row r="150" spans="1:1">
      <c r="A150" s="29"/>
    </row>
    <row r="151" spans="1:1">
      <c r="A151" s="29"/>
    </row>
    <row r="152" spans="1:1">
      <c r="A152" s="29"/>
    </row>
    <row r="153" spans="1:1">
      <c r="A153" s="29"/>
    </row>
    <row r="154" spans="1:1">
      <c r="A154" s="29"/>
    </row>
    <row r="155" spans="1:1">
      <c r="A155" s="29"/>
    </row>
    <row r="156" spans="1:1">
      <c r="A156" s="29"/>
    </row>
    <row r="157" spans="1:1">
      <c r="A157" s="29"/>
    </row>
    <row r="158" spans="1:1">
      <c r="A158" s="29"/>
    </row>
    <row r="159" spans="1:1">
      <c r="A159" s="29"/>
    </row>
    <row r="160" spans="1:1">
      <c r="A160" s="29"/>
    </row>
    <row r="161" spans="1:1">
      <c r="A161" s="29"/>
    </row>
    <row r="162" spans="1:1">
      <c r="A162" s="29"/>
    </row>
    <row r="163" spans="1:1">
      <c r="A163" s="29"/>
    </row>
    <row r="164" spans="1:1">
      <c r="A164" s="29"/>
    </row>
    <row r="165" spans="1:1">
      <c r="A165" s="29"/>
    </row>
    <row r="166" spans="1:1">
      <c r="A166" s="29"/>
    </row>
    <row r="167" spans="1:1">
      <c r="A167" s="29"/>
    </row>
    <row r="168" spans="1:1">
      <c r="A168" s="29"/>
    </row>
    <row r="169" spans="1:1">
      <c r="A169" s="29"/>
    </row>
    <row r="170" spans="1:1">
      <c r="A170" s="29"/>
    </row>
    <row r="171" spans="1:1">
      <c r="A171" s="29"/>
    </row>
    <row r="172" spans="1:1">
      <c r="A172" s="29"/>
    </row>
    <row r="173" spans="1:1">
      <c r="A173" s="29"/>
    </row>
    <row r="174" spans="1:1">
      <c r="A174" s="29"/>
    </row>
    <row r="175" spans="1:1">
      <c r="A175" s="29"/>
    </row>
    <row r="176" spans="1:1">
      <c r="A176" s="29"/>
    </row>
    <row r="177" spans="1:1">
      <c r="A177" s="29"/>
    </row>
    <row r="178" spans="1:1">
      <c r="A178" s="29"/>
    </row>
    <row r="179" spans="1:1">
      <c r="A179" s="29"/>
    </row>
    <row r="180" spans="1:1">
      <c r="A180" s="29"/>
    </row>
    <row r="181" spans="1:1">
      <c r="A181" s="29"/>
    </row>
    <row r="182" spans="1:1">
      <c r="A182" s="29"/>
    </row>
    <row r="183" spans="1:1">
      <c r="A183" s="29"/>
    </row>
    <row r="184" spans="1:1">
      <c r="A184" s="29"/>
    </row>
    <row r="185" spans="1:1">
      <c r="A185" s="29"/>
    </row>
    <row r="186" spans="1:1">
      <c r="A186" s="29"/>
    </row>
    <row r="187" spans="1:1">
      <c r="A187" s="29"/>
    </row>
    <row r="188" spans="1:1">
      <c r="A188" s="29"/>
    </row>
    <row r="189" spans="1:1">
      <c r="A189" s="29"/>
    </row>
    <row r="190" spans="1:1">
      <c r="A190" s="29"/>
    </row>
    <row r="191" spans="1:1">
      <c r="A191" s="29"/>
    </row>
    <row r="192" spans="1:1">
      <c r="A192" s="29"/>
    </row>
    <row r="193" spans="1:1">
      <c r="A193" s="29"/>
    </row>
    <row r="194" spans="1:1">
      <c r="A194" s="29"/>
    </row>
    <row r="195" spans="1:1">
      <c r="A195" s="29"/>
    </row>
    <row r="196" spans="1:1">
      <c r="A196" s="29"/>
    </row>
    <row r="197" spans="1:1">
      <c r="A197" s="29"/>
    </row>
    <row r="198" spans="1:1">
      <c r="A198" s="29"/>
    </row>
    <row r="199" spans="1:1">
      <c r="A199" s="29"/>
    </row>
    <row r="200" spans="1:1">
      <c r="A200" s="29"/>
    </row>
    <row r="201" spans="1:1">
      <c r="A201" s="29"/>
    </row>
    <row r="202" spans="1:1">
      <c r="A202" s="29"/>
    </row>
    <row r="203" spans="1:1">
      <c r="A203" s="29"/>
    </row>
    <row r="204" spans="1:1">
      <c r="A204" s="29"/>
    </row>
    <row r="205" spans="1:1">
      <c r="A205" s="29"/>
    </row>
    <row r="206" spans="1:1">
      <c r="A206" s="29"/>
    </row>
    <row r="207" spans="1:1">
      <c r="A207" s="29"/>
    </row>
    <row r="208" spans="1:1">
      <c r="A208" s="29"/>
    </row>
    <row r="209" spans="1:1">
      <c r="A209" s="29"/>
    </row>
    <row r="210" spans="1:1">
      <c r="A210" s="29"/>
    </row>
    <row r="211" spans="1:1">
      <c r="A211" s="29"/>
    </row>
    <row r="212" spans="1:1">
      <c r="A212" s="29"/>
    </row>
    <row r="213" spans="1:1">
      <c r="A213" s="29"/>
    </row>
    <row r="214" spans="1:1">
      <c r="A214" s="29"/>
    </row>
    <row r="215" spans="1:1">
      <c r="A215" s="29"/>
    </row>
    <row r="216" spans="1:1">
      <c r="A216" s="29"/>
    </row>
    <row r="217" spans="1:1">
      <c r="A217" s="29"/>
    </row>
    <row r="218" spans="1:1">
      <c r="A218" s="29"/>
    </row>
    <row r="219" spans="1:1">
      <c r="A219" s="29"/>
    </row>
    <row r="220" spans="1:1">
      <c r="A220" s="29"/>
    </row>
    <row r="221" spans="1:1">
      <c r="A221" s="29"/>
    </row>
    <row r="222" spans="1:1">
      <c r="A222" s="29"/>
    </row>
    <row r="223" spans="1:1">
      <c r="A223" s="29"/>
    </row>
    <row r="224" spans="1:1">
      <c r="A224" s="29"/>
    </row>
    <row r="225" spans="1:1">
      <c r="A225" s="29"/>
    </row>
    <row r="226" spans="1:1">
      <c r="A226" s="29"/>
    </row>
    <row r="227" spans="1:1">
      <c r="A227" s="29"/>
    </row>
    <row r="228" spans="1:1">
      <c r="A228" s="29"/>
    </row>
    <row r="229" spans="1:1">
      <c r="A229" s="29"/>
    </row>
    <row r="230" spans="1:1">
      <c r="A230" s="29"/>
    </row>
    <row r="231" spans="1:1">
      <c r="A231" s="29"/>
    </row>
    <row r="232" spans="1:1">
      <c r="A232" s="29"/>
    </row>
    <row r="233" spans="1:1">
      <c r="A233" s="29"/>
    </row>
    <row r="234" spans="1:1">
      <c r="A234" s="29"/>
    </row>
    <row r="235" spans="1:1">
      <c r="A235" s="29"/>
    </row>
    <row r="236" spans="1:1">
      <c r="A236" s="29"/>
    </row>
    <row r="237" spans="1:1">
      <c r="A237" s="29"/>
    </row>
    <row r="238" spans="1:1">
      <c r="A238" s="29"/>
    </row>
    <row r="239" spans="1:1">
      <c r="A239" s="29"/>
    </row>
    <row r="240" spans="1:1">
      <c r="A240" s="29"/>
    </row>
    <row r="241" spans="1:1">
      <c r="A241" s="29"/>
    </row>
    <row r="242" spans="1:1">
      <c r="A242" s="29"/>
    </row>
    <row r="243" spans="1:1">
      <c r="A243" s="29"/>
    </row>
    <row r="244" spans="1:1">
      <c r="A244" s="29"/>
    </row>
    <row r="245" spans="1:1">
      <c r="A245" s="29"/>
    </row>
    <row r="246" spans="1:1">
      <c r="A246" s="29"/>
    </row>
    <row r="247" spans="1:1">
      <c r="A247" s="29"/>
    </row>
    <row r="248" spans="1:1">
      <c r="A248" s="29"/>
    </row>
    <row r="249" spans="1:1">
      <c r="A249" s="29"/>
    </row>
    <row r="250" spans="1:1">
      <c r="A250" s="29"/>
    </row>
    <row r="251" spans="1:1">
      <c r="A251" s="29"/>
    </row>
    <row r="252" spans="1:1">
      <c r="A252" s="29"/>
    </row>
    <row r="253" spans="1:1">
      <c r="A253" s="29"/>
    </row>
    <row r="254" spans="1:1">
      <c r="A254" s="29"/>
    </row>
    <row r="255" spans="1:1">
      <c r="A255" s="29"/>
    </row>
    <row r="256" spans="1:1">
      <c r="A256" s="29"/>
    </row>
    <row r="257" spans="1:1">
      <c r="A257" s="29"/>
    </row>
    <row r="258" spans="1:1">
      <c r="A258" s="29"/>
    </row>
    <row r="259" spans="1:1">
      <c r="A259" s="29"/>
    </row>
    <row r="260" spans="1:1">
      <c r="A260" s="29"/>
    </row>
    <row r="261" spans="1:1">
      <c r="A261" s="29"/>
    </row>
    <row r="262" spans="1:1">
      <c r="A262" s="29"/>
    </row>
    <row r="263" spans="1:1">
      <c r="A263" s="29"/>
    </row>
    <row r="264" spans="1:1">
      <c r="A264" s="29"/>
    </row>
    <row r="265" spans="1:1">
      <c r="A265" s="29"/>
    </row>
    <row r="266" spans="1:1">
      <c r="A266" s="29"/>
    </row>
    <row r="267" spans="1:1">
      <c r="A267" s="29"/>
    </row>
    <row r="268" spans="1:1">
      <c r="A268" s="29"/>
    </row>
    <row r="269" spans="1:1">
      <c r="A269" s="29"/>
    </row>
    <row r="270" spans="1:1">
      <c r="A270" s="29"/>
    </row>
    <row r="271" spans="1:1">
      <c r="A271" s="29"/>
    </row>
    <row r="272" spans="1:1">
      <c r="A272" s="29"/>
    </row>
    <row r="273" spans="1:1">
      <c r="A273" s="29"/>
    </row>
    <row r="274" spans="1:1">
      <c r="A274" s="29"/>
    </row>
    <row r="275" spans="1:1">
      <c r="A275" s="29"/>
    </row>
    <row r="276" spans="1:1">
      <c r="A276" s="29"/>
    </row>
    <row r="277" spans="1:1">
      <c r="A277" s="29"/>
    </row>
    <row r="278" spans="1:1">
      <c r="A278" s="29"/>
    </row>
    <row r="279" spans="1:1">
      <c r="A279" s="29"/>
    </row>
    <row r="280" spans="1:1">
      <c r="A280" s="29"/>
    </row>
    <row r="281" spans="1:1">
      <c r="A281" s="29"/>
    </row>
    <row r="282" spans="1:1">
      <c r="A282" s="29"/>
    </row>
    <row r="283" spans="1:1">
      <c r="A283" s="29"/>
    </row>
    <row r="284" spans="1:1">
      <c r="A284" s="29"/>
    </row>
    <row r="285" spans="1:1">
      <c r="A285" s="29"/>
    </row>
    <row r="286" spans="1:1">
      <c r="A286" s="29"/>
    </row>
    <row r="287" spans="1:1">
      <c r="A287" s="29"/>
    </row>
    <row r="288" spans="1:1">
      <c r="A288" s="29"/>
    </row>
    <row r="289" spans="1:1">
      <c r="A289" s="29"/>
    </row>
    <row r="290" spans="1:1">
      <c r="A290" s="29"/>
    </row>
    <row r="291" spans="1:1">
      <c r="A291" s="29"/>
    </row>
    <row r="292" spans="1:1">
      <c r="A292" s="29"/>
    </row>
    <row r="293" spans="1:1">
      <c r="A293" s="29"/>
    </row>
    <row r="294" spans="1:1">
      <c r="A294" s="29"/>
    </row>
    <row r="295" spans="1:1">
      <c r="A295" s="29"/>
    </row>
    <row r="296" spans="1:1">
      <c r="A296" s="29"/>
    </row>
    <row r="297" spans="1:1">
      <c r="A297" s="29"/>
    </row>
    <row r="298" spans="1:1">
      <c r="A298" s="29"/>
    </row>
    <row r="299" spans="1:1">
      <c r="A299" s="29"/>
    </row>
    <row r="300" spans="1:1">
      <c r="A300" s="29"/>
    </row>
    <row r="301" spans="1:1">
      <c r="A301" s="29"/>
    </row>
    <row r="302" spans="1:1">
      <c r="A302" s="29"/>
    </row>
    <row r="303" spans="1:1">
      <c r="A303" s="29"/>
    </row>
    <row r="304" spans="1:1">
      <c r="A304" s="29"/>
    </row>
    <row r="305" spans="1:1">
      <c r="A305" s="29"/>
    </row>
    <row r="306" spans="1:1">
      <c r="A306" s="29"/>
    </row>
    <row r="307" spans="1:1">
      <c r="A307" s="29"/>
    </row>
    <row r="308" spans="1:1">
      <c r="A308" s="29"/>
    </row>
    <row r="309" spans="1:1">
      <c r="A309" s="29"/>
    </row>
    <row r="310" spans="1:1">
      <c r="A310" s="29"/>
    </row>
    <row r="311" spans="1:1">
      <c r="A311" s="29"/>
    </row>
    <row r="312" spans="1:1">
      <c r="A312" s="29"/>
    </row>
    <row r="313" spans="1:1">
      <c r="A313" s="29"/>
    </row>
    <row r="314" spans="1:1">
      <c r="A314" s="29"/>
    </row>
    <row r="315" spans="1:1">
      <c r="A315" s="29"/>
    </row>
    <row r="316" spans="1:1">
      <c r="A316" s="29"/>
    </row>
    <row r="317" spans="1:1">
      <c r="A317" s="29"/>
    </row>
    <row r="318" spans="1:1">
      <c r="A318" s="29"/>
    </row>
    <row r="319" spans="1:1">
      <c r="A319" s="29"/>
    </row>
    <row r="320" spans="1:1">
      <c r="A320" s="29"/>
    </row>
    <row r="321" spans="1:1">
      <c r="A321" s="29"/>
    </row>
    <row r="322" spans="1:1">
      <c r="A322" s="29"/>
    </row>
    <row r="323" spans="1:1">
      <c r="A323" s="29"/>
    </row>
    <row r="324" spans="1:1">
      <c r="A324" s="29"/>
    </row>
    <row r="325" spans="1:1">
      <c r="A325" s="29"/>
    </row>
    <row r="326" spans="1:1">
      <c r="A326" s="29"/>
    </row>
    <row r="327" spans="1:1">
      <c r="A327" s="29"/>
    </row>
    <row r="328" spans="1:1">
      <c r="A328" s="29"/>
    </row>
    <row r="329" spans="1:1">
      <c r="A329" s="29"/>
    </row>
    <row r="330" spans="1:1">
      <c r="A330" s="29"/>
    </row>
    <row r="331" spans="1:1">
      <c r="A331" s="29"/>
    </row>
    <row r="332" spans="1:1">
      <c r="A332" s="29"/>
    </row>
    <row r="333" spans="1:1">
      <c r="A333" s="29"/>
    </row>
    <row r="334" spans="1:1">
      <c r="A334" s="29"/>
    </row>
    <row r="335" spans="1:1">
      <c r="A335" s="29"/>
    </row>
    <row r="336" spans="1:1">
      <c r="A336" s="29"/>
    </row>
    <row r="337" spans="1:1">
      <c r="A337" s="29"/>
    </row>
    <row r="338" spans="1:1">
      <c r="A338" s="29"/>
    </row>
    <row r="339" spans="1:1">
      <c r="A339" s="29"/>
    </row>
    <row r="340" spans="1:1">
      <c r="A340" s="29"/>
    </row>
    <row r="341" spans="1:1">
      <c r="A341" s="29"/>
    </row>
    <row r="342" spans="1:1">
      <c r="A342" s="29"/>
    </row>
    <row r="343" spans="1:1">
      <c r="A343" s="29"/>
    </row>
    <row r="344" spans="1:1">
      <c r="A344" s="29"/>
    </row>
    <row r="345" spans="1:1">
      <c r="A345" s="29"/>
    </row>
    <row r="346" spans="1:1">
      <c r="A346" s="29"/>
    </row>
    <row r="347" spans="1:1">
      <c r="A347" s="29"/>
    </row>
    <row r="348" spans="1:1">
      <c r="A348" s="29"/>
    </row>
    <row r="349" spans="1:1">
      <c r="A349" s="29"/>
    </row>
    <row r="350" spans="1:1">
      <c r="A350" s="29"/>
    </row>
    <row r="351" spans="1:1">
      <c r="A351" s="29"/>
    </row>
    <row r="352" spans="1:1">
      <c r="A352" s="29"/>
    </row>
    <row r="353" spans="1:1">
      <c r="A353" s="29"/>
    </row>
    <row r="354" spans="1:1">
      <c r="A354" s="29"/>
    </row>
    <row r="355" spans="1:1">
      <c r="A355" s="29"/>
    </row>
    <row r="356" spans="1:1">
      <c r="A356" s="29"/>
    </row>
    <row r="357" spans="1:1">
      <c r="A357" s="29"/>
    </row>
    <row r="358" spans="1:1">
      <c r="A358" s="29"/>
    </row>
    <row r="359" spans="1:1">
      <c r="A359" s="29"/>
    </row>
    <row r="360" spans="1:1">
      <c r="A360" s="29"/>
    </row>
    <row r="361" spans="1:1">
      <c r="A361" s="29"/>
    </row>
    <row r="362" spans="1:1">
      <c r="A362" s="29"/>
    </row>
    <row r="363" spans="1:1">
      <c r="A363" s="29"/>
    </row>
    <row r="364" spans="1:1">
      <c r="A364" s="29"/>
    </row>
    <row r="365" spans="1:1">
      <c r="A365" s="29"/>
    </row>
    <row r="366" spans="1:1">
      <c r="A366" s="29"/>
    </row>
    <row r="367" spans="1:1">
      <c r="A367" s="29"/>
    </row>
    <row r="368" spans="1:1">
      <c r="A368" s="29"/>
    </row>
    <row r="369" spans="1:1">
      <c r="A369" s="29"/>
    </row>
    <row r="370" spans="1:1">
      <c r="A370" s="29"/>
    </row>
    <row r="371" spans="1:1">
      <c r="A371" s="29"/>
    </row>
    <row r="372" spans="1:1">
      <c r="A372" s="29"/>
    </row>
    <row r="373" spans="1:1">
      <c r="A373" s="29"/>
    </row>
    <row r="374" spans="1:1">
      <c r="A374" s="29"/>
    </row>
    <row r="375" spans="1:1">
      <c r="A375" s="29"/>
    </row>
    <row r="376" spans="1:1">
      <c r="A376" s="29"/>
    </row>
    <row r="377" spans="1:1">
      <c r="A377" s="29"/>
    </row>
    <row r="378" spans="1:1">
      <c r="A378" s="29"/>
    </row>
    <row r="379" spans="1:1">
      <c r="A379" s="29"/>
    </row>
    <row r="380" spans="1:1">
      <c r="A380" s="29"/>
    </row>
    <row r="381" spans="1:1">
      <c r="A381" s="29"/>
    </row>
    <row r="382" spans="1:1">
      <c r="A382" s="29"/>
    </row>
    <row r="383" spans="1:1">
      <c r="A383" s="29"/>
    </row>
    <row r="384" spans="1:1">
      <c r="A384" s="29"/>
    </row>
    <row r="385" spans="1:1">
      <c r="A385" s="29"/>
    </row>
    <row r="386" spans="1:1">
      <c r="A386" s="29"/>
    </row>
    <row r="387" spans="1:1">
      <c r="A387" s="29"/>
    </row>
    <row r="388" spans="1:1">
      <c r="A388" s="29"/>
    </row>
    <row r="389" spans="1:1">
      <c r="A389" s="29"/>
    </row>
    <row r="390" spans="1:1">
      <c r="A390" s="29"/>
    </row>
    <row r="391" spans="1:1">
      <c r="A391" s="29"/>
    </row>
    <row r="392" spans="1:1">
      <c r="A392" s="29"/>
    </row>
    <row r="393" spans="1:1">
      <c r="A393" s="29"/>
    </row>
    <row r="394" spans="1:1">
      <c r="A394" s="29"/>
    </row>
    <row r="395" spans="1:1">
      <c r="A395" s="29"/>
    </row>
    <row r="396" spans="1:1">
      <c r="A396" s="29"/>
    </row>
    <row r="397" spans="1:1">
      <c r="A397" s="29"/>
    </row>
    <row r="398" spans="1:1">
      <c r="A398" s="29"/>
    </row>
    <row r="399" spans="1:1">
      <c r="A399" s="29"/>
    </row>
    <row r="400" spans="1:1">
      <c r="A400" s="29"/>
    </row>
    <row r="401" spans="1:1">
      <c r="A401" s="29"/>
    </row>
    <row r="402" spans="1:1">
      <c r="A402" s="29"/>
    </row>
    <row r="403" spans="1:1">
      <c r="A403" s="29"/>
    </row>
    <row r="404" spans="1:1">
      <c r="A404" s="29"/>
    </row>
    <row r="405" spans="1:1">
      <c r="A405" s="29"/>
    </row>
    <row r="406" spans="1:1">
      <c r="A406" s="29"/>
    </row>
    <row r="407" spans="1:1">
      <c r="A407" s="29"/>
    </row>
    <row r="408" spans="1:1">
      <c r="A408" s="29"/>
    </row>
    <row r="409" spans="1:1">
      <c r="A409" s="29"/>
    </row>
    <row r="410" spans="1:1">
      <c r="A410" s="29"/>
    </row>
    <row r="411" spans="1:1">
      <c r="A411" s="29"/>
    </row>
    <row r="412" spans="1:1">
      <c r="A412" s="29"/>
    </row>
    <row r="413" spans="1:1">
      <c r="A413" s="29"/>
    </row>
    <row r="414" spans="1:1">
      <c r="A414" s="29"/>
    </row>
    <row r="415" spans="1:1">
      <c r="A415" s="29"/>
    </row>
    <row r="416" spans="1:1">
      <c r="A416" s="29"/>
    </row>
    <row r="417" spans="1:1">
      <c r="A417" s="29"/>
    </row>
    <row r="418" spans="1:1">
      <c r="A418" s="29"/>
    </row>
    <row r="419" spans="1:1">
      <c r="A419" s="29"/>
    </row>
    <row r="420" spans="1:1">
      <c r="A420" s="29"/>
    </row>
    <row r="421" spans="1:1">
      <c r="A421" s="29"/>
    </row>
    <row r="422" spans="1:1">
      <c r="A422" s="29"/>
    </row>
    <row r="423" spans="1:1">
      <c r="A423" s="29"/>
    </row>
    <row r="424" spans="1:1">
      <c r="A424" s="29"/>
    </row>
    <row r="425" spans="1:1">
      <c r="A425" s="29"/>
    </row>
    <row r="426" spans="1:1">
      <c r="A426" s="29"/>
    </row>
    <row r="427" spans="1:1">
      <c r="A427" s="29"/>
    </row>
    <row r="428" spans="1:1">
      <c r="A428" s="29"/>
    </row>
    <row r="429" spans="1:1">
      <c r="A429" s="29"/>
    </row>
    <row r="430" spans="1:1">
      <c r="A430" s="29"/>
    </row>
    <row r="431" spans="1:1">
      <c r="A431" s="29"/>
    </row>
    <row r="432" spans="1:1">
      <c r="A432" s="29"/>
    </row>
    <row r="433" spans="1:1">
      <c r="A433" s="29"/>
    </row>
    <row r="434" spans="1:1">
      <c r="A434" s="29"/>
    </row>
    <row r="435" spans="1:1">
      <c r="A435" s="29"/>
    </row>
    <row r="436" spans="1:1">
      <c r="A436" s="29"/>
    </row>
    <row r="437" spans="1:1">
      <c r="A437" s="29"/>
    </row>
    <row r="438" spans="1:1">
      <c r="A438" s="29"/>
    </row>
    <row r="439" spans="1:1">
      <c r="A439" s="29"/>
    </row>
    <row r="440" spans="1:1">
      <c r="A440" s="29"/>
    </row>
    <row r="441" spans="1:1">
      <c r="A441" s="29"/>
    </row>
    <row r="442" spans="1:1">
      <c r="A442" s="29"/>
    </row>
    <row r="443" spans="1:1">
      <c r="A443" s="29"/>
    </row>
    <row r="444" spans="1:1">
      <c r="A444" s="29"/>
    </row>
    <row r="445" spans="1:1">
      <c r="A445" s="29"/>
    </row>
    <row r="446" spans="1:1">
      <c r="A446" s="29"/>
    </row>
    <row r="447" spans="1:1">
      <c r="A447" s="29"/>
    </row>
    <row r="448" spans="1:1">
      <c r="A448" s="29"/>
    </row>
    <row r="449" spans="1:1">
      <c r="A449" s="29"/>
    </row>
    <row r="450" spans="1:1">
      <c r="A450" s="29"/>
    </row>
    <row r="451" spans="1:1">
      <c r="A451" s="29"/>
    </row>
    <row r="452" spans="1:1">
      <c r="A452" s="29"/>
    </row>
    <row r="453" spans="1:1">
      <c r="A453" s="29"/>
    </row>
    <row r="454" spans="1:1">
      <c r="A454" s="29"/>
    </row>
    <row r="455" spans="1:1">
      <c r="A455" s="29"/>
    </row>
    <row r="456" spans="1:1">
      <c r="A456" s="29"/>
    </row>
    <row r="457" spans="1:1">
      <c r="A457" s="29"/>
    </row>
    <row r="458" spans="1:1">
      <c r="A458" s="29"/>
    </row>
    <row r="459" spans="1:1">
      <c r="A459" s="29"/>
    </row>
    <row r="460" spans="1:1">
      <c r="A460" s="29"/>
    </row>
    <row r="461" spans="1:1">
      <c r="A461" s="29"/>
    </row>
    <row r="462" spans="1:1">
      <c r="A462" s="29"/>
    </row>
    <row r="463" spans="1:1">
      <c r="A463" s="29"/>
    </row>
    <row r="464" spans="1:1">
      <c r="A464" s="29"/>
    </row>
    <row r="465" spans="1:1">
      <c r="A465" s="29"/>
    </row>
    <row r="466" spans="1:1">
      <c r="A466" s="29"/>
    </row>
    <row r="467" spans="1:1">
      <c r="A467" s="29"/>
    </row>
    <row r="468" spans="1:1">
      <c r="A468" s="29"/>
    </row>
    <row r="469" spans="1:1">
      <c r="A469" s="29"/>
    </row>
    <row r="470" spans="1:1">
      <c r="A470" s="29"/>
    </row>
    <row r="471" spans="1:1">
      <c r="A471" s="29"/>
    </row>
    <row r="472" spans="1:1">
      <c r="A472" s="29"/>
    </row>
    <row r="473" spans="1:1">
      <c r="A473" s="29"/>
    </row>
    <row r="474" spans="1:1">
      <c r="A474" s="29"/>
    </row>
    <row r="490" spans="30:30">
      <c r="AD490" s="29" t="s">
        <v>2863</v>
      </c>
    </row>
  </sheetData>
  <phoneticPr fontId="0" type="noConversion"/>
  <pageMargins left="0.28000000000000003" right="0.24" top="0.4" bottom="0.42" header="0.24" footer="0.24"/>
  <pageSetup scale="88" orientation="portrait" r:id="rId1"/>
  <headerFooter alignWithMargins="0"/>
  <rowBreaks count="1" manualBreakCount="1">
    <brk id="65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>
    <pageSetUpPr fitToPage="1"/>
  </sheetPr>
  <dimension ref="A1:C199"/>
  <sheetViews>
    <sheetView view="pageBreakPreview" zoomScaleNormal="75" zoomScaleSheetLayoutView="100" workbookViewId="0">
      <pane ySplit="2" topLeftCell="A3" activePane="bottomLeft" state="frozen"/>
      <selection sqref="A1:IV65536"/>
      <selection pane="bottomLeft" sqref="A1:XFD1048576"/>
    </sheetView>
  </sheetViews>
  <sheetFormatPr defaultRowHeight="12.75"/>
  <cols>
    <col min="1" max="1" width="25.7109375" bestFit="1" customWidth="1"/>
    <col min="2" max="2" width="35" bestFit="1" customWidth="1"/>
    <col min="3" max="3" width="19.28515625" bestFit="1" customWidth="1"/>
  </cols>
  <sheetData>
    <row r="1" spans="1:3" ht="15.75">
      <c r="A1" s="208" t="s">
        <v>1708</v>
      </c>
      <c r="B1" s="209"/>
      <c r="C1" s="209"/>
    </row>
    <row r="2" spans="1:3">
      <c r="A2" s="210" t="s">
        <v>1276</v>
      </c>
      <c r="B2" s="210"/>
      <c r="C2" s="210"/>
    </row>
    <row r="3" spans="1:3">
      <c r="A3" s="207" t="s">
        <v>1724</v>
      </c>
      <c r="B3" s="207"/>
    </row>
    <row r="4" spans="1:3">
      <c r="A4" s="39" t="s">
        <v>2404</v>
      </c>
      <c r="B4" s="39" t="s">
        <v>2405</v>
      </c>
      <c r="C4" s="40" t="s">
        <v>2406</v>
      </c>
    </row>
    <row r="5" spans="1:3">
      <c r="A5" t="s">
        <v>2627</v>
      </c>
      <c r="B5" t="s">
        <v>2407</v>
      </c>
      <c r="C5" s="17">
        <v>138124315.80000001</v>
      </c>
    </row>
    <row r="6" spans="1:3">
      <c r="A6" t="s">
        <v>2628</v>
      </c>
      <c r="B6" t="s">
        <v>2408</v>
      </c>
      <c r="C6" s="17">
        <v>28380247.129999999</v>
      </c>
    </row>
    <row r="7" spans="1:3">
      <c r="A7" t="s">
        <v>568</v>
      </c>
      <c r="B7" t="s">
        <v>2409</v>
      </c>
      <c r="C7" s="17">
        <v>0</v>
      </c>
    </row>
    <row r="8" spans="1:3">
      <c r="A8" t="s">
        <v>2807</v>
      </c>
      <c r="B8" t="s">
        <v>2410</v>
      </c>
      <c r="C8" s="17">
        <v>707330</v>
      </c>
    </row>
    <row r="9" spans="1:3">
      <c r="A9" t="s">
        <v>2921</v>
      </c>
      <c r="B9" t="s">
        <v>2411</v>
      </c>
      <c r="C9" s="17">
        <v>28509706.969999999</v>
      </c>
    </row>
    <row r="10" spans="1:3">
      <c r="A10" t="s">
        <v>2635</v>
      </c>
      <c r="B10" t="s">
        <v>2412</v>
      </c>
      <c r="C10" s="17">
        <v>0</v>
      </c>
    </row>
    <row r="11" spans="1:3">
      <c r="A11" t="s">
        <v>2636</v>
      </c>
      <c r="B11" t="s">
        <v>2413</v>
      </c>
      <c r="C11" s="17">
        <v>-247719.72</v>
      </c>
    </row>
    <row r="12" spans="1:3">
      <c r="A12" t="s">
        <v>2414</v>
      </c>
      <c r="B12" t="s">
        <v>2629</v>
      </c>
      <c r="C12" s="17">
        <v>0</v>
      </c>
    </row>
    <row r="13" spans="1:3">
      <c r="A13" t="s">
        <v>2930</v>
      </c>
      <c r="B13" t="s">
        <v>2630</v>
      </c>
      <c r="C13" s="17">
        <v>50050.15</v>
      </c>
    </row>
    <row r="14" spans="1:3">
      <c r="A14" t="s">
        <v>1845</v>
      </c>
      <c r="B14" t="s">
        <v>13</v>
      </c>
      <c r="C14" s="17">
        <v>37201.1</v>
      </c>
    </row>
    <row r="15" spans="1:3">
      <c r="A15" t="s">
        <v>295</v>
      </c>
      <c r="B15" t="s">
        <v>14</v>
      </c>
      <c r="C15" s="17">
        <v>174012.6</v>
      </c>
    </row>
    <row r="16" spans="1:3" ht="12" customHeight="1" thickBot="1">
      <c r="A16" s="47" t="s">
        <v>915</v>
      </c>
      <c r="B16" s="47" t="s">
        <v>1961</v>
      </c>
      <c r="C16" s="48">
        <v>-7437.96</v>
      </c>
    </row>
    <row r="17" spans="1:3" ht="13.5" thickTop="1">
      <c r="A17" s="49" t="s">
        <v>15</v>
      </c>
      <c r="B17" s="39"/>
      <c r="C17" s="50">
        <v>195727706.06999999</v>
      </c>
    </row>
    <row r="19" spans="1:3">
      <c r="A19" s="207" t="s">
        <v>16</v>
      </c>
      <c r="B19" s="207"/>
    </row>
    <row r="20" spans="1:3">
      <c r="A20" s="39" t="s">
        <v>17</v>
      </c>
      <c r="B20" s="39" t="s">
        <v>18</v>
      </c>
      <c r="C20" s="40" t="s">
        <v>2406</v>
      </c>
    </row>
    <row r="21" spans="1:3">
      <c r="A21" t="s">
        <v>2962</v>
      </c>
      <c r="B21" s="38" t="s">
        <v>2940</v>
      </c>
      <c r="C21" s="51">
        <v>10347.85</v>
      </c>
    </row>
    <row r="22" spans="1:3">
      <c r="A22" t="s">
        <v>10</v>
      </c>
      <c r="B22" s="38" t="s">
        <v>2014</v>
      </c>
      <c r="C22" s="51">
        <v>17092.740000000002</v>
      </c>
    </row>
    <row r="23" spans="1:3">
      <c r="A23" t="s">
        <v>11</v>
      </c>
      <c r="B23" s="38" t="s">
        <v>2015</v>
      </c>
      <c r="C23" s="51">
        <v>4124.6899999999996</v>
      </c>
    </row>
    <row r="24" spans="1:3">
      <c r="A24" t="s">
        <v>605</v>
      </c>
      <c r="B24" s="38" t="s">
        <v>2016</v>
      </c>
      <c r="C24" s="51">
        <v>659.19</v>
      </c>
    </row>
    <row r="25" spans="1:3">
      <c r="A25" t="s">
        <v>2935</v>
      </c>
      <c r="B25" s="38" t="s">
        <v>2017</v>
      </c>
      <c r="C25" s="51">
        <v>5961.58</v>
      </c>
    </row>
    <row r="26" spans="1:3">
      <c r="A26" t="s">
        <v>2936</v>
      </c>
      <c r="B26" s="38" t="s">
        <v>2018</v>
      </c>
      <c r="C26" s="51">
        <v>152000.93</v>
      </c>
    </row>
    <row r="27" spans="1:3">
      <c r="A27" t="s">
        <v>2937</v>
      </c>
      <c r="B27" s="38" t="s">
        <v>2019</v>
      </c>
      <c r="C27" s="51">
        <v>84344.71</v>
      </c>
    </row>
    <row r="28" spans="1:3">
      <c r="A28" t="s">
        <v>2938</v>
      </c>
      <c r="B28" s="38" t="s">
        <v>2017</v>
      </c>
      <c r="C28" s="51">
        <v>47703.55</v>
      </c>
    </row>
    <row r="29" spans="1:3">
      <c r="A29" t="s">
        <v>2246</v>
      </c>
      <c r="B29" s="38" t="s">
        <v>2020</v>
      </c>
      <c r="C29" s="51">
        <v>49111.53</v>
      </c>
    </row>
    <row r="30" spans="1:3">
      <c r="A30" t="s">
        <v>2247</v>
      </c>
      <c r="B30" s="38" t="s">
        <v>2021</v>
      </c>
      <c r="C30" s="51">
        <v>28948.78</v>
      </c>
    </row>
    <row r="31" spans="1:3">
      <c r="A31" t="s">
        <v>2248</v>
      </c>
      <c r="B31" s="38" t="s">
        <v>2022</v>
      </c>
      <c r="C31" s="51">
        <v>3217.38</v>
      </c>
    </row>
    <row r="32" spans="1:3">
      <c r="A32" t="s">
        <v>2654</v>
      </c>
      <c r="B32" s="38" t="s">
        <v>2023</v>
      </c>
      <c r="C32" s="51">
        <v>64556.77</v>
      </c>
    </row>
    <row r="33" spans="1:3">
      <c r="A33" t="s">
        <v>2655</v>
      </c>
      <c r="B33" s="38" t="s">
        <v>2024</v>
      </c>
      <c r="C33" s="51">
        <v>134255.56</v>
      </c>
    </row>
    <row r="34" spans="1:3">
      <c r="A34" t="s">
        <v>2656</v>
      </c>
      <c r="B34" s="38" t="s">
        <v>2025</v>
      </c>
      <c r="C34" s="51">
        <v>94058.33</v>
      </c>
    </row>
    <row r="35" spans="1:3">
      <c r="A35" t="s">
        <v>2657</v>
      </c>
      <c r="B35" s="38" t="s">
        <v>2018</v>
      </c>
      <c r="C35" s="51">
        <v>2118.87</v>
      </c>
    </row>
    <row r="36" spans="1:3">
      <c r="A36" t="s">
        <v>2658</v>
      </c>
      <c r="B36" s="38" t="s">
        <v>2026</v>
      </c>
      <c r="C36" s="51">
        <v>335.99</v>
      </c>
    </row>
    <row r="37" spans="1:3">
      <c r="A37" t="s">
        <v>2659</v>
      </c>
      <c r="B37" s="38" t="s">
        <v>2027</v>
      </c>
      <c r="C37" s="51">
        <v>9614.8700000000008</v>
      </c>
    </row>
    <row r="38" spans="1:3">
      <c r="A38" t="s">
        <v>2660</v>
      </c>
      <c r="B38" s="38" t="s">
        <v>2028</v>
      </c>
      <c r="C38" s="51">
        <v>5093.33</v>
      </c>
    </row>
    <row r="39" spans="1:3">
      <c r="A39" t="s">
        <v>2661</v>
      </c>
      <c r="B39" s="38" t="s">
        <v>2021</v>
      </c>
      <c r="C39" s="51">
        <v>996.85</v>
      </c>
    </row>
    <row r="40" spans="1:3">
      <c r="A40" t="s">
        <v>2662</v>
      </c>
      <c r="B40" s="38" t="s">
        <v>2022</v>
      </c>
      <c r="C40" s="51">
        <v>1580.68</v>
      </c>
    </row>
    <row r="41" spans="1:3">
      <c r="A41" t="s">
        <v>2663</v>
      </c>
      <c r="B41" s="38" t="s">
        <v>2029</v>
      </c>
      <c r="C41" s="51">
        <v>3903.67</v>
      </c>
    </row>
    <row r="42" spans="1:3">
      <c r="A42" t="s">
        <v>2664</v>
      </c>
      <c r="B42" s="38" t="s">
        <v>2030</v>
      </c>
      <c r="C42" s="51">
        <v>8233.42</v>
      </c>
    </row>
    <row r="43" spans="1:3">
      <c r="A43" t="s">
        <v>2665</v>
      </c>
      <c r="B43" s="38" t="s">
        <v>2031</v>
      </c>
      <c r="C43" s="51">
        <v>0</v>
      </c>
    </row>
    <row r="44" spans="1:3">
      <c r="A44" t="s">
        <v>2666</v>
      </c>
      <c r="B44" s="38" t="s">
        <v>2032</v>
      </c>
      <c r="C44" s="51">
        <v>116599.53</v>
      </c>
    </row>
    <row r="45" spans="1:3">
      <c r="A45" t="s">
        <v>2667</v>
      </c>
      <c r="B45" s="38" t="s">
        <v>2033</v>
      </c>
      <c r="C45" s="51">
        <v>885409.8</v>
      </c>
    </row>
    <row r="46" spans="1:3">
      <c r="A46" t="s">
        <v>2668</v>
      </c>
      <c r="B46" s="38" t="s">
        <v>2018</v>
      </c>
      <c r="C46" s="51">
        <v>1275473.6299999999</v>
      </c>
    </row>
    <row r="47" spans="1:3">
      <c r="A47" t="s">
        <v>2669</v>
      </c>
      <c r="B47" s="38" t="s">
        <v>2034</v>
      </c>
      <c r="C47" s="51">
        <v>506663.75</v>
      </c>
    </row>
    <row r="48" spans="1:3">
      <c r="A48" t="s">
        <v>2670</v>
      </c>
      <c r="B48" s="38" t="s">
        <v>2035</v>
      </c>
      <c r="C48" s="51">
        <v>495638.84</v>
      </c>
    </row>
    <row r="49" spans="1:3">
      <c r="A49" t="s">
        <v>2671</v>
      </c>
      <c r="B49" s="38" t="s">
        <v>2036</v>
      </c>
      <c r="C49" s="51">
        <v>3033962.85</v>
      </c>
    </row>
    <row r="50" spans="1:3">
      <c r="A50" t="s">
        <v>2789</v>
      </c>
      <c r="B50" s="38" t="s">
        <v>2037</v>
      </c>
      <c r="C50" s="51">
        <v>379.92</v>
      </c>
    </row>
    <row r="51" spans="1:3">
      <c r="A51" t="s">
        <v>2790</v>
      </c>
      <c r="B51" s="38" t="s">
        <v>2038</v>
      </c>
      <c r="C51" s="51">
        <v>29211.16</v>
      </c>
    </row>
    <row r="52" spans="1:3">
      <c r="A52" t="s">
        <v>2791</v>
      </c>
      <c r="B52" s="38" t="s">
        <v>2039</v>
      </c>
      <c r="C52" s="51">
        <v>-3262.99</v>
      </c>
    </row>
    <row r="53" spans="1:3">
      <c r="A53" t="s">
        <v>2792</v>
      </c>
      <c r="B53" s="38" t="s">
        <v>2040</v>
      </c>
      <c r="C53" s="51">
        <v>951583.75</v>
      </c>
    </row>
    <row r="54" spans="1:3">
      <c r="A54" t="s">
        <v>2793</v>
      </c>
      <c r="B54" s="38" t="s">
        <v>2041</v>
      </c>
      <c r="C54" s="51">
        <v>1998688.18</v>
      </c>
    </row>
    <row r="55" spans="1:3">
      <c r="A55" t="s">
        <v>2794</v>
      </c>
      <c r="B55" s="38" t="s">
        <v>2042</v>
      </c>
      <c r="C55" s="51">
        <v>407430.78</v>
      </c>
    </row>
    <row r="56" spans="1:3">
      <c r="A56" t="s">
        <v>2795</v>
      </c>
      <c r="B56" s="38" t="s">
        <v>2043</v>
      </c>
      <c r="C56" s="51">
        <v>18816.54</v>
      </c>
    </row>
    <row r="57" spans="1:3">
      <c r="A57" t="s">
        <v>2796</v>
      </c>
      <c r="B57" s="38" t="s">
        <v>2044</v>
      </c>
      <c r="C57" s="51">
        <v>2069222.38</v>
      </c>
    </row>
    <row r="58" spans="1:3">
      <c r="A58" t="s">
        <v>2797</v>
      </c>
      <c r="B58" s="38" t="s">
        <v>2045</v>
      </c>
      <c r="C58" s="51">
        <v>41.79</v>
      </c>
    </row>
    <row r="59" spans="1:3">
      <c r="A59" t="s">
        <v>2798</v>
      </c>
      <c r="B59" s="38" t="s">
        <v>2021</v>
      </c>
      <c r="C59" s="51">
        <v>494666.57</v>
      </c>
    </row>
    <row r="60" spans="1:3">
      <c r="A60" t="s">
        <v>2799</v>
      </c>
      <c r="B60" s="38" t="s">
        <v>2022</v>
      </c>
      <c r="C60" s="51">
        <v>275572.06</v>
      </c>
    </row>
    <row r="61" spans="1:3">
      <c r="A61" t="s">
        <v>2800</v>
      </c>
      <c r="B61" s="38" t="s">
        <v>2046</v>
      </c>
      <c r="C61" s="51">
        <v>156968.6</v>
      </c>
    </row>
    <row r="62" spans="1:3">
      <c r="A62" t="s">
        <v>2801</v>
      </c>
      <c r="B62" s="38" t="s">
        <v>2047</v>
      </c>
      <c r="C62" s="51">
        <v>404985.12</v>
      </c>
    </row>
    <row r="63" spans="1:3">
      <c r="A63" t="s">
        <v>2802</v>
      </c>
      <c r="B63" s="38" t="s">
        <v>2048</v>
      </c>
      <c r="C63" s="51">
        <v>63174.84</v>
      </c>
    </row>
    <row r="64" spans="1:3">
      <c r="A64" t="s">
        <v>2803</v>
      </c>
      <c r="B64" s="38" t="s">
        <v>2049</v>
      </c>
      <c r="C64" s="51">
        <v>23853.759999999998</v>
      </c>
    </row>
    <row r="65" spans="1:3">
      <c r="A65" t="s">
        <v>2804</v>
      </c>
      <c r="B65" s="38" t="s">
        <v>2050</v>
      </c>
      <c r="C65" s="51">
        <v>1114586.45</v>
      </c>
    </row>
    <row r="66" spans="1:3">
      <c r="A66" t="s">
        <v>2805</v>
      </c>
      <c r="B66" s="38" t="s">
        <v>2051</v>
      </c>
      <c r="C66" s="51">
        <v>1202120.07</v>
      </c>
    </row>
    <row r="67" spans="1:3">
      <c r="A67" t="s">
        <v>1142</v>
      </c>
      <c r="B67" s="38" t="s">
        <v>2052</v>
      </c>
      <c r="C67" s="51">
        <v>1942.08</v>
      </c>
    </row>
    <row r="68" spans="1:3">
      <c r="A68" t="s">
        <v>1143</v>
      </c>
      <c r="B68" s="38" t="s">
        <v>2053</v>
      </c>
      <c r="C68" s="51">
        <v>53511.25</v>
      </c>
    </row>
    <row r="69" spans="1:3">
      <c r="A69" t="s">
        <v>1144</v>
      </c>
      <c r="B69" s="38" t="s">
        <v>2018</v>
      </c>
      <c r="C69" s="51">
        <v>5210628.22</v>
      </c>
    </row>
    <row r="70" spans="1:3">
      <c r="A70" t="s">
        <v>1145</v>
      </c>
      <c r="B70" s="38" t="s">
        <v>2054</v>
      </c>
      <c r="C70" s="51">
        <v>272818.90000000002</v>
      </c>
    </row>
    <row r="71" spans="1:3">
      <c r="A71" t="s">
        <v>1146</v>
      </c>
      <c r="B71" s="38" t="s">
        <v>2041</v>
      </c>
      <c r="C71" s="51">
        <v>2460537.75</v>
      </c>
    </row>
    <row r="72" spans="1:3">
      <c r="A72" t="s">
        <v>1971</v>
      </c>
      <c r="B72" s="38" t="s">
        <v>2055</v>
      </c>
      <c r="C72" s="51">
        <v>4339702.28</v>
      </c>
    </row>
    <row r="73" spans="1:3">
      <c r="A73" t="s">
        <v>1972</v>
      </c>
      <c r="B73" s="38" t="s">
        <v>2043</v>
      </c>
      <c r="C73" s="51">
        <v>943561.74</v>
      </c>
    </row>
    <row r="74" spans="1:3">
      <c r="A74" t="s">
        <v>1973</v>
      </c>
      <c r="B74" s="38" t="s">
        <v>2056</v>
      </c>
      <c r="C74" s="51">
        <v>319588.78999999998</v>
      </c>
    </row>
    <row r="75" spans="1:3">
      <c r="A75" t="s">
        <v>1974</v>
      </c>
      <c r="B75" s="38" t="s">
        <v>2057</v>
      </c>
      <c r="C75" s="51">
        <v>6456356.5700000003</v>
      </c>
    </row>
    <row r="76" spans="1:3">
      <c r="A76" t="s">
        <v>1975</v>
      </c>
      <c r="B76" s="38" t="s">
        <v>2058</v>
      </c>
      <c r="C76" s="51">
        <v>1250843.49</v>
      </c>
    </row>
    <row r="77" spans="1:3">
      <c r="A77" t="s">
        <v>1976</v>
      </c>
      <c r="B77" s="38" t="s">
        <v>2059</v>
      </c>
      <c r="C77" s="51">
        <v>7935573.2200000007</v>
      </c>
    </row>
    <row r="78" spans="1:3">
      <c r="A78" t="s">
        <v>1977</v>
      </c>
      <c r="B78" s="38" t="s">
        <v>2045</v>
      </c>
      <c r="C78" s="51">
        <v>1943.44</v>
      </c>
    </row>
    <row r="79" spans="1:3">
      <c r="A79" t="s">
        <v>1978</v>
      </c>
      <c r="B79" s="38" t="s">
        <v>2021</v>
      </c>
      <c r="C79" s="51">
        <v>4433504.53</v>
      </c>
    </row>
    <row r="80" spans="1:3">
      <c r="A80" t="s">
        <v>1979</v>
      </c>
      <c r="B80" s="38" t="s">
        <v>2022</v>
      </c>
      <c r="C80" s="51">
        <v>205416.91</v>
      </c>
    </row>
    <row r="81" spans="1:3">
      <c r="A81" t="s">
        <v>1980</v>
      </c>
      <c r="B81" s="38" t="s">
        <v>2060</v>
      </c>
      <c r="C81" s="51">
        <v>1605341.19</v>
      </c>
    </row>
    <row r="82" spans="1:3">
      <c r="A82" t="s">
        <v>1981</v>
      </c>
      <c r="B82" s="38" t="s">
        <v>2061</v>
      </c>
      <c r="C82" s="51">
        <v>31319012.770000003</v>
      </c>
    </row>
    <row r="83" spans="1:3">
      <c r="A83" t="s">
        <v>1982</v>
      </c>
      <c r="B83" s="38" t="s">
        <v>2062</v>
      </c>
      <c r="C83" s="51">
        <v>903524.26</v>
      </c>
    </row>
    <row r="84" spans="1:3">
      <c r="A84" t="s">
        <v>1983</v>
      </c>
      <c r="B84" s="38" t="s">
        <v>2063</v>
      </c>
      <c r="C84" s="51">
        <v>287496.26</v>
      </c>
    </row>
    <row r="85" spans="1:3">
      <c r="A85" t="s">
        <v>1984</v>
      </c>
      <c r="B85" s="38" t="s">
        <v>2064</v>
      </c>
      <c r="C85" s="51">
        <v>1352211.19</v>
      </c>
    </row>
    <row r="86" spans="1:3">
      <c r="A86" t="s">
        <v>1985</v>
      </c>
      <c r="B86" s="38" t="s">
        <v>2065</v>
      </c>
      <c r="C86" s="51">
        <v>1047.1099999999999</v>
      </c>
    </row>
    <row r="87" spans="1:3">
      <c r="A87" t="s">
        <v>1986</v>
      </c>
      <c r="B87" s="38" t="s">
        <v>2066</v>
      </c>
      <c r="C87" s="51">
        <v>4279148.8899999997</v>
      </c>
    </row>
    <row r="88" spans="1:3">
      <c r="A88" t="s">
        <v>1987</v>
      </c>
      <c r="B88" s="38" t="s">
        <v>2067</v>
      </c>
      <c r="C88" s="51">
        <v>1130554.1299999999</v>
      </c>
    </row>
    <row r="89" spans="1:3">
      <c r="A89" t="s">
        <v>1988</v>
      </c>
      <c r="B89" s="38" t="s">
        <v>2068</v>
      </c>
      <c r="C89" s="51">
        <v>5536452.4699999988</v>
      </c>
    </row>
    <row r="90" spans="1:3">
      <c r="A90" t="s">
        <v>1989</v>
      </c>
      <c r="B90" s="38" t="s">
        <v>2069</v>
      </c>
      <c r="C90" s="51">
        <v>20366298.469999999</v>
      </c>
    </row>
    <row r="91" spans="1:3">
      <c r="A91" t="s">
        <v>1990</v>
      </c>
      <c r="B91" s="38" t="s">
        <v>2070</v>
      </c>
      <c r="C91" s="51">
        <v>188325.32</v>
      </c>
    </row>
    <row r="92" spans="1:3">
      <c r="A92" t="s">
        <v>2471</v>
      </c>
      <c r="B92" s="38" t="s">
        <v>2071</v>
      </c>
      <c r="C92" s="51">
        <v>584983.85</v>
      </c>
    </row>
    <row r="93" spans="1:3">
      <c r="A93" t="s">
        <v>2472</v>
      </c>
      <c r="B93" s="38" t="s">
        <v>2072</v>
      </c>
      <c r="C93" s="51">
        <v>16003.1</v>
      </c>
    </row>
    <row r="94" spans="1:3">
      <c r="A94" t="s">
        <v>2473</v>
      </c>
      <c r="B94" s="38" t="s">
        <v>2073</v>
      </c>
      <c r="C94" s="51">
        <v>14313.92</v>
      </c>
    </row>
    <row r="95" spans="1:3">
      <c r="A95" t="s">
        <v>2474</v>
      </c>
      <c r="B95" s="38" t="s">
        <v>2074</v>
      </c>
      <c r="C95" s="51">
        <v>481186.48</v>
      </c>
    </row>
    <row r="96" spans="1:3">
      <c r="A96" t="s">
        <v>2475</v>
      </c>
      <c r="B96" s="38" t="s">
        <v>2075</v>
      </c>
      <c r="C96" s="51">
        <v>42980.76</v>
      </c>
    </row>
    <row r="97" spans="1:3">
      <c r="A97" t="s">
        <v>2476</v>
      </c>
      <c r="B97" s="38" t="s">
        <v>2076</v>
      </c>
      <c r="C97" s="51">
        <v>5046734.63</v>
      </c>
    </row>
    <row r="98" spans="1:3">
      <c r="A98" t="s">
        <v>2958</v>
      </c>
      <c r="B98" s="38" t="s">
        <v>2077</v>
      </c>
      <c r="C98" s="51">
        <v>143670.54</v>
      </c>
    </row>
    <row r="99" spans="1:3">
      <c r="A99" t="s">
        <v>2959</v>
      </c>
      <c r="B99" s="38" t="s">
        <v>2078</v>
      </c>
      <c r="C99" s="51">
        <v>1500214.3</v>
      </c>
    </row>
    <row r="100" spans="1:3">
      <c r="A100" t="s">
        <v>2960</v>
      </c>
      <c r="B100" s="38" t="s">
        <v>2079</v>
      </c>
      <c r="C100" s="51">
        <v>553709.18000000005</v>
      </c>
    </row>
    <row r="101" spans="1:3">
      <c r="A101" t="s">
        <v>2961</v>
      </c>
      <c r="B101" s="38" t="s">
        <v>2080</v>
      </c>
      <c r="C101" s="51">
        <v>353647.84</v>
      </c>
    </row>
    <row r="102" spans="1:3">
      <c r="A102" t="s">
        <v>798</v>
      </c>
      <c r="B102" s="38" t="s">
        <v>2081</v>
      </c>
      <c r="C102" s="51">
        <v>1545.08</v>
      </c>
    </row>
    <row r="103" spans="1:3">
      <c r="A103" t="s">
        <v>799</v>
      </c>
      <c r="B103" s="38" t="s">
        <v>2082</v>
      </c>
      <c r="C103" s="51">
        <v>5697.49</v>
      </c>
    </row>
    <row r="104" spans="1:3">
      <c r="A104" t="s">
        <v>2729</v>
      </c>
      <c r="B104" s="38" t="s">
        <v>2083</v>
      </c>
      <c r="C104" s="51">
        <v>4183.2</v>
      </c>
    </row>
    <row r="105" spans="1:3">
      <c r="A105" t="s">
        <v>2730</v>
      </c>
      <c r="B105" s="38" t="s">
        <v>2084</v>
      </c>
      <c r="C105" s="51">
        <v>784977.25</v>
      </c>
    </row>
    <row r="106" spans="1:3">
      <c r="A106" t="s">
        <v>2727</v>
      </c>
      <c r="B106" s="38" t="s">
        <v>2085</v>
      </c>
      <c r="C106" s="51">
        <v>118828.88</v>
      </c>
    </row>
    <row r="107" spans="1:3">
      <c r="A107" t="s">
        <v>2728</v>
      </c>
      <c r="B107" s="38" t="s">
        <v>2086</v>
      </c>
      <c r="C107" s="51">
        <v>402354.92</v>
      </c>
    </row>
    <row r="108" spans="1:3">
      <c r="A108" t="s">
        <v>2211</v>
      </c>
      <c r="B108" s="38" t="s">
        <v>2033</v>
      </c>
      <c r="C108" s="51">
        <v>661.64</v>
      </c>
    </row>
    <row r="109" spans="1:3">
      <c r="A109" t="s">
        <v>2706</v>
      </c>
      <c r="B109" s="38" t="s">
        <v>2087</v>
      </c>
      <c r="C109" s="51">
        <v>6336.4</v>
      </c>
    </row>
    <row r="110" spans="1:3">
      <c r="A110" t="s">
        <v>2707</v>
      </c>
      <c r="B110" s="38" t="s">
        <v>2018</v>
      </c>
      <c r="C110" s="51">
        <v>323599.82</v>
      </c>
    </row>
    <row r="111" spans="1:3">
      <c r="A111" t="s">
        <v>247</v>
      </c>
      <c r="B111" s="38" t="s">
        <v>2088</v>
      </c>
      <c r="C111" s="51">
        <v>1470.47</v>
      </c>
    </row>
    <row r="112" spans="1:3">
      <c r="A112" t="s">
        <v>248</v>
      </c>
      <c r="B112" s="38" t="s">
        <v>2089</v>
      </c>
      <c r="C112" s="51">
        <v>73335.98</v>
      </c>
    </row>
    <row r="113" spans="1:3">
      <c r="A113" t="s">
        <v>249</v>
      </c>
      <c r="B113" s="38" t="s">
        <v>2033</v>
      </c>
      <c r="C113" s="51">
        <v>155086.10999999999</v>
      </c>
    </row>
    <row r="114" spans="1:3">
      <c r="A114" t="s">
        <v>250</v>
      </c>
      <c r="B114" s="38" t="s">
        <v>2021</v>
      </c>
      <c r="C114" s="51">
        <v>81756.81</v>
      </c>
    </row>
    <row r="115" spans="1:3">
      <c r="A115" t="s">
        <v>251</v>
      </c>
      <c r="B115" s="38" t="s">
        <v>2090</v>
      </c>
      <c r="C115" s="51">
        <v>72623.8</v>
      </c>
    </row>
    <row r="116" spans="1:3">
      <c r="A116" t="s">
        <v>252</v>
      </c>
      <c r="B116" s="38" t="s">
        <v>2091</v>
      </c>
      <c r="C116" s="51">
        <v>27362.27</v>
      </c>
    </row>
    <row r="117" spans="1:3">
      <c r="A117" t="s">
        <v>253</v>
      </c>
      <c r="B117" s="38" t="s">
        <v>2018</v>
      </c>
      <c r="C117" s="51">
        <v>1274675.8899999999</v>
      </c>
    </row>
    <row r="118" spans="1:3">
      <c r="A118" t="s">
        <v>254</v>
      </c>
      <c r="B118" s="38" t="s">
        <v>2092</v>
      </c>
      <c r="C118" s="51">
        <v>645401.62</v>
      </c>
    </row>
    <row r="119" spans="1:3">
      <c r="A119" t="s">
        <v>255</v>
      </c>
      <c r="B119" s="38" t="s">
        <v>2093</v>
      </c>
      <c r="C119" s="51">
        <v>1096149.07</v>
      </c>
    </row>
    <row r="120" spans="1:3">
      <c r="A120" t="s">
        <v>256</v>
      </c>
      <c r="B120" s="38" t="s">
        <v>2094</v>
      </c>
      <c r="C120" s="51">
        <v>516495.44</v>
      </c>
    </row>
    <row r="121" spans="1:3">
      <c r="A121" t="s">
        <v>257</v>
      </c>
      <c r="B121" s="38" t="s">
        <v>2095</v>
      </c>
      <c r="C121" s="51">
        <v>351861.13</v>
      </c>
    </row>
    <row r="122" spans="1:3">
      <c r="A122" t="s">
        <v>258</v>
      </c>
      <c r="B122" s="38" t="s">
        <v>2096</v>
      </c>
      <c r="C122" s="51">
        <v>3064514.95</v>
      </c>
    </row>
    <row r="123" spans="1:3">
      <c r="A123" t="s">
        <v>259</v>
      </c>
      <c r="B123" s="38" t="s">
        <v>2058</v>
      </c>
      <c r="C123" s="51">
        <v>1023956.3</v>
      </c>
    </row>
    <row r="124" spans="1:3">
      <c r="A124" t="s">
        <v>260</v>
      </c>
      <c r="B124" s="38" t="s">
        <v>2033</v>
      </c>
      <c r="C124" s="51">
        <v>3661761.67</v>
      </c>
    </row>
    <row r="125" spans="1:3">
      <c r="A125" t="s">
        <v>261</v>
      </c>
      <c r="B125" s="38" t="s">
        <v>2021</v>
      </c>
      <c r="C125" s="51">
        <v>3027839.25</v>
      </c>
    </row>
    <row r="126" spans="1:3">
      <c r="A126" t="s">
        <v>262</v>
      </c>
      <c r="B126" s="38" t="s">
        <v>2022</v>
      </c>
      <c r="C126" s="51">
        <v>203132.68</v>
      </c>
    </row>
    <row r="127" spans="1:3">
      <c r="A127" t="s">
        <v>263</v>
      </c>
      <c r="B127" s="38" t="s">
        <v>2090</v>
      </c>
      <c r="C127" s="51">
        <v>1276774.52</v>
      </c>
    </row>
    <row r="128" spans="1:3">
      <c r="A128" t="s">
        <v>442</v>
      </c>
      <c r="B128" s="38" t="s">
        <v>2087</v>
      </c>
      <c r="C128" s="51">
        <v>26135.96</v>
      </c>
    </row>
    <row r="129" spans="1:3">
      <c r="A129" t="s">
        <v>443</v>
      </c>
      <c r="B129" s="38" t="s">
        <v>2097</v>
      </c>
      <c r="C129" s="51">
        <v>113609.05</v>
      </c>
    </row>
    <row r="130" spans="1:3">
      <c r="A130" t="s">
        <v>444</v>
      </c>
      <c r="B130" s="38" t="s">
        <v>2098</v>
      </c>
      <c r="C130" s="51">
        <v>166393.06</v>
      </c>
    </row>
    <row r="131" spans="1:3">
      <c r="A131" t="s">
        <v>445</v>
      </c>
      <c r="B131" s="38" t="s">
        <v>2099</v>
      </c>
      <c r="C131" s="51">
        <v>738402.64</v>
      </c>
    </row>
    <row r="132" spans="1:3">
      <c r="A132" t="s">
        <v>446</v>
      </c>
      <c r="B132" s="38" t="s">
        <v>2100</v>
      </c>
      <c r="C132" s="51">
        <v>199469.49</v>
      </c>
    </row>
    <row r="133" spans="1:3">
      <c r="A133" t="s">
        <v>447</v>
      </c>
      <c r="B133" s="38" t="s">
        <v>2067</v>
      </c>
      <c r="C133" s="51">
        <v>184891.3</v>
      </c>
    </row>
    <row r="134" spans="1:3">
      <c r="A134" t="s">
        <v>1392</v>
      </c>
      <c r="B134" s="38" t="s">
        <v>2068</v>
      </c>
      <c r="C134" s="51">
        <v>1443641.68</v>
      </c>
    </row>
    <row r="135" spans="1:3">
      <c r="A135" t="s">
        <v>1393</v>
      </c>
      <c r="B135" s="38" t="s">
        <v>2069</v>
      </c>
      <c r="C135" s="51">
        <v>3421987.12</v>
      </c>
    </row>
    <row r="136" spans="1:3">
      <c r="A136" t="s">
        <v>1394</v>
      </c>
      <c r="B136" s="38" t="s">
        <v>2070</v>
      </c>
      <c r="C136" s="51">
        <v>10168.200000000001</v>
      </c>
    </row>
    <row r="137" spans="1:3">
      <c r="A137" t="s">
        <v>1395</v>
      </c>
      <c r="B137" s="38" t="s">
        <v>2071</v>
      </c>
      <c r="C137" s="51">
        <v>187673.49</v>
      </c>
    </row>
    <row r="138" spans="1:3">
      <c r="A138" t="s">
        <v>1396</v>
      </c>
      <c r="B138" s="38" t="s">
        <v>2073</v>
      </c>
      <c r="C138" s="51">
        <v>4299.74</v>
      </c>
    </row>
    <row r="139" spans="1:3">
      <c r="A139" t="s">
        <v>1397</v>
      </c>
      <c r="B139" s="38" t="s">
        <v>2074</v>
      </c>
      <c r="C139" s="51">
        <v>462221.21</v>
      </c>
    </row>
    <row r="140" spans="1:3">
      <c r="A140" t="s">
        <v>1398</v>
      </c>
      <c r="B140" s="38" t="s">
        <v>2075</v>
      </c>
      <c r="C140" s="51">
        <v>3350.04</v>
      </c>
    </row>
    <row r="141" spans="1:3">
      <c r="A141" t="s">
        <v>1399</v>
      </c>
      <c r="B141" s="38" t="s">
        <v>2076</v>
      </c>
      <c r="C141" s="51">
        <v>959531.68</v>
      </c>
    </row>
    <row r="142" spans="1:3">
      <c r="A142" t="s">
        <v>1400</v>
      </c>
      <c r="B142" s="38" t="s">
        <v>2077</v>
      </c>
      <c r="C142" s="51">
        <v>13751.95</v>
      </c>
    </row>
    <row r="143" spans="1:3">
      <c r="A143" t="s">
        <v>233</v>
      </c>
      <c r="B143" s="38" t="s">
        <v>2078</v>
      </c>
      <c r="C143" s="51">
        <v>17780.54</v>
      </c>
    </row>
    <row r="144" spans="1:3">
      <c r="A144" t="s">
        <v>234</v>
      </c>
      <c r="B144" s="38" t="s">
        <v>2079</v>
      </c>
      <c r="C144" s="51">
        <v>88815.41</v>
      </c>
    </row>
    <row r="145" spans="1:3">
      <c r="A145" t="s">
        <v>797</v>
      </c>
      <c r="B145" s="38" t="s">
        <v>2080</v>
      </c>
      <c r="C145" s="51">
        <v>557926.02</v>
      </c>
    </row>
    <row r="146" spans="1:3" ht="5.25" customHeight="1" thickBot="1">
      <c r="A146" s="47"/>
      <c r="B146" s="47"/>
      <c r="C146" s="52"/>
    </row>
    <row r="147" spans="1:3" ht="13.5" thickTop="1">
      <c r="A147" s="49" t="s">
        <v>19</v>
      </c>
      <c r="B147" s="39"/>
      <c r="C147" s="53">
        <v>152645265.70000002</v>
      </c>
    </row>
    <row r="148" spans="1:3">
      <c r="A148" s="49"/>
      <c r="B148" s="39"/>
      <c r="C148" s="54"/>
    </row>
    <row r="149" spans="1:3">
      <c r="A149" s="55" t="s">
        <v>1177</v>
      </c>
      <c r="B149" s="56"/>
      <c r="C149" s="57">
        <v>125842834.47999999</v>
      </c>
    </row>
    <row r="150" spans="1:3" ht="13.5" thickBot="1">
      <c r="A150" s="58" t="s">
        <v>1178</v>
      </c>
      <c r="B150" s="58"/>
      <c r="C150" s="59">
        <v>26802431.219999995</v>
      </c>
    </row>
    <row r="151" spans="1:3" ht="13.5" thickTop="1">
      <c r="A151" s="55" t="s">
        <v>19</v>
      </c>
      <c r="B151" s="56"/>
      <c r="C151" s="60">
        <f>SUM(C149:C150)</f>
        <v>152645265.69999999</v>
      </c>
    </row>
    <row r="153" spans="1:3">
      <c r="A153" s="207" t="s">
        <v>20</v>
      </c>
      <c r="B153" s="207"/>
    </row>
    <row r="154" spans="1:3">
      <c r="A154" s="39" t="s">
        <v>21</v>
      </c>
      <c r="B154" s="39" t="s">
        <v>2538</v>
      </c>
      <c r="C154" s="40" t="s">
        <v>2406</v>
      </c>
    </row>
    <row r="155" spans="1:3" ht="13.5" thickBot="1">
      <c r="A155" s="47" t="s">
        <v>2539</v>
      </c>
      <c r="B155" s="47"/>
      <c r="C155" s="48">
        <v>34856325.93</v>
      </c>
    </row>
    <row r="156" spans="1:3" ht="13.5" thickTop="1">
      <c r="A156" s="49" t="s">
        <v>2540</v>
      </c>
      <c r="C156" s="53">
        <v>34856325.93</v>
      </c>
    </row>
    <row r="157" spans="1:3">
      <c r="A157" s="49"/>
      <c r="C157" s="53"/>
    </row>
    <row r="158" spans="1:3">
      <c r="A158" s="55" t="s">
        <v>1177</v>
      </c>
      <c r="B158" s="1"/>
      <c r="C158" s="61">
        <v>27609518.576488804</v>
      </c>
    </row>
    <row r="159" spans="1:3" ht="13.5" thickBot="1">
      <c r="A159" s="58" t="s">
        <v>1178</v>
      </c>
      <c r="B159" s="62"/>
      <c r="C159" s="63">
        <v>7246807.35351119</v>
      </c>
    </row>
    <row r="160" spans="1:3" ht="13.5" thickTop="1">
      <c r="A160" s="55" t="s">
        <v>2540</v>
      </c>
      <c r="B160" s="1"/>
      <c r="C160" s="64">
        <f>SUM(C158:C159)</f>
        <v>34856325.929999992</v>
      </c>
    </row>
    <row r="161" spans="1:3">
      <c r="A161" s="207" t="s">
        <v>2541</v>
      </c>
      <c r="B161" s="207"/>
      <c r="C161" s="42"/>
    </row>
    <row r="162" spans="1:3">
      <c r="A162" s="211" t="s">
        <v>2542</v>
      </c>
      <c r="B162" s="211"/>
      <c r="C162" s="65" t="s">
        <v>2406</v>
      </c>
    </row>
    <row r="163" spans="1:3">
      <c r="A163" s="212" t="s">
        <v>2543</v>
      </c>
      <c r="B163" s="212"/>
      <c r="C163" s="17">
        <v>4808069.75</v>
      </c>
    </row>
    <row r="164" spans="1:3" ht="13.5" thickBot="1">
      <c r="A164" s="213" t="s">
        <v>2544</v>
      </c>
      <c r="B164" s="213"/>
      <c r="C164" s="48">
        <v>2659385.44</v>
      </c>
    </row>
    <row r="165" spans="1:3" ht="13.5" thickTop="1">
      <c r="A165" s="39" t="s">
        <v>2545</v>
      </c>
      <c r="C165" s="50">
        <v>7467455.1899999995</v>
      </c>
    </row>
    <row r="166" spans="1:3">
      <c r="A166" s="39"/>
      <c r="C166" s="66"/>
    </row>
    <row r="167" spans="1:3">
      <c r="A167" s="39"/>
      <c r="C167" s="66"/>
    </row>
    <row r="168" spans="1:3">
      <c r="A168" s="56" t="s">
        <v>2546</v>
      </c>
      <c r="B168" s="1"/>
      <c r="C168" s="67">
        <v>2909754.9643833423</v>
      </c>
    </row>
    <row r="169" spans="1:3" ht="13.5" thickBot="1">
      <c r="A169" s="58" t="s">
        <v>2547</v>
      </c>
      <c r="B169" s="62"/>
      <c r="C169" s="68">
        <v>513608.89725196548</v>
      </c>
    </row>
    <row r="170" spans="1:3" ht="13.5" thickTop="1">
      <c r="A170" s="56" t="s">
        <v>2548</v>
      </c>
      <c r="B170" s="1"/>
      <c r="C170" s="69">
        <f>SUM(C168:C169)</f>
        <v>3423363.8616353078</v>
      </c>
    </row>
    <row r="171" spans="1:3">
      <c r="A171" s="56"/>
      <c r="B171" s="1"/>
      <c r="C171" s="69"/>
    </row>
    <row r="172" spans="1:3">
      <c r="A172" s="56" t="s">
        <v>2549</v>
      </c>
      <c r="B172" s="1"/>
      <c r="C172" s="67">
        <v>1061577.0462160562</v>
      </c>
    </row>
    <row r="173" spans="1:3" ht="13.5" thickBot="1">
      <c r="A173" s="58" t="s">
        <v>2550</v>
      </c>
      <c r="B173" s="62"/>
      <c r="C173" s="68">
        <v>233604.28395236793</v>
      </c>
    </row>
    <row r="174" spans="1:3" ht="13.5" thickTop="1">
      <c r="A174" s="56" t="s">
        <v>2551</v>
      </c>
      <c r="B174" s="1"/>
      <c r="C174" s="69">
        <f>SUM(C172:C173)</f>
        <v>1295181.3301684242</v>
      </c>
    </row>
    <row r="175" spans="1:3">
      <c r="A175" s="39"/>
      <c r="C175" s="66"/>
    </row>
    <row r="176" spans="1:3">
      <c r="A176" s="56" t="s">
        <v>2552</v>
      </c>
      <c r="B176" s="1"/>
      <c r="C176" s="67">
        <v>791206.947322199</v>
      </c>
    </row>
    <row r="177" spans="1:3" ht="13.5" thickBot="1">
      <c r="A177" s="58" t="s">
        <v>2553</v>
      </c>
      <c r="B177" s="62"/>
      <c r="C177" s="68">
        <v>242603.73888031938</v>
      </c>
    </row>
    <row r="178" spans="1:3" ht="13.5" thickTop="1">
      <c r="A178" s="56" t="s">
        <v>1328</v>
      </c>
      <c r="B178" s="1"/>
      <c r="C178" s="69">
        <f>SUM(C176:C177)</f>
        <v>1033810.6862025184</v>
      </c>
    </row>
    <row r="179" spans="1:3">
      <c r="A179" s="56"/>
      <c r="B179" s="1"/>
      <c r="C179" s="69"/>
    </row>
    <row r="180" spans="1:3">
      <c r="A180" s="56" t="s">
        <v>1329</v>
      </c>
      <c r="B180" s="1"/>
      <c r="C180" s="67">
        <v>1385566.5216707007</v>
      </c>
    </row>
    <row r="181" spans="1:3" ht="13.5" thickBot="1">
      <c r="A181" s="58" t="s">
        <v>1330</v>
      </c>
      <c r="B181" s="62"/>
      <c r="C181" s="68">
        <v>204104.84989594994</v>
      </c>
    </row>
    <row r="182" spans="1:3" ht="13.5" thickTop="1">
      <c r="A182" s="56" t="s">
        <v>1331</v>
      </c>
      <c r="B182" s="1"/>
      <c r="C182" s="69">
        <f>SUM(C180:C181)</f>
        <v>1589671.3715666507</v>
      </c>
    </row>
    <row r="183" spans="1:3">
      <c r="A183" s="39"/>
      <c r="C183" s="66"/>
    </row>
    <row r="184" spans="1:3">
      <c r="A184" s="39"/>
      <c r="C184" s="66"/>
    </row>
    <row r="185" spans="1:3">
      <c r="A185" s="207" t="s">
        <v>1258</v>
      </c>
      <c r="B185" s="207"/>
      <c r="C185" s="66"/>
    </row>
    <row r="186" spans="1:3">
      <c r="A186" s="39" t="s">
        <v>1259</v>
      </c>
      <c r="C186" s="65" t="s">
        <v>2406</v>
      </c>
    </row>
    <row r="187" spans="1:3">
      <c r="A187" s="11" t="s">
        <v>1260</v>
      </c>
      <c r="C187" s="12">
        <v>6070180.5200000005</v>
      </c>
    </row>
    <row r="188" spans="1:3" ht="13.5" thickBot="1">
      <c r="A188" s="70" t="s">
        <v>1261</v>
      </c>
      <c r="B188" s="47"/>
      <c r="C188" s="71">
        <v>-5311521.2699999996</v>
      </c>
    </row>
    <row r="189" spans="1:3" ht="13.5" thickTop="1">
      <c r="A189" s="39" t="s">
        <v>1262</v>
      </c>
      <c r="C189" s="66">
        <v>758659.25</v>
      </c>
    </row>
    <row r="190" spans="1:3">
      <c r="A190" s="39"/>
      <c r="C190" s="66"/>
    </row>
    <row r="191" spans="1:3">
      <c r="C191" s="42"/>
    </row>
    <row r="192" spans="1:3">
      <c r="A192" s="207" t="s">
        <v>1263</v>
      </c>
      <c r="B192" s="207"/>
      <c r="C192" s="42"/>
    </row>
    <row r="193" spans="1:3">
      <c r="A193" s="40" t="s">
        <v>1259</v>
      </c>
      <c r="B193" s="40"/>
      <c r="C193" s="65" t="s">
        <v>2406</v>
      </c>
    </row>
    <row r="194" spans="1:3">
      <c r="A194" t="s">
        <v>1264</v>
      </c>
      <c r="C194" s="17">
        <v>195727706.06999999</v>
      </c>
    </row>
    <row r="195" spans="1:3">
      <c r="A195" t="s">
        <v>1265</v>
      </c>
      <c r="C195" s="17">
        <v>152645265.70000002</v>
      </c>
    </row>
    <row r="196" spans="1:3">
      <c r="A196" t="s">
        <v>1266</v>
      </c>
      <c r="C196" s="17">
        <v>34856325.93</v>
      </c>
    </row>
    <row r="197" spans="1:3">
      <c r="A197" t="s">
        <v>1267</v>
      </c>
      <c r="C197" s="17">
        <v>7467455.1899999995</v>
      </c>
    </row>
    <row r="198" spans="1:3" ht="13.5" thickBot="1">
      <c r="A198" s="47" t="s">
        <v>1268</v>
      </c>
      <c r="B198" s="47"/>
      <c r="C198" s="48">
        <v>758659.25</v>
      </c>
    </row>
    <row r="199" spans="1:3" ht="13.5" thickTop="1">
      <c r="A199" s="49" t="s">
        <v>1269</v>
      </c>
      <c r="B199" s="39"/>
      <c r="C199" s="50">
        <v>-2.4214386940002441E-8</v>
      </c>
    </row>
  </sheetData>
  <mergeCells count="11">
    <mergeCell ref="A192:B192"/>
    <mergeCell ref="A161:B161"/>
    <mergeCell ref="A162:B162"/>
    <mergeCell ref="A163:B163"/>
    <mergeCell ref="A164:B164"/>
    <mergeCell ref="A185:B185"/>
    <mergeCell ref="A3:B3"/>
    <mergeCell ref="A19:B19"/>
    <mergeCell ref="A153:B153"/>
    <mergeCell ref="A1:C1"/>
    <mergeCell ref="A2:C2"/>
  </mergeCells>
  <phoneticPr fontId="24" type="noConversion"/>
  <printOptions horizontalCentered="1"/>
  <pageMargins left="0.75" right="0.75" top="0.41" bottom="0.38" header="0.22" footer="0.21"/>
  <pageSetup scale="84" fitToHeight="3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9"/>
  <dimension ref="A2:F29"/>
  <sheetViews>
    <sheetView view="pageBreakPreview" zoomScaleNormal="100" zoomScaleSheetLayoutView="100" workbookViewId="0">
      <selection sqref="A1:XFD1048576"/>
    </sheetView>
  </sheetViews>
  <sheetFormatPr defaultRowHeight="15"/>
  <cols>
    <col min="1" max="1" width="9.140625" style="149"/>
    <col min="2" max="2" width="9.28515625" style="149" bestFit="1" customWidth="1"/>
    <col min="3" max="3" width="14.7109375" style="149" customWidth="1"/>
    <col min="4" max="4" width="12" style="149" bestFit="1" customWidth="1"/>
    <col min="5" max="5" width="12.5703125" style="149" bestFit="1" customWidth="1"/>
    <col min="6" max="6" width="17.42578125" style="149" bestFit="1" customWidth="1"/>
    <col min="7" max="16384" width="9.140625" style="149"/>
  </cols>
  <sheetData>
    <row r="2" spans="1:6">
      <c r="A2" s="149" t="s">
        <v>4921</v>
      </c>
    </row>
    <row r="3" spans="1:6">
      <c r="A3" s="149" t="s">
        <v>4636</v>
      </c>
    </row>
    <row r="5" spans="1:6">
      <c r="B5" s="150"/>
      <c r="C5" s="151"/>
    </row>
    <row r="6" spans="1:6">
      <c r="A6" s="149" t="s">
        <v>4922</v>
      </c>
      <c r="C6" s="152">
        <f>+F24</f>
        <v>84138814.769999996</v>
      </c>
    </row>
    <row r="9" spans="1:6">
      <c r="B9" s="639">
        <v>1160</v>
      </c>
      <c r="C9" s="173"/>
      <c r="D9" s="173"/>
      <c r="E9" s="173"/>
      <c r="F9" s="173"/>
    </row>
    <row r="10" spans="1:6">
      <c r="B10" s="639">
        <v>591040</v>
      </c>
      <c r="C10" s="173" t="s">
        <v>4899</v>
      </c>
      <c r="D10" s="173"/>
      <c r="E10" s="173"/>
      <c r="F10" s="173"/>
    </row>
    <row r="11" spans="1:6">
      <c r="B11" s="174" t="s">
        <v>4900</v>
      </c>
      <c r="C11" s="174" t="s">
        <v>4901</v>
      </c>
      <c r="D11" s="174" t="s">
        <v>4902</v>
      </c>
      <c r="E11" s="174" t="s">
        <v>2889</v>
      </c>
      <c r="F11" s="174" t="s">
        <v>4903</v>
      </c>
    </row>
    <row r="12" spans="1:6">
      <c r="B12" s="173" t="s">
        <v>4904</v>
      </c>
      <c r="C12" s="175">
        <v>0</v>
      </c>
      <c r="D12" s="175">
        <v>0</v>
      </c>
      <c r="E12" s="175">
        <v>0</v>
      </c>
      <c r="F12" s="175">
        <v>0</v>
      </c>
    </row>
    <row r="13" spans="1:6">
      <c r="B13" s="173" t="s">
        <v>4905</v>
      </c>
      <c r="C13" s="175">
        <v>8306957.75</v>
      </c>
      <c r="D13" s="175">
        <v>1577491.39</v>
      </c>
      <c r="E13" s="175">
        <v>6729466.3600000003</v>
      </c>
      <c r="F13" s="175">
        <v>6729466.3600000003</v>
      </c>
    </row>
    <row r="14" spans="1:6">
      <c r="B14" s="173" t="s">
        <v>4906</v>
      </c>
      <c r="C14" s="175">
        <v>8720200.4600000009</v>
      </c>
      <c r="D14" s="175">
        <v>1761924.94</v>
      </c>
      <c r="E14" s="175">
        <v>6958275.5199999996</v>
      </c>
      <c r="F14" s="175">
        <v>13687741.880000001</v>
      </c>
    </row>
    <row r="15" spans="1:6">
      <c r="B15" s="173" t="s">
        <v>4907</v>
      </c>
      <c r="C15" s="175">
        <v>8610114.3300000001</v>
      </c>
      <c r="D15" s="175">
        <v>1630755.69</v>
      </c>
      <c r="E15" s="175">
        <v>6979358.6399999997</v>
      </c>
      <c r="F15" s="175">
        <v>20667100.52</v>
      </c>
    </row>
    <row r="16" spans="1:6">
      <c r="B16" s="173" t="s">
        <v>4908</v>
      </c>
      <c r="C16" s="175">
        <v>8708970.2799999993</v>
      </c>
      <c r="D16" s="175">
        <v>1646866.35</v>
      </c>
      <c r="E16" s="175">
        <v>7062103.9299999997</v>
      </c>
      <c r="F16" s="175">
        <v>27729204.449999999</v>
      </c>
    </row>
    <row r="17" spans="2:6">
      <c r="B17" s="173" t="s">
        <v>4909</v>
      </c>
      <c r="C17" s="175">
        <v>8602164.1500000004</v>
      </c>
      <c r="D17" s="175">
        <v>1627529.46</v>
      </c>
      <c r="E17" s="175">
        <v>6974634.6900000004</v>
      </c>
      <c r="F17" s="175">
        <v>34703839.140000001</v>
      </c>
    </row>
    <row r="18" spans="2:6">
      <c r="B18" s="173" t="s">
        <v>4910</v>
      </c>
      <c r="C18" s="175">
        <v>8714954.6799999997</v>
      </c>
      <c r="D18" s="175">
        <v>1657584.88</v>
      </c>
      <c r="E18" s="175">
        <v>7057369.7999999998</v>
      </c>
      <c r="F18" s="175">
        <v>41761208.939999998</v>
      </c>
    </row>
    <row r="19" spans="2:6">
      <c r="B19" s="173" t="s">
        <v>4911</v>
      </c>
      <c r="C19" s="175">
        <v>8728617.0199999996</v>
      </c>
      <c r="D19" s="175">
        <v>1663674.44</v>
      </c>
      <c r="E19" s="175">
        <v>7064942.5800000001</v>
      </c>
      <c r="F19" s="175">
        <v>48826151.520000003</v>
      </c>
    </row>
    <row r="20" spans="2:6">
      <c r="B20" s="173" t="s">
        <v>4912</v>
      </c>
      <c r="C20" s="175">
        <v>8753637.4600000009</v>
      </c>
      <c r="D20" s="175">
        <v>1675571.13</v>
      </c>
      <c r="E20" s="175">
        <v>7078066.3300000001</v>
      </c>
      <c r="F20" s="175">
        <v>55904217.850000001</v>
      </c>
    </row>
    <row r="21" spans="2:6">
      <c r="B21" s="173" t="s">
        <v>4913</v>
      </c>
      <c r="C21" s="175">
        <v>8966420.6500000004</v>
      </c>
      <c r="D21" s="175">
        <v>1719759.6</v>
      </c>
      <c r="E21" s="175">
        <v>7246661.0499999998</v>
      </c>
      <c r="F21" s="175">
        <v>63150878.899999999</v>
      </c>
    </row>
    <row r="22" spans="2:6">
      <c r="B22" s="173" t="s">
        <v>4914</v>
      </c>
      <c r="C22" s="175">
        <v>8793603.8900000006</v>
      </c>
      <c r="D22" s="175">
        <v>1740371.15</v>
      </c>
      <c r="E22" s="175">
        <v>7053232.7400000002</v>
      </c>
      <c r="F22" s="175">
        <v>70204111.640000001</v>
      </c>
    </row>
    <row r="23" spans="2:6">
      <c r="B23" s="173" t="s">
        <v>4915</v>
      </c>
      <c r="C23" s="175">
        <v>8773582.3200000003</v>
      </c>
      <c r="D23" s="175">
        <v>1744031.63</v>
      </c>
      <c r="E23" s="175">
        <v>7029550.6900000004</v>
      </c>
      <c r="F23" s="175">
        <v>77233662.329999998</v>
      </c>
    </row>
    <row r="24" spans="2:6">
      <c r="B24" s="173" t="s">
        <v>4916</v>
      </c>
      <c r="C24" s="175">
        <v>8773578.0999999996</v>
      </c>
      <c r="D24" s="175">
        <v>1868425.66</v>
      </c>
      <c r="E24" s="175">
        <v>6905152.4400000004</v>
      </c>
      <c r="F24" s="175">
        <v>84138814.769999996</v>
      </c>
    </row>
    <row r="25" spans="2:6">
      <c r="B25" s="173" t="s">
        <v>4917</v>
      </c>
      <c r="C25" s="175">
        <v>0</v>
      </c>
      <c r="D25" s="175">
        <v>0</v>
      </c>
      <c r="E25" s="175">
        <v>0</v>
      </c>
      <c r="F25" s="175">
        <v>84138814.769999996</v>
      </c>
    </row>
    <row r="26" spans="2:6">
      <c r="B26" s="173" t="s">
        <v>4918</v>
      </c>
      <c r="C26" s="175">
        <v>0</v>
      </c>
      <c r="D26" s="175">
        <v>0</v>
      </c>
      <c r="E26" s="175">
        <v>0</v>
      </c>
      <c r="F26" s="175">
        <v>84138814.769999996</v>
      </c>
    </row>
    <row r="27" spans="2:6">
      <c r="B27" s="173" t="s">
        <v>4919</v>
      </c>
      <c r="C27" s="175">
        <v>0</v>
      </c>
      <c r="D27" s="175">
        <v>0</v>
      </c>
      <c r="E27" s="175">
        <v>0</v>
      </c>
      <c r="F27" s="175">
        <v>84138814.769999996</v>
      </c>
    </row>
    <row r="28" spans="2:6">
      <c r="B28" s="173" t="s">
        <v>4920</v>
      </c>
      <c r="C28" s="175">
        <v>0</v>
      </c>
      <c r="D28" s="175">
        <v>0</v>
      </c>
      <c r="E28" s="175">
        <v>0</v>
      </c>
      <c r="F28" s="175">
        <v>84138814.769999996</v>
      </c>
    </row>
    <row r="29" spans="2:6">
      <c r="B29" s="173" t="s">
        <v>1179</v>
      </c>
      <c r="C29" s="175">
        <v>104452801.09</v>
      </c>
      <c r="D29" s="175">
        <v>20313986.32</v>
      </c>
      <c r="E29" s="175">
        <v>84138814.769999996</v>
      </c>
      <c r="F29" s="175">
        <v>84138814.769999996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0"/>
  <dimension ref="A2:F28"/>
  <sheetViews>
    <sheetView view="pageBreakPreview" topLeftCell="A5" zoomScaleNormal="100" zoomScaleSheetLayoutView="100" workbookViewId="0">
      <selection activeCell="A5" sqref="A1:XFD1048576"/>
    </sheetView>
  </sheetViews>
  <sheetFormatPr defaultRowHeight="15"/>
  <cols>
    <col min="1" max="1" width="9.140625" style="153"/>
    <col min="2" max="2" width="9.28515625" style="153" bestFit="1" customWidth="1"/>
    <col min="3" max="3" width="15.42578125" style="153" bestFit="1" customWidth="1"/>
    <col min="4" max="4" width="9.28515625" style="153" bestFit="1" customWidth="1"/>
    <col min="5" max="5" width="12.28515625" style="153" bestFit="1" customWidth="1"/>
    <col min="6" max="6" width="17.42578125" style="153" bestFit="1" customWidth="1"/>
    <col min="7" max="16384" width="9.140625" style="153"/>
  </cols>
  <sheetData>
    <row r="2" spans="1:6">
      <c r="A2" s="149" t="s">
        <v>4921</v>
      </c>
      <c r="B2" s="149"/>
      <c r="C2" s="149"/>
    </row>
    <row r="3" spans="1:6">
      <c r="A3" s="149" t="s">
        <v>4637</v>
      </c>
      <c r="B3" s="149"/>
      <c r="C3" s="149"/>
    </row>
    <row r="4" spans="1:6">
      <c r="A4" s="149"/>
      <c r="B4" s="149"/>
      <c r="C4" s="149"/>
    </row>
    <row r="5" spans="1:6">
      <c r="A5" s="149" t="s">
        <v>4922</v>
      </c>
      <c r="B5" s="149"/>
      <c r="C5" s="152">
        <f>+F23</f>
        <v>19789325.210000001</v>
      </c>
    </row>
    <row r="8" spans="1:6">
      <c r="B8" s="639">
        <v>1160</v>
      </c>
      <c r="C8" s="173"/>
      <c r="D8" s="173"/>
      <c r="E8" s="173"/>
      <c r="F8" s="173"/>
    </row>
    <row r="9" spans="1:6">
      <c r="B9" s="639">
        <v>591050</v>
      </c>
      <c r="C9" s="173" t="s">
        <v>4923</v>
      </c>
      <c r="D9" s="173"/>
      <c r="E9" s="173"/>
      <c r="F9" s="173"/>
    </row>
    <row r="10" spans="1:6">
      <c r="B10" s="174" t="s">
        <v>4900</v>
      </c>
      <c r="C10" s="174" t="s">
        <v>4901</v>
      </c>
      <c r="D10" s="174" t="s">
        <v>4902</v>
      </c>
      <c r="E10" s="174" t="s">
        <v>2889</v>
      </c>
      <c r="F10" s="174" t="s">
        <v>4903</v>
      </c>
    </row>
    <row r="11" spans="1:6">
      <c r="B11" s="173" t="s">
        <v>4904</v>
      </c>
      <c r="C11" s="175">
        <v>0</v>
      </c>
      <c r="D11" s="175">
        <v>0</v>
      </c>
      <c r="E11" s="175">
        <v>0</v>
      </c>
      <c r="F11" s="175">
        <v>0</v>
      </c>
    </row>
    <row r="12" spans="1:6">
      <c r="B12" s="173" t="s">
        <v>4905</v>
      </c>
      <c r="C12" s="175">
        <v>1577491.25</v>
      </c>
      <c r="D12" s="175">
        <v>0</v>
      </c>
      <c r="E12" s="175">
        <v>1577491.25</v>
      </c>
      <c r="F12" s="175">
        <v>1577491.25</v>
      </c>
    </row>
    <row r="13" spans="1:6">
      <c r="B13" s="173" t="s">
        <v>4906</v>
      </c>
      <c r="C13" s="175">
        <v>1627947.98</v>
      </c>
      <c r="D13" s="175">
        <v>0</v>
      </c>
      <c r="E13" s="175">
        <v>1627947.98</v>
      </c>
      <c r="F13" s="175">
        <v>3205439.23</v>
      </c>
    </row>
    <row r="14" spans="1:6">
      <c r="B14" s="173" t="s">
        <v>4907</v>
      </c>
      <c r="C14" s="175">
        <v>1630755.64</v>
      </c>
      <c r="D14" s="175">
        <v>0</v>
      </c>
      <c r="E14" s="175">
        <v>1630755.64</v>
      </c>
      <c r="F14" s="175">
        <v>4836194.87</v>
      </c>
    </row>
    <row r="15" spans="1:6">
      <c r="B15" s="173" t="s">
        <v>4908</v>
      </c>
      <c r="C15" s="175">
        <v>1646866.26</v>
      </c>
      <c r="D15" s="175">
        <v>0</v>
      </c>
      <c r="E15" s="175">
        <v>1646866.26</v>
      </c>
      <c r="F15" s="175">
        <v>6483061.1299999999</v>
      </c>
    </row>
    <row r="16" spans="1:6">
      <c r="B16" s="173" t="s">
        <v>4909</v>
      </c>
      <c r="C16" s="175">
        <v>1627529.46</v>
      </c>
      <c r="D16" s="175">
        <v>0</v>
      </c>
      <c r="E16" s="175">
        <v>1627529.46</v>
      </c>
      <c r="F16" s="175">
        <v>8110590.5899999999</v>
      </c>
    </row>
    <row r="17" spans="2:6">
      <c r="B17" s="173" t="s">
        <v>4910</v>
      </c>
      <c r="C17" s="175">
        <v>1657584.26</v>
      </c>
      <c r="D17" s="175">
        <v>0</v>
      </c>
      <c r="E17" s="175">
        <v>1657584.26</v>
      </c>
      <c r="F17" s="175">
        <v>9768174.8499999996</v>
      </c>
    </row>
    <row r="18" spans="2:6">
      <c r="B18" s="173" t="s">
        <v>4911</v>
      </c>
      <c r="C18" s="175">
        <v>1663674.39</v>
      </c>
      <c r="D18" s="175">
        <v>0</v>
      </c>
      <c r="E18" s="175">
        <v>1663674.39</v>
      </c>
      <c r="F18" s="175">
        <v>11431849.24</v>
      </c>
    </row>
    <row r="19" spans="2:6">
      <c r="B19" s="173" t="s">
        <v>4912</v>
      </c>
      <c r="C19" s="175">
        <v>1670008.22</v>
      </c>
      <c r="D19" s="175">
        <v>0</v>
      </c>
      <c r="E19" s="175">
        <v>1670008.22</v>
      </c>
      <c r="F19" s="175">
        <v>13101857.460000001</v>
      </c>
    </row>
    <row r="20" spans="2:6">
      <c r="B20" s="173" t="s">
        <v>4913</v>
      </c>
      <c r="C20" s="175">
        <v>1719759.45</v>
      </c>
      <c r="D20" s="175">
        <v>0</v>
      </c>
      <c r="E20" s="175">
        <v>1719759.45</v>
      </c>
      <c r="F20" s="175">
        <v>14821616.91</v>
      </c>
    </row>
    <row r="21" spans="2:6">
      <c r="B21" s="173" t="s">
        <v>4914</v>
      </c>
      <c r="C21" s="175">
        <v>1673855.53</v>
      </c>
      <c r="D21" s="175">
        <v>0</v>
      </c>
      <c r="E21" s="175">
        <v>1673855.53</v>
      </c>
      <c r="F21" s="175">
        <v>16495472.439999999</v>
      </c>
    </row>
    <row r="22" spans="2:6">
      <c r="B22" s="173" t="s">
        <v>4915</v>
      </c>
      <c r="C22" s="175">
        <v>1663932.72</v>
      </c>
      <c r="D22" s="175">
        <v>0</v>
      </c>
      <c r="E22" s="175">
        <v>1663932.72</v>
      </c>
      <c r="F22" s="175">
        <v>18159405.16</v>
      </c>
    </row>
    <row r="23" spans="2:6">
      <c r="B23" s="173" t="s">
        <v>4916</v>
      </c>
      <c r="C23" s="175">
        <v>1679262.84</v>
      </c>
      <c r="D23" s="175">
        <v>49342.79</v>
      </c>
      <c r="E23" s="175">
        <v>1629920.05</v>
      </c>
      <c r="F23" s="175">
        <v>19789325.210000001</v>
      </c>
    </row>
    <row r="24" spans="2:6">
      <c r="B24" s="173" t="s">
        <v>4917</v>
      </c>
      <c r="C24" s="175">
        <v>0</v>
      </c>
      <c r="D24" s="175">
        <v>0</v>
      </c>
      <c r="E24" s="175">
        <v>0</v>
      </c>
      <c r="F24" s="175">
        <v>19789325.210000001</v>
      </c>
    </row>
    <row r="25" spans="2:6">
      <c r="B25" s="173" t="s">
        <v>4918</v>
      </c>
      <c r="C25" s="175">
        <v>0</v>
      </c>
      <c r="D25" s="175">
        <v>0</v>
      </c>
      <c r="E25" s="175">
        <v>0</v>
      </c>
      <c r="F25" s="175">
        <v>19789325.210000001</v>
      </c>
    </row>
    <row r="26" spans="2:6">
      <c r="B26" s="173" t="s">
        <v>4919</v>
      </c>
      <c r="C26" s="175">
        <v>0</v>
      </c>
      <c r="D26" s="175">
        <v>0</v>
      </c>
      <c r="E26" s="175">
        <v>0</v>
      </c>
      <c r="F26" s="175">
        <v>19789325.210000001</v>
      </c>
    </row>
    <row r="27" spans="2:6">
      <c r="B27" s="173" t="s">
        <v>4920</v>
      </c>
      <c r="C27" s="175">
        <v>0</v>
      </c>
      <c r="D27" s="175">
        <v>0</v>
      </c>
      <c r="E27" s="175">
        <v>0</v>
      </c>
      <c r="F27" s="175">
        <v>19789325.210000001</v>
      </c>
    </row>
    <row r="28" spans="2:6">
      <c r="B28" s="173" t="s">
        <v>1179</v>
      </c>
      <c r="C28" s="175">
        <v>19838668</v>
      </c>
      <c r="D28" s="175">
        <v>49342.79</v>
      </c>
      <c r="E28" s="175">
        <v>19789325.210000001</v>
      </c>
      <c r="F28" s="175">
        <v>19789325.210000001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3:F25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42.140625" style="36" bestFit="1" customWidth="1"/>
    <col min="2" max="2" width="12.5703125" style="36" customWidth="1"/>
    <col min="3" max="3" width="13.7109375" style="36" bestFit="1" customWidth="1"/>
    <col min="4" max="4" width="11.5703125" style="36" bestFit="1" customWidth="1"/>
    <col min="5" max="5" width="12.28515625" style="36" bestFit="1" customWidth="1"/>
    <col min="6" max="16384" width="9.140625" style="36"/>
  </cols>
  <sheetData>
    <row r="3" spans="1:6">
      <c r="A3" s="79"/>
    </row>
    <row r="4" spans="1:6">
      <c r="B4" s="36" t="s">
        <v>1877</v>
      </c>
    </row>
    <row r="6" spans="1:6">
      <c r="B6" s="41" t="s">
        <v>2840</v>
      </c>
      <c r="C6" s="41" t="s">
        <v>2840</v>
      </c>
    </row>
    <row r="7" spans="1:6">
      <c r="B7" s="41" t="s">
        <v>2841</v>
      </c>
      <c r="C7" s="41" t="s">
        <v>2841</v>
      </c>
    </row>
    <row r="8" spans="1:6" ht="15">
      <c r="A8" s="80" t="s">
        <v>2842</v>
      </c>
      <c r="B8" s="81">
        <v>591010</v>
      </c>
      <c r="C8" s="81">
        <v>591020</v>
      </c>
    </row>
    <row r="9" spans="1:6">
      <c r="B9" s="82" t="s">
        <v>1177</v>
      </c>
      <c r="C9" s="82" t="s">
        <v>1178</v>
      </c>
    </row>
    <row r="10" spans="1:6">
      <c r="B10" s="82" t="s">
        <v>1185</v>
      </c>
      <c r="C10" s="82" t="s">
        <v>1185</v>
      </c>
    </row>
    <row r="11" spans="1:6">
      <c r="A11" s="83"/>
      <c r="B11" s="84"/>
      <c r="C11" s="84"/>
    </row>
    <row r="12" spans="1:6">
      <c r="A12" s="83" t="s">
        <v>2843</v>
      </c>
      <c r="B12" s="84">
        <f>17979.54+20000-18000</f>
        <v>19979.54</v>
      </c>
      <c r="C12" s="84">
        <f>-800+733.66+600</f>
        <v>533.66</v>
      </c>
    </row>
    <row r="13" spans="1:6">
      <c r="A13" s="83" t="s">
        <v>2844</v>
      </c>
      <c r="B13" s="84">
        <f>-20000+22467.43+22000</f>
        <v>24467.43</v>
      </c>
      <c r="C13" s="84">
        <f>-600+633.26+500</f>
        <v>533.26</v>
      </c>
    </row>
    <row r="14" spans="1:6">
      <c r="A14" s="83" t="s">
        <v>2845</v>
      </c>
      <c r="B14" s="84">
        <f>-22000+19323.14+18000</f>
        <v>15323.14</v>
      </c>
      <c r="C14" s="84">
        <f>-500+550.53+600</f>
        <v>650.53</v>
      </c>
    </row>
    <row r="15" spans="1:6">
      <c r="A15" s="83" t="s">
        <v>2846</v>
      </c>
      <c r="B15" s="85">
        <f>-18000+14804.44+15000</f>
        <v>11804.44</v>
      </c>
      <c r="C15" s="84">
        <f>-600+552.05+600</f>
        <v>552.04999999999995</v>
      </c>
    </row>
    <row r="16" spans="1:6">
      <c r="A16" s="83" t="s">
        <v>2847</v>
      </c>
      <c r="B16" s="84">
        <f>-15000+11876.44+12000</f>
        <v>8876.44</v>
      </c>
      <c r="C16" s="84">
        <f>-600+710.5+800</f>
        <v>910.5</v>
      </c>
      <c r="E16" s="86"/>
      <c r="F16" s="86"/>
    </row>
    <row r="17" spans="1:4">
      <c r="A17" s="83" t="s">
        <v>2848</v>
      </c>
      <c r="B17" s="86">
        <f>-12000+12160.25+12000</f>
        <v>12160.25</v>
      </c>
      <c r="C17" s="86">
        <f>-800+1227.73+2000</f>
        <v>2427.73</v>
      </c>
    </row>
    <row r="18" spans="1:4">
      <c r="A18" s="83" t="s">
        <v>2849</v>
      </c>
      <c r="B18" s="84">
        <v>13809.32</v>
      </c>
      <c r="C18" s="84">
        <f>-2000+1884.77+2500</f>
        <v>2384.77</v>
      </c>
    </row>
    <row r="19" spans="1:4">
      <c r="A19" s="83" t="s">
        <v>2850</v>
      </c>
      <c r="B19" s="84">
        <f>16031.72+18000-12000</f>
        <v>22031.72</v>
      </c>
      <c r="C19" s="84">
        <f>-2500+2300.84+2300</f>
        <v>2100.84</v>
      </c>
    </row>
    <row r="20" spans="1:4">
      <c r="A20" s="83" t="s">
        <v>2851</v>
      </c>
      <c r="B20" s="84">
        <f>-18000+9393.41+12000</f>
        <v>3393.41</v>
      </c>
      <c r="C20" s="84">
        <f>-2300+1992.26+1800</f>
        <v>1492.26</v>
      </c>
    </row>
    <row r="21" spans="1:4">
      <c r="A21" s="83" t="s">
        <v>2852</v>
      </c>
      <c r="B21" s="84">
        <f>7115.85+7000-12000</f>
        <v>2115.8500000000004</v>
      </c>
      <c r="C21" s="84">
        <v>1121.23</v>
      </c>
    </row>
    <row r="22" spans="1:4">
      <c r="A22" s="83" t="s">
        <v>2853</v>
      </c>
      <c r="B22" s="84">
        <f>-7000+9558.44+9000</f>
        <v>11558.44</v>
      </c>
      <c r="C22" s="84">
        <f>-1400+1258.1+1000</f>
        <v>858.09999999999991</v>
      </c>
    </row>
    <row r="23" spans="1:4">
      <c r="A23" s="83" t="s">
        <v>2854</v>
      </c>
      <c r="B23" s="84">
        <f>-9000+8521.87+9000</f>
        <v>8521.8700000000008</v>
      </c>
      <c r="C23" s="84">
        <f>-1000+631.59+500</f>
        <v>131.59000000000003</v>
      </c>
      <c r="D23" s="37"/>
    </row>
    <row r="24" spans="1:4">
      <c r="B24" s="87">
        <f>SUM(B12:B23)</f>
        <v>154041.85</v>
      </c>
      <c r="C24" s="87">
        <f>SUM(C12:C23)</f>
        <v>13696.52</v>
      </c>
      <c r="D24" s="84">
        <f>SUM(B24:C24)</f>
        <v>167738.37</v>
      </c>
    </row>
    <row r="25" spans="1:4">
      <c r="B25" s="590">
        <f>B24/D24</f>
        <v>0.91834593361077732</v>
      </c>
    </row>
  </sheetData>
  <phoneticPr fontId="24" type="noConversion"/>
  <pageMargins left="0.75" right="0.75" top="0.28000000000000003" bottom="0.47" header="0.17" footer="0.17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33"/>
  <dimension ref="B1:H41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3.7109375" style="133" customWidth="1"/>
    <col min="2" max="3" width="3.7109375" style="392" customWidth="1"/>
    <col min="4" max="4" width="3.7109375" style="133" customWidth="1"/>
    <col min="5" max="5" width="9.5703125" style="388" customWidth="1"/>
    <col min="6" max="6" width="28.28515625" style="388" customWidth="1"/>
    <col min="7" max="7" width="35.42578125" style="133" customWidth="1"/>
    <col min="8" max="8" width="3.7109375" style="392" customWidth="1"/>
    <col min="9" max="16384" width="9.140625" style="133"/>
  </cols>
  <sheetData>
    <row r="1" spans="2:8" s="641" customFormat="1">
      <c r="B1" s="640"/>
      <c r="C1" s="640"/>
      <c r="E1" s="642" t="s">
        <v>361</v>
      </c>
      <c r="F1" s="642" t="s">
        <v>362</v>
      </c>
      <c r="G1" s="643" t="s">
        <v>363</v>
      </c>
      <c r="H1" s="640"/>
    </row>
    <row r="2" spans="2:8">
      <c r="E2" s="392" t="s">
        <v>364</v>
      </c>
      <c r="F2" s="392" t="s">
        <v>365</v>
      </c>
      <c r="G2" s="133" t="s">
        <v>1418</v>
      </c>
    </row>
    <row r="3" spans="2:8">
      <c r="E3" s="392" t="s">
        <v>1419</v>
      </c>
      <c r="F3" s="392" t="s">
        <v>365</v>
      </c>
      <c r="G3" s="133" t="s">
        <v>1420</v>
      </c>
    </row>
    <row r="4" spans="2:8">
      <c r="E4" s="392" t="s">
        <v>1421</v>
      </c>
      <c r="F4" s="392" t="s">
        <v>1422</v>
      </c>
      <c r="G4" s="133" t="s">
        <v>1423</v>
      </c>
    </row>
    <row r="5" spans="2:8">
      <c r="E5" s="392" t="s">
        <v>1424</v>
      </c>
      <c r="F5" s="392" t="s">
        <v>1422</v>
      </c>
      <c r="G5" s="133" t="s">
        <v>1425</v>
      </c>
    </row>
    <row r="6" spans="2:8">
      <c r="E6" s="392" t="s">
        <v>1426</v>
      </c>
      <c r="F6" s="392" t="s">
        <v>1422</v>
      </c>
      <c r="G6" s="133" t="s">
        <v>1427</v>
      </c>
    </row>
    <row r="7" spans="2:8">
      <c r="E7" s="392" t="s">
        <v>1428</v>
      </c>
      <c r="F7" s="392" t="s">
        <v>1422</v>
      </c>
      <c r="G7" s="133" t="s">
        <v>1429</v>
      </c>
    </row>
    <row r="8" spans="2:8">
      <c r="E8" s="392" t="s">
        <v>1430</v>
      </c>
      <c r="F8" s="392" t="s">
        <v>1422</v>
      </c>
      <c r="G8" s="133" t="s">
        <v>265</v>
      </c>
    </row>
    <row r="9" spans="2:8">
      <c r="E9" s="392" t="s">
        <v>266</v>
      </c>
      <c r="F9" s="392" t="s">
        <v>1422</v>
      </c>
      <c r="G9" s="133" t="s">
        <v>267</v>
      </c>
    </row>
    <row r="10" spans="2:8">
      <c r="E10" s="392" t="s">
        <v>268</v>
      </c>
      <c r="F10" s="392" t="s">
        <v>1422</v>
      </c>
      <c r="G10" s="133" t="s">
        <v>269</v>
      </c>
    </row>
    <row r="11" spans="2:8">
      <c r="E11" s="392" t="s">
        <v>270</v>
      </c>
      <c r="F11" s="392" t="s">
        <v>1422</v>
      </c>
      <c r="G11" s="133" t="s">
        <v>271</v>
      </c>
    </row>
    <row r="12" spans="2:8">
      <c r="E12" s="392" t="s">
        <v>1099</v>
      </c>
      <c r="F12" s="392" t="s">
        <v>1422</v>
      </c>
      <c r="G12" s="133" t="s">
        <v>206</v>
      </c>
    </row>
    <row r="13" spans="2:8">
      <c r="E13" s="392" t="s">
        <v>207</v>
      </c>
      <c r="F13" s="392" t="s">
        <v>1422</v>
      </c>
      <c r="G13" s="133" t="s">
        <v>208</v>
      </c>
    </row>
    <row r="14" spans="2:8">
      <c r="E14" s="392" t="s">
        <v>209</v>
      </c>
      <c r="F14" s="392" t="s">
        <v>1422</v>
      </c>
      <c r="G14" s="133" t="s">
        <v>210</v>
      </c>
    </row>
    <row r="15" spans="2:8">
      <c r="E15" s="392" t="s">
        <v>211</v>
      </c>
      <c r="F15" s="392" t="s">
        <v>1422</v>
      </c>
      <c r="G15" s="133" t="s">
        <v>1731</v>
      </c>
    </row>
    <row r="16" spans="2:8">
      <c r="E16" s="392" t="s">
        <v>1732</v>
      </c>
      <c r="F16" s="392" t="s">
        <v>1422</v>
      </c>
      <c r="G16" s="133" t="s">
        <v>1415</v>
      </c>
    </row>
    <row r="17" spans="5:7">
      <c r="E17" s="392" t="s">
        <v>1416</v>
      </c>
      <c r="F17" s="392" t="s">
        <v>1417</v>
      </c>
      <c r="G17" s="133" t="s">
        <v>927</v>
      </c>
    </row>
    <row r="18" spans="5:7">
      <c r="E18" s="392" t="s">
        <v>928</v>
      </c>
      <c r="F18" s="392" t="s">
        <v>1417</v>
      </c>
      <c r="G18" s="133" t="s">
        <v>929</v>
      </c>
    </row>
    <row r="19" spans="5:7">
      <c r="E19" s="392" t="s">
        <v>930</v>
      </c>
      <c r="F19" s="392" t="s">
        <v>1417</v>
      </c>
      <c r="G19" s="133" t="s">
        <v>2808</v>
      </c>
    </row>
    <row r="20" spans="5:7">
      <c r="E20" s="392" t="s">
        <v>2809</v>
      </c>
      <c r="F20" s="392" t="s">
        <v>1417</v>
      </c>
      <c r="G20" s="133" t="s">
        <v>2810</v>
      </c>
    </row>
    <row r="21" spans="5:7">
      <c r="E21" s="392" t="s">
        <v>2811</v>
      </c>
      <c r="F21" s="392" t="s">
        <v>1417</v>
      </c>
      <c r="G21" s="133" t="s">
        <v>2860</v>
      </c>
    </row>
    <row r="22" spans="5:7">
      <c r="E22" s="392" t="s">
        <v>2813</v>
      </c>
      <c r="F22" s="392" t="s">
        <v>1417</v>
      </c>
    </row>
    <row r="23" spans="5:7">
      <c r="E23" s="392" t="s">
        <v>2815</v>
      </c>
      <c r="F23" s="392" t="s">
        <v>1417</v>
      </c>
      <c r="G23" s="133" t="s">
        <v>2816</v>
      </c>
    </row>
    <row r="24" spans="5:7">
      <c r="E24" s="392" t="s">
        <v>2817</v>
      </c>
      <c r="F24" s="392" t="s">
        <v>1417</v>
      </c>
      <c r="G24" s="133" t="s">
        <v>2818</v>
      </c>
    </row>
    <row r="25" spans="5:7">
      <c r="E25" s="392" t="s">
        <v>2819</v>
      </c>
      <c r="F25" s="392" t="s">
        <v>1417</v>
      </c>
      <c r="G25" s="133" t="s">
        <v>2820</v>
      </c>
    </row>
    <row r="26" spans="5:7">
      <c r="E26" s="392" t="s">
        <v>2821</v>
      </c>
      <c r="F26" s="392" t="s">
        <v>1417</v>
      </c>
      <c r="G26" s="133" t="s">
        <v>1889</v>
      </c>
    </row>
    <row r="27" spans="5:7">
      <c r="E27" s="392" t="s">
        <v>1890</v>
      </c>
      <c r="F27" s="392" t="s">
        <v>1891</v>
      </c>
      <c r="G27" s="133" t="s">
        <v>1892</v>
      </c>
    </row>
    <row r="28" spans="5:7">
      <c r="E28" s="392" t="s">
        <v>1893</v>
      </c>
      <c r="F28" s="392" t="s">
        <v>1891</v>
      </c>
      <c r="G28" s="133" t="s">
        <v>1894</v>
      </c>
    </row>
    <row r="29" spans="5:7">
      <c r="E29" s="392" t="s">
        <v>1895</v>
      </c>
      <c r="F29" s="392" t="s">
        <v>1891</v>
      </c>
      <c r="G29" s="133" t="s">
        <v>453</v>
      </c>
    </row>
    <row r="30" spans="5:7">
      <c r="E30" s="392" t="s">
        <v>454</v>
      </c>
      <c r="F30" s="392" t="s">
        <v>1891</v>
      </c>
      <c r="G30" s="133" t="s">
        <v>455</v>
      </c>
    </row>
    <row r="31" spans="5:7">
      <c r="E31" s="392" t="s">
        <v>456</v>
      </c>
      <c r="F31" s="392" t="s">
        <v>1891</v>
      </c>
      <c r="G31" s="133" t="s">
        <v>1816</v>
      </c>
    </row>
    <row r="32" spans="5:7">
      <c r="E32" s="392" t="s">
        <v>1817</v>
      </c>
      <c r="F32" s="392" t="s">
        <v>1891</v>
      </c>
      <c r="G32" s="133" t="s">
        <v>1818</v>
      </c>
    </row>
    <row r="33" spans="5:7">
      <c r="E33" s="392" t="s">
        <v>1819</v>
      </c>
      <c r="F33" s="392" t="s">
        <v>1891</v>
      </c>
      <c r="G33" s="133" t="s">
        <v>1820</v>
      </c>
    </row>
    <row r="34" spans="5:7">
      <c r="E34" s="392" t="s">
        <v>1821</v>
      </c>
      <c r="F34" s="392" t="s">
        <v>1891</v>
      </c>
      <c r="G34" s="133" t="s">
        <v>1822</v>
      </c>
    </row>
    <row r="35" spans="5:7">
      <c r="E35" s="392" t="s">
        <v>1823</v>
      </c>
      <c r="F35" s="392" t="s">
        <v>1891</v>
      </c>
      <c r="G35" s="134" t="s">
        <v>4310</v>
      </c>
    </row>
    <row r="36" spans="5:7">
      <c r="E36" s="392" t="s">
        <v>213</v>
      </c>
      <c r="F36" s="392" t="s">
        <v>1891</v>
      </c>
      <c r="G36" s="133" t="s">
        <v>2277</v>
      </c>
    </row>
    <row r="37" spans="5:7">
      <c r="E37" s="392" t="s">
        <v>733</v>
      </c>
      <c r="F37" s="392" t="s">
        <v>1891</v>
      </c>
      <c r="G37" s="133" t="s">
        <v>2509</v>
      </c>
    </row>
    <row r="38" spans="5:7">
      <c r="E38" s="392" t="s">
        <v>2510</v>
      </c>
      <c r="F38" s="392" t="s">
        <v>1891</v>
      </c>
      <c r="G38" s="133" t="s">
        <v>949</v>
      </c>
    </row>
    <row r="39" spans="5:7">
      <c r="E39" s="392" t="s">
        <v>950</v>
      </c>
      <c r="F39" s="392" t="s">
        <v>1891</v>
      </c>
      <c r="G39" s="133" t="s">
        <v>1170</v>
      </c>
    </row>
    <row r="40" spans="5:7">
      <c r="E40" s="392" t="s">
        <v>1171</v>
      </c>
      <c r="F40" s="392" t="s">
        <v>1172</v>
      </c>
      <c r="G40" s="133" t="s">
        <v>1173</v>
      </c>
    </row>
    <row r="41" spans="5:7">
      <c r="E41" s="392" t="s">
        <v>1174</v>
      </c>
      <c r="F41" s="392" t="s">
        <v>1175</v>
      </c>
      <c r="G41" s="133" t="s">
        <v>1176</v>
      </c>
    </row>
  </sheetData>
  <phoneticPr fontId="0" type="noConversion"/>
  <pageMargins left="0.43" right="0.28999999999999998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9" enableFormatConditionsCalculation="0"/>
  <dimension ref="A1:M364"/>
  <sheetViews>
    <sheetView view="pageBreakPreview" zoomScale="90" zoomScaleNormal="75" zoomScaleSheetLayoutView="90" workbookViewId="0">
      <selection sqref="A1:XFD1048576"/>
    </sheetView>
  </sheetViews>
  <sheetFormatPr defaultRowHeight="12.75"/>
  <cols>
    <col min="1" max="4" width="3.140625" style="716" customWidth="1"/>
    <col min="5" max="5" width="3.7109375" style="148" customWidth="1"/>
    <col min="6" max="6" width="52.28515625" style="148" customWidth="1"/>
    <col min="7" max="7" width="11.42578125" style="204" customWidth="1"/>
    <col min="8" max="10" width="15.85546875" style="148" customWidth="1"/>
    <col min="11" max="11" width="3.85546875" style="148" customWidth="1"/>
    <col min="12" max="16384" width="9.140625" style="135"/>
  </cols>
  <sheetData>
    <row r="1" spans="4:11" ht="15.75">
      <c r="D1" s="779"/>
      <c r="E1" s="780"/>
      <c r="F1" s="781"/>
      <c r="G1" s="782"/>
      <c r="H1" s="781"/>
      <c r="I1" s="781"/>
      <c r="J1" s="781"/>
      <c r="K1" s="781"/>
    </row>
    <row r="2" spans="4:11" s="783" customFormat="1" ht="15.75">
      <c r="D2" s="784" t="s">
        <v>1646</v>
      </c>
      <c r="E2" s="784"/>
      <c r="F2" s="784"/>
      <c r="G2" s="785"/>
      <c r="H2" s="784"/>
      <c r="I2" s="784"/>
      <c r="J2" s="784"/>
      <c r="K2" s="784"/>
    </row>
    <row r="3" spans="4:11" s="783" customFormat="1" ht="15.75">
      <c r="D3" s="784" t="s">
        <v>174</v>
      </c>
      <c r="E3" s="786"/>
      <c r="F3" s="786"/>
      <c r="G3" s="787"/>
      <c r="H3" s="786"/>
      <c r="I3" s="786"/>
      <c r="J3" s="786"/>
      <c r="K3" s="786"/>
    </row>
    <row r="4" spans="4:11" s="783" customFormat="1" ht="15.75">
      <c r="D4" s="788" t="str">
        <f>+'Rate Base'!$B$4</f>
        <v>12 Months Ended December 31, 2014</v>
      </c>
      <c r="E4" s="789"/>
      <c r="F4" s="789"/>
      <c r="G4" s="790"/>
      <c r="H4" s="789"/>
      <c r="I4" s="789"/>
      <c r="J4" s="789"/>
      <c r="K4" s="789"/>
    </row>
    <row r="5" spans="4:11" s="783" customFormat="1" ht="15.75">
      <c r="D5" s="791" t="s">
        <v>1648</v>
      </c>
      <c r="E5" s="789"/>
      <c r="F5" s="789"/>
      <c r="G5" s="790"/>
      <c r="H5" s="789"/>
      <c r="I5" s="789"/>
      <c r="J5" s="789"/>
      <c r="K5" s="789"/>
    </row>
    <row r="7" spans="4:11" ht="56.25" customHeight="1">
      <c r="F7" s="792"/>
      <c r="G7" s="730" t="s">
        <v>1960</v>
      </c>
      <c r="H7" s="793" t="s">
        <v>175</v>
      </c>
      <c r="I7" s="794" t="s">
        <v>176</v>
      </c>
      <c r="J7" s="793" t="s">
        <v>177</v>
      </c>
      <c r="K7" s="795"/>
    </row>
    <row r="8" spans="4:11">
      <c r="D8" s="796" t="s">
        <v>178</v>
      </c>
      <c r="E8" s="796"/>
      <c r="F8" s="796"/>
      <c r="G8" s="797"/>
      <c r="H8" s="796"/>
      <c r="I8" s="796"/>
      <c r="J8" s="796"/>
      <c r="K8" s="796"/>
    </row>
    <row r="9" spans="4:11">
      <c r="E9" s="148" t="s">
        <v>179</v>
      </c>
      <c r="H9" s="381">
        <f>H61</f>
        <v>160720.34714</v>
      </c>
      <c r="I9" s="381">
        <f>+J9-H9</f>
        <v>120239.95589374969</v>
      </c>
      <c r="J9" s="381">
        <f>+J78</f>
        <v>280960.30303374969</v>
      </c>
    </row>
    <row r="10" spans="4:11">
      <c r="D10" s="796"/>
      <c r="E10" s="798" t="s">
        <v>1423</v>
      </c>
      <c r="F10" s="798"/>
      <c r="G10" s="799"/>
      <c r="H10" s="137">
        <v>0</v>
      </c>
      <c r="I10" s="137">
        <f>+J10-H10</f>
        <v>870129.67286916671</v>
      </c>
      <c r="J10" s="137">
        <f>+J108</f>
        <v>870129.67286916671</v>
      </c>
      <c r="K10" s="798"/>
    </row>
    <row r="11" spans="4:11" ht="15">
      <c r="D11" s="796"/>
      <c r="E11" s="798" t="s">
        <v>180</v>
      </c>
      <c r="F11" s="798"/>
      <c r="G11" s="799"/>
      <c r="H11" s="800">
        <v>0</v>
      </c>
      <c r="I11" s="800">
        <f>+J11-H11</f>
        <v>13402.470304166634</v>
      </c>
      <c r="J11" s="800">
        <f>+J123</f>
        <v>13402.470304166634</v>
      </c>
      <c r="K11" s="798"/>
    </row>
    <row r="12" spans="4:11">
      <c r="D12" s="796"/>
      <c r="E12" s="798"/>
      <c r="F12" s="798"/>
      <c r="G12" s="799"/>
      <c r="H12" s="137"/>
      <c r="I12" s="137"/>
      <c r="J12" s="137"/>
      <c r="K12" s="798"/>
    </row>
    <row r="13" spans="4:11">
      <c r="D13" s="796"/>
      <c r="E13" s="798" t="s">
        <v>181</v>
      </c>
      <c r="F13" s="798"/>
      <c r="G13" s="799"/>
      <c r="H13" s="137">
        <f>SUM(H8:H12)</f>
        <v>160720.34714</v>
      </c>
      <c r="I13" s="137">
        <f>SUM(I8:I12)</f>
        <v>1003772.0990670831</v>
      </c>
      <c r="J13" s="137">
        <f>SUM(J8:J12)</f>
        <v>1164492.4462070831</v>
      </c>
      <c r="K13" s="798"/>
    </row>
    <row r="14" spans="4:11">
      <c r="D14" s="796"/>
      <c r="E14" s="798" t="s">
        <v>265</v>
      </c>
      <c r="F14" s="798"/>
      <c r="G14" s="799"/>
      <c r="H14" s="137">
        <v>0</v>
      </c>
      <c r="I14" s="137">
        <f>+J14-H14</f>
        <v>5.4166666666700003E-4</v>
      </c>
      <c r="J14" s="137">
        <f>+J129</f>
        <v>5.4166666666700003E-4</v>
      </c>
      <c r="K14" s="798"/>
    </row>
    <row r="15" spans="4:11" ht="15">
      <c r="D15" s="796"/>
      <c r="E15" s="798" t="s">
        <v>267</v>
      </c>
      <c r="F15" s="798"/>
      <c r="G15" s="799"/>
      <c r="H15" s="800">
        <v>0</v>
      </c>
      <c r="I15" s="800">
        <f>+J15-H15</f>
        <v>1195270.5341279171</v>
      </c>
      <c r="J15" s="800">
        <f>+J156</f>
        <v>1195270.5341279171</v>
      </c>
      <c r="K15" s="798"/>
    </row>
    <row r="16" spans="4:11">
      <c r="D16" s="796"/>
      <c r="E16" s="798"/>
      <c r="F16" s="798"/>
      <c r="G16" s="799"/>
      <c r="H16" s="137"/>
      <c r="I16" s="137"/>
      <c r="J16" s="137"/>
      <c r="K16" s="798"/>
    </row>
    <row r="17" spans="4:11">
      <c r="D17" s="796"/>
      <c r="E17" s="798" t="s">
        <v>1179</v>
      </c>
      <c r="F17" s="798"/>
      <c r="G17" s="799"/>
      <c r="H17" s="139">
        <f>SUM(H13:H16)</f>
        <v>160720.34714</v>
      </c>
      <c r="I17" s="139">
        <f>SUM(I13:I16)</f>
        <v>2199042.6337366668</v>
      </c>
      <c r="J17" s="139">
        <f>SUM(J13:J16)</f>
        <v>2359762.980876667</v>
      </c>
      <c r="K17" s="798"/>
    </row>
    <row r="18" spans="4:11">
      <c r="D18" s="796"/>
      <c r="E18" s="798"/>
      <c r="F18" s="798"/>
      <c r="G18" s="799"/>
      <c r="H18" s="801"/>
      <c r="I18" s="801"/>
      <c r="J18" s="801"/>
      <c r="K18" s="798"/>
    </row>
    <row r="19" spans="4:11">
      <c r="D19" s="796" t="s">
        <v>182</v>
      </c>
      <c r="E19" s="796"/>
      <c r="F19" s="798"/>
      <c r="G19" s="799"/>
      <c r="H19" s="135"/>
      <c r="I19" s="135"/>
      <c r="J19" s="135"/>
      <c r="K19" s="798"/>
    </row>
    <row r="20" spans="4:11">
      <c r="E20" s="148" t="s">
        <v>179</v>
      </c>
      <c r="F20" s="798"/>
      <c r="G20" s="799"/>
      <c r="H20" s="802">
        <f>+I20-J20</f>
        <v>-6.4384613991995715E-2</v>
      </c>
      <c r="I20" s="802">
        <f>ROUND(I9/I$17,30)</f>
        <v>5.4678319578295297E-2</v>
      </c>
      <c r="J20" s="802">
        <f>ROUND(J9/J$17,30)</f>
        <v>0.119062933570291</v>
      </c>
      <c r="K20" s="798"/>
    </row>
    <row r="21" spans="4:11">
      <c r="D21" s="796"/>
      <c r="E21" s="798" t="s">
        <v>1423</v>
      </c>
      <c r="F21" s="798"/>
      <c r="G21" s="799"/>
      <c r="H21" s="802">
        <f>+I21-J21</f>
        <v>2.6949630048002104E-2</v>
      </c>
      <c r="I21" s="802">
        <f>+I24-I20-I22</f>
        <v>0.395685676812287</v>
      </c>
      <c r="J21" s="802">
        <f>+J24-J20-J22</f>
        <v>0.3687360467642849</v>
      </c>
      <c r="K21" s="798"/>
    </row>
    <row r="22" spans="4:11">
      <c r="D22" s="796"/>
      <c r="E22" s="798" t="s">
        <v>1059</v>
      </c>
      <c r="F22" s="798"/>
      <c r="G22" s="799"/>
      <c r="H22" s="803">
        <f>+I22-J22</f>
        <v>4.1510090701266013E-4</v>
      </c>
      <c r="I22" s="803">
        <f>ROUND(I11/I$17,30)</f>
        <v>6.0946841587117499E-3</v>
      </c>
      <c r="J22" s="803">
        <f>ROUND(J11/J$17,30)</f>
        <v>5.6795832516990897E-3</v>
      </c>
      <c r="K22" s="798"/>
    </row>
    <row r="23" spans="4:11">
      <c r="D23" s="796"/>
      <c r="E23" s="798"/>
      <c r="F23" s="798"/>
      <c r="G23" s="799"/>
      <c r="H23" s="802"/>
      <c r="I23" s="802"/>
      <c r="J23" s="802"/>
      <c r="K23" s="798"/>
    </row>
    <row r="24" spans="4:11">
      <c r="D24" s="796"/>
      <c r="E24" s="798" t="s">
        <v>181</v>
      </c>
      <c r="F24" s="798"/>
      <c r="G24" s="799"/>
      <c r="H24" s="802">
        <f>SUM(H19:H23)</f>
        <v>-3.701988303698095E-2</v>
      </c>
      <c r="I24" s="802">
        <f>ROUND(I13/I$17,30)</f>
        <v>0.456458680549294</v>
      </c>
      <c r="J24" s="802">
        <f>ROUND(J13/J$17,30)</f>
        <v>0.49347856358627501</v>
      </c>
      <c r="K24" s="798"/>
    </row>
    <row r="25" spans="4:11">
      <c r="D25" s="796"/>
      <c r="E25" s="798" t="s">
        <v>265</v>
      </c>
      <c r="F25" s="798"/>
      <c r="G25" s="799"/>
      <c r="H25" s="802">
        <f>+I25-J25</f>
        <v>1.6776483702567002E-11</v>
      </c>
      <c r="I25" s="802">
        <f>ROUND(I14/I$17,30)</f>
        <v>2.4631931112066999E-10</v>
      </c>
      <c r="J25" s="802">
        <f>ROUND(J14/J$17,30)</f>
        <v>2.2954282741810299E-10</v>
      </c>
      <c r="K25" s="798"/>
    </row>
    <row r="26" spans="4:11">
      <c r="D26" s="796"/>
      <c r="E26" s="798" t="s">
        <v>267</v>
      </c>
      <c r="F26" s="798"/>
      <c r="G26" s="799"/>
      <c r="H26" s="803">
        <f>+I26-J26</f>
        <v>3.7019883020204536E-2</v>
      </c>
      <c r="I26" s="803">
        <f>+I28-I24-I25</f>
        <v>0.54354131920438664</v>
      </c>
      <c r="J26" s="803">
        <f>+J28-J24-J25</f>
        <v>0.50652143618418211</v>
      </c>
      <c r="K26" s="798"/>
    </row>
    <row r="27" spans="4:11">
      <c r="D27" s="796"/>
      <c r="E27" s="798"/>
      <c r="F27" s="798"/>
      <c r="G27" s="799"/>
      <c r="H27" s="802"/>
      <c r="I27" s="802"/>
      <c r="J27" s="802"/>
      <c r="K27" s="798"/>
    </row>
    <row r="28" spans="4:11">
      <c r="D28" s="796"/>
      <c r="E28" s="798" t="s">
        <v>1179</v>
      </c>
      <c r="F28" s="798"/>
      <c r="G28" s="799"/>
      <c r="H28" s="804">
        <f>SUM(H24:H27)</f>
        <v>6.9388939039072284E-17</v>
      </c>
      <c r="I28" s="804">
        <v>1</v>
      </c>
      <c r="J28" s="804">
        <v>1</v>
      </c>
      <c r="K28" s="798"/>
    </row>
    <row r="29" spans="4:11">
      <c r="D29" s="796"/>
      <c r="E29" s="798"/>
      <c r="F29" s="798"/>
      <c r="G29" s="799"/>
      <c r="H29" s="804"/>
      <c r="I29" s="804"/>
      <c r="J29" s="804"/>
      <c r="K29" s="798"/>
    </row>
    <row r="30" spans="4:11">
      <c r="D30" s="796" t="s">
        <v>183</v>
      </c>
      <c r="E30" s="798"/>
      <c r="F30" s="798"/>
      <c r="G30" s="799"/>
      <c r="H30" s="137"/>
      <c r="I30" s="137"/>
      <c r="J30" s="137"/>
      <c r="K30" s="798"/>
    </row>
    <row r="31" spans="4:11" s="132" customFormat="1" ht="14.1" customHeight="1">
      <c r="E31" s="129" t="s">
        <v>1515</v>
      </c>
      <c r="F31" s="647"/>
      <c r="G31" s="665" t="s">
        <v>184</v>
      </c>
      <c r="H31" s="805">
        <f>+H$70*(J31/(J$31+J$32))</f>
        <v>17.908229347758112</v>
      </c>
      <c r="I31" s="806">
        <f t="shared" ref="I31:I40" si="0">+J31-H31</f>
        <v>13.397710652241887</v>
      </c>
      <c r="J31" s="807">
        <v>31.30594</v>
      </c>
      <c r="K31" s="808"/>
    </row>
    <row r="32" spans="4:11" s="132" customFormat="1" ht="14.1" customHeight="1">
      <c r="E32" s="809" t="s">
        <v>4667</v>
      </c>
      <c r="F32" s="810"/>
      <c r="G32" s="665">
        <v>431099</v>
      </c>
      <c r="H32" s="667">
        <f>+H$70*(J32/(J$31+J$32))</f>
        <v>335.3531567017439</v>
      </c>
      <c r="I32" s="667">
        <f t="shared" si="0"/>
        <v>250.88826329825616</v>
      </c>
      <c r="J32" s="811">
        <v>586.24142000000006</v>
      </c>
      <c r="K32" s="808"/>
    </row>
    <row r="33" spans="4:13" s="132" customFormat="1" ht="14.1" customHeight="1">
      <c r="E33" s="129" t="s">
        <v>1516</v>
      </c>
      <c r="F33" s="647"/>
      <c r="G33" s="665" t="s">
        <v>185</v>
      </c>
      <c r="H33" s="667">
        <v>0</v>
      </c>
      <c r="I33" s="667">
        <f t="shared" si="0"/>
        <v>644.73252000000002</v>
      </c>
      <c r="J33" s="811">
        <v>644.73252000000002</v>
      </c>
      <c r="K33" s="808"/>
    </row>
    <row r="34" spans="4:13" s="132" customFormat="1" ht="14.1" customHeight="1">
      <c r="E34" s="129" t="s">
        <v>1517</v>
      </c>
      <c r="F34" s="647"/>
      <c r="G34" s="665" t="s">
        <v>186</v>
      </c>
      <c r="H34" s="667">
        <v>0</v>
      </c>
      <c r="I34" s="667">
        <f t="shared" si="0"/>
        <v>157.61223999999999</v>
      </c>
      <c r="J34" s="811">
        <v>157.61223999999999</v>
      </c>
      <c r="K34" s="808"/>
    </row>
    <row r="35" spans="4:13" s="132" customFormat="1" ht="14.1" customHeight="1">
      <c r="E35" s="129" t="s">
        <v>1518</v>
      </c>
      <c r="F35" s="647"/>
      <c r="G35" s="665" t="s">
        <v>187</v>
      </c>
      <c r="H35" s="667">
        <v>0</v>
      </c>
      <c r="I35" s="667">
        <f t="shared" si="0"/>
        <v>0</v>
      </c>
      <c r="J35" s="811"/>
      <c r="K35" s="808"/>
    </row>
    <row r="36" spans="4:13" s="132" customFormat="1" ht="14.1" customHeight="1">
      <c r="E36" s="129" t="s">
        <v>1519</v>
      </c>
      <c r="F36" s="647"/>
      <c r="G36" s="665" t="s">
        <v>188</v>
      </c>
      <c r="H36" s="667">
        <v>0</v>
      </c>
      <c r="I36" s="667">
        <f t="shared" si="0"/>
        <v>83.416370000000001</v>
      </c>
      <c r="J36" s="811">
        <v>83.416370000000001</v>
      </c>
      <c r="K36" s="808"/>
    </row>
    <row r="37" spans="4:13" s="132" customFormat="1" ht="14.1" customHeight="1">
      <c r="E37" s="129" t="s">
        <v>2526</v>
      </c>
      <c r="F37" s="647"/>
      <c r="G37" s="665" t="s">
        <v>189</v>
      </c>
      <c r="H37" s="667">
        <v>0</v>
      </c>
      <c r="I37" s="667">
        <f t="shared" si="0"/>
        <v>38615.398139999998</v>
      </c>
      <c r="J37" s="811">
        <v>38615.398139999998</v>
      </c>
      <c r="K37" s="808"/>
      <c r="M37" s="811"/>
    </row>
    <row r="38" spans="4:13" s="132" customFormat="1" ht="14.1" customHeight="1">
      <c r="E38" s="129" t="s">
        <v>2527</v>
      </c>
      <c r="F38" s="647"/>
      <c r="G38" s="665" t="s">
        <v>162</v>
      </c>
      <c r="H38" s="667">
        <v>0</v>
      </c>
      <c r="I38" s="667">
        <f t="shared" si="0"/>
        <v>966.25222999999994</v>
      </c>
      <c r="J38" s="811">
        <v>966.25222999999994</v>
      </c>
      <c r="K38" s="808"/>
    </row>
    <row r="39" spans="4:13" s="132" customFormat="1" ht="14.1" customHeight="1">
      <c r="E39" s="129" t="s">
        <v>2528</v>
      </c>
      <c r="F39" s="647"/>
      <c r="G39" s="665" t="s">
        <v>163</v>
      </c>
      <c r="H39" s="667">
        <v>0</v>
      </c>
      <c r="I39" s="667">
        <f t="shared" si="0"/>
        <v>204.12479999999999</v>
      </c>
      <c r="J39" s="811">
        <v>204.12479999999999</v>
      </c>
      <c r="K39" s="808"/>
    </row>
    <row r="40" spans="4:13" s="132" customFormat="1" ht="14.1" customHeight="1">
      <c r="E40" s="129" t="s">
        <v>2529</v>
      </c>
      <c r="F40" s="647"/>
      <c r="G40" s="665" t="s">
        <v>164</v>
      </c>
      <c r="H40" s="669">
        <v>0</v>
      </c>
      <c r="I40" s="669">
        <f t="shared" si="0"/>
        <v>2441.4227500000002</v>
      </c>
      <c r="J40" s="812">
        <v>2441.4227500000002</v>
      </c>
      <c r="K40" s="808"/>
    </row>
    <row r="41" spans="4:13">
      <c r="D41" s="796"/>
      <c r="E41" s="798"/>
      <c r="F41" s="798"/>
      <c r="G41" s="799"/>
      <c r="H41" s="137"/>
      <c r="I41" s="137"/>
      <c r="J41" s="137"/>
      <c r="K41" s="798"/>
    </row>
    <row r="42" spans="4:13">
      <c r="D42" s="796"/>
      <c r="E42" s="798" t="s">
        <v>165</v>
      </c>
      <c r="F42" s="798"/>
      <c r="G42" s="799"/>
      <c r="H42" s="381">
        <f>SUM(H30:H41)</f>
        <v>353.26138604950199</v>
      </c>
      <c r="I42" s="381">
        <f>SUM(I30:I41)</f>
        <v>43377.245023950491</v>
      </c>
      <c r="J42" s="381">
        <f>SUM(J30:J41)</f>
        <v>43730.506409999995</v>
      </c>
      <c r="K42" s="798"/>
    </row>
    <row r="43" spans="4:13">
      <c r="D43" s="796"/>
      <c r="E43" s="798"/>
      <c r="F43" s="798"/>
      <c r="G43" s="799"/>
      <c r="H43" s="381"/>
      <c r="I43" s="381"/>
      <c r="J43" s="381"/>
      <c r="K43" s="798"/>
    </row>
    <row r="44" spans="4:13">
      <c r="D44" s="796" t="s">
        <v>166</v>
      </c>
      <c r="E44" s="798"/>
      <c r="F44" s="798"/>
      <c r="G44" s="799"/>
      <c r="H44" s="813"/>
      <c r="I44" s="813"/>
      <c r="J44" s="813"/>
      <c r="K44" s="798"/>
    </row>
    <row r="45" spans="4:13">
      <c r="D45" s="796"/>
      <c r="E45" s="798"/>
      <c r="F45" s="798" t="s">
        <v>1177</v>
      </c>
      <c r="G45" s="799" t="s">
        <v>12</v>
      </c>
      <c r="H45" s="813"/>
      <c r="I45" s="813"/>
      <c r="J45" s="137">
        <v>0</v>
      </c>
      <c r="K45" s="798"/>
    </row>
    <row r="46" spans="4:13">
      <c r="D46" s="796"/>
      <c r="E46" s="798"/>
      <c r="F46" s="135" t="s">
        <v>1178</v>
      </c>
      <c r="G46" s="799" t="s">
        <v>800</v>
      </c>
      <c r="H46" s="813"/>
      <c r="I46" s="813"/>
      <c r="J46" s="137">
        <v>0</v>
      </c>
      <c r="K46" s="798"/>
    </row>
    <row r="47" spans="4:13">
      <c r="D47" s="796"/>
      <c r="E47" s="798" t="s">
        <v>167</v>
      </c>
      <c r="F47" s="798"/>
      <c r="G47" s="799"/>
      <c r="H47" s="135"/>
      <c r="I47" s="135"/>
      <c r="J47" s="137">
        <f>SUM(J45:J46)</f>
        <v>0</v>
      </c>
      <c r="K47" s="798"/>
    </row>
    <row r="48" spans="4:13">
      <c r="D48" s="796"/>
      <c r="E48" s="798"/>
      <c r="F48" s="798"/>
      <c r="G48" s="799"/>
      <c r="H48" s="138"/>
      <c r="I48" s="138"/>
      <c r="J48" s="138"/>
      <c r="K48" s="798"/>
    </row>
    <row r="49" spans="4:11">
      <c r="D49" s="796" t="s">
        <v>203</v>
      </c>
      <c r="E49" s="798"/>
      <c r="F49" s="798"/>
      <c r="G49" s="799"/>
      <c r="H49" s="802"/>
      <c r="I49" s="802"/>
      <c r="J49" s="802"/>
      <c r="K49" s="798"/>
    </row>
    <row r="50" spans="4:11">
      <c r="D50" s="796"/>
      <c r="E50" s="798" t="s">
        <v>165</v>
      </c>
      <c r="F50" s="798"/>
      <c r="G50" s="799"/>
      <c r="H50" s="802"/>
      <c r="I50" s="802">
        <f>ROUND(I42/I13,15)</f>
        <v>4.3214236642228003E-2</v>
      </c>
      <c r="J50" s="802">
        <f>ROUND(J42/J13,15)</f>
        <v>3.7553276152572999E-2</v>
      </c>
      <c r="K50" s="798"/>
    </row>
    <row r="51" spans="4:11">
      <c r="D51" s="796"/>
      <c r="E51" s="798" t="s">
        <v>204</v>
      </c>
      <c r="F51" s="798"/>
      <c r="G51" s="799"/>
      <c r="H51" s="802"/>
      <c r="I51" s="802">
        <f>J51</f>
        <v>0</v>
      </c>
      <c r="J51" s="802">
        <f>ROUND(J47/J14,15)</f>
        <v>0</v>
      </c>
      <c r="K51" s="798"/>
    </row>
    <row r="52" spans="4:11">
      <c r="D52" s="796"/>
      <c r="E52" s="798"/>
      <c r="F52" s="798"/>
      <c r="G52" s="799"/>
      <c r="H52" s="803"/>
      <c r="I52" s="803"/>
      <c r="J52" s="803"/>
      <c r="K52" s="798"/>
    </row>
    <row r="53" spans="4:11">
      <c r="D53" s="796" t="s">
        <v>2623</v>
      </c>
      <c r="E53" s="798"/>
      <c r="F53" s="798"/>
      <c r="G53" s="799"/>
      <c r="H53" s="802"/>
      <c r="I53" s="802"/>
      <c r="J53" s="802"/>
      <c r="K53" s="798"/>
    </row>
    <row r="54" spans="4:11">
      <c r="D54" s="796"/>
      <c r="E54" s="798" t="s">
        <v>165</v>
      </c>
      <c r="F54" s="798"/>
      <c r="G54" s="799"/>
      <c r="H54" s="802"/>
      <c r="I54" s="802">
        <f>+I42/I$17</f>
        <v>1.9725513438656174E-2</v>
      </c>
      <c r="J54" s="802">
        <f>+J42/J$17</f>
        <v>1.8531736773730483E-2</v>
      </c>
      <c r="K54" s="798"/>
    </row>
    <row r="55" spans="4:11">
      <c r="D55" s="796"/>
      <c r="E55" s="798" t="s">
        <v>204</v>
      </c>
      <c r="F55" s="798"/>
      <c r="G55" s="799"/>
      <c r="H55" s="802"/>
      <c r="I55" s="802">
        <f>J55</f>
        <v>0</v>
      </c>
      <c r="J55" s="802">
        <f>+J47/J$17</f>
        <v>0</v>
      </c>
      <c r="K55" s="798"/>
    </row>
    <row r="56" spans="4:11">
      <c r="H56" s="137"/>
      <c r="I56" s="137"/>
      <c r="J56" s="137"/>
    </row>
    <row r="57" spans="4:11" s="814" customFormat="1">
      <c r="D57" s="716" t="s">
        <v>1900</v>
      </c>
      <c r="E57" s="148"/>
      <c r="F57" s="148"/>
      <c r="G57" s="204"/>
      <c r="H57" s="137"/>
      <c r="I57" s="132"/>
      <c r="J57" s="135"/>
      <c r="K57" s="148"/>
    </row>
    <row r="58" spans="4:11" s="814" customFormat="1">
      <c r="D58" s="716"/>
      <c r="E58" s="148" t="s">
        <v>1901</v>
      </c>
      <c r="F58" s="148"/>
      <c r="G58" s="665" t="s">
        <v>268</v>
      </c>
      <c r="H58" s="381">
        <f>-SUMIF('Balance Sheet Detail'!$C:$C,$G58,'Balance Sheet Detail'!X:X)</f>
        <v>280960.30303374969</v>
      </c>
      <c r="I58" s="132"/>
      <c r="J58" s="135"/>
      <c r="K58" s="130"/>
    </row>
    <row r="59" spans="4:11" s="814" customFormat="1" ht="15">
      <c r="D59" s="815"/>
      <c r="E59" s="135" t="s">
        <v>1902</v>
      </c>
      <c r="F59" s="135"/>
      <c r="G59" s="674"/>
      <c r="H59" s="800">
        <f>-'Rate Base'!I36</f>
        <v>160720.34714</v>
      </c>
      <c r="I59" s="132"/>
      <c r="J59" s="135"/>
      <c r="K59" s="816"/>
    </row>
    <row r="60" spans="4:11" s="814" customFormat="1">
      <c r="D60" s="716"/>
      <c r="E60" s="148"/>
      <c r="F60" s="148"/>
      <c r="G60" s="204"/>
      <c r="H60" s="137"/>
      <c r="I60" s="132"/>
      <c r="J60" s="135"/>
      <c r="K60" s="148"/>
    </row>
    <row r="61" spans="4:11" s="814" customFormat="1">
      <c r="D61" s="716"/>
      <c r="E61" s="148" t="s">
        <v>1900</v>
      </c>
      <c r="F61" s="148"/>
      <c r="G61" s="204"/>
      <c r="H61" s="139">
        <f>MIN(H58:H59)</f>
        <v>160720.34714</v>
      </c>
      <c r="I61" s="132"/>
      <c r="J61" s="135"/>
      <c r="K61" s="148"/>
    </row>
    <row r="62" spans="4:11" s="814" customFormat="1">
      <c r="D62" s="716"/>
      <c r="E62" s="148"/>
      <c r="F62" s="148"/>
      <c r="G62" s="204"/>
      <c r="H62" s="802"/>
      <c r="I62" s="132"/>
      <c r="J62" s="137"/>
      <c r="K62" s="148"/>
    </row>
    <row r="63" spans="4:11" s="814" customFormat="1">
      <c r="D63" s="716" t="s">
        <v>1903</v>
      </c>
      <c r="E63" s="148"/>
      <c r="F63" s="148"/>
      <c r="G63" s="204"/>
      <c r="H63" s="802"/>
      <c r="I63" s="132"/>
      <c r="J63" s="137"/>
      <c r="K63" s="148"/>
    </row>
    <row r="64" spans="4:11" s="814" customFormat="1">
      <c r="D64" s="716"/>
      <c r="E64" s="148" t="s">
        <v>1904</v>
      </c>
      <c r="F64" s="148"/>
      <c r="G64" s="204"/>
      <c r="H64" s="817">
        <f>+J31+J32</f>
        <v>617.54736000000003</v>
      </c>
      <c r="I64" s="132"/>
      <c r="J64" s="137"/>
      <c r="K64" s="148"/>
    </row>
    <row r="65" spans="1:11" s="814" customFormat="1" ht="15">
      <c r="D65" s="716"/>
      <c r="E65" s="148" t="s">
        <v>1901</v>
      </c>
      <c r="F65" s="148"/>
      <c r="G65" s="204"/>
      <c r="H65" s="800">
        <f>+H58</f>
        <v>280960.30303374969</v>
      </c>
      <c r="I65" s="132"/>
      <c r="J65" s="137"/>
      <c r="K65" s="148"/>
    </row>
    <row r="66" spans="1:11" s="814" customFormat="1">
      <c r="D66" s="716"/>
      <c r="E66" s="148"/>
      <c r="F66" s="148"/>
      <c r="G66" s="204"/>
      <c r="H66" s="802"/>
      <c r="I66" s="132"/>
      <c r="J66" s="137"/>
      <c r="K66" s="148"/>
    </row>
    <row r="67" spans="1:11" s="814" customFormat="1">
      <c r="D67" s="716"/>
      <c r="E67" s="148" t="s">
        <v>1905</v>
      </c>
      <c r="F67" s="148"/>
      <c r="G67" s="204"/>
      <c r="H67" s="802">
        <f>+H64/H65</f>
        <v>2.1979879482327386E-3</v>
      </c>
      <c r="I67" s="132"/>
      <c r="J67" s="137"/>
      <c r="K67" s="148"/>
    </row>
    <row r="68" spans="1:11" s="814" customFormat="1" ht="15">
      <c r="D68" s="716"/>
      <c r="E68" s="148" t="s">
        <v>1900</v>
      </c>
      <c r="F68" s="148"/>
      <c r="G68" s="204"/>
      <c r="H68" s="818">
        <f>+H61</f>
        <v>160720.34714</v>
      </c>
      <c r="I68" s="132"/>
      <c r="J68" s="137"/>
      <c r="K68" s="148"/>
    </row>
    <row r="69" spans="1:11" s="814" customFormat="1">
      <c r="D69" s="716"/>
      <c r="E69" s="148"/>
      <c r="F69" s="148"/>
      <c r="G69" s="204"/>
      <c r="H69" s="802"/>
      <c r="I69" s="132"/>
      <c r="J69" s="137"/>
      <c r="K69" s="148"/>
    </row>
    <row r="70" spans="1:11" s="814" customFormat="1">
      <c r="D70" s="716"/>
      <c r="E70" s="148" t="s">
        <v>1906</v>
      </c>
      <c r="F70" s="148"/>
      <c r="G70" s="204"/>
      <c r="H70" s="139">
        <f>ROUND(H67*H68,15)</f>
        <v>353.26138604950199</v>
      </c>
      <c r="I70" s="132"/>
      <c r="K70" s="148"/>
    </row>
    <row r="71" spans="1:11" s="814" customFormat="1">
      <c r="D71" s="716"/>
      <c r="E71" s="148"/>
      <c r="F71" s="148"/>
      <c r="G71" s="204"/>
      <c r="H71" s="802"/>
      <c r="I71" s="132"/>
      <c r="K71" s="148"/>
    </row>
    <row r="72" spans="1:11" ht="14.1" customHeight="1">
      <c r="E72" s="819"/>
      <c r="F72" s="819"/>
      <c r="G72" s="820"/>
      <c r="H72" s="819"/>
      <c r="I72" s="135"/>
      <c r="J72" s="821"/>
      <c r="K72" s="815"/>
    </row>
    <row r="73" spans="1:11" ht="14.1" customHeight="1">
      <c r="D73" s="815" t="s">
        <v>179</v>
      </c>
      <c r="E73" s="819"/>
      <c r="F73" s="819"/>
      <c r="H73" s="135"/>
      <c r="I73" s="135"/>
      <c r="J73" s="821"/>
      <c r="K73" s="135"/>
    </row>
    <row r="74" spans="1:11" s="137" customFormat="1" ht="13.5" customHeight="1">
      <c r="A74" s="822"/>
      <c r="B74" s="822"/>
      <c r="C74" s="822"/>
      <c r="D74" s="823"/>
      <c r="E74" s="129" t="s">
        <v>974</v>
      </c>
      <c r="F74" s="822"/>
      <c r="G74" s="665" t="s">
        <v>973</v>
      </c>
      <c r="H74" s="666" t="s">
        <v>1180</v>
      </c>
      <c r="J74" s="137">
        <f>-SUMIF('Balance Sheet Detail'!$C:$C,$G74,'Balance Sheet Detail'!X:X)</f>
        <v>20865.844700416699</v>
      </c>
      <c r="K74" s="130"/>
    </row>
    <row r="75" spans="1:11" s="137" customFormat="1" ht="14.1" customHeight="1">
      <c r="A75" s="822"/>
      <c r="B75" s="822"/>
      <c r="C75" s="822"/>
      <c r="D75" s="823"/>
      <c r="E75" s="129" t="s">
        <v>1651</v>
      </c>
      <c r="F75" s="822"/>
      <c r="G75" s="665">
        <v>231150</v>
      </c>
      <c r="H75" s="666"/>
      <c r="J75" s="137">
        <f>-SUMIF('Balance Sheet Detail'!$C:$C,$G75,'Balance Sheet Detail'!X:X)</f>
        <v>260094.45833333299</v>
      </c>
      <c r="K75" s="130"/>
    </row>
    <row r="76" spans="1:11" ht="3.75" customHeight="1">
      <c r="A76" s="822"/>
      <c r="B76" s="822"/>
      <c r="C76" s="822"/>
      <c r="D76" s="823"/>
      <c r="E76" s="822"/>
      <c r="F76" s="822"/>
      <c r="G76" s="665"/>
      <c r="H76" s="822"/>
      <c r="I76" s="137"/>
      <c r="J76" s="800">
        <v>0</v>
      </c>
      <c r="K76" s="130"/>
    </row>
    <row r="77" spans="1:11" ht="12" customHeight="1">
      <c r="A77" s="822"/>
      <c r="B77" s="822"/>
      <c r="C77" s="822"/>
      <c r="D77" s="823"/>
      <c r="E77" s="824" t="s">
        <v>1180</v>
      </c>
      <c r="F77" s="824"/>
      <c r="G77" s="665"/>
      <c r="H77" s="822"/>
      <c r="I77" s="137"/>
      <c r="J77" s="825">
        <f>+J78-SUM(J73:J76)</f>
        <v>0</v>
      </c>
      <c r="K77" s="130"/>
    </row>
    <row r="78" spans="1:11" ht="14.1" customHeight="1">
      <c r="A78" s="822"/>
      <c r="B78" s="822"/>
      <c r="C78" s="822"/>
      <c r="D78" s="823"/>
      <c r="E78" s="135" t="s">
        <v>1179</v>
      </c>
      <c r="F78" s="135"/>
      <c r="G78" s="665" t="s">
        <v>268</v>
      </c>
      <c r="H78" s="822"/>
      <c r="I78" s="135"/>
      <c r="J78" s="826">
        <f>-SUMIF('Balance Sheet Detail'!$C:$C,$G78,'Balance Sheet Detail'!$X:$X)</f>
        <v>280960.30303374969</v>
      </c>
      <c r="K78" s="130"/>
    </row>
    <row r="79" spans="1:11" ht="13.5" customHeight="1">
      <c r="D79" s="815"/>
      <c r="E79" s="827"/>
      <c r="F79" s="827"/>
      <c r="G79" s="828"/>
      <c r="H79" s="827"/>
      <c r="I79" s="135"/>
      <c r="J79" s="137"/>
      <c r="K79" s="829"/>
    </row>
    <row r="80" spans="1:11" ht="14.1" customHeight="1">
      <c r="D80" s="815" t="s">
        <v>1423</v>
      </c>
      <c r="E80" s="827"/>
      <c r="F80" s="827"/>
      <c r="G80" s="828"/>
      <c r="H80" s="827"/>
      <c r="I80" s="135"/>
      <c r="J80" s="137"/>
      <c r="K80" s="829"/>
    </row>
    <row r="81" spans="1:11" ht="14.1" customHeight="1">
      <c r="D81" s="135"/>
      <c r="E81" s="827" t="s">
        <v>1942</v>
      </c>
      <c r="F81" s="815"/>
      <c r="G81" s="830"/>
      <c r="H81" s="135"/>
      <c r="I81" s="135"/>
      <c r="J81" s="821"/>
      <c r="K81" s="831"/>
    </row>
    <row r="82" spans="1:11" s="137" customFormat="1" ht="14.1" customHeight="1">
      <c r="A82" s="822"/>
      <c r="B82" s="822"/>
      <c r="C82" s="822"/>
      <c r="F82" s="129" t="s">
        <v>2877</v>
      </c>
      <c r="G82" s="665" t="s">
        <v>2876</v>
      </c>
      <c r="J82" s="137">
        <f>-SUMIF('Balance Sheet Detail'!$C:$C,$G82,'Balance Sheet Detail'!X:X)</f>
        <v>0</v>
      </c>
      <c r="K82" s="130"/>
    </row>
    <row r="83" spans="1:11" s="137" customFormat="1" ht="14.1" customHeight="1">
      <c r="A83" s="822"/>
      <c r="B83" s="822"/>
      <c r="C83" s="822"/>
      <c r="F83" s="129" t="s">
        <v>2879</v>
      </c>
      <c r="G83" s="665" t="s">
        <v>2878</v>
      </c>
      <c r="J83" s="137">
        <f>-SUMIF('Balance Sheet Detail'!$C:$C,$G83,'Balance Sheet Detail'!X:X)</f>
        <v>1238000</v>
      </c>
      <c r="K83" s="832"/>
    </row>
    <row r="84" spans="1:11" s="137" customFormat="1" ht="14.1" customHeight="1">
      <c r="A84" s="822"/>
      <c r="B84" s="822"/>
      <c r="C84" s="822"/>
      <c r="F84" s="129" t="s">
        <v>322</v>
      </c>
      <c r="G84" s="665">
        <v>224990</v>
      </c>
      <c r="J84" s="137">
        <f>-SUMIF('Balance Sheet Detail'!$C:$C,$G84,'Balance Sheet Detail'!X:X)</f>
        <v>-53000</v>
      </c>
      <c r="K84" s="832"/>
    </row>
    <row r="85" spans="1:11" s="137" customFormat="1" ht="14.1" customHeight="1">
      <c r="A85" s="822"/>
      <c r="B85" s="822"/>
      <c r="C85" s="822"/>
      <c r="F85" s="129" t="s">
        <v>1963</v>
      </c>
      <c r="G85" s="665">
        <v>224991</v>
      </c>
      <c r="J85" s="137">
        <f>-SUMIF('Balance Sheet Detail'!$C:$C,$G85,'Balance Sheet Detail'!X:X)</f>
        <v>53000</v>
      </c>
      <c r="K85" s="832"/>
    </row>
    <row r="86" spans="1:11" s="137" customFormat="1" ht="14.1" customHeight="1">
      <c r="A86" s="822"/>
      <c r="B86" s="822"/>
      <c r="C86" s="822"/>
      <c r="F86" s="129" t="s">
        <v>1650</v>
      </c>
      <c r="G86" s="665">
        <v>224992</v>
      </c>
      <c r="J86" s="137">
        <f>-SUMIF('Balance Sheet Detail'!$C:$C,$G86,'Balance Sheet Detail'!X:X)</f>
        <v>-357418.75</v>
      </c>
      <c r="K86" s="832"/>
    </row>
    <row r="87" spans="1:11" ht="4.5" customHeight="1">
      <c r="A87" s="822"/>
      <c r="B87" s="822"/>
      <c r="C87" s="822"/>
      <c r="D87" s="135"/>
      <c r="E87" s="833"/>
      <c r="F87" s="834"/>
      <c r="G87" s="665"/>
      <c r="H87" s="822"/>
      <c r="I87" s="137"/>
      <c r="J87" s="800">
        <v>0</v>
      </c>
      <c r="K87" s="130"/>
    </row>
    <row r="88" spans="1:11" ht="14.1" customHeight="1">
      <c r="A88" s="822"/>
      <c r="B88" s="822"/>
      <c r="C88" s="822"/>
      <c r="D88" s="135"/>
      <c r="E88" s="833"/>
      <c r="F88" s="823"/>
      <c r="G88" s="665"/>
      <c r="H88" s="822"/>
      <c r="I88" s="137"/>
      <c r="J88" s="825">
        <f>+J89-SUM(J81:J87)</f>
        <v>0</v>
      </c>
      <c r="K88" s="130"/>
    </row>
    <row r="89" spans="1:11" ht="14.1" customHeight="1">
      <c r="A89" s="822"/>
      <c r="B89" s="822"/>
      <c r="C89" s="822"/>
      <c r="D89" s="135"/>
      <c r="E89" s="833"/>
      <c r="F89" s="135" t="s">
        <v>1179</v>
      </c>
      <c r="G89" s="665" t="s">
        <v>1421</v>
      </c>
      <c r="H89" s="822"/>
      <c r="I89" s="135"/>
      <c r="J89" s="826">
        <f>-SUMIF('Balance Sheet Detail'!$C:$C,$G89,'Balance Sheet Detail'!$X:$X)</f>
        <v>880581.25</v>
      </c>
      <c r="K89" s="130"/>
    </row>
    <row r="90" spans="1:11" ht="12" customHeight="1">
      <c r="D90" s="815"/>
      <c r="E90" s="135"/>
      <c r="F90" s="135"/>
      <c r="G90" s="835"/>
      <c r="H90" s="822"/>
      <c r="I90" s="135"/>
      <c r="J90" s="381"/>
      <c r="K90" s="836"/>
    </row>
    <row r="91" spans="1:11" ht="14.1" customHeight="1">
      <c r="D91" s="135"/>
      <c r="E91" s="827" t="s">
        <v>208</v>
      </c>
      <c r="F91" s="815"/>
      <c r="G91" s="830"/>
      <c r="H91" s="135"/>
      <c r="I91" s="135"/>
      <c r="J91" s="821"/>
      <c r="K91" s="831"/>
    </row>
    <row r="92" spans="1:11" ht="14.1" customHeight="1">
      <c r="D92" s="135"/>
      <c r="E92" s="135"/>
      <c r="F92" s="129" t="s">
        <v>628</v>
      </c>
      <c r="G92" s="837" t="s">
        <v>2880</v>
      </c>
      <c r="H92" s="135"/>
      <c r="I92" s="135"/>
      <c r="J92" s="137">
        <f>-SUMIF('Balance Sheet Detail'!$C:$C,$G92,'Balance Sheet Detail'!X:X)</f>
        <v>0</v>
      </c>
      <c r="K92" s="838"/>
    </row>
    <row r="93" spans="1:11" ht="14.1" customHeight="1">
      <c r="D93" s="135"/>
      <c r="E93" s="135"/>
      <c r="F93" s="129" t="s">
        <v>630</v>
      </c>
      <c r="G93" s="837" t="s">
        <v>629</v>
      </c>
      <c r="H93" s="135"/>
      <c r="I93" s="135"/>
      <c r="J93" s="137">
        <f>-SUMIF('Balance Sheet Detail'!$C:$C,$G93,'Balance Sheet Detail'!X:X)</f>
        <v>-1489.1038100000001</v>
      </c>
      <c r="K93" s="838"/>
    </row>
    <row r="94" spans="1:11" ht="3.75" customHeight="1">
      <c r="D94" s="135"/>
      <c r="E94" s="376"/>
      <c r="F94" s="839"/>
      <c r="G94" s="837"/>
      <c r="H94" s="135"/>
      <c r="I94" s="135"/>
      <c r="J94" s="800">
        <v>0</v>
      </c>
      <c r="K94" s="838"/>
    </row>
    <row r="95" spans="1:11" ht="12" customHeight="1">
      <c r="A95" s="822"/>
      <c r="B95" s="822"/>
      <c r="C95" s="822"/>
      <c r="D95" s="135"/>
      <c r="E95" s="833"/>
      <c r="F95" s="823"/>
      <c r="G95" s="840"/>
      <c r="H95" s="135"/>
      <c r="I95" s="135"/>
      <c r="J95" s="825">
        <f>+J96-SUM(J91:J94)</f>
        <v>0</v>
      </c>
      <c r="K95" s="841"/>
    </row>
    <row r="96" spans="1:11" ht="14.1" customHeight="1">
      <c r="D96" s="135"/>
      <c r="E96" s="827"/>
      <c r="F96" s="819" t="s">
        <v>1179</v>
      </c>
      <c r="G96" s="665" t="s">
        <v>207</v>
      </c>
      <c r="H96" s="135"/>
      <c r="I96" s="135"/>
      <c r="J96" s="826">
        <f>-SUMIF('Balance Sheet Detail'!$C:$C,$G96,'Balance Sheet Detail'!$X:$X)</f>
        <v>-1489.1038100000001</v>
      </c>
      <c r="K96" s="130"/>
    </row>
    <row r="97" spans="1:11" ht="14.1" customHeight="1">
      <c r="D97" s="135"/>
      <c r="E97" s="827"/>
      <c r="F97" s="815"/>
      <c r="G97" s="830"/>
      <c r="H97" s="135"/>
      <c r="I97" s="135"/>
      <c r="J97" s="826"/>
      <c r="K97" s="831"/>
    </row>
    <row r="98" spans="1:11" ht="14.1" customHeight="1">
      <c r="D98" s="135"/>
      <c r="E98" s="827" t="s">
        <v>1415</v>
      </c>
      <c r="F98" s="815"/>
      <c r="G98" s="830"/>
      <c r="H98" s="135"/>
      <c r="I98" s="135"/>
      <c r="J98" s="821"/>
      <c r="K98" s="831"/>
    </row>
    <row r="99" spans="1:11" ht="14.1" customHeight="1">
      <c r="D99" s="135"/>
      <c r="E99" s="135"/>
      <c r="F99" s="129" t="s">
        <v>2516</v>
      </c>
      <c r="G99" s="837" t="s">
        <v>821</v>
      </c>
      <c r="H99" s="135"/>
      <c r="I99" s="135"/>
      <c r="J99" s="137">
        <f>-SUMIF('Balance Sheet Detail'!$C:$C,$G99,'Balance Sheet Detail'!X:X)</f>
        <v>0</v>
      </c>
      <c r="K99" s="838"/>
    </row>
    <row r="100" spans="1:11" ht="14.1" customHeight="1">
      <c r="D100" s="135"/>
      <c r="E100" s="135"/>
      <c r="F100" s="129" t="s">
        <v>88</v>
      </c>
      <c r="G100" s="837" t="s">
        <v>87</v>
      </c>
      <c r="H100" s="135"/>
      <c r="I100" s="135"/>
      <c r="J100" s="137">
        <f>-SUMIF('Balance Sheet Detail'!$C:$C,$G100,'Balance Sheet Detail'!X:X)</f>
        <v>-118.511124166667</v>
      </c>
      <c r="K100" s="838"/>
    </row>
    <row r="101" spans="1:11" ht="14.1" customHeight="1">
      <c r="D101" s="135"/>
      <c r="E101" s="135"/>
      <c r="F101" s="129" t="s">
        <v>515</v>
      </c>
      <c r="G101" s="837" t="s">
        <v>89</v>
      </c>
      <c r="H101" s="135"/>
      <c r="I101" s="135"/>
      <c r="J101" s="137">
        <f>-SUMIF('Balance Sheet Detail'!$C:$C,$G101,'Balance Sheet Detail'!X:X)</f>
        <v>-1611.7498900000001</v>
      </c>
      <c r="K101" s="838"/>
    </row>
    <row r="102" spans="1:11" ht="14.1" customHeight="1">
      <c r="D102" s="135"/>
      <c r="E102" s="135"/>
      <c r="F102" s="129" t="s">
        <v>517</v>
      </c>
      <c r="G102" s="837" t="s">
        <v>516</v>
      </c>
      <c r="H102" s="135"/>
      <c r="I102" s="135"/>
      <c r="J102" s="137">
        <f>-SUMIF('Balance Sheet Detail'!$C:$C,$G102,'Balance Sheet Detail'!X:X)</f>
        <v>-5068.2678166666701</v>
      </c>
      <c r="K102" s="838"/>
    </row>
    <row r="103" spans="1:11" ht="14.1" customHeight="1">
      <c r="D103" s="135"/>
      <c r="E103" s="135"/>
      <c r="F103" s="129" t="e">
        <v>#N/A</v>
      </c>
      <c r="G103" s="837">
        <v>181450</v>
      </c>
      <c r="H103" s="135"/>
      <c r="I103" s="135"/>
      <c r="J103" s="137">
        <f>-SUMIF('Balance Sheet Detail'!$C:$C,$G103,'Balance Sheet Detail'!X:X)</f>
        <v>-2163.9444899999999</v>
      </c>
      <c r="K103" s="838"/>
    </row>
    <row r="104" spans="1:11" ht="3.75" customHeight="1">
      <c r="D104" s="135"/>
      <c r="E104" s="376"/>
      <c r="F104" s="842"/>
      <c r="G104" s="837"/>
      <c r="H104" s="135"/>
      <c r="I104" s="135"/>
      <c r="J104" s="800">
        <v>0</v>
      </c>
      <c r="K104" s="838"/>
    </row>
    <row r="105" spans="1:11" ht="12" customHeight="1">
      <c r="A105" s="822"/>
      <c r="B105" s="822"/>
      <c r="C105" s="822"/>
      <c r="D105" s="135"/>
      <c r="E105" s="833"/>
      <c r="F105" s="746"/>
      <c r="G105" s="840"/>
      <c r="H105" s="135"/>
      <c r="I105" s="135"/>
      <c r="J105" s="825">
        <f>+J106-SUM(J98:J104)</f>
        <v>0</v>
      </c>
      <c r="K105" s="841"/>
    </row>
    <row r="106" spans="1:11" ht="14.1" customHeight="1">
      <c r="D106" s="135"/>
      <c r="E106" s="827"/>
      <c r="F106" s="819" t="s">
        <v>1179</v>
      </c>
      <c r="G106" s="665" t="s">
        <v>1732</v>
      </c>
      <c r="H106" s="135"/>
      <c r="I106" s="135"/>
      <c r="J106" s="826">
        <f>-SUMIF('Balance Sheet Detail'!$C:$C,$G106,'Balance Sheet Detail'!$X:$X)</f>
        <v>-8962.4733208333382</v>
      </c>
      <c r="K106" s="130"/>
    </row>
    <row r="107" spans="1:11" ht="14.1" customHeight="1">
      <c r="D107" s="135"/>
      <c r="E107" s="827"/>
      <c r="F107" s="819"/>
      <c r="G107" s="665"/>
      <c r="H107" s="135"/>
      <c r="I107" s="135"/>
      <c r="J107" s="826"/>
      <c r="K107" s="130"/>
    </row>
    <row r="108" spans="1:11" ht="14.1" customHeight="1">
      <c r="D108" s="135"/>
      <c r="E108" s="827" t="s">
        <v>1179</v>
      </c>
      <c r="F108" s="819"/>
      <c r="G108" s="665"/>
      <c r="H108" s="135"/>
      <c r="I108" s="135"/>
      <c r="J108" s="826">
        <f>+J89+J96+J106</f>
        <v>870129.67286916671</v>
      </c>
      <c r="K108" s="130"/>
    </row>
    <row r="109" spans="1:11" ht="14.1" customHeight="1">
      <c r="D109" s="815"/>
      <c r="E109" s="135"/>
      <c r="F109" s="135"/>
      <c r="G109" s="835"/>
      <c r="H109" s="822"/>
      <c r="I109" s="135"/>
      <c r="J109" s="381"/>
      <c r="K109" s="836"/>
    </row>
    <row r="110" spans="1:11" ht="14.1" customHeight="1">
      <c r="D110" s="815" t="s">
        <v>1907</v>
      </c>
      <c r="E110" s="135"/>
      <c r="F110" s="135"/>
      <c r="G110" s="835"/>
      <c r="H110" s="822"/>
      <c r="I110" s="135"/>
      <c r="J110" s="381"/>
      <c r="K110" s="836"/>
    </row>
    <row r="111" spans="1:11" ht="14.1" customHeight="1">
      <c r="D111" s="135"/>
      <c r="E111" s="827" t="s">
        <v>1059</v>
      </c>
      <c r="F111" s="815"/>
      <c r="G111" s="830"/>
      <c r="H111" s="135"/>
      <c r="I111" s="135"/>
      <c r="J111" s="821"/>
      <c r="K111" s="831"/>
    </row>
    <row r="112" spans="1:11" ht="14.1" customHeight="1">
      <c r="D112" s="135"/>
      <c r="E112" s="135"/>
      <c r="F112" s="129" t="s">
        <v>1058</v>
      </c>
      <c r="G112" s="837" t="s">
        <v>1057</v>
      </c>
      <c r="H112" s="135"/>
      <c r="I112" s="135"/>
      <c r="J112" s="137">
        <f>-SUMIF('Balance Sheet Detail'!$C:$C,$G112,'Balance Sheet Detail'!X:X)</f>
        <v>465.46181458333302</v>
      </c>
      <c r="K112" s="838"/>
    </row>
    <row r="113" spans="1:11" ht="14.1" customHeight="1">
      <c r="D113" s="135"/>
      <c r="E113" s="135"/>
      <c r="F113" s="129" t="s">
        <v>983</v>
      </c>
      <c r="G113" s="837" t="s">
        <v>1908</v>
      </c>
      <c r="H113" s="135"/>
      <c r="I113" s="135"/>
      <c r="J113" s="137">
        <f>-SUMIF('Balance Sheet Detail'!$C:$C,$G113,'Balance Sheet Detail'!X:X)</f>
        <v>12937.008489583301</v>
      </c>
      <c r="K113" s="838"/>
    </row>
    <row r="114" spans="1:11" ht="14.1" customHeight="1">
      <c r="D114" s="135"/>
      <c r="E114" s="135"/>
      <c r="F114" s="129" t="s">
        <v>1061</v>
      </c>
      <c r="G114" s="837" t="s">
        <v>1060</v>
      </c>
      <c r="H114" s="135"/>
      <c r="I114" s="135"/>
      <c r="J114" s="137">
        <f>-SUMIF('Balance Sheet Detail'!$C:$C,$G114,'Balance Sheet Detail'!X:X)</f>
        <v>0</v>
      </c>
      <c r="K114" s="838"/>
    </row>
    <row r="115" spans="1:11" ht="3.75" customHeight="1">
      <c r="D115" s="135"/>
      <c r="E115" s="376"/>
      <c r="F115" s="366"/>
      <c r="G115" s="835"/>
      <c r="H115" s="135"/>
      <c r="I115" s="135"/>
      <c r="J115" s="800">
        <v>0</v>
      </c>
      <c r="K115" s="836"/>
    </row>
    <row r="116" spans="1:11" ht="12" customHeight="1">
      <c r="A116" s="822"/>
      <c r="B116" s="822"/>
      <c r="C116" s="822"/>
      <c r="D116" s="135"/>
      <c r="E116" s="833"/>
      <c r="F116" s="823"/>
      <c r="G116" s="843" t="s">
        <v>1180</v>
      </c>
      <c r="H116" s="135"/>
      <c r="I116" s="135"/>
      <c r="J116" s="825">
        <f>+J117-SUM(J111:J115)</f>
        <v>0</v>
      </c>
      <c r="K116" s="844"/>
    </row>
    <row r="117" spans="1:11" ht="14.1" customHeight="1">
      <c r="D117" s="135"/>
      <c r="E117" s="827"/>
      <c r="F117" s="819" t="s">
        <v>1179</v>
      </c>
      <c r="G117" s="665" t="s">
        <v>1424</v>
      </c>
      <c r="H117" s="135"/>
      <c r="I117" s="135"/>
      <c r="J117" s="826">
        <f>-SUMIF('Balance Sheet Detail'!$C:$C,$G117,'Balance Sheet Detail'!$X:$X)</f>
        <v>13402.470304166634</v>
      </c>
      <c r="K117" s="130"/>
    </row>
    <row r="118" spans="1:11" ht="14.1" customHeight="1">
      <c r="D118" s="135"/>
      <c r="E118" s="827"/>
      <c r="F118" s="819"/>
      <c r="G118" s="665"/>
      <c r="H118" s="135"/>
      <c r="I118" s="135"/>
      <c r="J118" s="826"/>
      <c r="K118" s="130"/>
    </row>
    <row r="119" spans="1:11" ht="13.5" customHeight="1">
      <c r="E119" s="597" t="s">
        <v>1427</v>
      </c>
      <c r="F119" s="135"/>
      <c r="G119" s="665" t="s">
        <v>1426</v>
      </c>
      <c r="I119" s="135"/>
      <c r="J119" s="826">
        <f>-SUMIF('Balance Sheet Detail'!$C:$C,$G119,'Balance Sheet Detail'!$X:$X)</f>
        <v>0</v>
      </c>
      <c r="K119" s="130"/>
    </row>
    <row r="120" spans="1:11" ht="14.1" customHeight="1">
      <c r="E120" s="597"/>
      <c r="F120" s="135"/>
      <c r="G120" s="665"/>
      <c r="I120" s="135"/>
      <c r="J120" s="845"/>
      <c r="K120" s="130"/>
    </row>
    <row r="121" spans="1:11" ht="14.1" customHeight="1">
      <c r="E121" s="597" t="s">
        <v>1429</v>
      </c>
      <c r="F121" s="135"/>
      <c r="G121" s="665" t="s">
        <v>1428</v>
      </c>
      <c r="I121" s="135"/>
      <c r="J121" s="826">
        <f>-SUMIF('Balance Sheet Detail'!$C:$C,$G121,'Balance Sheet Detail'!$X:$X)</f>
        <v>0</v>
      </c>
      <c r="K121" s="130"/>
    </row>
    <row r="122" spans="1:11" ht="12" customHeight="1">
      <c r="D122" s="135"/>
      <c r="E122" s="827"/>
      <c r="F122" s="819"/>
      <c r="G122" s="665"/>
      <c r="H122" s="135"/>
      <c r="I122" s="135"/>
      <c r="J122" s="826"/>
      <c r="K122" s="130"/>
    </row>
    <row r="123" spans="1:11" ht="14.1" customHeight="1">
      <c r="D123" s="135"/>
      <c r="E123" s="827" t="s">
        <v>1179</v>
      </c>
      <c r="F123" s="819"/>
      <c r="G123" s="665"/>
      <c r="H123" s="135"/>
      <c r="I123" s="135"/>
      <c r="J123" s="846">
        <f>SUM(J117:J122)</f>
        <v>13402.470304166634</v>
      </c>
      <c r="K123" s="130"/>
    </row>
    <row r="124" spans="1:11">
      <c r="G124" s="840"/>
      <c r="I124" s="135"/>
      <c r="J124" s="135"/>
      <c r="K124" s="769"/>
    </row>
    <row r="125" spans="1:11" ht="14.1" customHeight="1">
      <c r="D125" s="815" t="s">
        <v>265</v>
      </c>
      <c r="G125" s="840"/>
      <c r="I125" s="135"/>
      <c r="J125" s="135"/>
      <c r="K125" s="769"/>
    </row>
    <row r="126" spans="1:11" ht="14.1" customHeight="1">
      <c r="E126" s="129" t="s">
        <v>1783</v>
      </c>
      <c r="F126" s="129"/>
      <c r="G126" s="837" t="s">
        <v>1782</v>
      </c>
      <c r="H126" s="135"/>
      <c r="I126" s="135"/>
      <c r="J126" s="137">
        <f>-SUMIF('Balance Sheet Detail'!$C:$C,$G126,'Balance Sheet Detail'!X:X)</f>
        <v>5.4166666666700003E-4</v>
      </c>
      <c r="K126" s="838"/>
    </row>
    <row r="127" spans="1:11" ht="4.5" customHeight="1">
      <c r="A127" s="822"/>
      <c r="B127" s="822"/>
      <c r="C127" s="822"/>
      <c r="D127" s="823"/>
      <c r="E127" s="822"/>
      <c r="F127" s="822"/>
      <c r="G127" s="835"/>
      <c r="H127" s="822"/>
      <c r="I127" s="137"/>
      <c r="J127" s="800">
        <v>0</v>
      </c>
      <c r="K127" s="836"/>
    </row>
    <row r="128" spans="1:11" ht="15">
      <c r="A128" s="822"/>
      <c r="B128" s="822"/>
      <c r="C128" s="822"/>
      <c r="D128" s="823"/>
      <c r="E128" s="824"/>
      <c r="F128" s="824"/>
      <c r="G128" s="835"/>
      <c r="H128" s="822"/>
      <c r="I128" s="137"/>
      <c r="J128" s="825">
        <f>+J129-SUM(J125:J127)</f>
        <v>0</v>
      </c>
      <c r="K128" s="836"/>
    </row>
    <row r="129" spans="1:11" ht="14.1" customHeight="1">
      <c r="A129" s="822"/>
      <c r="B129" s="822"/>
      <c r="C129" s="822"/>
      <c r="D129" s="823"/>
      <c r="E129" s="135" t="s">
        <v>1179</v>
      </c>
      <c r="F129" s="135"/>
      <c r="G129" s="665" t="s">
        <v>1430</v>
      </c>
      <c r="H129" s="822"/>
      <c r="I129" s="135"/>
      <c r="J129" s="826">
        <f>-SUMIF('Balance Sheet Detail'!$C:$C,$G129,'Balance Sheet Detail'!$X:$X)</f>
        <v>5.4166666666700003E-4</v>
      </c>
      <c r="K129" s="130"/>
    </row>
    <row r="130" spans="1:11">
      <c r="E130" s="847"/>
      <c r="G130" s="840"/>
      <c r="I130" s="135"/>
      <c r="J130" s="135"/>
      <c r="K130" s="769"/>
    </row>
    <row r="131" spans="1:11" ht="14.1" customHeight="1">
      <c r="D131" s="815" t="s">
        <v>267</v>
      </c>
      <c r="G131" s="840"/>
      <c r="I131" s="135"/>
      <c r="J131" s="135"/>
      <c r="K131" s="769"/>
    </row>
    <row r="132" spans="1:11" ht="14.1" customHeight="1">
      <c r="E132" s="129" t="s">
        <v>1777</v>
      </c>
      <c r="F132" s="848"/>
      <c r="G132" s="837" t="s">
        <v>1776</v>
      </c>
      <c r="H132" s="135"/>
      <c r="I132" s="135"/>
      <c r="J132" s="137">
        <f>-SUMIF('Balance Sheet Detail'!$C:$C,$G132,'Balance Sheet Detail'!X:X)</f>
        <v>430056.62809000001</v>
      </c>
      <c r="K132" s="838"/>
    </row>
    <row r="133" spans="1:11" s="137" customFormat="1" ht="14.1" customHeight="1">
      <c r="A133" s="849"/>
      <c r="B133" s="849"/>
      <c r="C133" s="849"/>
      <c r="D133" s="849"/>
      <c r="E133" s="129" t="s">
        <v>1779</v>
      </c>
      <c r="F133" s="848"/>
      <c r="G133" s="837" t="s">
        <v>1778</v>
      </c>
      <c r="J133" s="137">
        <f>-SUMIF('Balance Sheet Detail'!$C:$C,$G133,'Balance Sheet Detail'!X:X)</f>
        <v>462249.62815</v>
      </c>
      <c r="K133" s="838"/>
    </row>
    <row r="134" spans="1:11" s="137" customFormat="1" ht="14.1" customHeight="1">
      <c r="A134" s="849"/>
      <c r="B134" s="849"/>
      <c r="C134" s="849"/>
      <c r="D134" s="849"/>
      <c r="E134" s="129" t="s">
        <v>1781</v>
      </c>
      <c r="F134" s="848"/>
      <c r="G134" s="837" t="s">
        <v>1780</v>
      </c>
      <c r="J134" s="137">
        <f>-SUMIF('Balance Sheet Detail'!$C:$C,$G134,'Balance Sheet Detail'!X:X)</f>
        <v>-462249.62815</v>
      </c>
      <c r="K134" s="838"/>
    </row>
    <row r="135" spans="1:11" s="137" customFormat="1" ht="14.1" customHeight="1">
      <c r="A135" s="849"/>
      <c r="B135" s="849"/>
      <c r="C135" s="849"/>
      <c r="D135" s="849"/>
      <c r="E135" s="129" t="s">
        <v>1785</v>
      </c>
      <c r="F135" s="848"/>
      <c r="G135" s="837" t="s">
        <v>1784</v>
      </c>
      <c r="J135" s="137">
        <f>-SUMIF('Balance Sheet Detail'!$C:$C,$G135,'Balance Sheet Detail'!X:X)</f>
        <v>10.6082</v>
      </c>
      <c r="K135" s="838"/>
    </row>
    <row r="136" spans="1:11" s="137" customFormat="1" ht="14.1" customHeight="1">
      <c r="A136" s="849"/>
      <c r="B136" s="849"/>
      <c r="C136" s="849"/>
      <c r="D136" s="849"/>
      <c r="E136" s="129" t="s">
        <v>1787</v>
      </c>
      <c r="F136" s="848"/>
      <c r="G136" s="837" t="s">
        <v>1786</v>
      </c>
      <c r="J136" s="137">
        <f>-SUMIF('Balance Sheet Detail'!$C:$C,$G136,'Balance Sheet Detail'!X:X)</f>
        <v>10.894690000000001</v>
      </c>
      <c r="K136" s="838"/>
    </row>
    <row r="137" spans="1:11" s="137" customFormat="1" ht="14.1" customHeight="1">
      <c r="A137" s="849"/>
      <c r="B137" s="849"/>
      <c r="C137" s="849"/>
      <c r="D137" s="849"/>
      <c r="E137" s="129" t="s">
        <v>1789</v>
      </c>
      <c r="F137" s="848"/>
      <c r="G137" s="837" t="s">
        <v>1788</v>
      </c>
      <c r="J137" s="137">
        <f>-SUMIF('Balance Sheet Detail'!$C:$C,$G137,'Balance Sheet Detail'!X:X)</f>
        <v>148678.03167999999</v>
      </c>
      <c r="K137" s="838"/>
    </row>
    <row r="138" spans="1:11" s="137" customFormat="1" ht="14.1" customHeight="1">
      <c r="A138" s="849"/>
      <c r="B138" s="849"/>
      <c r="C138" s="849"/>
      <c r="D138" s="849"/>
      <c r="E138" s="129" t="s">
        <v>1791</v>
      </c>
      <c r="F138" s="848"/>
      <c r="G138" s="837" t="s">
        <v>1790</v>
      </c>
      <c r="J138" s="137">
        <f>-SUMIF('Balance Sheet Detail'!$C:$C,$G138,'Balance Sheet Detail'!X:X)</f>
        <v>26574.942029999998</v>
      </c>
      <c r="K138" s="838"/>
    </row>
    <row r="139" spans="1:11" s="137" customFormat="1" ht="14.1" customHeight="1">
      <c r="A139" s="849"/>
      <c r="B139" s="849"/>
      <c r="C139" s="849"/>
      <c r="E139" s="129" t="s">
        <v>320</v>
      </c>
      <c r="F139" s="848"/>
      <c r="G139" s="837">
        <v>211000</v>
      </c>
      <c r="J139" s="137">
        <f>-SUMIF('Balance Sheet Detail'!$C:$C,$G139,'Balance Sheet Detail'!X:X)</f>
        <v>0</v>
      </c>
      <c r="K139" s="838"/>
    </row>
    <row r="140" spans="1:11" s="137" customFormat="1" ht="14.1" customHeight="1">
      <c r="A140" s="849"/>
      <c r="B140" s="849"/>
      <c r="C140" s="849"/>
      <c r="E140" s="129" t="s">
        <v>321</v>
      </c>
      <c r="F140" s="848"/>
      <c r="G140" s="837">
        <v>211205</v>
      </c>
      <c r="J140" s="137">
        <f>-SUMIF('Balance Sheet Detail'!$C:$C,$G140,'Balance Sheet Detail'!X:X)</f>
        <v>-11198.844059999999</v>
      </c>
      <c r="K140" s="838"/>
    </row>
    <row r="141" spans="1:11" s="137" customFormat="1" ht="14.1" customHeight="1">
      <c r="A141" s="849"/>
      <c r="B141" s="849"/>
      <c r="C141" s="849"/>
      <c r="D141" s="849"/>
      <c r="E141" s="129" t="s">
        <v>1793</v>
      </c>
      <c r="F141" s="848"/>
      <c r="G141" s="837" t="s">
        <v>1792</v>
      </c>
      <c r="J141" s="137">
        <f>-SUMIF('Balance Sheet Detail'!$C:$C,$G141,'Balance Sheet Detail'!X:X)</f>
        <v>0</v>
      </c>
      <c r="K141" s="838"/>
    </row>
    <row r="142" spans="1:11" s="137" customFormat="1" ht="14.1" customHeight="1">
      <c r="A142" s="849"/>
      <c r="B142" s="849"/>
      <c r="C142" s="849"/>
      <c r="D142" s="849"/>
      <c r="E142" s="129" t="s">
        <v>1581</v>
      </c>
      <c r="F142" s="848"/>
      <c r="G142" s="837" t="s">
        <v>1794</v>
      </c>
      <c r="J142" s="137">
        <f>-SUMIF('Balance Sheet Detail'!$C:$C,$G142,'Balance Sheet Detail'!X:X)</f>
        <v>6462</v>
      </c>
      <c r="K142" s="838"/>
    </row>
    <row r="143" spans="1:11" s="137" customFormat="1" ht="14.1" customHeight="1">
      <c r="A143" s="849"/>
      <c r="B143" s="849"/>
      <c r="C143" s="849"/>
      <c r="D143" s="849"/>
      <c r="E143" s="129" t="s">
        <v>1583</v>
      </c>
      <c r="F143" s="848"/>
      <c r="G143" s="837" t="s">
        <v>1582</v>
      </c>
      <c r="J143" s="137">
        <f>-SUMIF('Balance Sheet Detail'!$C:$C,$G143,'Balance Sheet Detail'!X:X)</f>
        <v>100000</v>
      </c>
      <c r="K143" s="838"/>
    </row>
    <row r="144" spans="1:11" s="137" customFormat="1" ht="14.1" customHeight="1">
      <c r="A144" s="849"/>
      <c r="B144" s="849"/>
      <c r="C144" s="849"/>
      <c r="D144" s="849"/>
      <c r="E144" s="129" t="s">
        <v>1585</v>
      </c>
      <c r="F144" s="850"/>
      <c r="G144" s="837" t="s">
        <v>1584</v>
      </c>
      <c r="J144" s="137">
        <f>-SUMIF('Balance Sheet Detail'!$C:$C,$G144,'Balance Sheet Detail'!X:X)</f>
        <v>2266.1494899999998</v>
      </c>
      <c r="K144" s="838"/>
    </row>
    <row r="145" spans="1:11" s="137" customFormat="1" ht="14.1" customHeight="1">
      <c r="A145" s="849"/>
      <c r="B145" s="849"/>
      <c r="C145" s="849"/>
      <c r="D145" s="849"/>
      <c r="E145" s="129" t="s">
        <v>1588</v>
      </c>
      <c r="F145" s="848"/>
      <c r="G145" s="837" t="s">
        <v>1587</v>
      </c>
      <c r="J145" s="137">
        <f>-SUMIF('Balance Sheet Detail'!$C:$C,$G145,'Balance Sheet Detail'!X:X)</f>
        <v>-4382.3346799999999</v>
      </c>
      <c r="K145" s="838"/>
    </row>
    <row r="146" spans="1:11" s="137" customFormat="1" ht="14.1" customHeight="1">
      <c r="A146" s="849"/>
      <c r="B146" s="849"/>
      <c r="C146" s="849"/>
      <c r="D146" s="849"/>
      <c r="E146" s="129" t="s">
        <v>1590</v>
      </c>
      <c r="F146" s="848"/>
      <c r="G146" s="837" t="s">
        <v>1589</v>
      </c>
      <c r="J146" s="137">
        <f>-SUMIF('Balance Sheet Detail'!$C:$C,$G146,'Balance Sheet Detail'!X:X)</f>
        <v>-56.79045</v>
      </c>
      <c r="K146" s="838"/>
    </row>
    <row r="147" spans="1:11" s="137" customFormat="1" ht="14.1" customHeight="1">
      <c r="A147" s="849"/>
      <c r="B147" s="849"/>
      <c r="C147" s="849"/>
      <c r="D147" s="849"/>
      <c r="E147" s="129" t="s">
        <v>1719</v>
      </c>
      <c r="F147" s="848"/>
      <c r="G147" s="837" t="s">
        <v>1592</v>
      </c>
      <c r="J147" s="137">
        <f>-SUMIF('Balance Sheet Detail'!$C:$C,$G147,'Balance Sheet Detail'!X:X)</f>
        <v>441.05500000000001</v>
      </c>
      <c r="K147" s="838"/>
    </row>
    <row r="148" spans="1:11" s="137" customFormat="1" ht="14.1" customHeight="1">
      <c r="A148" s="849"/>
      <c r="B148" s="849"/>
      <c r="C148" s="849"/>
      <c r="D148" s="849"/>
      <c r="E148" s="129" t="s">
        <v>2619</v>
      </c>
      <c r="F148" s="848"/>
      <c r="G148" s="837" t="s">
        <v>1720</v>
      </c>
      <c r="J148" s="137">
        <f>-SUMIF('Balance Sheet Detail'!$C:$C,$G148,'Balance Sheet Detail'!X:X)</f>
        <v>434014.87666541699</v>
      </c>
      <c r="K148" s="838"/>
    </row>
    <row r="149" spans="1:11" s="137" customFormat="1" ht="14.1" customHeight="1">
      <c r="A149" s="849"/>
      <c r="B149" s="849"/>
      <c r="C149" s="849"/>
      <c r="D149" s="849"/>
      <c r="E149" s="129" t="s">
        <v>2621</v>
      </c>
      <c r="F149" s="848"/>
      <c r="G149" s="837" t="s">
        <v>2620</v>
      </c>
      <c r="J149" s="137">
        <f>-SUMIF('Balance Sheet Detail'!$C:$C,$G149,'Balance Sheet Detail'!X:X)</f>
        <v>-5625</v>
      </c>
      <c r="K149" s="838"/>
    </row>
    <row r="150" spans="1:11" s="137" customFormat="1" ht="14.1" customHeight="1">
      <c r="A150" s="849"/>
      <c r="B150" s="849"/>
      <c r="C150" s="849"/>
      <c r="D150" s="849"/>
      <c r="E150" s="129" t="s">
        <v>2622</v>
      </c>
      <c r="F150" s="848"/>
      <c r="G150" s="837">
        <v>216200</v>
      </c>
      <c r="J150" s="137">
        <f>-SUMIF('Balance Sheet Detail'!$C:$C,$G150,'Balance Sheet Detail'!X:X)</f>
        <v>0</v>
      </c>
      <c r="K150" s="838"/>
    </row>
    <row r="151" spans="1:11" s="137" customFormat="1" ht="14.1" customHeight="1">
      <c r="A151" s="849"/>
      <c r="B151" s="849"/>
      <c r="C151" s="849"/>
      <c r="D151" s="849"/>
      <c r="E151" s="129" t="s">
        <v>2726</v>
      </c>
      <c r="F151" s="848"/>
      <c r="G151" s="837">
        <v>238199</v>
      </c>
      <c r="J151" s="137">
        <f>-SUMIF('Balance Sheet Detail'!$C:$C,$G151,'Balance Sheet Detail'!X:X)</f>
        <v>0</v>
      </c>
      <c r="K151" s="838"/>
    </row>
    <row r="152" spans="1:11" s="137" customFormat="1" ht="14.1" customHeight="1">
      <c r="A152" s="849"/>
      <c r="B152" s="849"/>
      <c r="C152" s="849"/>
      <c r="D152" s="849"/>
      <c r="E152" s="129" t="s">
        <v>66</v>
      </c>
      <c r="F152" s="848"/>
      <c r="G152" s="837" t="s">
        <v>65</v>
      </c>
      <c r="J152" s="137">
        <f>-SUMIF('Balance Sheet Detail'!$C:$C,$G152,'Balance Sheet Detail'!X:X)</f>
        <v>0</v>
      </c>
      <c r="K152" s="838"/>
    </row>
    <row r="153" spans="1:11" s="137" customFormat="1" ht="14.1" customHeight="1">
      <c r="A153" s="849"/>
      <c r="B153" s="849"/>
      <c r="C153" s="849"/>
      <c r="D153" s="849"/>
      <c r="E153" s="129" t="s">
        <v>1441</v>
      </c>
      <c r="F153" s="848"/>
      <c r="G153" s="837">
        <v>800000</v>
      </c>
      <c r="J153" s="137">
        <f>-SUMIF('Balance Sheet Detail'!$C:$C,$G153,'Balance Sheet Detail'!X:X)</f>
        <v>68018.317472499999</v>
      </c>
      <c r="K153" s="838"/>
    </row>
    <row r="154" spans="1:11" ht="4.5" customHeight="1">
      <c r="A154" s="822"/>
      <c r="B154" s="822"/>
      <c r="C154" s="822"/>
      <c r="D154" s="823"/>
      <c r="E154" s="822"/>
      <c r="F154" s="135"/>
      <c r="G154" s="835"/>
      <c r="H154" s="822"/>
      <c r="I154" s="137"/>
      <c r="J154" s="800">
        <v>0</v>
      </c>
      <c r="K154" s="836"/>
    </row>
    <row r="155" spans="1:11" ht="12" customHeight="1">
      <c r="A155" s="822"/>
      <c r="B155" s="822"/>
      <c r="C155" s="822"/>
      <c r="D155" s="823"/>
      <c r="E155" s="824"/>
      <c r="F155" s="135"/>
      <c r="G155" s="835"/>
      <c r="H155" s="822"/>
      <c r="I155" s="137"/>
      <c r="J155" s="825">
        <f>+J156-SUM(J131:J154)</f>
        <v>0</v>
      </c>
      <c r="K155" s="836"/>
    </row>
    <row r="156" spans="1:11" ht="14.1" customHeight="1">
      <c r="A156" s="822"/>
      <c r="B156" s="822"/>
      <c r="C156" s="822"/>
      <c r="D156" s="823"/>
      <c r="E156" s="135" t="s">
        <v>1179</v>
      </c>
      <c r="F156" s="135"/>
      <c r="G156" s="665" t="s">
        <v>266</v>
      </c>
      <c r="H156" s="822"/>
      <c r="I156" s="135"/>
      <c r="J156" s="826">
        <f>-SUMIF('Balance Sheet Detail'!$C:$C,$G156,'Balance Sheet Detail'!$X:$X)</f>
        <v>1195270.5341279171</v>
      </c>
      <c r="K156" s="130"/>
    </row>
    <row r="157" spans="1:11" s="853" customFormat="1" ht="15">
      <c r="A157" s="716"/>
      <c r="B157" s="716"/>
      <c r="C157" s="716"/>
      <c r="D157" s="716"/>
      <c r="E157" s="851"/>
      <c r="F157" s="148"/>
      <c r="G157" s="204"/>
      <c r="H157" s="148"/>
      <c r="I157" s="148"/>
      <c r="J157" s="852"/>
      <c r="K157" s="148"/>
    </row>
    <row r="158" spans="1:11">
      <c r="J158" s="135"/>
    </row>
    <row r="159" spans="1:11">
      <c r="J159" s="135"/>
    </row>
    <row r="160" spans="1:11">
      <c r="J160" s="135"/>
    </row>
    <row r="161" spans="10:10">
      <c r="J161" s="135"/>
    </row>
    <row r="162" spans="10:10">
      <c r="J162" s="135"/>
    </row>
    <row r="163" spans="10:10">
      <c r="J163" s="135"/>
    </row>
    <row r="164" spans="10:10">
      <c r="J164" s="135"/>
    </row>
    <row r="165" spans="10:10">
      <c r="J165" s="137"/>
    </row>
    <row r="166" spans="10:10">
      <c r="J166" s="137"/>
    </row>
    <row r="167" spans="10:10">
      <c r="J167" s="137"/>
    </row>
    <row r="168" spans="10:10">
      <c r="J168" s="135"/>
    </row>
    <row r="169" spans="10:10">
      <c r="J169" s="135"/>
    </row>
    <row r="170" spans="10:10">
      <c r="J170" s="135"/>
    </row>
    <row r="171" spans="10:10">
      <c r="J171" s="135"/>
    </row>
    <row r="172" spans="10:10">
      <c r="J172" s="135"/>
    </row>
    <row r="173" spans="10:10">
      <c r="J173" s="135"/>
    </row>
    <row r="174" spans="10:10">
      <c r="J174" s="135"/>
    </row>
    <row r="175" spans="10:10">
      <c r="J175" s="135"/>
    </row>
    <row r="176" spans="10:10">
      <c r="J176" s="135"/>
    </row>
    <row r="177" spans="10:10">
      <c r="J177" s="135"/>
    </row>
    <row r="178" spans="10:10">
      <c r="J178" s="135"/>
    </row>
    <row r="179" spans="10:10">
      <c r="J179" s="135"/>
    </row>
    <row r="180" spans="10:10">
      <c r="J180" s="135"/>
    </row>
    <row r="181" spans="10:10">
      <c r="J181" s="135"/>
    </row>
    <row r="182" spans="10:10">
      <c r="J182" s="135"/>
    </row>
    <row r="183" spans="10:10">
      <c r="J183" s="135"/>
    </row>
    <row r="184" spans="10:10">
      <c r="J184" s="135"/>
    </row>
    <row r="185" spans="10:10">
      <c r="J185" s="135"/>
    </row>
    <row r="186" spans="10:10">
      <c r="J186" s="135"/>
    </row>
    <row r="187" spans="10:10">
      <c r="J187" s="135"/>
    </row>
    <row r="188" spans="10:10">
      <c r="J188" s="135"/>
    </row>
    <row r="189" spans="10:10">
      <c r="J189" s="135"/>
    </row>
    <row r="190" spans="10:10">
      <c r="J190" s="135"/>
    </row>
    <row r="191" spans="10:10">
      <c r="J191" s="135"/>
    </row>
    <row r="192" spans="10:10">
      <c r="J192" s="135"/>
    </row>
    <row r="193" spans="10:10">
      <c r="J193" s="135"/>
    </row>
    <row r="194" spans="10:10">
      <c r="J194" s="135"/>
    </row>
    <row r="195" spans="10:10">
      <c r="J195" s="135"/>
    </row>
    <row r="196" spans="10:10">
      <c r="J196" s="135"/>
    </row>
    <row r="197" spans="10:10">
      <c r="J197" s="135"/>
    </row>
    <row r="198" spans="10:10">
      <c r="J198" s="135"/>
    </row>
    <row r="199" spans="10:10">
      <c r="J199" s="135"/>
    </row>
    <row r="200" spans="10:10">
      <c r="J200" s="135"/>
    </row>
    <row r="201" spans="10:10">
      <c r="J201" s="135"/>
    </row>
    <row r="202" spans="10:10">
      <c r="J202" s="135"/>
    </row>
    <row r="203" spans="10:10">
      <c r="J203" s="135"/>
    </row>
    <row r="204" spans="10:10">
      <c r="J204" s="135"/>
    </row>
    <row r="205" spans="10:10">
      <c r="J205" s="135"/>
    </row>
    <row r="206" spans="10:10">
      <c r="J206" s="135"/>
    </row>
    <row r="207" spans="10:10">
      <c r="J207" s="135"/>
    </row>
    <row r="208" spans="10:10">
      <c r="J208" s="135"/>
    </row>
    <row r="209" spans="10:10">
      <c r="J209" s="135"/>
    </row>
    <row r="210" spans="10:10">
      <c r="J210" s="135"/>
    </row>
    <row r="211" spans="10:10">
      <c r="J211" s="135"/>
    </row>
    <row r="212" spans="10:10">
      <c r="J212" s="135"/>
    </row>
    <row r="213" spans="10:10">
      <c r="J213" s="135"/>
    </row>
    <row r="214" spans="10:10">
      <c r="J214" s="135"/>
    </row>
    <row r="215" spans="10:10">
      <c r="J215" s="135"/>
    </row>
    <row r="216" spans="10:10">
      <c r="J216" s="135"/>
    </row>
    <row r="217" spans="10:10">
      <c r="J217" s="135"/>
    </row>
    <row r="218" spans="10:10">
      <c r="J218" s="135"/>
    </row>
    <row r="219" spans="10:10">
      <c r="J219" s="135"/>
    </row>
    <row r="220" spans="10:10">
      <c r="J220" s="135"/>
    </row>
    <row r="221" spans="10:10">
      <c r="J221" s="135"/>
    </row>
    <row r="222" spans="10:10">
      <c r="J222" s="135"/>
    </row>
    <row r="223" spans="10:10">
      <c r="J223" s="135"/>
    </row>
    <row r="224" spans="10:10">
      <c r="J224" s="135"/>
    </row>
    <row r="225" spans="10:10">
      <c r="J225" s="135"/>
    </row>
    <row r="226" spans="10:10">
      <c r="J226" s="135"/>
    </row>
    <row r="227" spans="10:10">
      <c r="J227" s="135"/>
    </row>
    <row r="228" spans="10:10">
      <c r="J228" s="135"/>
    </row>
    <row r="229" spans="10:10">
      <c r="J229" s="135"/>
    </row>
    <row r="230" spans="10:10">
      <c r="J230" s="135"/>
    </row>
    <row r="231" spans="10:10">
      <c r="J231" s="135"/>
    </row>
    <row r="232" spans="10:10">
      <c r="J232" s="135"/>
    </row>
    <row r="233" spans="10:10">
      <c r="J233" s="135"/>
    </row>
    <row r="234" spans="10:10">
      <c r="J234" s="135"/>
    </row>
    <row r="235" spans="10:10">
      <c r="J235" s="135"/>
    </row>
    <row r="236" spans="10:10">
      <c r="J236" s="135"/>
    </row>
    <row r="237" spans="10:10">
      <c r="J237" s="135"/>
    </row>
    <row r="238" spans="10:10">
      <c r="J238" s="135"/>
    </row>
    <row r="239" spans="10:10">
      <c r="J239" s="135"/>
    </row>
    <row r="240" spans="10:10">
      <c r="J240" s="135"/>
    </row>
    <row r="241" spans="10:10">
      <c r="J241" s="135"/>
    </row>
    <row r="242" spans="10:10">
      <c r="J242" s="135"/>
    </row>
    <row r="243" spans="10:10">
      <c r="J243" s="135"/>
    </row>
    <row r="244" spans="10:10">
      <c r="J244" s="135"/>
    </row>
    <row r="245" spans="10:10">
      <c r="J245" s="135"/>
    </row>
    <row r="246" spans="10:10">
      <c r="J246" s="135"/>
    </row>
    <row r="247" spans="10:10">
      <c r="J247" s="135"/>
    </row>
    <row r="248" spans="10:10">
      <c r="J248" s="135"/>
    </row>
    <row r="249" spans="10:10">
      <c r="J249" s="135"/>
    </row>
    <row r="250" spans="10:10">
      <c r="J250" s="135"/>
    </row>
    <row r="251" spans="10:10">
      <c r="J251" s="135"/>
    </row>
    <row r="252" spans="10:10">
      <c r="J252" s="135"/>
    </row>
    <row r="253" spans="10:10">
      <c r="J253" s="135"/>
    </row>
    <row r="254" spans="10:10">
      <c r="J254" s="135"/>
    </row>
    <row r="255" spans="10:10">
      <c r="J255" s="135"/>
    </row>
    <row r="256" spans="10:10">
      <c r="J256" s="135"/>
    </row>
    <row r="257" spans="10:10">
      <c r="J257" s="135"/>
    </row>
    <row r="258" spans="10:10">
      <c r="J258" s="135"/>
    </row>
    <row r="259" spans="10:10">
      <c r="J259" s="135"/>
    </row>
    <row r="260" spans="10:10">
      <c r="J260" s="135"/>
    </row>
    <row r="261" spans="10:10">
      <c r="J261" s="135"/>
    </row>
    <row r="262" spans="10:10">
      <c r="J262" s="135"/>
    </row>
    <row r="263" spans="10:10">
      <c r="J263" s="135"/>
    </row>
    <row r="264" spans="10:10">
      <c r="J264" s="135"/>
    </row>
    <row r="265" spans="10:10">
      <c r="J265" s="135"/>
    </row>
    <row r="266" spans="10:10">
      <c r="J266" s="135"/>
    </row>
    <row r="267" spans="10:10">
      <c r="J267" s="135"/>
    </row>
    <row r="268" spans="10:10">
      <c r="J268" s="135"/>
    </row>
    <row r="269" spans="10:10">
      <c r="J269" s="135"/>
    </row>
    <row r="270" spans="10:10">
      <c r="J270" s="135"/>
    </row>
    <row r="271" spans="10:10">
      <c r="J271" s="135"/>
    </row>
    <row r="272" spans="10:10">
      <c r="J272" s="135"/>
    </row>
    <row r="273" spans="10:10">
      <c r="J273" s="135"/>
    </row>
    <row r="274" spans="10:10">
      <c r="J274" s="135"/>
    </row>
    <row r="275" spans="10:10">
      <c r="J275" s="135"/>
    </row>
    <row r="276" spans="10:10">
      <c r="J276" s="135"/>
    </row>
    <row r="277" spans="10:10">
      <c r="J277" s="135"/>
    </row>
    <row r="278" spans="10:10">
      <c r="J278" s="135"/>
    </row>
    <row r="279" spans="10:10">
      <c r="J279" s="135"/>
    </row>
    <row r="280" spans="10:10">
      <c r="J280" s="135"/>
    </row>
    <row r="281" spans="10:10">
      <c r="J281" s="135"/>
    </row>
    <row r="282" spans="10:10">
      <c r="J282" s="135"/>
    </row>
    <row r="283" spans="10:10">
      <c r="J283" s="135"/>
    </row>
    <row r="284" spans="10:10">
      <c r="J284" s="135"/>
    </row>
    <row r="285" spans="10:10">
      <c r="J285" s="135"/>
    </row>
    <row r="286" spans="10:10">
      <c r="J286" s="135"/>
    </row>
    <row r="287" spans="10:10">
      <c r="J287" s="135"/>
    </row>
    <row r="288" spans="10:10">
      <c r="J288" s="135"/>
    </row>
    <row r="289" spans="10:10">
      <c r="J289" s="135"/>
    </row>
    <row r="290" spans="10:10">
      <c r="J290" s="135"/>
    </row>
    <row r="291" spans="10:10">
      <c r="J291" s="135"/>
    </row>
    <row r="292" spans="10:10">
      <c r="J292" s="135"/>
    </row>
    <row r="293" spans="10:10">
      <c r="J293" s="135"/>
    </row>
    <row r="294" spans="10:10">
      <c r="J294" s="135"/>
    </row>
    <row r="295" spans="10:10">
      <c r="J295" s="135"/>
    </row>
    <row r="296" spans="10:10">
      <c r="J296" s="135"/>
    </row>
    <row r="297" spans="10:10">
      <c r="J297" s="135"/>
    </row>
    <row r="298" spans="10:10">
      <c r="J298" s="135"/>
    </row>
    <row r="299" spans="10:10">
      <c r="J299" s="135"/>
    </row>
    <row r="300" spans="10:10">
      <c r="J300" s="135"/>
    </row>
    <row r="301" spans="10:10">
      <c r="J301" s="135"/>
    </row>
    <row r="302" spans="10:10">
      <c r="J302" s="135"/>
    </row>
    <row r="303" spans="10:10">
      <c r="J303" s="135"/>
    </row>
    <row r="304" spans="10:10">
      <c r="J304" s="135"/>
    </row>
    <row r="305" spans="10:10">
      <c r="J305" s="135"/>
    </row>
    <row r="306" spans="10:10">
      <c r="J306" s="135"/>
    </row>
    <row r="307" spans="10:10">
      <c r="J307" s="135"/>
    </row>
    <row r="308" spans="10:10">
      <c r="J308" s="135"/>
    </row>
    <row r="309" spans="10:10">
      <c r="J309" s="135"/>
    </row>
    <row r="310" spans="10:10">
      <c r="J310" s="135"/>
    </row>
    <row r="311" spans="10:10">
      <c r="J311" s="135"/>
    </row>
    <row r="312" spans="10:10">
      <c r="J312" s="135"/>
    </row>
    <row r="313" spans="10:10">
      <c r="J313" s="135"/>
    </row>
    <row r="314" spans="10:10">
      <c r="J314" s="135"/>
    </row>
    <row r="315" spans="10:10">
      <c r="J315" s="135"/>
    </row>
    <row r="316" spans="10:10">
      <c r="J316" s="135"/>
    </row>
    <row r="317" spans="10:10">
      <c r="J317" s="135"/>
    </row>
    <row r="318" spans="10:10">
      <c r="J318" s="135"/>
    </row>
    <row r="319" spans="10:10">
      <c r="J319" s="135"/>
    </row>
    <row r="320" spans="10:10">
      <c r="J320" s="135"/>
    </row>
    <row r="321" spans="10:10">
      <c r="J321" s="135"/>
    </row>
    <row r="322" spans="10:10">
      <c r="J322" s="135"/>
    </row>
    <row r="323" spans="10:10">
      <c r="J323" s="135"/>
    </row>
    <row r="324" spans="10:10">
      <c r="J324" s="135"/>
    </row>
    <row r="325" spans="10:10">
      <c r="J325" s="135"/>
    </row>
    <row r="326" spans="10:10">
      <c r="J326" s="135"/>
    </row>
    <row r="327" spans="10:10">
      <c r="J327" s="135"/>
    </row>
    <row r="328" spans="10:10">
      <c r="J328" s="135"/>
    </row>
    <row r="329" spans="10:10">
      <c r="J329" s="135"/>
    </row>
    <row r="330" spans="10:10">
      <c r="J330" s="135"/>
    </row>
    <row r="331" spans="10:10">
      <c r="J331" s="135"/>
    </row>
    <row r="332" spans="10:10">
      <c r="J332" s="135"/>
    </row>
    <row r="333" spans="10:10">
      <c r="J333" s="135"/>
    </row>
    <row r="334" spans="10:10">
      <c r="J334" s="135"/>
    </row>
    <row r="335" spans="10:10">
      <c r="J335" s="135"/>
    </row>
    <row r="336" spans="10:10">
      <c r="J336" s="135"/>
    </row>
    <row r="337" spans="10:10">
      <c r="J337" s="135"/>
    </row>
    <row r="338" spans="10:10">
      <c r="J338" s="135"/>
    </row>
    <row r="339" spans="10:10">
      <c r="J339" s="135"/>
    </row>
    <row r="340" spans="10:10">
      <c r="J340" s="135"/>
    </row>
    <row r="341" spans="10:10">
      <c r="J341" s="135"/>
    </row>
    <row r="342" spans="10:10">
      <c r="J342" s="135"/>
    </row>
    <row r="343" spans="10:10">
      <c r="J343" s="135"/>
    </row>
    <row r="344" spans="10:10">
      <c r="J344" s="135"/>
    </row>
    <row r="345" spans="10:10">
      <c r="J345" s="135"/>
    </row>
    <row r="346" spans="10:10">
      <c r="J346" s="135"/>
    </row>
    <row r="347" spans="10:10">
      <c r="J347" s="135"/>
    </row>
    <row r="348" spans="10:10">
      <c r="J348" s="135"/>
    </row>
    <row r="349" spans="10:10">
      <c r="J349" s="135"/>
    </row>
    <row r="350" spans="10:10">
      <c r="J350" s="135"/>
    </row>
    <row r="351" spans="10:10">
      <c r="J351" s="135"/>
    </row>
    <row r="352" spans="10:10">
      <c r="J352" s="135"/>
    </row>
    <row r="353" spans="10:10">
      <c r="J353" s="135"/>
    </row>
    <row r="354" spans="10:10">
      <c r="J354" s="135"/>
    </row>
    <row r="355" spans="10:10">
      <c r="J355" s="135"/>
    </row>
    <row r="356" spans="10:10">
      <c r="J356" s="135"/>
    </row>
    <row r="357" spans="10:10">
      <c r="J357" s="135"/>
    </row>
    <row r="358" spans="10:10">
      <c r="J358" s="135"/>
    </row>
    <row r="359" spans="10:10">
      <c r="J359" s="135"/>
    </row>
    <row r="360" spans="10:10">
      <c r="J360" s="135"/>
    </row>
    <row r="361" spans="10:10">
      <c r="J361" s="135"/>
    </row>
    <row r="362" spans="10:10">
      <c r="J362" s="135"/>
    </row>
    <row r="363" spans="10:10">
      <c r="J363" s="135"/>
    </row>
    <row r="364" spans="10:10">
      <c r="J364" s="135"/>
    </row>
  </sheetData>
  <phoneticPr fontId="0" type="noConversion"/>
  <conditionalFormatting sqref="J165:J167 J7 G132:G153 G58:G59 G126 G117:G123 G74:G78 G92:G96 G99:G108 G112:G114 G129 G156 I56:J56 J62:J69 H60:H61 H56:H58 H9:J18 J74:J75 J132:K153 K117:K123 K74:K78 K82:K89 K92:K96 K99:K108 K129 K58:K59 J82:J86 J92:J93 J99:J103 J112:K114 J126:K126 K156 K31:K40 G82:G89 G31:G40">
    <cfRule type="cellIs" dxfId="2" priority="19" stopIfTrue="1" operator="equal">
      <formula>"see detail"</formula>
    </cfRule>
  </conditionalFormatting>
  <conditionalFormatting sqref="J77 J155 J88 J105 J95 J116 J128">
    <cfRule type="cellIs" dxfId="1" priority="20" stopIfTrue="1" operator="equal">
      <formula>0</formula>
    </cfRule>
  </conditionalFormatting>
  <printOptions horizontalCentered="1"/>
  <pageMargins left="0" right="0" top="0" bottom="0" header="0" footer="0"/>
  <pageSetup scale="75" orientation="portrait" r:id="rId1"/>
  <headerFooter alignWithMargins="0"/>
  <rowBreaks count="2" manualBreakCount="2">
    <brk id="55" min="3" max="10" man="1"/>
    <brk id="109" min="3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:L559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2" width="9.140625" style="133"/>
    <col min="3" max="3" width="29.42578125" style="133" customWidth="1"/>
    <col min="4" max="4" width="9.28515625" style="288" bestFit="1" customWidth="1"/>
    <col min="5" max="5" width="11.140625" style="133" customWidth="1"/>
    <col min="6" max="6" width="9.28515625" style="133" bestFit="1" customWidth="1"/>
    <col min="7" max="7" width="12" style="133" bestFit="1" customWidth="1"/>
    <col min="8" max="8" width="16.140625" style="133" bestFit="1" customWidth="1"/>
    <col min="9" max="9" width="13.7109375" style="133" bestFit="1" customWidth="1"/>
    <col min="10" max="10" width="16.28515625" style="133" bestFit="1" customWidth="1"/>
    <col min="11" max="16384" width="9.140625" style="133"/>
  </cols>
  <sheetData>
    <row r="1" spans="1:11">
      <c r="A1" s="644"/>
      <c r="B1" s="645"/>
      <c r="C1" s="645"/>
      <c r="D1" s="646"/>
      <c r="E1" s="647"/>
      <c r="F1" s="648"/>
      <c r="G1" s="649"/>
      <c r="H1" s="650"/>
      <c r="I1" s="650"/>
      <c r="J1" s="651"/>
      <c r="K1" s="652"/>
    </row>
    <row r="2" spans="1:11">
      <c r="A2" s="644"/>
      <c r="B2" s="645"/>
      <c r="C2" s="645"/>
      <c r="D2" s="646"/>
      <c r="E2" s="647"/>
      <c r="F2" s="648"/>
      <c r="G2" s="649"/>
      <c r="H2" s="650"/>
      <c r="I2" s="650"/>
      <c r="J2" s="651"/>
      <c r="K2" s="652"/>
    </row>
    <row r="3" spans="1:11">
      <c r="A3" s="653"/>
      <c r="B3" s="654" t="s">
        <v>1646</v>
      </c>
      <c r="C3" s="654"/>
      <c r="D3" s="654"/>
      <c r="E3" s="654"/>
      <c r="F3" s="654"/>
      <c r="G3" s="654"/>
      <c r="H3" s="654"/>
      <c r="I3" s="654"/>
      <c r="J3" s="654"/>
      <c r="K3" s="655"/>
    </row>
    <row r="4" spans="1:11">
      <c r="A4" s="653"/>
      <c r="B4" s="654" t="s">
        <v>3034</v>
      </c>
      <c r="C4" s="654"/>
      <c r="D4" s="654"/>
      <c r="E4" s="654"/>
      <c r="F4" s="654"/>
      <c r="G4" s="654"/>
      <c r="H4" s="654"/>
      <c r="I4" s="654"/>
      <c r="J4" s="654"/>
      <c r="K4" s="655"/>
    </row>
    <row r="5" spans="1:11">
      <c r="A5" s="653"/>
      <c r="B5" s="654" t="str">
        <f>+'Rate Base'!B4</f>
        <v>12 Months Ended December 31, 2014</v>
      </c>
      <c r="C5" s="654"/>
      <c r="D5" s="654"/>
      <c r="E5" s="654"/>
      <c r="F5" s="654"/>
      <c r="G5" s="654"/>
      <c r="H5" s="654"/>
      <c r="I5" s="654"/>
      <c r="J5" s="654"/>
      <c r="K5" s="655"/>
    </row>
    <row r="6" spans="1:11">
      <c r="A6" s="653"/>
      <c r="B6" s="654" t="s">
        <v>3035</v>
      </c>
      <c r="C6" s="654"/>
      <c r="D6" s="654"/>
      <c r="E6" s="654"/>
      <c r="F6" s="654"/>
      <c r="G6" s="654"/>
      <c r="H6" s="654"/>
      <c r="I6" s="654"/>
      <c r="J6" s="654"/>
      <c r="K6" s="655"/>
    </row>
    <row r="7" spans="1:11">
      <c r="A7" s="653"/>
      <c r="B7" s="654" t="s">
        <v>1648</v>
      </c>
      <c r="C7" s="654"/>
      <c r="D7" s="654"/>
      <c r="E7" s="654"/>
      <c r="F7" s="654"/>
      <c r="G7" s="654"/>
      <c r="H7" s="654"/>
      <c r="I7" s="654"/>
      <c r="J7" s="654"/>
      <c r="K7" s="655"/>
    </row>
    <row r="8" spans="1:11">
      <c r="A8" s="655"/>
      <c r="B8" s="655"/>
      <c r="C8" s="656"/>
      <c r="D8" s="657"/>
      <c r="E8" s="655"/>
      <c r="F8" s="655"/>
      <c r="G8" s="655"/>
      <c r="H8" s="654"/>
      <c r="I8" s="654"/>
      <c r="J8" s="654"/>
      <c r="K8" s="655"/>
    </row>
    <row r="9" spans="1:11">
      <c r="A9" s="658"/>
      <c r="B9" s="132"/>
      <c r="C9" s="132"/>
      <c r="D9" s="659" t="s">
        <v>1960</v>
      </c>
      <c r="E9" s="660" t="s">
        <v>3036</v>
      </c>
      <c r="F9" s="660" t="s">
        <v>3037</v>
      </c>
      <c r="G9" s="660"/>
      <c r="H9" s="660" t="s">
        <v>1177</v>
      </c>
      <c r="I9" s="660" t="s">
        <v>1178</v>
      </c>
      <c r="J9" s="660" t="s">
        <v>1179</v>
      </c>
      <c r="K9" s="132"/>
    </row>
    <row r="10" spans="1:11">
      <c r="A10" s="658" t="s">
        <v>3038</v>
      </c>
      <c r="B10" s="132"/>
      <c r="C10" s="132"/>
      <c r="D10" s="661"/>
      <c r="E10" s="647"/>
      <c r="F10" s="662"/>
      <c r="G10" s="663"/>
      <c r="H10" s="664"/>
      <c r="I10" s="664"/>
      <c r="J10" s="664"/>
      <c r="K10" s="132"/>
    </row>
    <row r="11" spans="1:11">
      <c r="A11" s="658"/>
      <c r="B11" s="129" t="s">
        <v>227</v>
      </c>
      <c r="C11" s="129"/>
      <c r="D11" s="665">
        <v>101010</v>
      </c>
      <c r="E11" s="647" t="s">
        <v>1183</v>
      </c>
      <c r="F11" s="662">
        <f>VLOOKUP('Rate Base Detail'!$E11,Allocators!$B$4:$G$14,3,FALSE)</f>
        <v>1</v>
      </c>
      <c r="G11" s="666" t="s">
        <v>1180</v>
      </c>
      <c r="H11" s="147">
        <f>ROUND($F11*J11,0)</f>
        <v>3340609</v>
      </c>
      <c r="I11" s="147">
        <f>+J11-H11</f>
        <v>-0.17162541998550296</v>
      </c>
      <c r="J11" s="147">
        <f>SUMIF('Balance Sheet Detail'!$C:$C,$D11,'Balance Sheet Detail'!$X:$X)</f>
        <v>3340608.82837458</v>
      </c>
      <c r="K11" s="147"/>
    </row>
    <row r="12" spans="1:11">
      <c r="A12" s="658"/>
      <c r="B12" s="129" t="s">
        <v>1825</v>
      </c>
      <c r="C12" s="129"/>
      <c r="D12" s="665">
        <v>101030</v>
      </c>
      <c r="E12" s="647" t="s">
        <v>1184</v>
      </c>
      <c r="F12" s="662">
        <f>VLOOKUP('Rate Base Detail'!$E12,Allocators!$B$4:$G$14,3,FALSE)</f>
        <v>0</v>
      </c>
      <c r="G12" s="666" t="s">
        <v>1180</v>
      </c>
      <c r="H12" s="667">
        <f>ROUND($F12*J12,0)</f>
        <v>0</v>
      </c>
      <c r="I12" s="667">
        <f>+J12-H12</f>
        <v>819654.87991041702</v>
      </c>
      <c r="J12" s="667">
        <f>SUMIF('Balance Sheet Detail'!$C:$C,$D12,'Balance Sheet Detail'!$X:$X)</f>
        <v>819654.87991041702</v>
      </c>
      <c r="K12" s="132"/>
    </row>
    <row r="13" spans="1:11">
      <c r="A13" s="658"/>
      <c r="B13" s="129" t="s">
        <v>230</v>
      </c>
      <c r="C13" s="129"/>
      <c r="D13" s="665">
        <v>101070</v>
      </c>
      <c r="E13" s="647" t="s">
        <v>1182</v>
      </c>
      <c r="F13" s="662">
        <f>VLOOKUP('Rate Base Detail'!$E13,Allocators!$B$4:$G$14,3,FALSE)</f>
        <v>0.79196546646577504</v>
      </c>
      <c r="G13" s="666" t="s">
        <v>1180</v>
      </c>
      <c r="H13" s="667">
        <f>ROUND($F13*J13,0)</f>
        <v>228091</v>
      </c>
      <c r="I13" s="667">
        <f>+J13-H13</f>
        <v>59915.259840417013</v>
      </c>
      <c r="J13" s="667">
        <f>SUMIF('Balance Sheet Detail'!$C:$C,$D13,'Balance Sheet Detail'!$X:$X)</f>
        <v>288006.25984041701</v>
      </c>
      <c r="K13" s="132"/>
    </row>
    <row r="14" spans="1:11" ht="15">
      <c r="A14" s="658"/>
      <c r="B14" s="129"/>
      <c r="C14" s="129"/>
      <c r="D14" s="665"/>
      <c r="E14" s="647"/>
      <c r="F14" s="668"/>
      <c r="G14" s="666" t="s">
        <v>1180</v>
      </c>
      <c r="H14" s="669">
        <v>0</v>
      </c>
      <c r="I14" s="669">
        <v>0</v>
      </c>
      <c r="J14" s="669">
        <v>0</v>
      </c>
      <c r="K14" s="132"/>
    </row>
    <row r="15" spans="1:11">
      <c r="A15" s="658"/>
      <c r="B15" s="132"/>
      <c r="C15" s="132"/>
      <c r="D15" s="670"/>
      <c r="E15" s="647"/>
      <c r="F15" s="662"/>
      <c r="G15" s="666" t="s">
        <v>1180</v>
      </c>
      <c r="H15" s="664"/>
      <c r="I15" s="664"/>
      <c r="J15" s="664"/>
      <c r="K15" s="132"/>
    </row>
    <row r="16" spans="1:11">
      <c r="A16" s="658"/>
      <c r="B16" s="132" t="str">
        <f>+A10</f>
        <v>Gross Utility Plant</v>
      </c>
      <c r="C16" s="132"/>
      <c r="D16" s="670"/>
      <c r="E16" s="647"/>
      <c r="F16" s="662"/>
      <c r="G16" s="666" t="s">
        <v>1180</v>
      </c>
      <c r="H16" s="671">
        <f>SUM(H10:H15)</f>
        <v>3568700</v>
      </c>
      <c r="I16" s="671">
        <f>SUM(I10:I15)</f>
        <v>879569.9681254141</v>
      </c>
      <c r="J16" s="671">
        <f>SUM(J10:J15)</f>
        <v>4448269.9681254141</v>
      </c>
      <c r="K16" s="147"/>
    </row>
    <row r="17" spans="1:11">
      <c r="A17" s="658"/>
      <c r="B17" s="137"/>
      <c r="C17" s="137"/>
      <c r="D17" s="670"/>
      <c r="E17" s="647"/>
      <c r="F17" s="662"/>
      <c r="G17" s="666" t="s">
        <v>1180</v>
      </c>
      <c r="H17" s="664"/>
      <c r="I17" s="664"/>
      <c r="J17" s="664"/>
      <c r="K17" s="132"/>
    </row>
    <row r="18" spans="1:11">
      <c r="A18" s="658" t="s">
        <v>3045</v>
      </c>
      <c r="B18" s="137"/>
      <c r="C18" s="137"/>
      <c r="D18" s="670"/>
      <c r="E18" s="647"/>
      <c r="F18" s="662"/>
      <c r="G18" s="666"/>
      <c r="H18" s="664"/>
      <c r="I18" s="664"/>
      <c r="J18" s="664"/>
      <c r="K18" s="132"/>
    </row>
    <row r="19" spans="1:11">
      <c r="A19" s="658"/>
      <c r="B19" s="129" t="s">
        <v>232</v>
      </c>
      <c r="C19" s="129"/>
      <c r="D19" s="665">
        <v>105010</v>
      </c>
      <c r="E19" s="647" t="s">
        <v>1183</v>
      </c>
      <c r="F19" s="662">
        <f>VLOOKUP('Rate Base Detail'!$E19,Allocators!$B$4:$G$14,3,FALSE)</f>
        <v>1</v>
      </c>
      <c r="G19" s="666"/>
      <c r="H19" s="147">
        <f>ROUND($F19*J19,0)</f>
        <v>1328</v>
      </c>
      <c r="I19" s="147">
        <f>+J19-H19</f>
        <v>-0.37190000000009604</v>
      </c>
      <c r="J19" s="147">
        <f>SUMIF('Balance Sheet Detail'!$C:$C,$D19,'Balance Sheet Detail'!$X:$X)</f>
        <v>1327.6280999999999</v>
      </c>
      <c r="K19" s="147"/>
    </row>
    <row r="20" spans="1:11" ht="15">
      <c r="A20" s="658"/>
      <c r="B20" s="137"/>
      <c r="C20" s="137"/>
      <c r="D20" s="670"/>
      <c r="E20" s="647"/>
      <c r="F20" s="662"/>
      <c r="G20" s="666"/>
      <c r="H20" s="669">
        <v>0</v>
      </c>
      <c r="I20" s="669">
        <v>0</v>
      </c>
      <c r="J20" s="669">
        <v>0</v>
      </c>
      <c r="K20" s="132"/>
    </row>
    <row r="21" spans="1:11">
      <c r="A21" s="658"/>
      <c r="B21" s="137"/>
      <c r="C21" s="137"/>
      <c r="D21" s="670"/>
      <c r="E21" s="647"/>
      <c r="F21" s="662"/>
      <c r="G21" s="666"/>
      <c r="H21" s="664"/>
      <c r="I21" s="664"/>
      <c r="J21" s="664"/>
      <c r="K21" s="132"/>
    </row>
    <row r="22" spans="1:11">
      <c r="A22" s="658"/>
      <c r="B22" s="137" t="s">
        <v>3045</v>
      </c>
      <c r="C22" s="137"/>
      <c r="D22" s="670"/>
      <c r="E22" s="647"/>
      <c r="F22" s="662"/>
      <c r="G22" s="666"/>
      <c r="H22" s="672">
        <f>SUM(H19:H21)</f>
        <v>1328</v>
      </c>
      <c r="I22" s="672">
        <f>SUM(I19:I21)</f>
        <v>-0.37190000000009604</v>
      </c>
      <c r="J22" s="672">
        <f>SUM(J19:J21)</f>
        <v>1327.6280999999999</v>
      </c>
      <c r="K22" s="132"/>
    </row>
    <row r="23" spans="1:11">
      <c r="A23" s="658"/>
      <c r="B23" s="137"/>
      <c r="C23" s="137"/>
      <c r="D23" s="670"/>
      <c r="E23" s="647"/>
      <c r="F23" s="662"/>
      <c r="G23" s="666"/>
      <c r="H23" s="664"/>
      <c r="I23" s="664"/>
      <c r="J23" s="664"/>
      <c r="K23" s="132"/>
    </row>
    <row r="24" spans="1:11">
      <c r="A24" s="658" t="s">
        <v>3039</v>
      </c>
      <c r="B24" s="132"/>
      <c r="C24" s="132"/>
      <c r="D24" s="670"/>
      <c r="E24" s="647"/>
      <c r="F24" s="662"/>
      <c r="G24" s="666" t="s">
        <v>1180</v>
      </c>
      <c r="H24" s="664"/>
      <c r="I24" s="664"/>
      <c r="J24" s="664"/>
      <c r="K24" s="132"/>
    </row>
    <row r="25" spans="1:11">
      <c r="A25" s="658"/>
      <c r="B25" s="129" t="s">
        <v>2497</v>
      </c>
      <c r="C25" s="129"/>
      <c r="D25" s="665">
        <v>106010</v>
      </c>
      <c r="E25" s="647" t="s">
        <v>1183</v>
      </c>
      <c r="F25" s="662">
        <f>VLOOKUP('Rate Base Detail'!$E25,Allocators!$B$4:$G$14,3,FALSE)</f>
        <v>1</v>
      </c>
      <c r="G25" s="666" t="s">
        <v>1180</v>
      </c>
      <c r="H25" s="147">
        <f>ROUND($F25*J25,0)</f>
        <v>218383</v>
      </c>
      <c r="I25" s="147">
        <f>+J25-H25</f>
        <v>-5.5657082994002849E-2</v>
      </c>
      <c r="J25" s="147">
        <f>SUMIF('Balance Sheet Detail'!$C:$C,$D25,'Balance Sheet Detail'!$X:$X)</f>
        <v>218382.94434291701</v>
      </c>
      <c r="K25" s="147"/>
    </row>
    <row r="26" spans="1:11">
      <c r="A26" s="658"/>
      <c r="B26" s="129" t="s">
        <v>1766</v>
      </c>
      <c r="C26" s="129"/>
      <c r="D26" s="665">
        <v>106030</v>
      </c>
      <c r="E26" s="647" t="s">
        <v>1184</v>
      </c>
      <c r="F26" s="662">
        <f>VLOOKUP('Rate Base Detail'!$E26,Allocators!$B$4:$G$14,3,FALSE)</f>
        <v>0</v>
      </c>
      <c r="G26" s="666" t="s">
        <v>1180</v>
      </c>
      <c r="H26" s="667">
        <f>ROUND($F26*J26,0)</f>
        <v>0</v>
      </c>
      <c r="I26" s="667">
        <f>+J26-H26</f>
        <v>41926.221415833301</v>
      </c>
      <c r="J26" s="667">
        <f>SUMIF('Balance Sheet Detail'!$C:$C,$D26,'Balance Sheet Detail'!$X:$X)</f>
        <v>41926.221415833301</v>
      </c>
      <c r="K26" s="132"/>
    </row>
    <row r="27" spans="1:11" ht="15">
      <c r="A27" s="658"/>
      <c r="B27" s="129" t="s">
        <v>1767</v>
      </c>
      <c r="C27" s="129"/>
      <c r="D27" s="665">
        <v>106070</v>
      </c>
      <c r="E27" s="647" t="s">
        <v>1182</v>
      </c>
      <c r="F27" s="662">
        <f>VLOOKUP('Rate Base Detail'!$E27,Allocators!$B$4:$G$14,3,FALSE)</f>
        <v>0.79196546646577504</v>
      </c>
      <c r="G27" s="666" t="s">
        <v>1180</v>
      </c>
      <c r="H27" s="669">
        <f>ROUND($F27*J27,0)</f>
        <v>43735</v>
      </c>
      <c r="I27" s="669">
        <f>+J27-H27</f>
        <v>11488.172402916702</v>
      </c>
      <c r="J27" s="669">
        <f>SUMIF('Balance Sheet Detail'!$C:$C,$D27,'Balance Sheet Detail'!$X:$X)</f>
        <v>55223.172402916702</v>
      </c>
      <c r="K27" s="132"/>
    </row>
    <row r="28" spans="1:11">
      <c r="A28" s="658"/>
      <c r="B28" s="132"/>
      <c r="C28" s="132"/>
      <c r="D28" s="670"/>
      <c r="E28" s="647"/>
      <c r="F28" s="662"/>
      <c r="G28" s="666" t="s">
        <v>1180</v>
      </c>
      <c r="H28" s="664"/>
      <c r="I28" s="664"/>
      <c r="J28" s="664"/>
      <c r="K28" s="132"/>
    </row>
    <row r="29" spans="1:11">
      <c r="A29" s="658"/>
      <c r="B29" s="132" t="str">
        <f>+A24</f>
        <v>Completed Construction</v>
      </c>
      <c r="C29" s="132"/>
      <c r="D29" s="670"/>
      <c r="E29" s="647"/>
      <c r="F29" s="662"/>
      <c r="G29" s="666" t="s">
        <v>1180</v>
      </c>
      <c r="H29" s="671">
        <f>SUM(H24:H28)</f>
        <v>262118</v>
      </c>
      <c r="I29" s="671">
        <f>SUM(I24:I28)</f>
        <v>53414.338161667009</v>
      </c>
      <c r="J29" s="671">
        <f>SUM(J24:J28)</f>
        <v>315532.33816166699</v>
      </c>
      <c r="K29" s="147"/>
    </row>
    <row r="30" spans="1:11">
      <c r="A30" s="658"/>
      <c r="B30" s="132"/>
      <c r="C30" s="132"/>
      <c r="D30" s="670"/>
      <c r="E30" s="647"/>
      <c r="F30" s="662"/>
      <c r="G30" s="666" t="s">
        <v>1180</v>
      </c>
      <c r="H30" s="664"/>
      <c r="I30" s="664"/>
      <c r="J30" s="664"/>
      <c r="K30" s="132"/>
    </row>
    <row r="31" spans="1:11">
      <c r="A31" s="658" t="s">
        <v>3040</v>
      </c>
      <c r="B31" s="132"/>
      <c r="C31" s="132"/>
      <c r="D31" s="670"/>
      <c r="E31" s="647"/>
      <c r="F31" s="662"/>
      <c r="G31" s="666" t="s">
        <v>1180</v>
      </c>
      <c r="H31" s="664"/>
      <c r="I31" s="664"/>
      <c r="J31" s="664"/>
      <c r="K31" s="132"/>
    </row>
    <row r="32" spans="1:11">
      <c r="A32" s="658"/>
      <c r="B32" s="129" t="s">
        <v>709</v>
      </c>
      <c r="C32" s="132"/>
      <c r="D32" s="665">
        <v>107010</v>
      </c>
      <c r="E32" s="647" t="s">
        <v>1183</v>
      </c>
      <c r="F32" s="662">
        <f>VLOOKUP('Rate Base Detail'!$E32,Allocators!$B$4:$G$14,3,FALSE)</f>
        <v>1</v>
      </c>
      <c r="G32" s="666" t="s">
        <v>1180</v>
      </c>
      <c r="H32" s="147">
        <f>ROUND($F32*J32,0)</f>
        <v>135813</v>
      </c>
      <c r="I32" s="147">
        <f>+J32-H32</f>
        <v>-0.31441333299153484</v>
      </c>
      <c r="J32" s="147">
        <f>SUMIF('Balance Sheet Detail'!$C:$C,$D32,'Balance Sheet Detail'!$X:$X)</f>
        <v>135812.68558666701</v>
      </c>
      <c r="K32" s="147"/>
    </row>
    <row r="33" spans="1:11">
      <c r="A33" s="658"/>
      <c r="B33" s="129" t="s">
        <v>710</v>
      </c>
      <c r="C33" s="132"/>
      <c r="D33" s="665">
        <v>107030</v>
      </c>
      <c r="E33" s="647" t="s">
        <v>1184</v>
      </c>
      <c r="F33" s="662">
        <f>VLOOKUP('Rate Base Detail'!$E33,Allocators!$B$4:$G$14,3,FALSE)</f>
        <v>0</v>
      </c>
      <c r="G33" s="666" t="s">
        <v>1180</v>
      </c>
      <c r="H33" s="667">
        <f>ROUND($F33*J33,0)</f>
        <v>0</v>
      </c>
      <c r="I33" s="667">
        <f>+J33-H33</f>
        <v>8179.9177275000002</v>
      </c>
      <c r="J33" s="667">
        <f>SUMIF('Balance Sheet Detail'!$C:$C,$D33,'Balance Sheet Detail'!$X:$X)</f>
        <v>8179.9177275000002</v>
      </c>
      <c r="K33" s="132"/>
    </row>
    <row r="34" spans="1:11" ht="15">
      <c r="A34" s="658"/>
      <c r="B34" s="129" t="s">
        <v>2672</v>
      </c>
      <c r="C34" s="132"/>
      <c r="D34" s="665">
        <v>107070</v>
      </c>
      <c r="E34" s="647" t="s">
        <v>1182</v>
      </c>
      <c r="F34" s="662">
        <f>VLOOKUP('Rate Base Detail'!$E34,Allocators!$B$4:$G$14,3,FALSE)</f>
        <v>0.79196546646577504</v>
      </c>
      <c r="G34" s="666" t="s">
        <v>1180</v>
      </c>
      <c r="H34" s="669">
        <f>ROUND($F34*J34,0)</f>
        <v>17106</v>
      </c>
      <c r="I34" s="669">
        <f>+J34-H34</f>
        <v>4493.5935475000006</v>
      </c>
      <c r="J34" s="669">
        <f>SUMIF('Balance Sheet Detail'!$C:$C,$D34,'Balance Sheet Detail'!$X:$X)</f>
        <v>21599.593547500001</v>
      </c>
      <c r="K34" s="132"/>
    </row>
    <row r="35" spans="1:11">
      <c r="A35" s="658"/>
      <c r="B35" s="132"/>
      <c r="C35" s="132"/>
      <c r="D35" s="661"/>
      <c r="E35" s="647"/>
      <c r="F35" s="662"/>
      <c r="G35" s="666" t="s">
        <v>1180</v>
      </c>
      <c r="H35" s="664"/>
      <c r="I35" s="664"/>
      <c r="J35" s="664"/>
      <c r="K35" s="132"/>
    </row>
    <row r="36" spans="1:11">
      <c r="A36" s="658"/>
      <c r="B36" s="132" t="str">
        <f>+A31</f>
        <v>Construction Work in Progress</v>
      </c>
      <c r="C36" s="132"/>
      <c r="D36" s="661"/>
      <c r="E36" s="647"/>
      <c r="F36" s="662"/>
      <c r="G36" s="666" t="s">
        <v>1180</v>
      </c>
      <c r="H36" s="671">
        <f>SUM(H31:H35)</f>
        <v>152919</v>
      </c>
      <c r="I36" s="671">
        <f>SUM(I31:I35)</f>
        <v>12673.196861667009</v>
      </c>
      <c r="J36" s="671">
        <f>SUM(J31:J35)</f>
        <v>165592.19686166701</v>
      </c>
      <c r="K36" s="673"/>
    </row>
    <row r="37" spans="1:11">
      <c r="A37" s="658"/>
      <c r="B37" s="132"/>
      <c r="C37" s="132"/>
      <c r="D37" s="674"/>
      <c r="E37" s="647"/>
      <c r="F37" s="662"/>
      <c r="G37" s="666" t="s">
        <v>1180</v>
      </c>
      <c r="H37" s="137"/>
      <c r="I37" s="137"/>
      <c r="J37" s="137"/>
      <c r="K37" s="132"/>
    </row>
    <row r="38" spans="1:11">
      <c r="A38" s="658"/>
      <c r="B38" s="132" t="s">
        <v>3041</v>
      </c>
      <c r="C38" s="132"/>
      <c r="D38" s="675"/>
      <c r="E38" s="585"/>
      <c r="F38" s="585"/>
      <c r="G38" s="666" t="s">
        <v>1180</v>
      </c>
      <c r="H38" s="139">
        <f>-'IB-CWIP'!P48</f>
        <v>-148557.56651418869</v>
      </c>
      <c r="I38" s="139">
        <f>-'IB-CWIP'!P49</f>
        <v>-12162.78062581132</v>
      </c>
      <c r="J38" s="139">
        <f>SUM(H38:I38)</f>
        <v>-160720.34714</v>
      </c>
      <c r="K38" s="147"/>
    </row>
    <row r="39" spans="1:11">
      <c r="A39" s="658"/>
      <c r="B39" s="132"/>
      <c r="C39" s="132"/>
      <c r="D39" s="675"/>
      <c r="E39" s="585"/>
      <c r="F39" s="585"/>
      <c r="G39" s="666" t="s">
        <v>1180</v>
      </c>
      <c r="H39" s="664"/>
      <c r="I39" s="664"/>
      <c r="J39" s="664"/>
      <c r="K39" s="132"/>
    </row>
    <row r="40" spans="1:11">
      <c r="A40" s="658" t="s">
        <v>3035</v>
      </c>
      <c r="B40" s="132"/>
      <c r="C40" s="132"/>
      <c r="D40" s="661"/>
      <c r="E40" s="647"/>
      <c r="F40" s="662"/>
      <c r="G40" s="666" t="s">
        <v>1180</v>
      </c>
      <c r="H40" s="671">
        <f>+H16+H22+H29+H36+H38</f>
        <v>3836507.4334858111</v>
      </c>
      <c r="I40" s="671">
        <f>+I16+I22+I29+I36+I38</f>
        <v>933494.35062293673</v>
      </c>
      <c r="J40" s="671">
        <f>+J16+J22+J29+J36+J38</f>
        <v>4770001.7841087477</v>
      </c>
      <c r="K40" s="147"/>
    </row>
    <row r="41" spans="1:11">
      <c r="A41" s="658"/>
      <c r="B41" s="132"/>
      <c r="C41" s="132"/>
      <c r="D41" s="676"/>
      <c r="E41" s="647"/>
      <c r="F41" s="677"/>
      <c r="G41" s="668"/>
      <c r="H41" s="132"/>
      <c r="I41" s="132"/>
      <c r="J41" s="132"/>
      <c r="K41" s="132"/>
    </row>
    <row r="42" spans="1:11">
      <c r="A42" s="658"/>
      <c r="B42" s="132"/>
      <c r="C42" s="132"/>
      <c r="D42" s="676"/>
      <c r="E42" s="647"/>
      <c r="F42" s="662"/>
      <c r="G42" s="663"/>
      <c r="H42" s="664"/>
      <c r="I42" s="664"/>
      <c r="J42" s="664"/>
      <c r="K42" s="132"/>
    </row>
    <row r="43" spans="1:11">
      <c r="A43" s="653"/>
      <c r="B43" s="654" t="str">
        <f>$B$3</f>
        <v>NYSEG</v>
      </c>
      <c r="C43" s="654"/>
      <c r="D43" s="654"/>
      <c r="E43" s="654"/>
      <c r="F43" s="654"/>
      <c r="G43" s="654"/>
      <c r="H43" s="654"/>
      <c r="I43" s="654"/>
      <c r="J43" s="654"/>
      <c r="K43" s="655"/>
    </row>
    <row r="44" spans="1:11">
      <c r="A44" s="653"/>
      <c r="B44" s="654" t="str">
        <f>$B$4</f>
        <v>Rate Base - Detail</v>
      </c>
      <c r="C44" s="654"/>
      <c r="D44" s="654"/>
      <c r="E44" s="654"/>
      <c r="F44" s="654"/>
      <c r="G44" s="654"/>
      <c r="H44" s="654"/>
      <c r="I44" s="654"/>
      <c r="J44" s="654"/>
      <c r="K44" s="655"/>
    </row>
    <row r="45" spans="1:11">
      <c r="A45" s="653"/>
      <c r="B45" s="654" t="str">
        <f>$B$5</f>
        <v>12 Months Ended December 31, 2014</v>
      </c>
      <c r="C45" s="654"/>
      <c r="D45" s="654"/>
      <c r="E45" s="654"/>
      <c r="F45" s="654"/>
      <c r="G45" s="654"/>
      <c r="H45" s="654"/>
      <c r="I45" s="654"/>
      <c r="J45" s="654"/>
      <c r="K45" s="655"/>
    </row>
    <row r="46" spans="1:11">
      <c r="A46" s="653"/>
      <c r="B46" s="654" t="s">
        <v>3042</v>
      </c>
      <c r="C46" s="654"/>
      <c r="D46" s="654"/>
      <c r="E46" s="654"/>
      <c r="F46" s="654"/>
      <c r="G46" s="654"/>
      <c r="H46" s="654"/>
      <c r="I46" s="654"/>
      <c r="J46" s="654"/>
      <c r="K46" s="655"/>
    </row>
    <row r="47" spans="1:11">
      <c r="A47" s="653"/>
      <c r="B47" s="654" t="s">
        <v>1648</v>
      </c>
      <c r="C47" s="654"/>
      <c r="D47" s="654"/>
      <c r="E47" s="654"/>
      <c r="F47" s="654"/>
      <c r="G47" s="654"/>
      <c r="H47" s="654"/>
      <c r="I47" s="654"/>
      <c r="J47" s="654"/>
      <c r="K47" s="655"/>
    </row>
    <row r="48" spans="1:11">
      <c r="A48" s="653"/>
      <c r="B48" s="678"/>
      <c r="C48" s="679"/>
      <c r="D48" s="680"/>
      <c r="E48" s="679"/>
      <c r="F48" s="679"/>
      <c r="G48" s="679"/>
      <c r="H48" s="654" t="s">
        <v>3819</v>
      </c>
      <c r="I48" s="654"/>
      <c r="J48" s="654"/>
      <c r="K48" s="655"/>
    </row>
    <row r="49" spans="1:11">
      <c r="A49" s="658"/>
      <c r="B49" s="132"/>
      <c r="C49" s="132"/>
      <c r="D49" s="659" t="s">
        <v>1960</v>
      </c>
      <c r="E49" s="660" t="s">
        <v>3036</v>
      </c>
      <c r="F49" s="660" t="s">
        <v>3037</v>
      </c>
      <c r="G49" s="660"/>
      <c r="H49" s="660" t="s">
        <v>1177</v>
      </c>
      <c r="I49" s="660" t="s">
        <v>1178</v>
      </c>
      <c r="J49" s="660" t="s">
        <v>1179</v>
      </c>
      <c r="K49" s="132"/>
    </row>
    <row r="50" spans="1:11">
      <c r="A50" s="658" t="s">
        <v>1820</v>
      </c>
      <c r="B50" s="132"/>
      <c r="C50" s="132"/>
      <c r="D50" s="661"/>
      <c r="E50" s="647"/>
      <c r="F50" s="662"/>
      <c r="G50" s="666" t="s">
        <v>1180</v>
      </c>
      <c r="H50" s="664"/>
      <c r="I50" s="664"/>
      <c r="J50" s="664"/>
      <c r="K50" s="132"/>
    </row>
    <row r="51" spans="1:11">
      <c r="A51" s="658"/>
      <c r="B51" s="129" t="s">
        <v>3085</v>
      </c>
      <c r="C51" s="129"/>
      <c r="D51" s="665">
        <v>108008</v>
      </c>
      <c r="E51" s="647" t="s">
        <v>1183</v>
      </c>
      <c r="F51" s="662">
        <f>VLOOKUP('Rate Base Detail'!$E51,Allocators!$B$4:$G$14,3,FALSE)</f>
        <v>1</v>
      </c>
      <c r="G51" s="666" t="s">
        <v>1180</v>
      </c>
      <c r="H51" s="147">
        <f t="shared" ref="H51:H68" si="0">ROUND($F51*J51,0)</f>
        <v>0</v>
      </c>
      <c r="I51" s="147">
        <f t="shared" ref="I51:I64" si="1">+J51-H51</f>
        <v>0</v>
      </c>
      <c r="J51" s="147">
        <f>SUMIF('Balance Sheet Detail'!$C:$C,$D51,'Balance Sheet Detail'!$X:$X)</f>
        <v>0</v>
      </c>
      <c r="K51" s="147"/>
    </row>
    <row r="52" spans="1:11">
      <c r="A52" s="658"/>
      <c r="B52" s="129" t="s">
        <v>3086</v>
      </c>
      <c r="C52" s="129"/>
      <c r="D52" s="665">
        <v>108009</v>
      </c>
      <c r="E52" s="647" t="s">
        <v>1183</v>
      </c>
      <c r="F52" s="662">
        <f>VLOOKUP('Rate Base Detail'!$E52,Allocators!$B$4:$G$14,3,FALSE)</f>
        <v>1</v>
      </c>
      <c r="G52" s="666" t="s">
        <v>1180</v>
      </c>
      <c r="H52" s="667">
        <f t="shared" si="0"/>
        <v>0</v>
      </c>
      <c r="I52" s="667">
        <f t="shared" si="1"/>
        <v>0</v>
      </c>
      <c r="J52" s="667">
        <f>SUMIF('Balance Sheet Detail'!$C:$C,$D52,'Balance Sheet Detail'!$X:$X)</f>
        <v>0</v>
      </c>
      <c r="K52" s="132"/>
    </row>
    <row r="53" spans="1:11">
      <c r="A53" s="658"/>
      <c r="B53" s="129" t="s">
        <v>845</v>
      </c>
      <c r="C53" s="129"/>
      <c r="D53" s="665">
        <v>108010</v>
      </c>
      <c r="E53" s="647" t="s">
        <v>1183</v>
      </c>
      <c r="F53" s="662">
        <f>VLOOKUP('Rate Base Detail'!$E53,Allocators!$B$4:$G$14,3,FALSE)</f>
        <v>1</v>
      </c>
      <c r="G53" s="666" t="s">
        <v>1180</v>
      </c>
      <c r="H53" s="667">
        <f t="shared" si="0"/>
        <v>-1803643</v>
      </c>
      <c r="I53" s="667">
        <f t="shared" si="1"/>
        <v>-0.25117999990470707</v>
      </c>
      <c r="J53" s="667">
        <f>SUMIF('Balance Sheet Detail'!$C:$C,$D53,'Balance Sheet Detail'!$X:$X)</f>
        <v>-1803643.2511799999</v>
      </c>
      <c r="K53" s="132"/>
    </row>
    <row r="54" spans="1:11">
      <c r="A54" s="658"/>
      <c r="B54" s="129" t="s">
        <v>3087</v>
      </c>
      <c r="C54" s="129"/>
      <c r="D54" s="665">
        <v>108011</v>
      </c>
      <c r="E54" s="647" t="s">
        <v>1183</v>
      </c>
      <c r="F54" s="662">
        <f>VLOOKUP('Rate Base Detail'!$E54,Allocators!$B$4:$G$14,3,FALSE)</f>
        <v>1</v>
      </c>
      <c r="G54" s="666" t="s">
        <v>1180</v>
      </c>
      <c r="H54" s="667">
        <f t="shared" si="0"/>
        <v>0</v>
      </c>
      <c r="I54" s="667">
        <f t="shared" si="1"/>
        <v>0</v>
      </c>
      <c r="J54" s="667">
        <f>SUMIF('Balance Sheet Detail'!$C:$C,$D54,'Balance Sheet Detail'!$X:$X)</f>
        <v>0</v>
      </c>
      <c r="K54" s="132"/>
    </row>
    <row r="55" spans="1:11">
      <c r="A55" s="658"/>
      <c r="B55" s="129" t="s">
        <v>846</v>
      </c>
      <c r="C55" s="129"/>
      <c r="D55" s="665">
        <v>108015</v>
      </c>
      <c r="E55" s="647" t="s">
        <v>1183</v>
      </c>
      <c r="F55" s="662">
        <f>VLOOKUP('Rate Base Detail'!$E55,Allocators!$B$4:$G$14,3,FALSE)</f>
        <v>1</v>
      </c>
      <c r="G55" s="666" t="s">
        <v>1180</v>
      </c>
      <c r="H55" s="667">
        <f t="shared" si="0"/>
        <v>0</v>
      </c>
      <c r="I55" s="667">
        <f t="shared" si="1"/>
        <v>0</v>
      </c>
      <c r="J55" s="667">
        <f>SUMIF('Balance Sheet Detail'!$C:$C,$D55,'Balance Sheet Detail'!$X:$X)</f>
        <v>0</v>
      </c>
      <c r="K55" s="132"/>
    </row>
    <row r="56" spans="1:11">
      <c r="A56" s="658"/>
      <c r="B56" s="129" t="s">
        <v>822</v>
      </c>
      <c r="C56" s="129"/>
      <c r="D56" s="665">
        <v>108016</v>
      </c>
      <c r="E56" s="647" t="s">
        <v>1182</v>
      </c>
      <c r="F56" s="662">
        <f>VLOOKUP('Rate Base Detail'!$E56,Allocators!$B$4:$G$14,3,FALSE)</f>
        <v>0.79196546646577504</v>
      </c>
      <c r="G56" s="666" t="s">
        <v>1180</v>
      </c>
      <c r="H56" s="667">
        <f t="shared" si="0"/>
        <v>0</v>
      </c>
      <c r="I56" s="667">
        <f>+J56-H56</f>
        <v>0</v>
      </c>
      <c r="J56" s="667">
        <f>SUMIF('Balance Sheet Detail'!$C:$C,$D56,'Balance Sheet Detail'!$X:$X)</f>
        <v>0</v>
      </c>
      <c r="K56" s="132"/>
    </row>
    <row r="57" spans="1:11">
      <c r="A57" s="658"/>
      <c r="B57" s="129" t="s">
        <v>2610</v>
      </c>
      <c r="C57" s="129"/>
      <c r="D57" s="665">
        <v>108019</v>
      </c>
      <c r="E57" s="647" t="s">
        <v>1183</v>
      </c>
      <c r="F57" s="662">
        <f>VLOOKUP('Rate Base Detail'!$E57,Allocators!$B$4:$G$14,3,FALSE)</f>
        <v>1</v>
      </c>
      <c r="G57" s="666"/>
      <c r="H57" s="667">
        <f>ROUND($F57*J57,0)</f>
        <v>0</v>
      </c>
      <c r="I57" s="667">
        <f>+J57-H57</f>
        <v>0</v>
      </c>
      <c r="J57" s="667">
        <f>SUMIF('Balance Sheet Detail'!$C:$C,$D57,'Balance Sheet Detail'!$X:$X)</f>
        <v>0</v>
      </c>
      <c r="K57" s="132"/>
    </row>
    <row r="58" spans="1:11">
      <c r="A58" s="658"/>
      <c r="B58" s="129" t="s">
        <v>2611</v>
      </c>
      <c r="C58" s="129"/>
      <c r="D58" s="665">
        <v>108030</v>
      </c>
      <c r="E58" s="647" t="s">
        <v>1184</v>
      </c>
      <c r="F58" s="662">
        <f>VLOOKUP('Rate Base Detail'!$E58,Allocators!$B$4:$G$14,3,FALSE)</f>
        <v>0</v>
      </c>
      <c r="G58" s="666" t="s">
        <v>1180</v>
      </c>
      <c r="H58" s="667">
        <f t="shared" si="0"/>
        <v>0</v>
      </c>
      <c r="I58" s="667">
        <f t="shared" si="1"/>
        <v>-311952.034850417</v>
      </c>
      <c r="J58" s="667">
        <f>SUMIF('Balance Sheet Detail'!$C:$C,$D58,'Balance Sheet Detail'!$X:$X)</f>
        <v>-311952.034850417</v>
      </c>
      <c r="K58" s="132"/>
    </row>
    <row r="59" spans="1:11">
      <c r="A59" s="658"/>
      <c r="B59" s="129" t="s">
        <v>3088</v>
      </c>
      <c r="C59" s="129"/>
      <c r="D59" s="665">
        <v>108031</v>
      </c>
      <c r="E59" s="647" t="s">
        <v>1184</v>
      </c>
      <c r="F59" s="662">
        <f>VLOOKUP('Rate Base Detail'!$E59,Allocators!$B$4:$G$14,3,FALSE)</f>
        <v>0</v>
      </c>
      <c r="G59" s="666" t="s">
        <v>1180</v>
      </c>
      <c r="H59" s="667">
        <f t="shared" si="0"/>
        <v>0</v>
      </c>
      <c r="I59" s="667">
        <f t="shared" si="1"/>
        <v>0</v>
      </c>
      <c r="J59" s="667">
        <f>SUMIF('Balance Sheet Detail'!$C:$C,$D59,'Balance Sheet Detail'!$X:$X)</f>
        <v>0</v>
      </c>
      <c r="K59" s="132"/>
    </row>
    <row r="60" spans="1:11">
      <c r="A60" s="658"/>
      <c r="B60" s="129" t="s">
        <v>2612</v>
      </c>
      <c r="C60" s="129"/>
      <c r="D60" s="665">
        <v>108035</v>
      </c>
      <c r="E60" s="647" t="s">
        <v>1184</v>
      </c>
      <c r="F60" s="662">
        <f>VLOOKUP('Rate Base Detail'!$E60,Allocators!$B$4:$G$14,3,FALSE)</f>
        <v>0</v>
      </c>
      <c r="G60" s="666" t="s">
        <v>1180</v>
      </c>
      <c r="H60" s="667">
        <f t="shared" si="0"/>
        <v>0</v>
      </c>
      <c r="I60" s="667">
        <f t="shared" si="1"/>
        <v>0</v>
      </c>
      <c r="J60" s="667">
        <f>SUMIF('Balance Sheet Detail'!$C:$C,$D60,'Balance Sheet Detail'!$X:$X)</f>
        <v>0</v>
      </c>
      <c r="K60" s="132"/>
    </row>
    <row r="61" spans="1:11">
      <c r="A61" s="658"/>
      <c r="B61" s="129" t="s">
        <v>524</v>
      </c>
      <c r="C61" s="129"/>
      <c r="D61" s="665">
        <v>108039</v>
      </c>
      <c r="E61" s="647" t="s">
        <v>1184</v>
      </c>
      <c r="F61" s="662">
        <f>VLOOKUP('Rate Base Detail'!$E61,Allocators!$B$4:$G$14,3,FALSE)</f>
        <v>0</v>
      </c>
      <c r="G61" s="666"/>
      <c r="H61" s="667">
        <f>ROUND($F61*J61,0)</f>
        <v>0</v>
      </c>
      <c r="I61" s="667">
        <f>+J61-H61</f>
        <v>0</v>
      </c>
      <c r="J61" s="667">
        <f>SUMIF('Balance Sheet Detail'!$C:$C,$D61,'Balance Sheet Detail'!$X:$X)</f>
        <v>0</v>
      </c>
      <c r="K61" s="132"/>
    </row>
    <row r="62" spans="1:11">
      <c r="A62" s="658"/>
      <c r="B62" s="129" t="s">
        <v>525</v>
      </c>
      <c r="C62" s="129"/>
      <c r="D62" s="665">
        <v>108070</v>
      </c>
      <c r="E62" s="647" t="s">
        <v>1182</v>
      </c>
      <c r="F62" s="662">
        <f>VLOOKUP('Rate Base Detail'!$E62,Allocators!$B$4:$G$14,3,FALSE)</f>
        <v>0.79196546646577504</v>
      </c>
      <c r="G62" s="666" t="s">
        <v>1180</v>
      </c>
      <c r="H62" s="667">
        <f t="shared" si="0"/>
        <v>-60484</v>
      </c>
      <c r="I62" s="667">
        <f t="shared" si="1"/>
        <v>-15887.926230833298</v>
      </c>
      <c r="J62" s="667">
        <f>SUMIF('Balance Sheet Detail'!$C:$C,$D62,'Balance Sheet Detail'!$X:$X)</f>
        <v>-76371.926230833298</v>
      </c>
      <c r="K62" s="132"/>
    </row>
    <row r="63" spans="1:11">
      <c r="A63" s="658"/>
      <c r="B63" s="129" t="s">
        <v>3089</v>
      </c>
      <c r="C63" s="129"/>
      <c r="D63" s="665">
        <v>108071</v>
      </c>
      <c r="E63" s="647" t="s">
        <v>1182</v>
      </c>
      <c r="F63" s="662">
        <f>VLOOKUP('Rate Base Detail'!$E63,Allocators!$B$4:$G$14,3,FALSE)</f>
        <v>0.79196546646577504</v>
      </c>
      <c r="G63" s="666" t="s">
        <v>1180</v>
      </c>
      <c r="H63" s="667">
        <f t="shared" si="0"/>
        <v>0</v>
      </c>
      <c r="I63" s="667">
        <f t="shared" si="1"/>
        <v>0</v>
      </c>
      <c r="J63" s="667">
        <f>SUMIF('Balance Sheet Detail'!$C:$C,$D63,'Balance Sheet Detail'!$X:$X)</f>
        <v>0</v>
      </c>
      <c r="K63" s="132"/>
    </row>
    <row r="64" spans="1:11">
      <c r="A64" s="653"/>
      <c r="B64" s="129" t="s">
        <v>526</v>
      </c>
      <c r="C64" s="129"/>
      <c r="D64" s="665">
        <v>108075</v>
      </c>
      <c r="E64" s="647" t="s">
        <v>1182</v>
      </c>
      <c r="F64" s="662">
        <f>VLOOKUP('Rate Base Detail'!$E64,Allocators!$B$4:$G$14,3,FALSE)</f>
        <v>0.79196546646577504</v>
      </c>
      <c r="G64" s="666" t="s">
        <v>1180</v>
      </c>
      <c r="H64" s="667">
        <f t="shared" si="0"/>
        <v>0</v>
      </c>
      <c r="I64" s="667">
        <f t="shared" si="1"/>
        <v>0</v>
      </c>
      <c r="J64" s="667">
        <f>SUMIF('Balance Sheet Detail'!$C:$C,$D64,'Balance Sheet Detail'!$X:$X)</f>
        <v>0</v>
      </c>
      <c r="K64" s="132"/>
    </row>
    <row r="65" spans="1:11">
      <c r="A65" s="653"/>
      <c r="B65" s="129" t="s">
        <v>3090</v>
      </c>
      <c r="C65" s="129"/>
      <c r="D65" s="665">
        <v>108076</v>
      </c>
      <c r="E65" s="647" t="s">
        <v>1182</v>
      </c>
      <c r="F65" s="662">
        <f>VLOOKUP('Rate Base Detail'!$E65,Allocators!$B$4:$G$14,3,FALSE)</f>
        <v>0.79196546646577504</v>
      </c>
      <c r="G65" s="666" t="s">
        <v>1180</v>
      </c>
      <c r="H65" s="667">
        <f t="shared" si="0"/>
        <v>0</v>
      </c>
      <c r="I65" s="667">
        <f>+J65-H65</f>
        <v>0</v>
      </c>
      <c r="J65" s="667">
        <f>SUMIF('Balance Sheet Detail'!$C:$C,$D65,'Balance Sheet Detail'!$X:$X)</f>
        <v>0</v>
      </c>
      <c r="K65" s="132"/>
    </row>
    <row r="66" spans="1:11">
      <c r="A66" s="653"/>
      <c r="B66" s="129" t="s">
        <v>72</v>
      </c>
      <c r="C66" s="129"/>
      <c r="D66" s="665">
        <v>111010</v>
      </c>
      <c r="E66" s="647" t="s">
        <v>1183</v>
      </c>
      <c r="F66" s="662">
        <f>VLOOKUP('Rate Base Detail'!$E66,Allocators!$B$4:$G$14,3,FALSE)</f>
        <v>1</v>
      </c>
      <c r="G66" s="666" t="s">
        <v>1180</v>
      </c>
      <c r="H66" s="667">
        <f t="shared" si="0"/>
        <v>-71011</v>
      </c>
      <c r="I66" s="667">
        <f>+J66-H66</f>
        <v>4.9808750001830049E-2</v>
      </c>
      <c r="J66" s="667">
        <f>SUMIF('Balance Sheet Detail'!$C:$C,$D66,'Balance Sheet Detail'!$X:$X)</f>
        <v>-71010.950191249998</v>
      </c>
      <c r="K66" s="132"/>
    </row>
    <row r="67" spans="1:11">
      <c r="A67" s="653"/>
      <c r="B67" s="129" t="s">
        <v>1164</v>
      </c>
      <c r="C67" s="129"/>
      <c r="D67" s="665">
        <v>111030</v>
      </c>
      <c r="E67" s="647" t="s">
        <v>1184</v>
      </c>
      <c r="F67" s="662">
        <f>VLOOKUP('Rate Base Detail'!$E67,Allocators!$B$4:$G$14,3,FALSE)</f>
        <v>0</v>
      </c>
      <c r="G67" s="666" t="s">
        <v>1180</v>
      </c>
      <c r="H67" s="667">
        <f t="shared" si="0"/>
        <v>0</v>
      </c>
      <c r="I67" s="667">
        <f>+J67-H67</f>
        <v>-11872.523765</v>
      </c>
      <c r="J67" s="667">
        <f>SUMIF('Balance Sheet Detail'!$C:$C,$D67,'Balance Sheet Detail'!$X:$X)</f>
        <v>-11872.523765</v>
      </c>
      <c r="K67" s="132"/>
    </row>
    <row r="68" spans="1:11">
      <c r="A68" s="653"/>
      <c r="B68" s="129" t="s">
        <v>1165</v>
      </c>
      <c r="C68" s="129"/>
      <c r="D68" s="665">
        <v>111070</v>
      </c>
      <c r="E68" s="647" t="s">
        <v>1182</v>
      </c>
      <c r="F68" s="662">
        <f>VLOOKUP('Rate Base Detail'!$E68,Allocators!$B$4:$G$14,3,FALSE)</f>
        <v>0.79196546646577504</v>
      </c>
      <c r="G68" s="666" t="s">
        <v>1180</v>
      </c>
      <c r="H68" s="667">
        <f t="shared" si="0"/>
        <v>-65955</v>
      </c>
      <c r="I68" s="667">
        <f>+J68-H68</f>
        <v>-17325.350401250005</v>
      </c>
      <c r="J68" s="667">
        <f>SUMIF('Balance Sheet Detail'!$C:$C,$D68,'Balance Sheet Detail'!$X:$X)</f>
        <v>-83280.350401250005</v>
      </c>
      <c r="K68" s="132"/>
    </row>
    <row r="69" spans="1:11">
      <c r="A69" s="653"/>
      <c r="B69" s="129"/>
      <c r="C69" s="129"/>
      <c r="D69" s="665"/>
      <c r="E69" s="647"/>
      <c r="F69" s="662"/>
      <c r="G69" s="666" t="s">
        <v>1180</v>
      </c>
      <c r="H69" s="131">
        <v>0</v>
      </c>
      <c r="I69" s="131">
        <v>0</v>
      </c>
      <c r="J69" s="131">
        <v>0</v>
      </c>
      <c r="K69" s="681"/>
    </row>
    <row r="70" spans="1:11">
      <c r="A70" s="658"/>
      <c r="B70" s="132"/>
      <c r="C70" s="132"/>
      <c r="D70" s="674"/>
      <c r="E70" s="647"/>
      <c r="F70" s="662"/>
      <c r="G70" s="666" t="s">
        <v>1180</v>
      </c>
      <c r="H70" s="664"/>
      <c r="I70" s="664"/>
      <c r="J70" s="664"/>
      <c r="K70" s="132"/>
    </row>
    <row r="71" spans="1:11">
      <c r="A71" s="658"/>
      <c r="B71" s="132" t="s">
        <v>1250</v>
      </c>
      <c r="C71" s="132"/>
      <c r="D71" s="661"/>
      <c r="E71" s="647"/>
      <c r="F71" s="662"/>
      <c r="G71" s="666" t="s">
        <v>1180</v>
      </c>
      <c r="H71" s="682">
        <f>SUM(H50:H70)</f>
        <v>-2001093</v>
      </c>
      <c r="I71" s="682">
        <f>SUM(I50:I70)</f>
        <v>-357038.03661875019</v>
      </c>
      <c r="J71" s="682">
        <f>SUM(J50:J70)</f>
        <v>-2358131.0366187505</v>
      </c>
      <c r="K71" s="147"/>
    </row>
    <row r="72" spans="1:11">
      <c r="A72" s="658"/>
      <c r="B72" s="132"/>
      <c r="C72" s="132"/>
      <c r="D72" s="659"/>
      <c r="E72" s="660"/>
      <c r="F72" s="660"/>
      <c r="G72" s="660"/>
      <c r="H72" s="660"/>
      <c r="I72" s="660"/>
      <c r="J72" s="660"/>
      <c r="K72" s="132"/>
    </row>
    <row r="73" spans="1:11">
      <c r="A73" s="658" t="s">
        <v>3043</v>
      </c>
      <c r="B73" s="132"/>
      <c r="C73" s="132"/>
      <c r="D73" s="661"/>
      <c r="E73" s="647"/>
      <c r="F73" s="662"/>
      <c r="G73" s="666" t="s">
        <v>1180</v>
      </c>
      <c r="H73" s="664"/>
      <c r="I73" s="664"/>
      <c r="J73" s="664"/>
      <c r="K73" s="132"/>
    </row>
    <row r="74" spans="1:11">
      <c r="A74" s="658"/>
      <c r="B74" s="129" t="s">
        <v>3091</v>
      </c>
      <c r="C74" s="129"/>
      <c r="D74" s="665">
        <v>108101</v>
      </c>
      <c r="E74" s="647" t="s">
        <v>1183</v>
      </c>
      <c r="F74" s="662">
        <f>VLOOKUP('Rate Base Detail'!$E74,Allocators!$B$4:$G$14,3,FALSE)</f>
        <v>1</v>
      </c>
      <c r="G74" s="666" t="s">
        <v>1180</v>
      </c>
      <c r="H74" s="147">
        <f t="shared" ref="H74:H79" si="2">ROUND($F74*J74,0)</f>
        <v>0</v>
      </c>
      <c r="I74" s="147">
        <f t="shared" ref="I74:I79" si="3">+ROUND(J74-H74,0)</f>
        <v>0</v>
      </c>
      <c r="J74" s="147">
        <f>SUMIF('Balance Sheet Detail'!$C:$C,$D74,'Balance Sheet Detail'!$X:$X)</f>
        <v>0</v>
      </c>
      <c r="K74" s="147"/>
    </row>
    <row r="75" spans="1:11">
      <c r="A75" s="658"/>
      <c r="B75" s="129" t="s">
        <v>3092</v>
      </c>
      <c r="C75" s="129"/>
      <c r="D75" s="665">
        <v>108103</v>
      </c>
      <c r="E75" s="647" t="s">
        <v>1184</v>
      </c>
      <c r="F75" s="662">
        <f>VLOOKUP('Rate Base Detail'!$E75,Allocators!$B$4:$G$14,3,FALSE)</f>
        <v>0</v>
      </c>
      <c r="G75" s="666" t="s">
        <v>1180</v>
      </c>
      <c r="H75" s="667">
        <f t="shared" si="2"/>
        <v>0</v>
      </c>
      <c r="I75" s="667">
        <f t="shared" si="3"/>
        <v>0</v>
      </c>
      <c r="J75" s="667">
        <f>SUMIF('Balance Sheet Detail'!$C:$C,$D75,'Balance Sheet Detail'!$X:$X)</f>
        <v>0</v>
      </c>
      <c r="K75" s="132"/>
    </row>
    <row r="76" spans="1:11">
      <c r="A76" s="658"/>
      <c r="B76" s="129" t="s">
        <v>3093</v>
      </c>
      <c r="C76" s="129"/>
      <c r="D76" s="665">
        <v>108107</v>
      </c>
      <c r="E76" s="647" t="s">
        <v>1182</v>
      </c>
      <c r="F76" s="662">
        <f>VLOOKUP('Rate Base Detail'!$E76,Allocators!$B$4:$G$14,3,FALSE)</f>
        <v>0.79196546646577504</v>
      </c>
      <c r="G76" s="666" t="s">
        <v>1180</v>
      </c>
      <c r="H76" s="667">
        <f t="shared" si="2"/>
        <v>0</v>
      </c>
      <c r="I76" s="667">
        <f t="shared" si="3"/>
        <v>0</v>
      </c>
      <c r="J76" s="667">
        <f>SUMIF('Balance Sheet Detail'!$C:$C,$D76,'Balance Sheet Detail'!$X:$X)</f>
        <v>0</v>
      </c>
      <c r="K76" s="132"/>
    </row>
    <row r="77" spans="1:11">
      <c r="A77" s="658"/>
      <c r="B77" s="129" t="s">
        <v>3094</v>
      </c>
      <c r="C77" s="129"/>
      <c r="D77" s="665">
        <v>108111</v>
      </c>
      <c r="E77" s="647" t="s">
        <v>1183</v>
      </c>
      <c r="F77" s="662">
        <f>VLOOKUP('Rate Base Detail'!$E77,Allocators!$B$4:$G$14,3,FALSE)</f>
        <v>1</v>
      </c>
      <c r="G77" s="666" t="s">
        <v>1180</v>
      </c>
      <c r="H77" s="667">
        <f t="shared" si="2"/>
        <v>0</v>
      </c>
      <c r="I77" s="667">
        <f t="shared" si="3"/>
        <v>0</v>
      </c>
      <c r="J77" s="667">
        <f>SUMIF('Balance Sheet Detail'!$C:$C,$D77,'Balance Sheet Detail'!$X:$X)</f>
        <v>0</v>
      </c>
      <c r="K77" s="132"/>
    </row>
    <row r="78" spans="1:11">
      <c r="A78" s="658"/>
      <c r="B78" s="129" t="s">
        <v>3095</v>
      </c>
      <c r="C78" s="129"/>
      <c r="D78" s="665">
        <v>108113</v>
      </c>
      <c r="E78" s="647" t="s">
        <v>1184</v>
      </c>
      <c r="F78" s="662">
        <f>VLOOKUP('Rate Base Detail'!$E78,Allocators!$B$4:$G$14,3,FALSE)</f>
        <v>0</v>
      </c>
      <c r="G78" s="666" t="s">
        <v>1180</v>
      </c>
      <c r="H78" s="667">
        <f t="shared" si="2"/>
        <v>0</v>
      </c>
      <c r="I78" s="667">
        <f t="shared" si="3"/>
        <v>0</v>
      </c>
      <c r="J78" s="667">
        <f>SUMIF('Balance Sheet Detail'!$C:$C,$D78,'Balance Sheet Detail'!$X:$X)</f>
        <v>0</v>
      </c>
      <c r="K78" s="132"/>
    </row>
    <row r="79" spans="1:11" ht="15">
      <c r="A79" s="658"/>
      <c r="B79" s="129" t="s">
        <v>3096</v>
      </c>
      <c r="C79" s="129"/>
      <c r="D79" s="665">
        <v>108117</v>
      </c>
      <c r="E79" s="647" t="s">
        <v>1182</v>
      </c>
      <c r="F79" s="662">
        <f>VLOOKUP('Rate Base Detail'!$E79,Allocators!$B$4:$G$14,3,FALSE)</f>
        <v>0.79196546646577504</v>
      </c>
      <c r="G79" s="666" t="s">
        <v>1180</v>
      </c>
      <c r="H79" s="669">
        <f t="shared" si="2"/>
        <v>0</v>
      </c>
      <c r="I79" s="669">
        <f t="shared" si="3"/>
        <v>0</v>
      </c>
      <c r="J79" s="669">
        <f>SUMIF('Balance Sheet Detail'!$C:$C,$D79,'Balance Sheet Detail'!$X:$X)</f>
        <v>0</v>
      </c>
      <c r="K79" s="132"/>
    </row>
    <row r="80" spans="1:11">
      <c r="A80" s="658"/>
      <c r="B80" s="132"/>
      <c r="C80" s="132"/>
      <c r="D80" s="661"/>
      <c r="E80" s="647"/>
      <c r="F80" s="662"/>
      <c r="G80" s="666" t="s">
        <v>1180</v>
      </c>
      <c r="H80" s="664"/>
      <c r="I80" s="664"/>
      <c r="J80" s="664"/>
      <c r="K80" s="132"/>
    </row>
    <row r="81" spans="1:11">
      <c r="A81" s="658"/>
      <c r="B81" s="132" t="s">
        <v>1179</v>
      </c>
      <c r="C81" s="132"/>
      <c r="D81" s="661"/>
      <c r="E81" s="647"/>
      <c r="F81" s="662"/>
      <c r="G81" s="666" t="s">
        <v>1180</v>
      </c>
      <c r="H81" s="682">
        <f>SUM(H73:H80)</f>
        <v>0</v>
      </c>
      <c r="I81" s="682">
        <f>SUM(I73:I80)</f>
        <v>0</v>
      </c>
      <c r="J81" s="682">
        <f>SUM(J73:J80)</f>
        <v>0</v>
      </c>
      <c r="K81" s="147"/>
    </row>
    <row r="82" spans="1:11">
      <c r="A82" s="658"/>
      <c r="B82" s="132"/>
      <c r="C82" s="132"/>
      <c r="D82" s="661"/>
      <c r="E82" s="647"/>
      <c r="F82" s="662"/>
      <c r="G82" s="666" t="s">
        <v>1180</v>
      </c>
      <c r="H82" s="664"/>
      <c r="I82" s="664"/>
      <c r="J82" s="664"/>
      <c r="K82" s="132"/>
    </row>
    <row r="83" spans="1:11">
      <c r="A83" s="658" t="s">
        <v>3044</v>
      </c>
      <c r="B83" s="653"/>
      <c r="C83" s="653"/>
      <c r="D83" s="683"/>
      <c r="E83" s="684"/>
      <c r="F83" s="685"/>
      <c r="G83" s="686"/>
      <c r="H83" s="671">
        <f>+H71+H81</f>
        <v>-2001093</v>
      </c>
      <c r="I83" s="671">
        <f>+I71+I81</f>
        <v>-357038.03661875019</v>
      </c>
      <c r="J83" s="671">
        <f>+J71+J81</f>
        <v>-2358131.0366187505</v>
      </c>
      <c r="K83" s="147"/>
    </row>
    <row r="84" spans="1:11">
      <c r="A84" s="658"/>
      <c r="B84" s="132"/>
      <c r="C84" s="132"/>
      <c r="D84" s="676"/>
      <c r="E84" s="647"/>
      <c r="F84" s="662"/>
      <c r="G84" s="663"/>
      <c r="H84" s="664"/>
      <c r="I84" s="664"/>
      <c r="J84" s="664"/>
      <c r="K84" s="132"/>
    </row>
    <row r="85" spans="1:11">
      <c r="A85" s="658"/>
      <c r="B85" s="132"/>
      <c r="C85" s="132"/>
      <c r="D85" s="676"/>
      <c r="E85" s="647"/>
      <c r="F85" s="662"/>
      <c r="G85" s="663"/>
      <c r="H85" s="664"/>
      <c r="I85" s="664"/>
      <c r="J85" s="664"/>
      <c r="K85" s="132"/>
    </row>
    <row r="86" spans="1:11">
      <c r="B86" s="654" t="str">
        <f>$B$3</f>
        <v>NYSEG</v>
      </c>
      <c r="C86" s="654"/>
      <c r="D86" s="654"/>
      <c r="E86" s="654"/>
      <c r="F86" s="654"/>
      <c r="G86" s="654"/>
      <c r="H86" s="654"/>
      <c r="I86" s="654"/>
      <c r="J86" s="654"/>
      <c r="K86" s="655"/>
    </row>
    <row r="87" spans="1:11">
      <c r="B87" s="654" t="str">
        <f>$B$4</f>
        <v>Rate Base - Detail</v>
      </c>
      <c r="C87" s="654"/>
      <c r="D87" s="654"/>
      <c r="E87" s="654"/>
      <c r="F87" s="654"/>
      <c r="G87" s="654"/>
      <c r="H87" s="654"/>
      <c r="I87" s="654"/>
      <c r="J87" s="654"/>
      <c r="K87" s="655"/>
    </row>
    <row r="88" spans="1:11">
      <c r="B88" s="654" t="str">
        <f>$B$5</f>
        <v>12 Months Ended December 31, 2014</v>
      </c>
      <c r="C88" s="654"/>
      <c r="D88" s="654"/>
      <c r="E88" s="654"/>
      <c r="F88" s="654"/>
      <c r="G88" s="654"/>
      <c r="H88" s="654"/>
      <c r="I88" s="654"/>
      <c r="J88" s="654"/>
      <c r="K88" s="655"/>
    </row>
    <row r="89" spans="1:11">
      <c r="B89" s="654" t="s">
        <v>4373</v>
      </c>
      <c r="C89" s="654"/>
      <c r="D89" s="654"/>
      <c r="E89" s="654"/>
      <c r="F89" s="654"/>
      <c r="G89" s="654"/>
      <c r="H89" s="654"/>
      <c r="I89" s="654"/>
      <c r="J89" s="654"/>
      <c r="K89" s="655"/>
    </row>
    <row r="90" spans="1:11">
      <c r="A90" s="655"/>
      <c r="B90" s="655"/>
      <c r="C90" s="655"/>
      <c r="D90" s="657"/>
      <c r="E90" s="655"/>
      <c r="F90" s="655"/>
      <c r="G90" s="655"/>
      <c r="H90" s="654" t="str">
        <f>+H$48</f>
        <v>13-Month Rolling Average</v>
      </c>
      <c r="I90" s="654"/>
      <c r="J90" s="654"/>
      <c r="K90" s="655"/>
    </row>
    <row r="91" spans="1:11">
      <c r="A91" s="658"/>
      <c r="B91" s="132"/>
      <c r="C91" s="132"/>
      <c r="D91" s="659" t="s">
        <v>1960</v>
      </c>
      <c r="E91" s="660" t="s">
        <v>3036</v>
      </c>
      <c r="F91" s="660" t="s">
        <v>3037</v>
      </c>
      <c r="G91" s="660"/>
      <c r="H91" s="660" t="s">
        <v>1177</v>
      </c>
      <c r="I91" s="660" t="s">
        <v>1178</v>
      </c>
      <c r="J91" s="660" t="s">
        <v>1179</v>
      </c>
      <c r="K91" s="132"/>
    </row>
    <row r="92" spans="1:11">
      <c r="A92" s="687" t="s">
        <v>3046</v>
      </c>
      <c r="B92" s="132"/>
      <c r="C92" s="132"/>
      <c r="D92" s="661"/>
      <c r="E92" s="647"/>
      <c r="F92" s="662"/>
      <c r="G92" s="663"/>
      <c r="H92" s="688"/>
      <c r="I92" s="689"/>
      <c r="J92" s="689"/>
      <c r="K92" s="132"/>
    </row>
    <row r="93" spans="1:11">
      <c r="A93" s="658"/>
      <c r="B93" s="129" t="s">
        <v>3080</v>
      </c>
      <c r="C93" s="129"/>
      <c r="D93" s="665">
        <v>151540</v>
      </c>
      <c r="E93" s="647" t="s">
        <v>1183</v>
      </c>
      <c r="F93" s="662">
        <f>VLOOKUP('Rate Base Detail'!$E93,Allocators!$B$4:$G$14,3,FALSE)</f>
        <v>1</v>
      </c>
      <c r="G93" s="130"/>
      <c r="H93" s="667">
        <f>ROUND($F93*J93,0)</f>
        <v>0</v>
      </c>
      <c r="I93" s="690">
        <f>+ROUND(J93-H93,0)</f>
        <v>0</v>
      </c>
      <c r="J93" s="137">
        <f>SUMIF('Balance Sheet Detail'!$C:$C,$D93,'Balance Sheet Detail'!$X:$X)</f>
        <v>0</v>
      </c>
      <c r="K93" s="132"/>
    </row>
    <row r="94" spans="1:11">
      <c r="A94" s="658"/>
      <c r="B94" s="129" t="s">
        <v>3081</v>
      </c>
      <c r="C94" s="129"/>
      <c r="D94" s="665">
        <v>151610</v>
      </c>
      <c r="E94" s="647" t="s">
        <v>1183</v>
      </c>
      <c r="F94" s="662">
        <f>VLOOKUP('Rate Base Detail'!$E94,Allocators!$B$4:$G$14,3,FALSE)</f>
        <v>1</v>
      </c>
      <c r="G94" s="130"/>
      <c r="H94" s="667">
        <f>ROUND($F94*J94,0)</f>
        <v>0</v>
      </c>
      <c r="I94" s="690">
        <f>+ROUND(J94-H94,0)</f>
        <v>0</v>
      </c>
      <c r="J94" s="137">
        <f>SUMIF('Balance Sheet Detail'!$C:$C,$D94,'Balance Sheet Detail'!$X:$X)</f>
        <v>0</v>
      </c>
      <c r="K94" s="132"/>
    </row>
    <row r="95" spans="1:11">
      <c r="A95" s="658"/>
      <c r="B95" s="129" t="s">
        <v>3082</v>
      </c>
      <c r="C95" s="129"/>
      <c r="D95" s="665">
        <v>151640</v>
      </c>
      <c r="E95" s="647" t="s">
        <v>1183</v>
      </c>
      <c r="F95" s="662">
        <f>VLOOKUP('Rate Base Detail'!$E95,Allocators!$B$4:$G$14,3,FALSE)</f>
        <v>1</v>
      </c>
      <c r="G95" s="130"/>
      <c r="H95" s="667">
        <f>ROUND($F95*J95,0)</f>
        <v>0</v>
      </c>
      <c r="I95" s="690">
        <f>+ROUND(J95-H95,0)</f>
        <v>0</v>
      </c>
      <c r="J95" s="137">
        <f>SUMIF('Balance Sheet Detail'!$C:$C,$D95,'Balance Sheet Detail'!$X:$X)</f>
        <v>0</v>
      </c>
      <c r="K95" s="132"/>
    </row>
    <row r="96" spans="1:11">
      <c r="A96" s="658"/>
      <c r="B96" s="129" t="s">
        <v>3083</v>
      </c>
      <c r="C96" s="129"/>
      <c r="D96" s="665">
        <v>151650</v>
      </c>
      <c r="E96" s="647" t="s">
        <v>1183</v>
      </c>
      <c r="F96" s="662">
        <f>VLOOKUP('Rate Base Detail'!$E96,Allocators!$B$4:$G$14,3,FALSE)</f>
        <v>1</v>
      </c>
      <c r="G96" s="130"/>
      <c r="H96" s="667">
        <f>ROUND($F96*J96,0)</f>
        <v>0</v>
      </c>
      <c r="I96" s="690">
        <f>+ROUND(J96-H96,0)</f>
        <v>0</v>
      </c>
      <c r="J96" s="137">
        <f>SUMIF('Balance Sheet Detail'!$C:$C,$D96,'Balance Sheet Detail'!$X:$X)</f>
        <v>0</v>
      </c>
      <c r="K96" s="132"/>
    </row>
    <row r="97" spans="1:11" ht="15">
      <c r="A97" s="658"/>
      <c r="B97" s="129" t="s">
        <v>3084</v>
      </c>
      <c r="C97" s="129"/>
      <c r="D97" s="665">
        <v>151900</v>
      </c>
      <c r="E97" s="647" t="s">
        <v>1183</v>
      </c>
      <c r="F97" s="662">
        <f>VLOOKUP('Rate Base Detail'!$E97,Allocators!$B$4:$G$14,3,FALSE)</f>
        <v>1</v>
      </c>
      <c r="G97" s="130"/>
      <c r="H97" s="669">
        <f>ROUND($F97*J97,0)</f>
        <v>0</v>
      </c>
      <c r="I97" s="669">
        <f>+ROUND(J97-H97,0)</f>
        <v>0</v>
      </c>
      <c r="J97" s="669">
        <f>SUMIF('Balance Sheet Detail'!$C:$C,$D97,'Balance Sheet Detail'!$X:$X)</f>
        <v>0</v>
      </c>
      <c r="K97" s="132"/>
    </row>
    <row r="98" spans="1:11">
      <c r="A98" s="658"/>
      <c r="B98" s="132"/>
      <c r="C98" s="132"/>
      <c r="D98" s="670"/>
      <c r="E98" s="647"/>
      <c r="F98" s="662"/>
      <c r="G98" s="691"/>
      <c r="H98" s="688"/>
      <c r="I98" s="689"/>
      <c r="J98" s="689"/>
      <c r="K98" s="132"/>
    </row>
    <row r="99" spans="1:11">
      <c r="A99" s="658"/>
      <c r="B99" s="132" t="str">
        <f>+A92</f>
        <v>Fossil Fuels</v>
      </c>
      <c r="C99" s="132"/>
      <c r="D99" s="670"/>
      <c r="E99" s="647"/>
      <c r="F99" s="662"/>
      <c r="G99" s="691"/>
      <c r="H99" s="664">
        <f>SUM(H92:H98)</f>
        <v>0</v>
      </c>
      <c r="I99" s="692">
        <f>SUM(I92:I98)</f>
        <v>0</v>
      </c>
      <c r="J99" s="664">
        <f>SUM(J92:J98)</f>
        <v>0</v>
      </c>
      <c r="K99" s="132"/>
    </row>
    <row r="100" spans="1:11">
      <c r="A100" s="658"/>
      <c r="B100" s="132"/>
      <c r="C100" s="132"/>
      <c r="D100" s="693"/>
      <c r="E100" s="647"/>
      <c r="F100" s="677"/>
      <c r="G100" s="694"/>
      <c r="H100" s="132"/>
      <c r="I100" s="132"/>
      <c r="J100" s="132"/>
      <c r="K100" s="132"/>
    </row>
    <row r="101" spans="1:11">
      <c r="A101" s="687" t="s">
        <v>3047</v>
      </c>
      <c r="B101" s="132"/>
      <c r="C101" s="132"/>
      <c r="D101" s="670"/>
      <c r="E101" s="647"/>
      <c r="F101" s="662"/>
      <c r="G101" s="691"/>
      <c r="H101" s="688"/>
      <c r="I101" s="688"/>
      <c r="J101" s="688"/>
      <c r="K101" s="132"/>
    </row>
    <row r="102" spans="1:11">
      <c r="A102" s="658"/>
      <c r="B102" s="129" t="s">
        <v>3011</v>
      </c>
      <c r="C102" s="132"/>
      <c r="D102" s="665">
        <v>117300</v>
      </c>
      <c r="E102" s="647" t="s">
        <v>1184</v>
      </c>
      <c r="F102" s="662">
        <f>VLOOKUP('Rate Base Detail'!$E102,Allocators!$B$4:$G$14,3,FALSE)</f>
        <v>0</v>
      </c>
      <c r="G102" s="130"/>
      <c r="H102" s="667">
        <f t="shared" ref="H102:H109" si="4">ROUND($F102*J102,0)</f>
        <v>0</v>
      </c>
      <c r="I102" s="667">
        <f t="shared" ref="I102:I109" si="5">+ROUND(J102-H102,0)</f>
        <v>478</v>
      </c>
      <c r="J102" s="137">
        <f>SUMIF('Balance Sheet Detail'!$C:$C,$D102,'Balance Sheet Detail'!$X:$X)</f>
        <v>478.33328999999998</v>
      </c>
      <c r="K102" s="132"/>
    </row>
    <row r="103" spans="1:11">
      <c r="A103" s="658"/>
      <c r="B103" s="129" t="s">
        <v>290</v>
      </c>
      <c r="C103" s="132"/>
      <c r="D103" s="665">
        <v>117310</v>
      </c>
      <c r="E103" s="647" t="s">
        <v>1184</v>
      </c>
      <c r="F103" s="662">
        <f>VLOOKUP('Rate Base Detail'!$E103,Allocators!$B$4:$G$14,3,FALSE)</f>
        <v>0</v>
      </c>
      <c r="G103" s="130"/>
      <c r="H103" s="667">
        <f t="shared" si="4"/>
        <v>0</v>
      </c>
      <c r="I103" s="667">
        <f t="shared" si="5"/>
        <v>0</v>
      </c>
      <c r="J103" s="137">
        <f>SUMIF('Balance Sheet Detail'!$C:$C,$D103,'Balance Sheet Detail'!$X:$X)</f>
        <v>0</v>
      </c>
      <c r="K103" s="132"/>
    </row>
    <row r="104" spans="1:11">
      <c r="A104" s="658"/>
      <c r="B104" s="129" t="s">
        <v>1884</v>
      </c>
      <c r="C104" s="132"/>
      <c r="D104" s="665">
        <v>164100</v>
      </c>
      <c r="E104" s="647" t="s">
        <v>1184</v>
      </c>
      <c r="F104" s="662">
        <f>VLOOKUP('Rate Base Detail'!$E104,Allocators!$B$4:$G$14,3,FALSE)</f>
        <v>0</v>
      </c>
      <c r="G104" s="130"/>
      <c r="H104" s="667">
        <f t="shared" si="4"/>
        <v>0</v>
      </c>
      <c r="I104" s="667">
        <f t="shared" si="5"/>
        <v>0</v>
      </c>
      <c r="J104" s="137">
        <f>SUMIF('Balance Sheet Detail'!$C:$C,$D104,'Balance Sheet Detail'!$X:$X)</f>
        <v>0</v>
      </c>
      <c r="K104" s="132"/>
    </row>
    <row r="105" spans="1:11">
      <c r="A105" s="658"/>
      <c r="B105" s="129" t="s">
        <v>1885</v>
      </c>
      <c r="C105" s="132"/>
      <c r="D105" s="665">
        <v>164102</v>
      </c>
      <c r="E105" s="647" t="s">
        <v>1184</v>
      </c>
      <c r="F105" s="662">
        <f>VLOOKUP('Rate Base Detail'!$E105,Allocators!$B$4:$G$14,3,FALSE)</f>
        <v>0</v>
      </c>
      <c r="G105" s="130"/>
      <c r="H105" s="667">
        <f t="shared" si="4"/>
        <v>0</v>
      </c>
      <c r="I105" s="667">
        <f t="shared" si="5"/>
        <v>0</v>
      </c>
      <c r="J105" s="137">
        <f>SUMIF('Balance Sheet Detail'!$C:$C,$D105,'Balance Sheet Detail'!$X:$X)</f>
        <v>0</v>
      </c>
      <c r="K105" s="132"/>
    </row>
    <row r="106" spans="1:11">
      <c r="A106" s="658"/>
      <c r="B106" s="129" t="s">
        <v>1680</v>
      </c>
      <c r="C106" s="132"/>
      <c r="D106" s="665">
        <v>164103</v>
      </c>
      <c r="E106" s="647" t="s">
        <v>1184</v>
      </c>
      <c r="F106" s="662">
        <f>VLOOKUP('Rate Base Detail'!$E106,Allocators!$B$4:$G$14,3,FALSE)</f>
        <v>0</v>
      </c>
      <c r="G106" s="130"/>
      <c r="H106" s="667">
        <f t="shared" si="4"/>
        <v>0</v>
      </c>
      <c r="I106" s="667">
        <f t="shared" si="5"/>
        <v>6999</v>
      </c>
      <c r="J106" s="137">
        <f>SUMIF('Balance Sheet Detail'!$C:$C,$D106,'Balance Sheet Detail'!$X:$X)</f>
        <v>6999.1782212500002</v>
      </c>
      <c r="K106" s="132"/>
    </row>
    <row r="107" spans="1:11">
      <c r="A107" s="658"/>
      <c r="B107" s="129" t="s">
        <v>2917</v>
      </c>
      <c r="C107" s="132"/>
      <c r="D107" s="665">
        <v>164140</v>
      </c>
      <c r="E107" s="647" t="s">
        <v>1184</v>
      </c>
      <c r="F107" s="662">
        <f>VLOOKUP('Rate Base Detail'!$E107,Allocators!$B$4:$G$14,3,FALSE)</f>
        <v>0</v>
      </c>
      <c r="G107" s="130"/>
      <c r="H107" s="667">
        <f t="shared" si="4"/>
        <v>0</v>
      </c>
      <c r="I107" s="667">
        <f t="shared" si="5"/>
        <v>1067</v>
      </c>
      <c r="J107" s="137">
        <f>SUMIF('Balance Sheet Detail'!$C:$C,$D107,'Balance Sheet Detail'!$X:$X)</f>
        <v>1066.8036762500001</v>
      </c>
      <c r="K107" s="132"/>
    </row>
    <row r="108" spans="1:11">
      <c r="A108" s="658"/>
      <c r="B108" s="129" t="s">
        <v>641</v>
      </c>
      <c r="C108" s="132"/>
      <c r="D108" s="665">
        <v>164160</v>
      </c>
      <c r="E108" s="647" t="s">
        <v>1184</v>
      </c>
      <c r="F108" s="662">
        <f>VLOOKUP('Rate Base Detail'!$E108,Allocators!$B$4:$G$14,3,FALSE)</f>
        <v>0</v>
      </c>
      <c r="G108" s="130"/>
      <c r="H108" s="667">
        <f t="shared" si="4"/>
        <v>0</v>
      </c>
      <c r="I108" s="667">
        <f t="shared" si="5"/>
        <v>8750</v>
      </c>
      <c r="J108" s="137">
        <f>SUMIF('Balance Sheet Detail'!$C:$C,$D108,'Balance Sheet Detail'!$X:$X)</f>
        <v>8750.3492937499996</v>
      </c>
      <c r="K108" s="132"/>
    </row>
    <row r="109" spans="1:11">
      <c r="A109" s="658"/>
      <c r="B109" s="129" t="s">
        <v>1030</v>
      </c>
      <c r="C109" s="132"/>
      <c r="D109" s="665">
        <v>164180</v>
      </c>
      <c r="E109" s="647" t="s">
        <v>1184</v>
      </c>
      <c r="F109" s="662">
        <f>VLOOKUP('Rate Base Detail'!$E109,Allocators!$B$4:$G$14,3,FALSE)</f>
        <v>0</v>
      </c>
      <c r="G109" s="130"/>
      <c r="H109" s="667">
        <f t="shared" si="4"/>
        <v>0</v>
      </c>
      <c r="I109" s="667">
        <f t="shared" si="5"/>
        <v>1444</v>
      </c>
      <c r="J109" s="137">
        <f>SUMIF('Balance Sheet Detail'!$C:$C,$D109,'Balance Sheet Detail'!$X:$X)</f>
        <v>1443.56639833333</v>
      </c>
      <c r="K109" s="132"/>
    </row>
    <row r="110" spans="1:11" ht="15">
      <c r="A110" s="658"/>
      <c r="B110" s="132" t="s">
        <v>365</v>
      </c>
      <c r="C110" s="132"/>
      <c r="D110" s="661"/>
      <c r="E110" s="647"/>
      <c r="F110" s="662"/>
      <c r="G110" s="663"/>
      <c r="H110" s="695">
        <f>H111-SUM(H102:H109)</f>
        <v>0</v>
      </c>
      <c r="I110" s="695">
        <f>I111-SUM(I102:I109)</f>
        <v>0.23087958333053393</v>
      </c>
      <c r="J110" s="695">
        <f>SUM(H110:I110)</f>
        <v>0.23087958333053393</v>
      </c>
      <c r="K110" s="696"/>
    </row>
    <row r="111" spans="1:11">
      <c r="A111" s="658"/>
      <c r="B111" s="132" t="str">
        <f>+A101</f>
        <v>Underground Gas Stored - to Commodity</v>
      </c>
      <c r="C111" s="132"/>
      <c r="D111" s="697" t="s">
        <v>1823</v>
      </c>
      <c r="F111" s="662"/>
      <c r="G111" s="663"/>
      <c r="H111" s="664">
        <f>SUMIF('Balance Sheet Detail'!$C:$C,$D111,'Balance Sheet Detail'!U:U)</f>
        <v>0</v>
      </c>
      <c r="I111" s="664">
        <f>SUMIF('Balance Sheet Detail'!$C:$C,$D111,'Balance Sheet Detail'!V:V)</f>
        <v>18738.230879583331</v>
      </c>
      <c r="J111" s="664">
        <f>SUM(H111:I111)</f>
        <v>18738.230879583331</v>
      </c>
      <c r="K111" s="132"/>
    </row>
    <row r="112" spans="1:11">
      <c r="A112" s="687"/>
      <c r="B112" s="132"/>
      <c r="C112" s="132"/>
      <c r="D112" s="698"/>
      <c r="E112" s="647"/>
      <c r="F112" s="677"/>
      <c r="G112" s="668"/>
      <c r="H112" s="667"/>
      <c r="I112" s="667"/>
      <c r="J112" s="667"/>
      <c r="K112" s="132"/>
    </row>
    <row r="113" spans="1:11">
      <c r="A113" s="687"/>
      <c r="B113" s="132"/>
      <c r="C113" s="132"/>
      <c r="D113" s="676"/>
      <c r="E113" s="647"/>
      <c r="F113" s="677"/>
      <c r="G113" s="668"/>
      <c r="H113" s="132"/>
      <c r="I113" s="132"/>
      <c r="J113" s="132"/>
      <c r="K113" s="132"/>
    </row>
    <row r="114" spans="1:11">
      <c r="A114" s="653"/>
      <c r="B114" s="654" t="str">
        <f>$B$3</f>
        <v>NYSEG</v>
      </c>
      <c r="C114" s="654"/>
      <c r="D114" s="654"/>
      <c r="E114" s="654"/>
      <c r="F114" s="654"/>
      <c r="G114" s="654"/>
      <c r="H114" s="654"/>
      <c r="I114" s="654"/>
      <c r="J114" s="654"/>
      <c r="K114" s="655"/>
    </row>
    <row r="115" spans="1:11">
      <c r="A115" s="653"/>
      <c r="B115" s="654" t="str">
        <f>$B$4</f>
        <v>Rate Base - Detail</v>
      </c>
      <c r="C115" s="654"/>
      <c r="D115" s="654"/>
      <c r="E115" s="654"/>
      <c r="F115" s="654"/>
      <c r="G115" s="654"/>
      <c r="H115" s="654"/>
      <c r="I115" s="654"/>
      <c r="J115" s="654"/>
      <c r="K115" s="655"/>
    </row>
    <row r="116" spans="1:11">
      <c r="A116" s="653"/>
      <c r="B116" s="654" t="str">
        <f>$B$5</f>
        <v>12 Months Ended December 31, 2014</v>
      </c>
      <c r="C116" s="654"/>
      <c r="D116" s="654"/>
      <c r="E116" s="654"/>
      <c r="F116" s="654"/>
      <c r="G116" s="654"/>
      <c r="H116" s="654"/>
      <c r="I116" s="654"/>
      <c r="J116" s="654"/>
      <c r="K116" s="655"/>
    </row>
    <row r="117" spans="1:11">
      <c r="A117" s="653"/>
      <c r="B117" s="679" t="s">
        <v>4374</v>
      </c>
      <c r="C117" s="679"/>
      <c r="D117" s="680"/>
      <c r="E117" s="679"/>
      <c r="F117" s="679"/>
      <c r="G117" s="679"/>
      <c r="H117" s="679"/>
      <c r="I117" s="679"/>
      <c r="J117" s="679"/>
      <c r="K117" s="655"/>
    </row>
    <row r="118" spans="1:11">
      <c r="A118" s="653"/>
      <c r="B118" s="678" t="s">
        <v>1648</v>
      </c>
      <c r="C118" s="679"/>
      <c r="D118" s="680"/>
      <c r="E118" s="679"/>
      <c r="F118" s="679"/>
      <c r="G118" s="679"/>
      <c r="H118" s="679"/>
      <c r="I118" s="679"/>
      <c r="J118" s="679"/>
      <c r="K118" s="655"/>
    </row>
    <row r="119" spans="1:11">
      <c r="A119" s="655"/>
      <c r="B119" s="655"/>
      <c r="C119" s="655"/>
      <c r="D119" s="657"/>
      <c r="E119" s="655"/>
      <c r="F119" s="655"/>
      <c r="G119" s="655"/>
      <c r="H119" s="654" t="str">
        <f>+H$48</f>
        <v>13-Month Rolling Average</v>
      </c>
      <c r="I119" s="654"/>
      <c r="J119" s="654"/>
      <c r="K119" s="655"/>
    </row>
    <row r="120" spans="1:11">
      <c r="A120" s="658"/>
      <c r="B120" s="132"/>
      <c r="C120" s="132"/>
      <c r="D120" s="659" t="s">
        <v>1960</v>
      </c>
      <c r="E120" s="660" t="s">
        <v>3036</v>
      </c>
      <c r="F120" s="660" t="s">
        <v>3037</v>
      </c>
      <c r="G120" s="660"/>
      <c r="H120" s="660" t="s">
        <v>1177</v>
      </c>
      <c r="I120" s="660" t="s">
        <v>1178</v>
      </c>
      <c r="J120" s="660" t="s">
        <v>1179</v>
      </c>
      <c r="K120" s="132"/>
    </row>
    <row r="121" spans="1:11">
      <c r="A121" s="687" t="s">
        <v>3048</v>
      </c>
      <c r="B121" s="132"/>
      <c r="C121" s="132"/>
      <c r="D121" s="698"/>
      <c r="E121" s="647"/>
      <c r="F121" s="677"/>
      <c r="G121" s="668"/>
      <c r="H121" s="132"/>
      <c r="I121" s="132"/>
      <c r="J121" s="132"/>
      <c r="K121" s="132"/>
    </row>
    <row r="122" spans="1:11">
      <c r="A122" s="658"/>
      <c r="B122" s="129" t="s">
        <v>642</v>
      </c>
      <c r="C122" s="132"/>
      <c r="D122" s="665">
        <v>154210</v>
      </c>
      <c r="E122" s="647" t="s">
        <v>1188</v>
      </c>
      <c r="F122" s="662">
        <f>VLOOKUP('Rate Base Detail'!$E122,Allocators!$B$4:$G$14,3,FALSE)</f>
        <v>0.76071990262269951</v>
      </c>
      <c r="G122" s="130"/>
      <c r="H122" s="667">
        <f>ROUND($F122*J122,0)</f>
        <v>10590</v>
      </c>
      <c r="I122" s="667">
        <f>+ROUND(J122-H122,0)</f>
        <v>3331</v>
      </c>
      <c r="J122" s="137">
        <f>SUMIF('Balance Sheet Detail'!$C:$C,$D122,'Balance Sheet Detail'!$X:$X)</f>
        <v>13920.68364125</v>
      </c>
      <c r="K122" s="132"/>
    </row>
    <row r="123" spans="1:11">
      <c r="A123" s="658"/>
      <c r="B123" s="129" t="s">
        <v>589</v>
      </c>
      <c r="C123" s="132"/>
      <c r="D123" s="665">
        <v>154212</v>
      </c>
      <c r="E123" s="647" t="s">
        <v>1188</v>
      </c>
      <c r="F123" s="662">
        <f>VLOOKUP('Rate Base Detail'!$E123,Allocators!$B$4:$G$14,3,FALSE)</f>
        <v>0.76071990262269951</v>
      </c>
      <c r="G123" s="130"/>
      <c r="H123" s="667">
        <f>ROUND($F123*J123,0)</f>
        <v>101</v>
      </c>
      <c r="I123" s="667">
        <f>+ROUND(J123-H123,0)</f>
        <v>32</v>
      </c>
      <c r="J123" s="137">
        <f>SUMIF('Balance Sheet Detail'!$C:$C,$D123,'Balance Sheet Detail'!$X:$X)</f>
        <v>133.176584166667</v>
      </c>
      <c r="K123" s="132"/>
    </row>
    <row r="124" spans="1:11" ht="15">
      <c r="A124" s="658"/>
      <c r="B124" s="132" t="s">
        <v>365</v>
      </c>
      <c r="C124" s="132"/>
      <c r="D124" s="670"/>
      <c r="E124" s="647"/>
      <c r="F124" s="662"/>
      <c r="G124" s="691"/>
      <c r="H124" s="695">
        <f>H125-SUM(H122:H123)</f>
        <v>5.118215199036058E-2</v>
      </c>
      <c r="I124" s="695">
        <f>I125-SUM(I122:I123)</f>
        <v>-0.19095673532365254</v>
      </c>
      <c r="J124" s="695">
        <f>SUM(H124:I124)</f>
        <v>-0.13977458333329196</v>
      </c>
      <c r="K124" s="696"/>
    </row>
    <row r="125" spans="1:11">
      <c r="A125" s="658"/>
      <c r="B125" s="132" t="str">
        <f>+A121</f>
        <v>Materials and Supplies</v>
      </c>
      <c r="C125" s="132"/>
      <c r="D125" s="697" t="s">
        <v>213</v>
      </c>
      <c r="E125" s="647"/>
      <c r="F125" s="662"/>
      <c r="G125" s="691"/>
      <c r="H125" s="664">
        <f>SUMIF('Balance Sheet Detail'!$C:$C,$D125,'Balance Sheet Detail'!U:U)</f>
        <v>10691.05118215199</v>
      </c>
      <c r="I125" s="664">
        <f>SUMIF('Balance Sheet Detail'!$C:$C,$D125,'Balance Sheet Detail'!V:V)</f>
        <v>3362.8090432646763</v>
      </c>
      <c r="J125" s="664">
        <f>SUM(H125:I125)</f>
        <v>14053.860225416667</v>
      </c>
      <c r="K125" s="132"/>
    </row>
    <row r="126" spans="1:11">
      <c r="A126" s="687"/>
      <c r="B126" s="132"/>
      <c r="C126" s="132"/>
      <c r="D126" s="693"/>
      <c r="E126" s="647"/>
      <c r="F126" s="677"/>
      <c r="G126" s="694"/>
      <c r="H126" s="132"/>
      <c r="I126" s="132"/>
      <c r="J126" s="132"/>
      <c r="K126" s="132"/>
    </row>
    <row r="127" spans="1:11">
      <c r="A127" s="687" t="s">
        <v>2507</v>
      </c>
      <c r="B127" s="132"/>
      <c r="C127" s="132"/>
      <c r="D127" s="693"/>
      <c r="E127" s="647"/>
      <c r="F127" s="677"/>
      <c r="G127" s="694"/>
      <c r="H127" s="132"/>
      <c r="I127" s="132"/>
      <c r="J127" s="132"/>
      <c r="K127" s="132"/>
    </row>
    <row r="128" spans="1:11">
      <c r="A128" s="658"/>
      <c r="B128" s="129" t="s">
        <v>2918</v>
      </c>
      <c r="C128" s="132"/>
      <c r="D128" s="665">
        <v>165020</v>
      </c>
      <c r="E128" s="647" t="s">
        <v>1188</v>
      </c>
      <c r="F128" s="662">
        <f>VLOOKUP('Rate Base Detail'!$E128,Allocators!$B$4:$G$14,3,FALSE)</f>
        <v>0.76071990262269951</v>
      </c>
      <c r="G128" s="130"/>
      <c r="H128" s="667">
        <f>ROUND($F128*J128,0)</f>
        <v>1047</v>
      </c>
      <c r="I128" s="667">
        <f>+ROUND(J128-H128,0)</f>
        <v>329</v>
      </c>
      <c r="J128" s="137">
        <f>SUMIF('Balance Sheet Detail'!$C:$C,$D128,'Balance Sheet Detail'!$X:$X)</f>
        <v>1376.3001562500001</v>
      </c>
      <c r="K128" s="132"/>
    </row>
    <row r="129" spans="1:11">
      <c r="A129" s="658"/>
      <c r="B129" s="129" t="s">
        <v>2919</v>
      </c>
      <c r="C129" s="132"/>
      <c r="D129" s="665">
        <v>165030</v>
      </c>
      <c r="E129" s="647" t="s">
        <v>1188</v>
      </c>
      <c r="F129" s="662">
        <f>VLOOKUP('Rate Base Detail'!$E129,Allocators!$B$4:$G$14,3,FALSE)</f>
        <v>0.76071990262269951</v>
      </c>
      <c r="G129" s="130"/>
      <c r="H129" s="667">
        <f>ROUND($F129*J129,0)</f>
        <v>335</v>
      </c>
      <c r="I129" s="667">
        <f>+ROUND(J129-H129,0)</f>
        <v>105</v>
      </c>
      <c r="J129" s="137">
        <f>SUMIF('Balance Sheet Detail'!$C:$C,$D129,'Balance Sheet Detail'!$X:$X)</f>
        <v>439.848470416667</v>
      </c>
      <c r="K129" s="132"/>
    </row>
    <row r="130" spans="1:11">
      <c r="A130" s="658"/>
      <c r="B130" s="129" t="s">
        <v>2920</v>
      </c>
      <c r="C130" s="132"/>
      <c r="D130" s="665">
        <v>165040</v>
      </c>
      <c r="E130" s="647" t="s">
        <v>1188</v>
      </c>
      <c r="F130" s="662">
        <f>VLOOKUP('Rate Base Detail'!$E130,Allocators!$B$4:$G$14,3,FALSE)</f>
        <v>0.76071990262269951</v>
      </c>
      <c r="G130" s="130"/>
      <c r="H130" s="667">
        <f>ROUND($F130*J130,0)</f>
        <v>201</v>
      </c>
      <c r="I130" s="667">
        <f>+ROUND(J130-H130,0)</f>
        <v>64</v>
      </c>
      <c r="J130" s="137">
        <f>SUMIF('Balance Sheet Detail'!$C:$C,$D130,'Balance Sheet Detail'!$X:$X)</f>
        <v>264.63106125000002</v>
      </c>
      <c r="K130" s="132"/>
    </row>
    <row r="131" spans="1:11">
      <c r="A131" s="658"/>
      <c r="B131" s="129" t="s">
        <v>1490</v>
      </c>
      <c r="C131" s="132"/>
      <c r="D131" s="665">
        <v>165110</v>
      </c>
      <c r="E131" s="647" t="s">
        <v>1554</v>
      </c>
      <c r="F131" s="662">
        <f>VLOOKUP('Rate Base Detail'!$E131,Allocators!$B$4:$G$14,3,FALSE)</f>
        <v>0.80958645835662735</v>
      </c>
      <c r="G131" s="130"/>
      <c r="H131" s="667">
        <f>ROUND($F131*J131,0)</f>
        <v>30391</v>
      </c>
      <c r="I131" s="667">
        <f>+ROUND(J131-H131,0)</f>
        <v>7148</v>
      </c>
      <c r="J131" s="137">
        <f>SUMIF('Balance Sheet Detail'!$C:$C,$D131,'Balance Sheet Detail'!$X:$X)</f>
        <v>37539.348302500002</v>
      </c>
      <c r="K131" s="132"/>
    </row>
    <row r="132" spans="1:11">
      <c r="A132" s="658"/>
      <c r="B132" s="129" t="s">
        <v>2445</v>
      </c>
      <c r="C132" s="132"/>
      <c r="D132" s="665">
        <v>165290</v>
      </c>
      <c r="E132" s="647" t="s">
        <v>1556</v>
      </c>
      <c r="F132" s="662">
        <f>VLOOKUP('Rate Base Detail'!$E132,Allocators!$B$4:$G$14,3,FALSE)</f>
        <v>0.73949302143550677</v>
      </c>
      <c r="G132" s="130"/>
      <c r="H132" s="667">
        <f>ROUND($F132*J132,0)</f>
        <v>8136</v>
      </c>
      <c r="I132" s="667">
        <f>+ROUND(J132-H132,0)</f>
        <v>2866</v>
      </c>
      <c r="J132" s="137">
        <f>SUMIF('Balance Sheet Detail'!$C:$C,$D132,'Balance Sheet Detail'!$X:$X)</f>
        <v>11002.4504191667</v>
      </c>
      <c r="K132" s="132"/>
    </row>
    <row r="133" spans="1:11">
      <c r="A133" s="658"/>
      <c r="B133" s="129" t="s">
        <v>365</v>
      </c>
      <c r="C133" s="132"/>
      <c r="D133" s="665"/>
      <c r="E133" s="647"/>
      <c r="F133" s="662"/>
      <c r="G133" s="130"/>
      <c r="H133" s="699">
        <f>H136-SUM(H128:H132)-H134</f>
        <v>0.47386647200619336</v>
      </c>
      <c r="I133" s="699">
        <f>I136-SUM(I128:I132)-I134</f>
        <v>0.10454311132889416</v>
      </c>
      <c r="J133" s="699">
        <f>SUM(H133:I133)</f>
        <v>0.57840958333508752</v>
      </c>
      <c r="K133" s="132"/>
    </row>
    <row r="134" spans="1:11">
      <c r="A134" s="658"/>
      <c r="B134" s="148" t="s">
        <v>3049</v>
      </c>
      <c r="C134" s="132"/>
      <c r="D134" s="665"/>
      <c r="E134" s="647" t="s">
        <v>1556</v>
      </c>
      <c r="F134" s="662">
        <f>VLOOKUP('Rate Base Detail'!$E134,Allocators!$B$4:$G$14,3,FALSE)</f>
        <v>0.73949302143550677</v>
      </c>
      <c r="G134" s="130"/>
      <c r="H134" s="131">
        <f>ROUND($F134*J134,0)</f>
        <v>-6763</v>
      </c>
      <c r="I134" s="131">
        <f>+ROUND(J134-H134,0)</f>
        <v>-2382</v>
      </c>
      <c r="J134" s="700">
        <f>'Balance Sheet Detail'!X1644</f>
        <v>-9144.9811287499924</v>
      </c>
      <c r="K134" s="132"/>
    </row>
    <row r="135" spans="1:11">
      <c r="A135" s="658"/>
      <c r="B135" s="132"/>
      <c r="C135" s="132"/>
      <c r="D135" s="661"/>
      <c r="E135" s="647"/>
      <c r="F135" s="662"/>
      <c r="G135" s="663"/>
      <c r="H135" s="688"/>
      <c r="I135" s="688"/>
      <c r="J135" s="688"/>
      <c r="K135" s="132"/>
    </row>
    <row r="136" spans="1:11">
      <c r="A136" s="658"/>
      <c r="B136" s="132" t="str">
        <f>+A127</f>
        <v>Prepayments</v>
      </c>
      <c r="C136" s="132"/>
      <c r="D136" s="697" t="s">
        <v>733</v>
      </c>
      <c r="E136" s="647"/>
      <c r="F136" s="662"/>
      <c r="G136" s="663"/>
      <c r="H136" s="664">
        <f>SUMIF('Balance Sheet Detail'!$C:$C,$D136,'Balance Sheet Detail'!U:U)+H134</f>
        <v>33347.473866472006</v>
      </c>
      <c r="I136" s="664">
        <f>SUMIF('Balance Sheet Detail'!$C:$C,$D136,'Balance Sheet Detail'!V:V)+I134</f>
        <v>8130.1045431113289</v>
      </c>
      <c r="J136" s="664">
        <f>SUM(H136:I136)</f>
        <v>41477.578409583337</v>
      </c>
      <c r="K136" s="132"/>
    </row>
    <row r="137" spans="1:11">
      <c r="A137" s="658"/>
      <c r="B137" s="132"/>
      <c r="C137" s="132"/>
      <c r="D137" s="661"/>
      <c r="E137" s="647"/>
      <c r="F137" s="662"/>
      <c r="G137" s="663"/>
      <c r="H137" s="664"/>
      <c r="I137" s="664"/>
      <c r="J137" s="664"/>
      <c r="K137" s="132"/>
    </row>
    <row r="138" spans="1:11">
      <c r="A138" s="658" t="s">
        <v>3050</v>
      </c>
      <c r="B138" s="132"/>
      <c r="C138" s="132"/>
      <c r="D138" s="661"/>
      <c r="E138" s="647"/>
      <c r="F138" s="662"/>
      <c r="G138" s="663"/>
      <c r="H138" s="664"/>
      <c r="I138" s="664"/>
      <c r="J138" s="664"/>
      <c r="K138" s="132"/>
    </row>
    <row r="139" spans="1:11">
      <c r="A139" s="658"/>
      <c r="B139" s="132"/>
      <c r="C139" s="132"/>
      <c r="D139" s="661"/>
      <c r="E139" s="647"/>
      <c r="F139" s="662"/>
      <c r="G139" s="663"/>
      <c r="H139" s="664"/>
      <c r="I139" s="664"/>
      <c r="J139" s="664"/>
      <c r="K139" s="132"/>
    </row>
    <row r="140" spans="1:11">
      <c r="A140" s="658"/>
      <c r="B140" s="701" t="s">
        <v>40</v>
      </c>
      <c r="C140" s="132"/>
      <c r="D140" s="661"/>
      <c r="E140" s="647"/>
      <c r="F140" s="662"/>
      <c r="G140" s="663"/>
      <c r="H140" s="664"/>
      <c r="I140" s="664"/>
      <c r="J140" s="664"/>
      <c r="K140" s="132"/>
    </row>
    <row r="141" spans="1:11">
      <c r="A141" s="658"/>
      <c r="B141" s="702" t="s">
        <v>1868</v>
      </c>
      <c r="C141" s="132"/>
      <c r="D141" s="661"/>
      <c r="E141" s="647"/>
      <c r="F141" s="662"/>
      <c r="G141" s="663"/>
      <c r="H141" s="703">
        <v>6</v>
      </c>
      <c r="I141" s="703"/>
      <c r="J141" s="703"/>
      <c r="K141" s="132"/>
    </row>
    <row r="142" spans="1:11">
      <c r="A142" s="658"/>
      <c r="B142" s="702" t="s">
        <v>1869</v>
      </c>
      <c r="C142" s="132"/>
      <c r="D142" s="661"/>
      <c r="E142" s="647"/>
      <c r="F142" s="662"/>
      <c r="G142" s="663"/>
      <c r="H142" s="704">
        <v>365</v>
      </c>
      <c r="I142" s="704"/>
      <c r="J142" s="704"/>
      <c r="K142" s="132"/>
    </row>
    <row r="143" spans="1:11">
      <c r="A143" s="658"/>
      <c r="B143" s="702"/>
      <c r="C143" s="132"/>
      <c r="D143" s="661"/>
      <c r="E143" s="647"/>
      <c r="F143" s="662"/>
      <c r="G143" s="663"/>
      <c r="H143" s="705"/>
      <c r="I143" s="705"/>
      <c r="J143" s="705"/>
      <c r="K143" s="132"/>
    </row>
    <row r="144" spans="1:11">
      <c r="A144" s="658"/>
      <c r="B144" s="702" t="s">
        <v>1703</v>
      </c>
      <c r="C144" s="132"/>
      <c r="D144" s="661"/>
      <c r="E144" s="647"/>
      <c r="F144" s="662"/>
      <c r="G144" s="663"/>
      <c r="H144" s="706">
        <f>+H141/H142</f>
        <v>1.643835616438356E-2</v>
      </c>
      <c r="I144" s="706"/>
      <c r="J144" s="706"/>
      <c r="K144" s="132"/>
    </row>
    <row r="145" spans="1:11">
      <c r="A145" s="658"/>
      <c r="B145" s="702"/>
      <c r="C145" s="132"/>
      <c r="D145" s="661"/>
      <c r="E145" s="647"/>
      <c r="F145" s="662"/>
      <c r="G145" s="663"/>
      <c r="H145" s="706"/>
      <c r="I145" s="706"/>
      <c r="J145" s="706"/>
      <c r="K145" s="132"/>
    </row>
    <row r="146" spans="1:11">
      <c r="A146" s="658"/>
      <c r="B146" s="702" t="s">
        <v>1696</v>
      </c>
      <c r="C146" s="132"/>
      <c r="D146" s="661"/>
      <c r="E146" s="647"/>
      <c r="F146" s="662"/>
      <c r="G146" s="663"/>
      <c r="H146" s="707">
        <f>' WC on PP Exp'!F11/1000</f>
        <v>560302.53526999999</v>
      </c>
      <c r="I146" s="585"/>
      <c r="J146" s="585"/>
      <c r="K146" s="132"/>
    </row>
    <row r="147" spans="1:11">
      <c r="A147" s="658"/>
      <c r="B147" s="702" t="s">
        <v>1697</v>
      </c>
      <c r="C147" s="132"/>
      <c r="D147" s="661"/>
      <c r="E147" s="647"/>
      <c r="F147" s="662"/>
      <c r="G147" s="663"/>
      <c r="H147" s="708">
        <v>1</v>
      </c>
      <c r="I147" s="664"/>
      <c r="J147" s="664"/>
      <c r="K147" s="132"/>
    </row>
    <row r="148" spans="1:11">
      <c r="A148" s="658"/>
      <c r="B148" s="702"/>
      <c r="C148" s="132"/>
      <c r="D148" s="661"/>
      <c r="E148" s="647"/>
      <c r="F148" s="662"/>
      <c r="G148" s="663"/>
      <c r="H148" s="664"/>
      <c r="I148" s="664"/>
      <c r="J148" s="664"/>
      <c r="K148" s="132"/>
    </row>
    <row r="149" spans="1:11" ht="15">
      <c r="A149" s="658"/>
      <c r="B149" s="702" t="s">
        <v>1704</v>
      </c>
      <c r="C149" s="132"/>
      <c r="D149" s="661"/>
      <c r="E149" s="647"/>
      <c r="F149" s="662"/>
      <c r="G149" s="663"/>
      <c r="H149" s="621">
        <f>H146*H147</f>
        <v>560302.53526999999</v>
      </c>
      <c r="I149" s="709"/>
      <c r="J149" s="709"/>
      <c r="K149" s="132"/>
    </row>
    <row r="150" spans="1:11" ht="15">
      <c r="A150" s="658"/>
      <c r="B150" s="702"/>
      <c r="C150" s="132"/>
      <c r="D150" s="661"/>
      <c r="E150" s="647"/>
      <c r="F150" s="662"/>
      <c r="G150" s="663"/>
      <c r="H150" s="621"/>
      <c r="I150" s="709"/>
      <c r="J150" s="709"/>
      <c r="K150" s="132"/>
    </row>
    <row r="151" spans="1:11" ht="15">
      <c r="A151" s="658"/>
      <c r="B151" s="702" t="s">
        <v>1705</v>
      </c>
      <c r="C151" s="132"/>
      <c r="D151" s="661"/>
      <c r="E151" s="647"/>
      <c r="F151" s="662"/>
      <c r="G151" s="663"/>
      <c r="H151" s="621">
        <f>H144*H149</f>
        <v>9210.452634575342</v>
      </c>
      <c r="I151" s="709"/>
      <c r="J151" s="709"/>
      <c r="K151" s="132"/>
    </row>
    <row r="152" spans="1:11">
      <c r="A152" s="658"/>
      <c r="B152" s="132"/>
      <c r="C152" s="132"/>
      <c r="D152" s="661"/>
      <c r="E152" s="647"/>
      <c r="F152" s="662"/>
      <c r="G152" s="663"/>
      <c r="H152" s="664"/>
      <c r="I152" s="664"/>
      <c r="J152" s="664"/>
      <c r="K152" s="132"/>
    </row>
    <row r="153" spans="1:11">
      <c r="A153" s="705"/>
      <c r="B153" s="710" t="s">
        <v>3051</v>
      </c>
      <c r="C153" s="705"/>
      <c r="D153" s="711"/>
      <c r="E153" s="705"/>
      <c r="F153" s="606"/>
      <c r="G153" s="606"/>
      <c r="H153" s="606"/>
      <c r="I153" s="712"/>
      <c r="J153" s="606"/>
      <c r="K153" s="606"/>
    </row>
    <row r="154" spans="1:11">
      <c r="A154" s="606"/>
      <c r="B154" s="710"/>
      <c r="C154" s="705" t="s">
        <v>3052</v>
      </c>
      <c r="D154" s="711"/>
      <c r="E154" s="705"/>
      <c r="F154" s="606"/>
      <c r="G154" s="606"/>
      <c r="H154" s="606"/>
      <c r="I154" s="703"/>
      <c r="J154" s="606"/>
      <c r="K154" s="606"/>
    </row>
    <row r="155" spans="1:11">
      <c r="A155" s="606"/>
      <c r="B155" s="710"/>
      <c r="C155" s="713" t="s">
        <v>3053</v>
      </c>
      <c r="D155" s="711"/>
      <c r="E155" s="705"/>
      <c r="F155" s="606"/>
      <c r="G155" s="606"/>
      <c r="H155" s="606"/>
      <c r="I155" s="703"/>
      <c r="J155" s="606"/>
      <c r="K155" s="606"/>
    </row>
    <row r="156" spans="1:11">
      <c r="A156" s="606"/>
      <c r="B156" s="710"/>
      <c r="C156" s="713" t="s">
        <v>3054</v>
      </c>
      <c r="D156" s="711"/>
      <c r="E156" s="705"/>
      <c r="F156" s="606"/>
      <c r="G156" s="606"/>
      <c r="H156" s="606"/>
      <c r="I156" s="704"/>
      <c r="J156" s="606"/>
      <c r="K156" s="606"/>
    </row>
    <row r="157" spans="1:11">
      <c r="A157" s="606"/>
      <c r="B157" s="710"/>
      <c r="C157" s="705"/>
      <c r="D157" s="711"/>
      <c r="E157" s="705"/>
      <c r="F157" s="606"/>
      <c r="G157" s="606"/>
      <c r="H157" s="606"/>
      <c r="I157" s="621"/>
      <c r="J157" s="606"/>
      <c r="K157" s="606"/>
    </row>
    <row r="158" spans="1:11">
      <c r="A158" s="606"/>
      <c r="B158" s="710"/>
      <c r="C158" s="705" t="s">
        <v>3055</v>
      </c>
      <c r="D158" s="711"/>
      <c r="E158" s="705"/>
      <c r="F158" s="606"/>
      <c r="G158" s="606"/>
      <c r="H158" s="606"/>
      <c r="I158" s="714"/>
      <c r="J158" s="606"/>
      <c r="K158" s="606"/>
    </row>
    <row r="159" spans="1:11">
      <c r="A159" s="606"/>
      <c r="B159" s="710"/>
      <c r="C159" s="705" t="s">
        <v>1869</v>
      </c>
      <c r="D159" s="711"/>
      <c r="E159" s="705"/>
      <c r="F159" s="606"/>
      <c r="G159" s="606"/>
      <c r="H159" s="606"/>
      <c r="I159" s="704"/>
      <c r="J159" s="606"/>
      <c r="K159" s="606"/>
    </row>
    <row r="160" spans="1:11">
      <c r="A160" s="606"/>
      <c r="B160" s="710"/>
      <c r="C160" s="705"/>
      <c r="D160" s="711"/>
      <c r="E160" s="705"/>
      <c r="F160" s="606"/>
      <c r="G160" s="606"/>
      <c r="H160" s="606"/>
      <c r="I160" s="705"/>
      <c r="J160" s="606"/>
      <c r="K160" s="606"/>
    </row>
    <row r="161" spans="1:11">
      <c r="A161" s="606"/>
      <c r="B161" s="710"/>
      <c r="C161" s="705" t="s">
        <v>1870</v>
      </c>
      <c r="D161" s="711"/>
      <c r="E161" s="705"/>
      <c r="F161" s="606"/>
      <c r="G161" s="606"/>
      <c r="H161" s="606"/>
      <c r="I161" s="706"/>
      <c r="J161" s="606"/>
      <c r="K161" s="606"/>
    </row>
    <row r="162" spans="1:11">
      <c r="A162" s="606"/>
      <c r="B162" s="710"/>
      <c r="C162" s="715" t="s">
        <v>3056</v>
      </c>
      <c r="D162" s="711" t="s">
        <v>3057</v>
      </c>
      <c r="E162" s="705"/>
      <c r="F162" s="606"/>
      <c r="G162" s="606"/>
      <c r="H162" s="606"/>
      <c r="I162" s="585"/>
      <c r="J162" s="606"/>
      <c r="K162" s="606"/>
    </row>
    <row r="163" spans="1:11">
      <c r="A163" s="606"/>
      <c r="B163" s="710"/>
      <c r="C163" s="705"/>
      <c r="D163" s="711"/>
      <c r="E163" s="705"/>
      <c r="F163" s="606"/>
      <c r="G163" s="606"/>
      <c r="H163" s="606"/>
      <c r="I163" s="585"/>
      <c r="J163" s="606"/>
      <c r="K163" s="606"/>
    </row>
    <row r="164" spans="1:11">
      <c r="A164" s="606"/>
      <c r="B164" s="710"/>
      <c r="C164" s="705" t="s">
        <v>3058</v>
      </c>
      <c r="D164" s="711"/>
      <c r="E164" s="705"/>
      <c r="F164" s="606"/>
      <c r="G164" s="606"/>
      <c r="H164" s="606"/>
      <c r="I164" s="585"/>
      <c r="J164" s="606"/>
      <c r="K164" s="606"/>
    </row>
    <row r="165" spans="1:11">
      <c r="A165" s="716"/>
      <c r="B165" s="148"/>
      <c r="C165" s="148"/>
      <c r="D165" s="204"/>
      <c r="E165" s="135"/>
      <c r="F165" s="135"/>
      <c r="G165" s="135"/>
      <c r="H165" s="137"/>
      <c r="I165" s="137"/>
      <c r="J165" s="135"/>
      <c r="K165" s="135"/>
    </row>
    <row r="166" spans="1:11">
      <c r="A166" s="716"/>
      <c r="B166" s="376" t="s">
        <v>1552</v>
      </c>
      <c r="C166" s="148"/>
      <c r="D166" s="204"/>
      <c r="E166" s="135"/>
      <c r="F166" s="135"/>
      <c r="G166" s="135"/>
      <c r="H166" s="137"/>
      <c r="I166" s="137"/>
      <c r="J166" s="135"/>
      <c r="K166" s="135"/>
    </row>
    <row r="167" spans="1:11" ht="15">
      <c r="A167" s="135"/>
      <c r="B167" s="135"/>
      <c r="C167" s="717" t="s">
        <v>1871</v>
      </c>
      <c r="D167" s="718"/>
      <c r="E167" s="719"/>
      <c r="F167" s="135"/>
      <c r="G167" s="135"/>
      <c r="H167" s="707">
        <f>+'ZF02 - TME Dec 2014'!O356/1000</f>
        <v>480748.75355000026</v>
      </c>
      <c r="I167" s="707">
        <f>+'ZF02 - TME Dec 2014'!O357/1000</f>
        <v>90214.229089999979</v>
      </c>
      <c r="J167" s="135"/>
      <c r="K167" s="720"/>
    </row>
    <row r="168" spans="1:11">
      <c r="A168" s="720"/>
      <c r="B168" s="135"/>
      <c r="C168" s="720" t="s">
        <v>3059</v>
      </c>
      <c r="D168" s="721" t="s">
        <v>3060</v>
      </c>
      <c r="E168" s="135" t="s">
        <v>3061</v>
      </c>
      <c r="F168" s="135"/>
      <c r="G168" s="135"/>
      <c r="H168" s="722">
        <f>-'ZF02 - TME Dec 2014'!O97/1000</f>
        <v>-9650.0101400000003</v>
      </c>
      <c r="I168" s="603">
        <v>0</v>
      </c>
      <c r="J168" s="135"/>
      <c r="K168" s="723"/>
    </row>
    <row r="169" spans="1:11">
      <c r="A169" s="720"/>
      <c r="B169" s="135"/>
      <c r="C169" s="720" t="s">
        <v>3062</v>
      </c>
      <c r="D169" s="721"/>
      <c r="E169" s="135"/>
      <c r="F169" s="135"/>
      <c r="G169" s="135"/>
      <c r="H169" s="722">
        <f>-'NYSEG PSC Assess Liab'!T43/1000</f>
        <v>-22310.805360000002</v>
      </c>
      <c r="I169" s="722">
        <f>-'NYSEG PSC Assess Liab'!T44/1000</f>
        <v>-7302.1994899999981</v>
      </c>
      <c r="J169" s="135"/>
      <c r="K169" s="723"/>
    </row>
    <row r="170" spans="1:11" ht="15">
      <c r="A170" s="720"/>
      <c r="B170" s="135"/>
      <c r="C170" s="720" t="s">
        <v>3063</v>
      </c>
      <c r="D170" s="721" t="s">
        <v>3064</v>
      </c>
      <c r="E170" s="135" t="s">
        <v>3065</v>
      </c>
      <c r="F170" s="135"/>
      <c r="G170" s="135"/>
      <c r="H170" s="724">
        <f>-'ZF02 - TME Dec 2014'!O114/1000</f>
        <v>-15428.32209</v>
      </c>
      <c r="I170" s="724">
        <f>-'ZF02 - TME Dec 2014'!O276/1000</f>
        <v>-5185.46371</v>
      </c>
      <c r="J170" s="135"/>
      <c r="K170" s="723"/>
    </row>
    <row r="171" spans="1:11">
      <c r="A171" s="720"/>
      <c r="B171" s="135"/>
      <c r="C171" s="720"/>
      <c r="D171" s="721"/>
      <c r="E171" s="135"/>
      <c r="F171" s="135"/>
      <c r="G171" s="135"/>
      <c r="H171" s="712"/>
      <c r="I171" s="712"/>
      <c r="J171" s="135"/>
      <c r="K171" s="720"/>
    </row>
    <row r="172" spans="1:11">
      <c r="A172" s="720"/>
      <c r="B172" s="135"/>
      <c r="C172" s="720" t="s">
        <v>2889</v>
      </c>
      <c r="D172" s="721"/>
      <c r="E172" s="135"/>
      <c r="F172" s="135"/>
      <c r="G172" s="135"/>
      <c r="H172" s="712">
        <f>SUM(H166:H171)</f>
        <v>433359.61596000026</v>
      </c>
      <c r="I172" s="712">
        <f>SUM(I166:I171)</f>
        <v>77726.565889999983</v>
      </c>
      <c r="J172" s="135"/>
      <c r="K172" s="720"/>
    </row>
    <row r="173" spans="1:11">
      <c r="A173" s="720"/>
      <c r="B173" s="135"/>
      <c r="C173" s="720" t="s">
        <v>1874</v>
      </c>
      <c r="D173" s="721"/>
      <c r="E173" s="135"/>
      <c r="F173" s="135"/>
      <c r="G173" s="135"/>
      <c r="H173" s="725">
        <v>0.125</v>
      </c>
      <c r="I173" s="726">
        <f>+H173</f>
        <v>0.125</v>
      </c>
      <c r="J173" s="135"/>
      <c r="K173" s="720"/>
    </row>
    <row r="174" spans="1:11">
      <c r="A174" s="720"/>
      <c r="B174" s="135"/>
      <c r="C174" s="720"/>
      <c r="D174" s="721"/>
      <c r="E174" s="135"/>
      <c r="F174" s="135"/>
      <c r="G174" s="135"/>
      <c r="H174" s="703"/>
      <c r="I174" s="703"/>
      <c r="J174" s="135"/>
      <c r="K174" s="720"/>
    </row>
    <row r="175" spans="1:11" ht="15">
      <c r="A175" s="720"/>
      <c r="B175" s="597"/>
      <c r="C175" s="720" t="s">
        <v>41</v>
      </c>
      <c r="D175" s="721"/>
      <c r="E175" s="727"/>
      <c r="F175" s="135"/>
      <c r="G175" s="135"/>
      <c r="H175" s="727">
        <f>H172*H173</f>
        <v>54169.951995000032</v>
      </c>
      <c r="I175" s="727">
        <f>I172*I173</f>
        <v>9715.8207362499979</v>
      </c>
      <c r="J175" s="135"/>
      <c r="K175" s="720"/>
    </row>
    <row r="176" spans="1:11">
      <c r="A176" s="720"/>
      <c r="B176" s="597"/>
      <c r="C176" s="720"/>
      <c r="D176" s="721"/>
      <c r="E176" s="703"/>
      <c r="F176" s="135"/>
      <c r="G176" s="135"/>
      <c r="H176" s="703"/>
      <c r="I176" s="703"/>
      <c r="J176" s="135"/>
      <c r="K176" s="720"/>
    </row>
    <row r="177" spans="1:11">
      <c r="A177" s="720"/>
      <c r="B177" s="597" t="s">
        <v>1179</v>
      </c>
      <c r="C177" s="720"/>
      <c r="D177" s="721"/>
      <c r="E177" s="728"/>
      <c r="F177" s="135"/>
      <c r="G177" s="135"/>
      <c r="H177" s="728">
        <f>+H151+H164+H175</f>
        <v>63380.404629575372</v>
      </c>
      <c r="I177" s="728">
        <f>+I149+I164+I175</f>
        <v>9715.8207362499979</v>
      </c>
      <c r="J177" s="135"/>
      <c r="K177" s="720"/>
    </row>
    <row r="178" spans="1:11">
      <c r="A178" s="658"/>
      <c r="B178" s="132"/>
      <c r="C178" s="132"/>
      <c r="D178" s="661"/>
      <c r="E178" s="647"/>
      <c r="F178" s="662"/>
      <c r="G178" s="663"/>
      <c r="H178" s="664"/>
      <c r="I178" s="664"/>
      <c r="J178" s="664"/>
      <c r="K178" s="132"/>
    </row>
    <row r="179" spans="1:11">
      <c r="B179" s="654" t="str">
        <f>$B$3</f>
        <v>NYSEG</v>
      </c>
      <c r="C179" s="654"/>
      <c r="D179" s="654"/>
      <c r="E179" s="654"/>
      <c r="F179" s="654"/>
      <c r="G179" s="654"/>
      <c r="H179" s="654"/>
      <c r="I179" s="654"/>
      <c r="J179" s="654"/>
      <c r="K179" s="132"/>
    </row>
    <row r="180" spans="1:11">
      <c r="B180" s="654" t="str">
        <f>$B$4</f>
        <v>Rate Base - Detail</v>
      </c>
      <c r="C180" s="654"/>
      <c r="D180" s="654"/>
      <c r="E180" s="654"/>
      <c r="F180" s="654"/>
      <c r="G180" s="654"/>
      <c r="H180" s="654"/>
      <c r="I180" s="654"/>
      <c r="J180" s="654"/>
      <c r="K180" s="132"/>
    </row>
    <row r="181" spans="1:11">
      <c r="B181" s="654" t="str">
        <f>$B$5</f>
        <v>12 Months Ended December 31, 2014</v>
      </c>
      <c r="C181" s="654"/>
      <c r="D181" s="654"/>
      <c r="E181" s="654"/>
      <c r="F181" s="654"/>
      <c r="G181" s="654"/>
      <c r="H181" s="654"/>
      <c r="I181" s="654"/>
      <c r="J181" s="654"/>
      <c r="K181" s="132"/>
    </row>
    <row r="182" spans="1:11">
      <c r="B182" s="654" t="s">
        <v>1894</v>
      </c>
      <c r="C182" s="654"/>
      <c r="D182" s="654"/>
      <c r="E182" s="654"/>
      <c r="F182" s="654"/>
      <c r="G182" s="654"/>
      <c r="H182" s="654"/>
      <c r="I182" s="654"/>
      <c r="J182" s="654"/>
      <c r="K182" s="132"/>
    </row>
    <row r="183" spans="1:11">
      <c r="A183" s="729"/>
      <c r="B183" s="729"/>
      <c r="C183" s="729"/>
      <c r="D183" s="730"/>
      <c r="E183" s="729"/>
      <c r="F183" s="729"/>
      <c r="G183" s="729"/>
      <c r="H183" s="654" t="str">
        <f>+H$48</f>
        <v>13-Month Rolling Average</v>
      </c>
      <c r="I183" s="654"/>
      <c r="J183" s="654"/>
      <c r="K183" s="655"/>
    </row>
    <row r="184" spans="1:11">
      <c r="A184" s="731"/>
      <c r="B184" s="732"/>
      <c r="C184" s="732"/>
      <c r="D184" s="733" t="s">
        <v>1960</v>
      </c>
      <c r="E184" s="734" t="s">
        <v>3036</v>
      </c>
      <c r="F184" s="734" t="s">
        <v>3037</v>
      </c>
      <c r="G184" s="734"/>
      <c r="H184" s="734" t="s">
        <v>1177</v>
      </c>
      <c r="I184" s="734" t="s">
        <v>1178</v>
      </c>
      <c r="J184" s="734" t="s">
        <v>1179</v>
      </c>
      <c r="K184" s="732"/>
    </row>
    <row r="185" spans="1:11">
      <c r="A185" s="658" t="s">
        <v>1894</v>
      </c>
      <c r="B185" s="132"/>
      <c r="C185" s="132"/>
      <c r="D185" s="659"/>
      <c r="E185" s="660"/>
      <c r="F185" s="660"/>
      <c r="G185" s="660"/>
      <c r="H185" s="660"/>
      <c r="I185" s="660"/>
      <c r="J185" s="660"/>
      <c r="K185" s="132"/>
    </row>
    <row r="186" spans="1:11">
      <c r="A186" s="658"/>
      <c r="B186" s="132"/>
      <c r="C186" s="132"/>
      <c r="D186" s="659"/>
      <c r="E186" s="660"/>
      <c r="F186" s="660"/>
      <c r="G186" s="660"/>
      <c r="H186" s="660"/>
      <c r="I186" s="660"/>
      <c r="J186" s="660"/>
      <c r="K186" s="132"/>
    </row>
    <row r="187" spans="1:11">
      <c r="A187" s="132"/>
      <c r="B187" s="658" t="s">
        <v>1405</v>
      </c>
      <c r="C187" s="129"/>
      <c r="D187" s="697"/>
      <c r="E187" s="647"/>
      <c r="F187" s="662"/>
      <c r="G187" s="666"/>
      <c r="H187" s="667"/>
      <c r="I187" s="667"/>
      <c r="J187" s="667"/>
      <c r="K187" s="132"/>
    </row>
    <row r="188" spans="1:11">
      <c r="A188" s="132"/>
      <c r="B188" s="735" t="s">
        <v>4351</v>
      </c>
      <c r="C188" s="129" t="s">
        <v>3067</v>
      </c>
      <c r="D188" s="697" t="s">
        <v>1405</v>
      </c>
      <c r="E188" s="647" t="s">
        <v>1188</v>
      </c>
      <c r="F188" s="662">
        <f>VLOOKUP('Rate Base Detail'!$E188,Allocators!$B$4:$G$14,3,FALSE)</f>
        <v>0.76071990262269951</v>
      </c>
      <c r="G188" s="666"/>
      <c r="H188" s="667">
        <f>SUMIF('Balance Sheet Detail'!$AQ:$AQ,$B188,'Balance Sheet Detail'!$U:$U)</f>
        <v>-2947.8847126507899</v>
      </c>
      <c r="I188" s="667">
        <f>SUMIF('Balance Sheet Detail'!$AQ:$AQ,$B188,'Balance Sheet Detail'!$V:$V)</f>
        <v>-927.24028734921205</v>
      </c>
      <c r="J188" s="667">
        <f>SUM(H188:I188)</f>
        <v>-3875.1250000000018</v>
      </c>
      <c r="K188" s="132"/>
    </row>
    <row r="189" spans="1:11">
      <c r="A189" s="132"/>
      <c r="B189" s="735"/>
      <c r="C189" s="129"/>
      <c r="D189" s="697"/>
      <c r="E189" s="647"/>
      <c r="F189" s="662"/>
      <c r="G189" s="666"/>
      <c r="H189" s="131">
        <v>0</v>
      </c>
      <c r="I189" s="131">
        <v>0</v>
      </c>
      <c r="J189" s="131">
        <v>0</v>
      </c>
      <c r="K189" s="132"/>
    </row>
    <row r="190" spans="1:11">
      <c r="A190" s="132"/>
      <c r="B190" s="735"/>
      <c r="C190" s="129"/>
      <c r="D190" s="697"/>
      <c r="E190" s="647"/>
      <c r="F190" s="662" t="s">
        <v>1127</v>
      </c>
      <c r="G190" s="666"/>
      <c r="H190" s="667">
        <f>SUM(H188:H189)</f>
        <v>-2947.8847126507899</v>
      </c>
      <c r="I190" s="667">
        <f>SUM(I188:I189)</f>
        <v>-927.24028734921205</v>
      </c>
      <c r="J190" s="667">
        <f>SUM(J188:J189)</f>
        <v>-3875.1250000000018</v>
      </c>
      <c r="K190" s="132"/>
    </row>
    <row r="191" spans="1:11">
      <c r="A191" s="658"/>
      <c r="B191" s="132"/>
      <c r="C191" s="132"/>
      <c r="D191" s="659"/>
      <c r="E191" s="660"/>
      <c r="F191" s="660"/>
      <c r="G191" s="660"/>
      <c r="H191" s="660"/>
      <c r="I191" s="660"/>
      <c r="J191" s="660"/>
      <c r="K191" s="132"/>
    </row>
    <row r="192" spans="1:11">
      <c r="A192" s="132"/>
      <c r="B192" s="658" t="s">
        <v>794</v>
      </c>
      <c r="C192" s="129"/>
      <c r="D192" s="697"/>
      <c r="E192" s="647"/>
      <c r="F192" s="662"/>
      <c r="G192" s="666"/>
      <c r="H192" s="667"/>
      <c r="I192" s="667"/>
      <c r="J192" s="667"/>
      <c r="K192" s="132"/>
    </row>
    <row r="193" spans="1:11">
      <c r="A193" s="132"/>
      <c r="B193" s="735" t="s">
        <v>3771</v>
      </c>
      <c r="C193" s="129" t="s">
        <v>3067</v>
      </c>
      <c r="D193" s="697" t="s">
        <v>794</v>
      </c>
      <c r="E193" s="647" t="s">
        <v>1183</v>
      </c>
      <c r="F193" s="662">
        <f>VLOOKUP('Rate Base Detail'!$E193,Allocators!$B$4:$G$14,3,FALSE)</f>
        <v>1</v>
      </c>
      <c r="G193" s="666"/>
      <c r="H193" s="667">
        <f>SUMIF('Balance Sheet Detail'!$AQ:$AQ,$B193,'Balance Sheet Detail'!$U:$U)</f>
        <v>-5187.5</v>
      </c>
      <c r="I193" s="667">
        <f>SUMIF('Balance Sheet Detail'!$AQ:$AQ,$B193,'Balance Sheet Detail'!$V:$V)</f>
        <v>0</v>
      </c>
      <c r="J193" s="667">
        <f>SUM(H193:I193)</f>
        <v>-5187.5</v>
      </c>
      <c r="K193" s="132"/>
    </row>
    <row r="194" spans="1:11">
      <c r="A194" s="132"/>
      <c r="B194" s="735"/>
      <c r="C194" s="129"/>
      <c r="D194" s="697"/>
      <c r="E194" s="647"/>
      <c r="F194" s="662"/>
      <c r="G194" s="666"/>
      <c r="H194" s="131">
        <v>0</v>
      </c>
      <c r="I194" s="131">
        <v>0</v>
      </c>
      <c r="J194" s="131">
        <v>0</v>
      </c>
      <c r="K194" s="132"/>
    </row>
    <row r="195" spans="1:11">
      <c r="A195" s="132"/>
      <c r="B195" s="735"/>
      <c r="C195" s="129"/>
      <c r="D195" s="697"/>
      <c r="E195" s="647"/>
      <c r="F195" s="662" t="s">
        <v>1127</v>
      </c>
      <c r="G195" s="666"/>
      <c r="H195" s="667">
        <f>SUM(H193:H194)</f>
        <v>-5187.5</v>
      </c>
      <c r="I195" s="667">
        <f>SUM(I193:I194)</f>
        <v>0</v>
      </c>
      <c r="J195" s="667">
        <f>SUM(J193:J194)</f>
        <v>-5187.5</v>
      </c>
      <c r="K195" s="132"/>
    </row>
    <row r="196" spans="1:11">
      <c r="A196" s="132"/>
      <c r="B196" s="735"/>
      <c r="C196" s="129"/>
      <c r="D196" s="697"/>
      <c r="E196" s="647"/>
      <c r="F196" s="662"/>
      <c r="G196" s="666"/>
      <c r="H196" s="131"/>
      <c r="I196" s="131"/>
      <c r="J196" s="131"/>
      <c r="K196" s="132"/>
    </row>
    <row r="197" spans="1:11">
      <c r="A197" s="132"/>
      <c r="B197" s="658" t="s">
        <v>521</v>
      </c>
      <c r="C197" s="129"/>
      <c r="D197" s="697"/>
      <c r="E197" s="647"/>
      <c r="F197" s="662"/>
      <c r="G197" s="666"/>
      <c r="H197" s="667"/>
      <c r="I197" s="667"/>
      <c r="J197" s="667"/>
      <c r="K197" s="132"/>
    </row>
    <row r="198" spans="1:11">
      <c r="A198" s="132"/>
      <c r="B198" s="735" t="str">
        <f>B197</f>
        <v>ASGA</v>
      </c>
      <c r="C198" s="129" t="s">
        <v>3067</v>
      </c>
      <c r="D198" s="697" t="s">
        <v>521</v>
      </c>
      <c r="E198" s="647" t="s">
        <v>1177</v>
      </c>
      <c r="F198" s="662">
        <v>1</v>
      </c>
      <c r="G198" s="666"/>
      <c r="H198" s="667">
        <f>SUMIF('Balance Sheet Detail'!$AQ:$AQ,$B198,'Balance Sheet Detail'!$U:$U)</f>
        <v>0</v>
      </c>
      <c r="I198" s="667">
        <f>SUMIF('Balance Sheet Detail'!$AQ:$AQ,$B198,'Balance Sheet Detail'!$V:$V)</f>
        <v>0</v>
      </c>
      <c r="J198" s="667">
        <f>SUM(H198:I198)</f>
        <v>0</v>
      </c>
      <c r="K198" s="132"/>
    </row>
    <row r="199" spans="1:11">
      <c r="A199" s="132"/>
      <c r="B199" s="735" t="str">
        <f>B198</f>
        <v>ASGA</v>
      </c>
      <c r="C199" s="129" t="s">
        <v>3820</v>
      </c>
      <c r="D199" s="697"/>
      <c r="E199" s="647"/>
      <c r="F199" s="662"/>
      <c r="G199" s="666"/>
      <c r="H199" s="667">
        <f>+G499</f>
        <v>-1.4779288903810084E-11</v>
      </c>
      <c r="I199" s="667">
        <v>0</v>
      </c>
      <c r="J199" s="137">
        <f>SUM(H199:I199)</f>
        <v>-1.4779288903810084E-11</v>
      </c>
      <c r="K199" s="132"/>
    </row>
    <row r="200" spans="1:11">
      <c r="A200" s="132"/>
      <c r="B200" s="658"/>
      <c r="C200" s="129"/>
      <c r="D200" s="697"/>
      <c r="E200" s="132"/>
      <c r="F200" s="132"/>
      <c r="G200" s="666"/>
      <c r="H200" s="131">
        <v>0</v>
      </c>
      <c r="I200" s="131">
        <v>0</v>
      </c>
      <c r="J200" s="131">
        <v>0</v>
      </c>
      <c r="K200" s="132"/>
    </row>
    <row r="201" spans="1:11">
      <c r="A201" s="132"/>
      <c r="B201" s="735"/>
      <c r="C201" s="129"/>
      <c r="D201" s="697"/>
      <c r="E201" s="647"/>
      <c r="F201" s="662" t="s">
        <v>1127</v>
      </c>
      <c r="G201" s="666"/>
      <c r="H201" s="667">
        <f>SUM(H198:H200)</f>
        <v>-1.4779288903810084E-11</v>
      </c>
      <c r="I201" s="667">
        <f>SUM(I198:I200)</f>
        <v>0</v>
      </c>
      <c r="J201" s="667">
        <f>SUM(J198:J200)</f>
        <v>-1.4779288903810084E-11</v>
      </c>
      <c r="K201" s="132"/>
    </row>
    <row r="202" spans="1:11">
      <c r="A202" s="658"/>
      <c r="B202" s="132"/>
      <c r="C202" s="132"/>
      <c r="D202" s="659"/>
      <c r="E202" s="660"/>
      <c r="F202" s="660"/>
      <c r="G202" s="660"/>
      <c r="H202" s="660"/>
      <c r="I202" s="660"/>
      <c r="J202" s="660"/>
      <c r="K202" s="132"/>
    </row>
    <row r="203" spans="1:11">
      <c r="A203" s="132"/>
      <c r="B203" s="658" t="s">
        <v>3759</v>
      </c>
      <c r="C203" s="129"/>
      <c r="D203" s="697"/>
      <c r="E203" s="647"/>
      <c r="F203" s="668"/>
      <c r="G203" s="666"/>
      <c r="H203" s="667"/>
      <c r="I203" s="667"/>
      <c r="J203" s="667"/>
      <c r="K203" s="132"/>
    </row>
    <row r="204" spans="1:11">
      <c r="A204" s="132"/>
      <c r="B204" s="735" t="s">
        <v>3066</v>
      </c>
      <c r="C204" s="129" t="s">
        <v>2747</v>
      </c>
      <c r="D204" s="697">
        <v>129215</v>
      </c>
      <c r="E204" s="647" t="s">
        <v>1553</v>
      </c>
      <c r="F204" s="662">
        <f>VLOOKUP('Rate Base Detail'!$E204,Allocators!$B$4:$G$14,3,FALSE)</f>
        <v>0.81899999999999995</v>
      </c>
      <c r="G204" s="666" t="s">
        <v>1180</v>
      </c>
      <c r="H204" s="667">
        <f>ROUND($F204*J204,0)</f>
        <v>0</v>
      </c>
      <c r="I204" s="667">
        <f>+ROUND(J204-H204,0)</f>
        <v>0</v>
      </c>
      <c r="J204" s="137">
        <f>SUMIF('Balance Sheet Detail'!$C:$C,$D204,'Balance Sheet Detail'!$X:$X)</f>
        <v>0</v>
      </c>
      <c r="K204" s="132"/>
    </row>
    <row r="205" spans="1:11">
      <c r="A205" s="132"/>
      <c r="B205" s="735" t="s">
        <v>3066</v>
      </c>
      <c r="C205" s="129" t="s">
        <v>1001</v>
      </c>
      <c r="D205" s="697">
        <v>186215</v>
      </c>
      <c r="E205" s="647" t="s">
        <v>1553</v>
      </c>
      <c r="F205" s="662">
        <f>VLOOKUP('Rate Base Detail'!$E205,Allocators!$B$4:$G$14,3,FALSE)</f>
        <v>0.81899999999999995</v>
      </c>
      <c r="G205" s="666"/>
      <c r="H205" s="667">
        <f>ROUND($F205*J205,0)</f>
        <v>50893</v>
      </c>
      <c r="I205" s="667">
        <f>+ROUND(J205-H205,0)</f>
        <v>11247</v>
      </c>
      <c r="J205" s="137">
        <f>SUMIF('Balance Sheet Detail'!$C:$C,$D205,'Balance Sheet Detail'!$X:$X)</f>
        <v>62140.231822916699</v>
      </c>
      <c r="K205" s="132"/>
    </row>
    <row r="206" spans="1:11">
      <c r="A206" s="132"/>
      <c r="B206" s="735" t="s">
        <v>3066</v>
      </c>
      <c r="C206" s="129" t="s">
        <v>838</v>
      </c>
      <c r="D206" s="697">
        <v>228305</v>
      </c>
      <c r="E206" s="647" t="s">
        <v>1553</v>
      </c>
      <c r="F206" s="662">
        <f>VLOOKUP('Rate Base Detail'!$E206,Allocators!$B$4:$G$14,3,FALSE)</f>
        <v>0.81899999999999995</v>
      </c>
      <c r="G206" s="666"/>
      <c r="H206" s="667">
        <f>ROUND($F206*J206,0)</f>
        <v>-6606</v>
      </c>
      <c r="I206" s="667">
        <f>+ROUND(J206-H206,0)</f>
        <v>-1460</v>
      </c>
      <c r="J206" s="137">
        <f>SUMIF('Balance Sheet Detail'!$C:$C,$D206,'Balance Sheet Detail'!$X:$X)</f>
        <v>-8066.2987658333304</v>
      </c>
      <c r="K206" s="132"/>
    </row>
    <row r="207" spans="1:11">
      <c r="A207" s="132"/>
      <c r="B207" s="735" t="s">
        <v>3758</v>
      </c>
      <c r="C207" s="129" t="s">
        <v>3067</v>
      </c>
      <c r="D207" s="697" t="s">
        <v>1002</v>
      </c>
      <c r="E207" s="647"/>
      <c r="F207" s="662"/>
      <c r="G207" s="666"/>
      <c r="H207" s="667">
        <f>SUMIF('Balance Sheet Detail'!$AQ:$AQ,$B207,'Balance Sheet Detail'!$U:$U)</f>
        <v>348979.844053181</v>
      </c>
      <c r="I207" s="667">
        <f>SUMIF('Balance Sheet Detail'!$AQ:$AQ,$B207,'Balance Sheet Detail'!$V:$V)</f>
        <v>77124.971640568794</v>
      </c>
      <c r="J207" s="667">
        <f>SUM(H207:I207)</f>
        <v>426104.81569374981</v>
      </c>
      <c r="K207" s="132"/>
    </row>
    <row r="208" spans="1:11" ht="15">
      <c r="A208" s="132"/>
      <c r="B208" s="658"/>
      <c r="C208" s="585"/>
      <c r="D208" s="697"/>
      <c r="E208" s="647"/>
      <c r="F208" s="668"/>
      <c r="G208" s="666"/>
      <c r="H208" s="669">
        <v>0</v>
      </c>
      <c r="I208" s="669">
        <v>0</v>
      </c>
      <c r="J208" s="669">
        <v>0</v>
      </c>
      <c r="K208" s="132"/>
    </row>
    <row r="209" spans="1:11">
      <c r="A209" s="132"/>
      <c r="B209" s="658"/>
      <c r="C209" s="585"/>
      <c r="D209" s="697"/>
      <c r="E209" s="647" t="s">
        <v>1553</v>
      </c>
      <c r="F209" s="736" t="s">
        <v>1127</v>
      </c>
      <c r="G209" s="666"/>
      <c r="H209" s="667">
        <f>SUM(H204:H208)</f>
        <v>393266.844053181</v>
      </c>
      <c r="I209" s="667">
        <f>SUM(I204:I208)</f>
        <v>86911.971640568794</v>
      </c>
      <c r="J209" s="667">
        <f>SUM(J204:J208)</f>
        <v>480178.74875083321</v>
      </c>
      <c r="K209" s="132"/>
    </row>
    <row r="210" spans="1:11">
      <c r="A210" s="132"/>
      <c r="B210" s="658"/>
      <c r="C210" s="585"/>
      <c r="D210" s="697"/>
      <c r="E210" s="647"/>
      <c r="F210" s="668"/>
      <c r="G210" s="666"/>
      <c r="H210" s="667"/>
      <c r="I210" s="667"/>
      <c r="J210" s="667"/>
      <c r="K210" s="132"/>
    </row>
    <row r="211" spans="1:11" ht="15">
      <c r="A211" s="132"/>
      <c r="B211" s="658" t="s">
        <v>1805</v>
      </c>
      <c r="C211" s="129"/>
      <c r="D211" s="697"/>
      <c r="E211" s="647"/>
      <c r="F211" s="662"/>
      <c r="G211" s="666"/>
      <c r="H211" s="669"/>
      <c r="I211" s="669"/>
      <c r="J211" s="669"/>
      <c r="K211" s="132"/>
    </row>
    <row r="212" spans="1:11">
      <c r="A212" s="132"/>
      <c r="B212" s="735" t="s">
        <v>3761</v>
      </c>
      <c r="C212" s="129" t="s">
        <v>3067</v>
      </c>
      <c r="D212" s="697" t="s">
        <v>1805</v>
      </c>
      <c r="E212" s="647"/>
      <c r="F212" s="662"/>
      <c r="G212" s="666"/>
      <c r="H212" s="667">
        <f>SUMIF('Balance Sheet Detail'!$AQ:$AQ,$B212,'Balance Sheet Detail'!$U:$U)</f>
        <v>-7.0000000000000001E-15</v>
      </c>
      <c r="I212" s="667">
        <f>SUMIF('Balance Sheet Detail'!$AQ:$AQ,$B212,'Balance Sheet Detail'!$V:$V)</f>
        <v>-8.9999999999999995E-15</v>
      </c>
      <c r="J212" s="667">
        <f>SUM(H212:I212)</f>
        <v>-1.6000000000000001E-14</v>
      </c>
      <c r="K212" s="132"/>
    </row>
    <row r="213" spans="1:11">
      <c r="A213" s="132"/>
      <c r="B213" s="658"/>
      <c r="C213" s="129"/>
      <c r="D213" s="697"/>
      <c r="E213" s="647"/>
      <c r="F213" s="662"/>
      <c r="G213" s="666"/>
      <c r="H213" s="131">
        <v>0</v>
      </c>
      <c r="I213" s="131">
        <v>0</v>
      </c>
      <c r="J213" s="131">
        <v>0</v>
      </c>
      <c r="K213" s="132"/>
    </row>
    <row r="214" spans="1:11">
      <c r="A214" s="132"/>
      <c r="B214" s="658"/>
      <c r="C214" s="132"/>
      <c r="D214" s="697"/>
      <c r="E214" s="647"/>
      <c r="F214" s="662" t="s">
        <v>1127</v>
      </c>
      <c r="G214" s="666" t="s">
        <v>1180</v>
      </c>
      <c r="H214" s="688">
        <f>SUM(H212:H213)</f>
        <v>-7.0000000000000001E-15</v>
      </c>
      <c r="I214" s="688">
        <f>SUM(I212:I213)</f>
        <v>-8.9999999999999995E-15</v>
      </c>
      <c r="J214" s="688">
        <f>SUM(J212:J213)</f>
        <v>-1.6000000000000001E-14</v>
      </c>
      <c r="K214" s="132"/>
    </row>
    <row r="215" spans="1:11">
      <c r="A215" s="132"/>
      <c r="B215" s="658"/>
      <c r="C215" s="585"/>
      <c r="D215" s="697"/>
      <c r="E215" s="647"/>
      <c r="F215" s="668"/>
      <c r="G215" s="666"/>
      <c r="H215" s="667"/>
      <c r="I215" s="667"/>
      <c r="J215" s="667"/>
      <c r="K215" s="132"/>
    </row>
    <row r="216" spans="1:11">
      <c r="A216" s="132"/>
      <c r="B216" s="687" t="s">
        <v>3070</v>
      </c>
      <c r="C216" s="666"/>
      <c r="D216" s="697"/>
      <c r="E216" s="132"/>
      <c r="F216" s="662"/>
      <c r="G216" s="666"/>
      <c r="H216" s="688"/>
      <c r="I216" s="688"/>
      <c r="J216" s="688"/>
      <c r="K216" s="132"/>
    </row>
    <row r="217" spans="1:11">
      <c r="A217" s="132"/>
      <c r="B217" s="735" t="str">
        <f>+B216</f>
        <v>Commodity Hedge Margin Account - to Commodity</v>
      </c>
      <c r="C217" s="129" t="s">
        <v>1302</v>
      </c>
      <c r="D217" s="697">
        <v>174175</v>
      </c>
      <c r="E217" s="132"/>
      <c r="F217" s="662"/>
      <c r="G217" s="666"/>
      <c r="H217" s="667">
        <f>ROUND($F217*J217,0)</f>
        <v>0</v>
      </c>
      <c r="I217" s="667">
        <f>+ROUND(J217-H217,0)</f>
        <v>0</v>
      </c>
      <c r="J217" s="137">
        <f>SUMIF('Balance Sheet Detail'!$C:$C,$D217,'Balance Sheet Detail'!$X:$X)</f>
        <v>0</v>
      </c>
      <c r="K217" s="132"/>
    </row>
    <row r="218" spans="1:11">
      <c r="A218" s="132"/>
      <c r="B218" s="735" t="str">
        <f>+B217</f>
        <v>Commodity Hedge Margin Account - to Commodity</v>
      </c>
      <c r="C218" s="129" t="s">
        <v>1409</v>
      </c>
      <c r="D218" s="697">
        <v>174176</v>
      </c>
      <c r="E218" s="132"/>
      <c r="F218" s="662"/>
      <c r="G218" s="666"/>
      <c r="H218" s="667">
        <f>H221-H219</f>
        <v>4529.7318108333284</v>
      </c>
      <c r="I218" s="667">
        <f>I221-I219</f>
        <v>478.44677000000149</v>
      </c>
      <c r="J218" s="137">
        <f>SUMIF('Balance Sheet Detail'!$C:$C,$D218,'Balance Sheet Detail'!$X:$X)</f>
        <v>5008.1785808333298</v>
      </c>
      <c r="K218" s="132"/>
    </row>
    <row r="219" spans="1:11">
      <c r="A219" s="132"/>
      <c r="B219" s="735" t="str">
        <f>+B218</f>
        <v>Commodity Hedge Margin Account - to Commodity</v>
      </c>
      <c r="C219" s="129" t="s">
        <v>3071</v>
      </c>
      <c r="D219" s="697"/>
      <c r="E219" s="132"/>
      <c r="F219" s="662"/>
      <c r="G219" s="666"/>
      <c r="H219" s="667">
        <f>+J219</f>
        <v>-2671.3216583333283</v>
      </c>
      <c r="I219" s="667">
        <v>0</v>
      </c>
      <c r="J219" s="667">
        <f>+J221-SUM(J217:J218)</f>
        <v>-2671.3216583333283</v>
      </c>
      <c r="K219" s="132"/>
    </row>
    <row r="220" spans="1:11">
      <c r="A220" s="132"/>
      <c r="B220" s="687"/>
      <c r="C220" s="737"/>
      <c r="D220" s="697"/>
      <c r="E220" s="647"/>
      <c r="F220" s="662"/>
      <c r="G220" s="666" t="s">
        <v>1180</v>
      </c>
      <c r="H220" s="738">
        <v>0</v>
      </c>
      <c r="I220" s="738">
        <v>0</v>
      </c>
      <c r="J220" s="738">
        <v>0</v>
      </c>
      <c r="K220" s="132"/>
    </row>
    <row r="221" spans="1:11">
      <c r="A221" s="132"/>
      <c r="B221" s="735"/>
      <c r="C221" s="666"/>
      <c r="D221" s="697"/>
      <c r="E221" s="132"/>
      <c r="F221" s="662" t="s">
        <v>1127</v>
      </c>
      <c r="G221" s="666"/>
      <c r="H221" s="739">
        <f>+'Hedge Margin'!Q15/1000</f>
        <v>1858.4101524999999</v>
      </c>
      <c r="I221" s="739">
        <f>+'Hedge Margin'!Q23/1000</f>
        <v>478.44677000000149</v>
      </c>
      <c r="J221" s="621">
        <f>SUM(H221:I221)</f>
        <v>2336.8569225000015</v>
      </c>
      <c r="K221" s="132"/>
    </row>
    <row r="222" spans="1:11">
      <c r="A222" s="132"/>
      <c r="B222" s="658"/>
      <c r="C222" s="585"/>
      <c r="D222" s="697"/>
      <c r="E222" s="647"/>
      <c r="F222" s="668"/>
      <c r="G222" s="666"/>
      <c r="H222" s="667"/>
      <c r="I222" s="667"/>
      <c r="J222" s="667"/>
      <c r="K222" s="132"/>
    </row>
    <row r="223" spans="1:11">
      <c r="A223" s="132"/>
      <c r="B223" s="658" t="s">
        <v>4673</v>
      </c>
      <c r="C223" s="132"/>
      <c r="D223" s="697"/>
      <c r="E223" s="647"/>
      <c r="F223" s="662"/>
      <c r="G223" s="666"/>
      <c r="H223" s="667"/>
      <c r="I223" s="667"/>
      <c r="J223" s="667"/>
      <c r="K223" s="132"/>
    </row>
    <row r="224" spans="1:11" ht="15">
      <c r="A224" s="132"/>
      <c r="B224" s="740" t="s">
        <v>4674</v>
      </c>
      <c r="C224" s="129" t="s">
        <v>3067</v>
      </c>
      <c r="D224" s="741" t="s">
        <v>4673</v>
      </c>
      <c r="E224" s="647"/>
      <c r="F224" s="662"/>
      <c r="G224" s="666"/>
      <c r="H224" s="667">
        <f>SUMIF('Balance Sheet Detail'!$AQ:$AQ,$B224,'Balance Sheet Detail'!$U:$U)</f>
        <v>3333.75</v>
      </c>
      <c r="I224" s="667">
        <f>SUMIF('Balance Sheet Detail'!$AQ:$AQ,$B224,'Balance Sheet Detail'!$V:$V)</f>
        <v>-766.00001999999995</v>
      </c>
      <c r="J224" s="667">
        <f>SUM(H224:I224)</f>
        <v>2567.7499800000001</v>
      </c>
      <c r="K224" s="742"/>
    </row>
    <row r="225" spans="1:11">
      <c r="A225" s="132"/>
      <c r="B225" s="658"/>
      <c r="C225" s="585"/>
      <c r="D225" s="697"/>
      <c r="E225" s="647"/>
      <c r="F225" s="662"/>
      <c r="G225" s="666"/>
      <c r="H225" s="738">
        <v>0</v>
      </c>
      <c r="I225" s="738">
        <v>0</v>
      </c>
      <c r="J225" s="738">
        <v>0</v>
      </c>
      <c r="K225" s="132"/>
    </row>
    <row r="226" spans="1:11">
      <c r="A226" s="132"/>
      <c r="B226" s="658"/>
      <c r="C226" s="585"/>
      <c r="D226" s="697"/>
      <c r="E226" s="647"/>
      <c r="F226" s="662" t="s">
        <v>1127</v>
      </c>
      <c r="G226" s="666"/>
      <c r="H226" s="667">
        <f>SUM(H224:H225)</f>
        <v>3333.75</v>
      </c>
      <c r="I226" s="667">
        <f>SUM(I224:I225)</f>
        <v>-766.00001999999995</v>
      </c>
      <c r="J226" s="667">
        <f>SUM(J224:J225)</f>
        <v>2567.7499800000001</v>
      </c>
      <c r="K226" s="132"/>
    </row>
    <row r="227" spans="1:11">
      <c r="A227" s="132"/>
      <c r="B227" s="658"/>
      <c r="C227" s="585"/>
      <c r="D227" s="697"/>
      <c r="E227" s="647"/>
      <c r="F227" s="668"/>
      <c r="G227" s="666"/>
      <c r="H227" s="667"/>
      <c r="I227" s="667"/>
      <c r="J227" s="667"/>
      <c r="K227" s="132"/>
    </row>
    <row r="228" spans="1:11">
      <c r="A228" s="132"/>
      <c r="B228" s="658" t="s">
        <v>3072</v>
      </c>
      <c r="C228" s="132"/>
      <c r="D228" s="697"/>
      <c r="E228" s="647"/>
      <c r="F228" s="662"/>
      <c r="G228" s="666" t="s">
        <v>1180</v>
      </c>
      <c r="H228" s="667"/>
      <c r="I228" s="667"/>
      <c r="J228" s="667"/>
      <c r="K228" s="132"/>
    </row>
    <row r="229" spans="1:11" ht="15">
      <c r="A229" s="132"/>
      <c r="B229" s="740" t="s">
        <v>3765</v>
      </c>
      <c r="C229" s="129" t="s">
        <v>3067</v>
      </c>
      <c r="D229" s="697" t="s">
        <v>1151</v>
      </c>
      <c r="E229" s="647"/>
      <c r="F229" s="662"/>
      <c r="G229" s="666" t="s">
        <v>1180</v>
      </c>
      <c r="H229" s="667">
        <f>SUMIF('Balance Sheet Detail'!$AQ:$AQ,$B229,'Balance Sheet Detail'!$U:$U)</f>
        <v>637.37647999999797</v>
      </c>
      <c r="I229" s="667">
        <f>SUMIF('Balance Sheet Detail'!$AQ:$AQ,$B229,'Balance Sheet Detail'!$V:$V)</f>
        <v>-72.882869999999301</v>
      </c>
      <c r="J229" s="667">
        <f>SUM(H229:I229)</f>
        <v>564.49360999999863</v>
      </c>
      <c r="K229" s="742"/>
    </row>
    <row r="230" spans="1:11">
      <c r="A230" s="132"/>
      <c r="B230" s="658"/>
      <c r="C230" s="585"/>
      <c r="D230" s="697"/>
      <c r="E230" s="647"/>
      <c r="F230" s="662"/>
      <c r="G230" s="666" t="s">
        <v>1180</v>
      </c>
      <c r="H230" s="738">
        <v>0</v>
      </c>
      <c r="I230" s="738">
        <v>0</v>
      </c>
      <c r="J230" s="738">
        <v>0</v>
      </c>
      <c r="K230" s="132"/>
    </row>
    <row r="231" spans="1:11">
      <c r="A231" s="132"/>
      <c r="B231" s="658"/>
      <c r="C231" s="585"/>
      <c r="D231" s="697"/>
      <c r="E231" s="647"/>
      <c r="F231" s="662" t="s">
        <v>1127</v>
      </c>
      <c r="G231" s="666"/>
      <c r="H231" s="667">
        <f>SUM(H229:H230)</f>
        <v>637.37647999999797</v>
      </c>
      <c r="I231" s="667">
        <f>SUM(I229:I230)</f>
        <v>-72.882869999999301</v>
      </c>
      <c r="J231" s="667">
        <f>SUM(J229:J230)</f>
        <v>564.49360999999863</v>
      </c>
      <c r="K231" s="132"/>
    </row>
    <row r="232" spans="1:11">
      <c r="A232" s="132"/>
      <c r="B232" s="658"/>
      <c r="C232" s="585"/>
      <c r="D232" s="697"/>
      <c r="E232" s="647"/>
      <c r="F232" s="668"/>
      <c r="G232" s="666"/>
      <c r="H232" s="667"/>
      <c r="I232" s="667"/>
      <c r="J232" s="667"/>
      <c r="K232" s="132"/>
    </row>
    <row r="233" spans="1:11">
      <c r="A233" s="132"/>
      <c r="B233" s="658" t="s">
        <v>102</v>
      </c>
      <c r="C233" s="585"/>
      <c r="D233" s="697"/>
      <c r="E233" s="647"/>
      <c r="F233" s="668"/>
      <c r="G233" s="666"/>
      <c r="H233" s="667"/>
      <c r="I233" s="667"/>
      <c r="J233" s="667"/>
      <c r="K233" s="132"/>
    </row>
    <row r="234" spans="1:11" ht="15">
      <c r="A234" s="132"/>
      <c r="B234" s="735" t="s">
        <v>3821</v>
      </c>
      <c r="C234" s="129" t="s">
        <v>3067</v>
      </c>
      <c r="D234" s="697"/>
      <c r="E234" s="647"/>
      <c r="F234" s="662"/>
      <c r="G234" s="666"/>
      <c r="H234" s="667">
        <f>SUMIF('Balance Sheet Detail'!$AQ:$AQ,$B234,'Balance Sheet Detail'!$U:$U)</f>
        <v>0</v>
      </c>
      <c r="I234" s="667">
        <f>SUMIF('Balance Sheet Detail'!$AQ:$AQ,$B234,'Balance Sheet Detail'!$V:$V)</f>
        <v>0</v>
      </c>
      <c r="J234" s="667">
        <f>SUM(H234:I234)</f>
        <v>0</v>
      </c>
      <c r="K234" s="742"/>
    </row>
    <row r="235" spans="1:11">
      <c r="A235" s="132"/>
      <c r="B235" s="658"/>
      <c r="C235" s="585"/>
      <c r="D235" s="697"/>
      <c r="E235" s="647"/>
      <c r="F235" s="662"/>
      <c r="G235" s="666" t="s">
        <v>1180</v>
      </c>
      <c r="H235" s="738">
        <v>0</v>
      </c>
      <c r="I235" s="738">
        <v>0</v>
      </c>
      <c r="J235" s="738">
        <v>0</v>
      </c>
      <c r="K235" s="132"/>
    </row>
    <row r="236" spans="1:11">
      <c r="A236" s="132"/>
      <c r="B236" s="658"/>
      <c r="C236" s="585"/>
      <c r="D236" s="697"/>
      <c r="E236" s="647"/>
      <c r="F236" s="662" t="s">
        <v>1127</v>
      </c>
      <c r="G236" s="666"/>
      <c r="H236" s="667">
        <f>SUM(H234:H235)</f>
        <v>0</v>
      </c>
      <c r="I236" s="667">
        <f>SUM(I234:I235)</f>
        <v>0</v>
      </c>
      <c r="J236" s="667">
        <f>SUM(J234:J235)</f>
        <v>0</v>
      </c>
      <c r="K236" s="132"/>
    </row>
    <row r="237" spans="1:11">
      <c r="A237" s="132"/>
      <c r="B237" s="658"/>
      <c r="C237" s="585"/>
      <c r="D237" s="697"/>
      <c r="E237" s="647"/>
      <c r="F237" s="668"/>
      <c r="G237" s="666"/>
      <c r="H237" s="667"/>
      <c r="I237" s="667"/>
      <c r="J237" s="667"/>
      <c r="K237" s="132"/>
    </row>
    <row r="238" spans="1:11">
      <c r="A238" s="132"/>
      <c r="B238" s="658" t="s">
        <v>1718</v>
      </c>
      <c r="C238" s="129"/>
      <c r="D238" s="697"/>
      <c r="E238" s="647"/>
      <c r="F238" s="662"/>
      <c r="G238" s="666"/>
      <c r="H238" s="667"/>
      <c r="I238" s="667"/>
      <c r="J238" s="667"/>
      <c r="K238" s="132"/>
    </row>
    <row r="239" spans="1:11">
      <c r="A239" s="132"/>
      <c r="B239" s="735" t="s">
        <v>4843</v>
      </c>
      <c r="C239" s="129" t="s">
        <v>3067</v>
      </c>
      <c r="D239" s="697" t="s">
        <v>2915</v>
      </c>
      <c r="E239" s="647"/>
      <c r="F239" s="662"/>
      <c r="G239" s="666"/>
      <c r="H239" s="667">
        <f>SUMIF('Balance Sheet Detail'!$AQ:$AQ,$B239,'Balance Sheet Detail'!$U:$U)</f>
        <v>179.58066875</v>
      </c>
      <c r="I239" s="667">
        <f>SUMIF('Balance Sheet Detail'!$AQ:$AQ,$B239,'Balance Sheet Detail'!$V:$V)</f>
        <v>69.601404166666697</v>
      </c>
      <c r="J239" s="667">
        <f>SUM(H239:I239)</f>
        <v>249.1820729166667</v>
      </c>
      <c r="K239" s="132"/>
    </row>
    <row r="240" spans="1:11">
      <c r="A240" s="132"/>
      <c r="B240" s="658"/>
      <c r="C240" s="585"/>
      <c r="D240" s="697"/>
      <c r="E240" s="647"/>
      <c r="F240" s="662"/>
      <c r="G240" s="666"/>
      <c r="H240" s="738">
        <v>0</v>
      </c>
      <c r="I240" s="738">
        <v>0</v>
      </c>
      <c r="J240" s="738">
        <v>0</v>
      </c>
      <c r="K240" s="132"/>
    </row>
    <row r="241" spans="1:11">
      <c r="A241" s="132"/>
      <c r="B241" s="658"/>
      <c r="C241" s="585"/>
      <c r="D241" s="697"/>
      <c r="E241" s="647"/>
      <c r="F241" s="662" t="s">
        <v>1127</v>
      </c>
      <c r="G241" s="666"/>
      <c r="H241" s="667">
        <f>SUM(H239:H240)</f>
        <v>179.58066875</v>
      </c>
      <c r="I241" s="667">
        <f>SUM(I239:I240)</f>
        <v>69.601404166666697</v>
      </c>
      <c r="J241" s="667">
        <f>SUM(J239:J240)</f>
        <v>249.1820729166667</v>
      </c>
      <c r="K241" s="132"/>
    </row>
    <row r="242" spans="1:11">
      <c r="A242" s="132"/>
      <c r="B242" s="658"/>
      <c r="C242" s="585"/>
      <c r="D242" s="697"/>
      <c r="E242" s="647"/>
      <c r="F242" s="668"/>
      <c r="G242" s="666"/>
      <c r="H242" s="667"/>
      <c r="I242" s="667"/>
      <c r="J242" s="667"/>
      <c r="K242" s="132"/>
    </row>
    <row r="243" spans="1:11">
      <c r="A243" s="132"/>
      <c r="B243" s="658" t="s">
        <v>2915</v>
      </c>
      <c r="C243" s="129"/>
      <c r="D243" s="697"/>
      <c r="E243" s="647"/>
      <c r="F243" s="662"/>
      <c r="G243" s="666"/>
      <c r="H243" s="667"/>
      <c r="I243" s="667"/>
      <c r="J243" s="667"/>
      <c r="K243" s="132"/>
    </row>
    <row r="244" spans="1:11">
      <c r="A244" s="132"/>
      <c r="B244" s="735" t="s">
        <v>3772</v>
      </c>
      <c r="C244" s="129" t="s">
        <v>3067</v>
      </c>
      <c r="D244" s="697" t="s">
        <v>2915</v>
      </c>
      <c r="E244" s="647"/>
      <c r="F244" s="662"/>
      <c r="G244" s="666"/>
      <c r="H244" s="667">
        <f>SUMIF('Balance Sheet Detail'!$AQ:$AQ,$B244,'Balance Sheet Detail'!$U:$U)</f>
        <v>15522.336699166701</v>
      </c>
      <c r="I244" s="667">
        <f>SUMIF('Balance Sheet Detail'!$AQ:$AQ,$B244,'Balance Sheet Detail'!$V:$V)</f>
        <v>0</v>
      </c>
      <c r="J244" s="667">
        <f>SUM(H244:I244)</f>
        <v>15522.336699166701</v>
      </c>
      <c r="K244" s="132"/>
    </row>
    <row r="245" spans="1:11">
      <c r="A245" s="132"/>
      <c r="B245" s="658"/>
      <c r="C245" s="585"/>
      <c r="D245" s="697"/>
      <c r="E245" s="647"/>
      <c r="F245" s="662"/>
      <c r="G245" s="666" t="s">
        <v>1180</v>
      </c>
      <c r="H245" s="738">
        <v>0</v>
      </c>
      <c r="I245" s="738">
        <v>0</v>
      </c>
      <c r="J245" s="738">
        <v>0</v>
      </c>
      <c r="K245" s="132"/>
    </row>
    <row r="246" spans="1:11">
      <c r="A246" s="132"/>
      <c r="B246" s="658"/>
      <c r="C246" s="585"/>
      <c r="D246" s="697"/>
      <c r="E246" s="647"/>
      <c r="F246" s="662" t="s">
        <v>1127</v>
      </c>
      <c r="G246" s="666"/>
      <c r="H246" s="667">
        <f>SUM(H244:H245)</f>
        <v>15522.336699166701</v>
      </c>
      <c r="I246" s="667">
        <f>SUM(I244:I245)</f>
        <v>0</v>
      </c>
      <c r="J246" s="667">
        <f>SUM(J244:J245)</f>
        <v>15522.336699166701</v>
      </c>
      <c r="K246" s="132"/>
    </row>
    <row r="247" spans="1:11">
      <c r="A247" s="132"/>
      <c r="B247" s="658"/>
      <c r="C247" s="585"/>
      <c r="D247" s="697"/>
      <c r="E247" s="647"/>
      <c r="F247" s="668"/>
      <c r="G247" s="666"/>
      <c r="H247" s="667"/>
      <c r="I247" s="667"/>
      <c r="J247" s="667"/>
      <c r="K247" s="132"/>
    </row>
    <row r="248" spans="1:11">
      <c r="A248" s="132"/>
      <c r="B248" s="687" t="s">
        <v>3068</v>
      </c>
      <c r="C248" s="132"/>
      <c r="D248" s="697"/>
      <c r="E248" s="647"/>
      <c r="F248" s="662"/>
      <c r="G248" s="666" t="s">
        <v>1180</v>
      </c>
      <c r="H248" s="688"/>
      <c r="I248" s="688"/>
      <c r="J248" s="688"/>
      <c r="K248" s="132"/>
    </row>
    <row r="249" spans="1:11">
      <c r="A249" s="132"/>
      <c r="B249" s="735" t="s">
        <v>3068</v>
      </c>
      <c r="C249" s="129" t="s">
        <v>2368</v>
      </c>
      <c r="D249" s="697">
        <v>228420</v>
      </c>
      <c r="E249" s="647" t="s">
        <v>1182</v>
      </c>
      <c r="F249" s="662">
        <f>VLOOKUP('Rate Base Detail'!$E249,Allocators!$B$4:$G$14,3,FALSE)</f>
        <v>0.79196546646577504</v>
      </c>
      <c r="G249" s="666" t="s">
        <v>1180</v>
      </c>
      <c r="H249" s="667">
        <f>ROUND($F249*J249,0)</f>
        <v>-145739</v>
      </c>
      <c r="I249" s="667">
        <f>+ROUND(J249-H249,0)</f>
        <v>-38283</v>
      </c>
      <c r="J249" s="137">
        <f>SUMIF('Balance Sheet Detail'!$C:$C,$D249,'Balance Sheet Detail'!$X:$X)</f>
        <v>-184022.04375000001</v>
      </c>
      <c r="K249" s="132"/>
    </row>
    <row r="250" spans="1:11">
      <c r="A250" s="132"/>
      <c r="B250" s="735" t="s">
        <v>3760</v>
      </c>
      <c r="C250" s="129" t="s">
        <v>3067</v>
      </c>
      <c r="D250" s="697" t="s">
        <v>2369</v>
      </c>
      <c r="E250" s="647"/>
      <c r="F250" s="662"/>
      <c r="G250" s="666" t="s">
        <v>1180</v>
      </c>
      <c r="H250" s="667">
        <f>SUMIF('Balance Sheet Detail'!$AQ:$AQ,$B250,'Balance Sheet Detail'!$U:$U)</f>
        <v>145739.10371845364</v>
      </c>
      <c r="I250" s="667">
        <f>SUMIF('Balance Sheet Detail'!$AQ:$AQ,$B250,'Balance Sheet Detail'!$V:$V)</f>
        <v>38282.940031545964</v>
      </c>
      <c r="J250" s="667">
        <f>SUM(H250:I250)</f>
        <v>184022.0437499996</v>
      </c>
      <c r="K250" s="132"/>
    </row>
    <row r="251" spans="1:11">
      <c r="A251" s="132"/>
      <c r="B251" s="687"/>
      <c r="C251" s="737"/>
      <c r="D251" s="697"/>
      <c r="E251" s="647"/>
      <c r="F251" s="662"/>
      <c r="G251" s="666" t="s">
        <v>1180</v>
      </c>
      <c r="H251" s="738">
        <v>0</v>
      </c>
      <c r="I251" s="738">
        <v>0</v>
      </c>
      <c r="J251" s="738">
        <v>0</v>
      </c>
      <c r="K251" s="132"/>
    </row>
    <row r="252" spans="1:11">
      <c r="A252" s="132"/>
      <c r="B252" s="687"/>
      <c r="C252" s="737"/>
      <c r="D252" s="697"/>
      <c r="E252" s="647" t="s">
        <v>2369</v>
      </c>
      <c r="F252" s="662" t="s">
        <v>1127</v>
      </c>
      <c r="G252" s="666"/>
      <c r="H252" s="688">
        <f>SUM(H249:H251)</f>
        <v>0.10371845363988541</v>
      </c>
      <c r="I252" s="688">
        <f>SUM(I249:I251)</f>
        <v>-5.9968454035697505E-2</v>
      </c>
      <c r="J252" s="688">
        <f>SUM(J249:J251)</f>
        <v>-4.0745362639427185E-10</v>
      </c>
      <c r="K252" s="132"/>
    </row>
    <row r="253" spans="1:11" ht="15">
      <c r="A253" s="132"/>
      <c r="B253" s="658"/>
      <c r="C253" s="129"/>
      <c r="D253" s="697"/>
      <c r="E253" s="647"/>
      <c r="F253" s="662"/>
      <c r="G253" s="666"/>
      <c r="H253" s="669"/>
      <c r="I253" s="669"/>
      <c r="J253" s="669"/>
      <c r="K253" s="132"/>
    </row>
    <row r="254" spans="1:11">
      <c r="A254" s="132"/>
      <c r="B254" s="658" t="s">
        <v>967</v>
      </c>
      <c r="C254" s="129"/>
      <c r="D254" s="697"/>
      <c r="E254" s="647"/>
      <c r="F254" s="662"/>
      <c r="G254" s="666"/>
      <c r="H254" s="667"/>
      <c r="I254" s="667"/>
      <c r="J254" s="667"/>
      <c r="K254" s="132"/>
    </row>
    <row r="255" spans="1:11">
      <c r="A255" s="132"/>
      <c r="B255" s="735" t="s">
        <v>3773</v>
      </c>
      <c r="C255" s="129" t="s">
        <v>3067</v>
      </c>
      <c r="D255" s="697" t="s">
        <v>967</v>
      </c>
      <c r="E255" s="647"/>
      <c r="F255" s="662"/>
      <c r="G255" s="666"/>
      <c r="H255" s="667">
        <f>SUMIF('Balance Sheet Detail'!$AQ:$AQ,$B255,'Balance Sheet Detail'!$U:$U)</f>
        <v>0</v>
      </c>
      <c r="I255" s="667">
        <f>SUMIF('Balance Sheet Detail'!$AQ:$AQ,$B255,'Balance Sheet Detail'!$V:$V)</f>
        <v>-8.3333333300000003E-7</v>
      </c>
      <c r="J255" s="667">
        <f>SUM(H255:I255)</f>
        <v>-8.3333333300000003E-7</v>
      </c>
      <c r="K255" s="132"/>
    </row>
    <row r="256" spans="1:11">
      <c r="F256" s="662"/>
      <c r="G256" s="666" t="s">
        <v>1180</v>
      </c>
      <c r="H256" s="738">
        <v>0</v>
      </c>
      <c r="I256" s="738">
        <v>0</v>
      </c>
      <c r="J256" s="738">
        <v>0</v>
      </c>
      <c r="K256" s="132"/>
    </row>
    <row r="257" spans="1:11">
      <c r="F257" s="662" t="s">
        <v>1127</v>
      </c>
      <c r="G257" s="666"/>
      <c r="H257" s="667">
        <f>SUM(H255:H256)</f>
        <v>0</v>
      </c>
      <c r="I257" s="667">
        <f>SUM(I255:I256)</f>
        <v>-8.3333333300000003E-7</v>
      </c>
      <c r="J257" s="667">
        <f>SUM(J255:J256)</f>
        <v>-8.3333333300000003E-7</v>
      </c>
      <c r="K257" s="132"/>
    </row>
    <row r="258" spans="1:11">
      <c r="F258" s="662"/>
      <c r="G258" s="666"/>
      <c r="H258" s="667"/>
      <c r="I258" s="667"/>
      <c r="J258" s="667"/>
      <c r="K258" s="132"/>
    </row>
    <row r="259" spans="1:11">
      <c r="A259" s="132"/>
      <c r="B259" s="658" t="s">
        <v>3075</v>
      </c>
      <c r="C259" s="737"/>
      <c r="D259" s="697"/>
      <c r="E259" s="647"/>
      <c r="F259" s="736"/>
      <c r="G259" s="666"/>
      <c r="H259" s="688"/>
      <c r="I259" s="688"/>
      <c r="J259" s="688"/>
      <c r="K259" s="132"/>
    </row>
    <row r="260" spans="1:11">
      <c r="A260" s="132"/>
      <c r="B260" s="658"/>
      <c r="C260" s="737"/>
      <c r="D260" s="697"/>
      <c r="E260" s="647"/>
      <c r="F260" s="736"/>
      <c r="G260" s="666"/>
      <c r="H260" s="688"/>
      <c r="I260" s="688"/>
      <c r="J260" s="688"/>
      <c r="K260" s="132"/>
    </row>
    <row r="261" spans="1:11">
      <c r="A261" s="132"/>
      <c r="B261" s="735"/>
      <c r="C261" s="129" t="s">
        <v>1487</v>
      </c>
      <c r="D261" s="697">
        <v>253560</v>
      </c>
      <c r="E261" s="647" t="s">
        <v>1182</v>
      </c>
      <c r="F261" s="662">
        <f>VLOOKUP('Rate Base Detail'!$E261,Allocators!$B$4:$G$14,3,FALSE)</f>
        <v>0.79196546646577504</v>
      </c>
      <c r="G261" s="666"/>
      <c r="H261" s="667">
        <f>ROUND($F261*J261,0)</f>
        <v>0</v>
      </c>
      <c r="I261" s="667">
        <f>+ROUND(J261-H261,0)</f>
        <v>0</v>
      </c>
      <c r="J261" s="137">
        <f>SUMIF('Balance Sheet Detail'!$C:$C,$D261,'Balance Sheet Detail'!$X:$X)</f>
        <v>0</v>
      </c>
      <c r="K261" s="132"/>
    </row>
    <row r="262" spans="1:11">
      <c r="A262" s="132"/>
      <c r="B262" s="735"/>
      <c r="C262" s="129" t="s">
        <v>1487</v>
      </c>
      <c r="D262" s="697">
        <v>253561</v>
      </c>
      <c r="E262" s="647" t="s">
        <v>1182</v>
      </c>
      <c r="F262" s="662">
        <f>VLOOKUP('Rate Base Detail'!$E262,Allocators!$B$4:$G$14,3,FALSE)</f>
        <v>0.79196546646577504</v>
      </c>
      <c r="G262" s="666"/>
      <c r="H262" s="667">
        <f>ROUND($F262*J262,0)</f>
        <v>-3877</v>
      </c>
      <c r="I262" s="667">
        <f>+ROUND(J262-H262,0)</f>
        <v>-1019</v>
      </c>
      <c r="J262" s="137">
        <f>SUMIF('Balance Sheet Detail'!$C:$C,$D262,'Balance Sheet Detail'!$X:$X)</f>
        <v>-4895.5660150000003</v>
      </c>
      <c r="K262" s="132"/>
    </row>
    <row r="263" spans="1:11" ht="15">
      <c r="A263" s="132"/>
      <c r="B263" s="735"/>
      <c r="C263" s="129"/>
      <c r="D263" s="697"/>
      <c r="E263" s="647"/>
      <c r="F263" s="662"/>
      <c r="G263" s="666"/>
      <c r="H263" s="669">
        <v>0</v>
      </c>
      <c r="I263" s="669">
        <v>0</v>
      </c>
      <c r="J263" s="669">
        <v>0</v>
      </c>
      <c r="K263" s="132"/>
    </row>
    <row r="264" spans="1:11">
      <c r="A264" s="132"/>
      <c r="B264" s="735"/>
      <c r="C264" s="129"/>
      <c r="D264" s="697"/>
      <c r="E264" s="647" t="s">
        <v>1488</v>
      </c>
      <c r="F264" s="736" t="s">
        <v>1127</v>
      </c>
      <c r="G264" s="666"/>
      <c r="H264" s="667">
        <f>SUM(H261:H263)</f>
        <v>-3877</v>
      </c>
      <c r="I264" s="667">
        <f>SUM(I261:I263)</f>
        <v>-1019</v>
      </c>
      <c r="J264" s="667">
        <f>SUM(J261:J263)</f>
        <v>-4895.5660150000003</v>
      </c>
      <c r="K264" s="132"/>
    </row>
    <row r="265" spans="1:11">
      <c r="A265" s="132"/>
      <c r="B265" s="658"/>
      <c r="C265" s="129"/>
      <c r="D265" s="697"/>
      <c r="E265" s="647"/>
      <c r="F265" s="736"/>
      <c r="G265" s="666"/>
      <c r="H265" s="667"/>
      <c r="I265" s="667"/>
      <c r="J265" s="667"/>
      <c r="K265" s="132"/>
    </row>
    <row r="266" spans="1:11">
      <c r="A266" s="132"/>
      <c r="B266" s="658" t="s">
        <v>4564</v>
      </c>
      <c r="C266" s="129"/>
      <c r="D266" s="697"/>
      <c r="E266" s="647"/>
      <c r="F266" s="736"/>
      <c r="G266" s="666"/>
      <c r="H266" s="667"/>
      <c r="I266" s="667"/>
      <c r="J266" s="667"/>
      <c r="K266" s="132"/>
    </row>
    <row r="267" spans="1:11">
      <c r="A267" s="132"/>
      <c r="B267" s="735" t="s">
        <v>4565</v>
      </c>
      <c r="C267" s="129" t="s">
        <v>3067</v>
      </c>
      <c r="D267" s="697" t="s">
        <v>4394</v>
      </c>
      <c r="E267" s="647"/>
      <c r="F267" s="736"/>
      <c r="G267" s="666"/>
      <c r="H267" s="667">
        <f>SUMIF('Balance Sheet Detail'!$AQ:$AQ,$B267,'Balance Sheet Detail'!$U:$U)</f>
        <v>32476.840811666701</v>
      </c>
      <c r="I267" s="667">
        <f>SUMIF('Balance Sheet Detail'!$AQ:$AQ,$B267,'Balance Sheet Detail'!$V:$V)</f>
        <v>22741.6279629167</v>
      </c>
      <c r="J267" s="667">
        <f>SUM(H267:I267)</f>
        <v>55218.468774583402</v>
      </c>
      <c r="K267" s="132"/>
    </row>
    <row r="268" spans="1:11">
      <c r="A268" s="132"/>
      <c r="B268" s="735"/>
      <c r="C268" s="129"/>
      <c r="D268" s="697"/>
      <c r="E268" s="647"/>
      <c r="F268" s="736"/>
      <c r="G268" s="666"/>
      <c r="H268" s="738">
        <v>0</v>
      </c>
      <c r="I268" s="738">
        <v>0</v>
      </c>
      <c r="J268" s="738">
        <v>0</v>
      </c>
      <c r="K268" s="132"/>
    </row>
    <row r="269" spans="1:11">
      <c r="A269" s="132"/>
      <c r="B269" s="735"/>
      <c r="C269" s="129"/>
      <c r="D269" s="697"/>
      <c r="E269" s="647"/>
      <c r="F269" s="736" t="s">
        <v>1127</v>
      </c>
      <c r="G269" s="666"/>
      <c r="H269" s="667">
        <f>SUM(H267:H268)</f>
        <v>32476.840811666701</v>
      </c>
      <c r="I269" s="667">
        <f>SUM(I267:I268)</f>
        <v>22741.6279629167</v>
      </c>
      <c r="J269" s="667">
        <f>SUM(J267:J268)</f>
        <v>55218.468774583402</v>
      </c>
      <c r="K269" s="132"/>
    </row>
    <row r="270" spans="1:11">
      <c r="F270" s="662"/>
      <c r="G270" s="666"/>
      <c r="H270" s="667"/>
      <c r="I270" s="667"/>
      <c r="J270" s="667"/>
      <c r="K270" s="132"/>
    </row>
    <row r="271" spans="1:11">
      <c r="A271" s="132"/>
      <c r="B271" s="658" t="s">
        <v>1563</v>
      </c>
      <c r="C271" s="129"/>
      <c r="D271" s="697"/>
      <c r="E271" s="647"/>
      <c r="F271" s="662"/>
      <c r="G271" s="666"/>
      <c r="H271" s="667"/>
      <c r="I271" s="667"/>
      <c r="J271" s="667"/>
      <c r="K271" s="132"/>
    </row>
    <row r="272" spans="1:11">
      <c r="A272" s="132"/>
      <c r="B272" s="735" t="s">
        <v>3774</v>
      </c>
      <c r="C272" s="129" t="s">
        <v>3067</v>
      </c>
      <c r="D272" s="697" t="s">
        <v>1563</v>
      </c>
      <c r="E272" s="647"/>
      <c r="F272" s="662"/>
      <c r="G272" s="666"/>
      <c r="H272" s="667">
        <f>SUMIF('Balance Sheet Detail'!$AQ:$AQ,$B272,'Balance Sheet Detail'!$U:$U)</f>
        <v>0</v>
      </c>
      <c r="I272" s="667">
        <f>SUMIF('Balance Sheet Detail'!$AQ:$AQ,$B272,'Balance Sheet Detail'!$V:$V)</f>
        <v>52.6</v>
      </c>
      <c r="J272" s="667">
        <f>SUM(H272:I272)</f>
        <v>52.6</v>
      </c>
      <c r="K272" s="132"/>
    </row>
    <row r="273" spans="1:11">
      <c r="F273" s="662"/>
      <c r="G273" s="666" t="s">
        <v>1180</v>
      </c>
      <c r="H273" s="738">
        <v>0</v>
      </c>
      <c r="I273" s="738">
        <v>0</v>
      </c>
      <c r="J273" s="738">
        <v>0</v>
      </c>
      <c r="K273" s="132"/>
    </row>
    <row r="274" spans="1:11">
      <c r="F274" s="662" t="s">
        <v>1127</v>
      </c>
      <c r="G274" s="666"/>
      <c r="H274" s="667">
        <f>SUM(H272:H273)</f>
        <v>0</v>
      </c>
      <c r="I274" s="667">
        <f>SUM(I272:I273)</f>
        <v>52.6</v>
      </c>
      <c r="J274" s="667">
        <f>SUM(J272:J273)</f>
        <v>52.6</v>
      </c>
      <c r="K274" s="132"/>
    </row>
    <row r="275" spans="1:11">
      <c r="F275" s="662"/>
      <c r="G275" s="666"/>
      <c r="H275" s="667"/>
      <c r="I275" s="667"/>
      <c r="J275" s="667"/>
      <c r="K275" s="132"/>
    </row>
    <row r="276" spans="1:11">
      <c r="A276" s="132"/>
      <c r="B276" s="658" t="s">
        <v>1167</v>
      </c>
      <c r="C276" s="129"/>
      <c r="D276" s="697"/>
      <c r="E276" s="647"/>
      <c r="F276" s="662"/>
      <c r="G276" s="666"/>
      <c r="H276" s="667"/>
      <c r="I276" s="667"/>
      <c r="J276" s="667"/>
      <c r="K276" s="132"/>
    </row>
    <row r="277" spans="1:11">
      <c r="A277" s="132"/>
      <c r="B277" s="735" t="s">
        <v>4496</v>
      </c>
      <c r="C277" s="129" t="s">
        <v>3067</v>
      </c>
      <c r="D277" s="697" t="s">
        <v>1167</v>
      </c>
      <c r="E277" s="647"/>
      <c r="F277" s="662"/>
      <c r="G277" s="666"/>
      <c r="H277" s="667">
        <f>SUMIF('Balance Sheet Detail'!$AQ:$AQ,$B277,'Balance Sheet Detail'!$U:$U)</f>
        <v>0</v>
      </c>
      <c r="I277" s="667">
        <f>SUMIF('Balance Sheet Detail'!$AQ:$AQ,$B277,'Balance Sheet Detail'!$V:$V)</f>
        <v>0</v>
      </c>
      <c r="J277" s="667">
        <f>SUM(H277:I277)</f>
        <v>0</v>
      </c>
      <c r="K277" s="132"/>
    </row>
    <row r="278" spans="1:11">
      <c r="F278" s="662"/>
      <c r="G278" s="666"/>
      <c r="H278" s="738">
        <v>0</v>
      </c>
      <c r="I278" s="738">
        <v>0</v>
      </c>
      <c r="J278" s="738">
        <v>0</v>
      </c>
      <c r="K278" s="132"/>
    </row>
    <row r="279" spans="1:11">
      <c r="F279" s="662" t="s">
        <v>1127</v>
      </c>
      <c r="G279" s="666"/>
      <c r="H279" s="667">
        <f>SUM(H277:H278)</f>
        <v>0</v>
      </c>
      <c r="I279" s="667">
        <f>SUM(I277:I278)</f>
        <v>0</v>
      </c>
      <c r="J279" s="667">
        <f>SUM(J277:J278)</f>
        <v>0</v>
      </c>
      <c r="K279" s="132"/>
    </row>
    <row r="280" spans="1:11" ht="15">
      <c r="A280" s="132"/>
      <c r="B280" s="658"/>
      <c r="C280" s="129"/>
      <c r="D280" s="697"/>
      <c r="E280" s="647"/>
      <c r="F280" s="662"/>
      <c r="G280" s="666"/>
      <c r="H280" s="669"/>
      <c r="I280" s="669"/>
      <c r="J280" s="669"/>
      <c r="K280" s="132"/>
    </row>
    <row r="281" spans="1:11" ht="15">
      <c r="A281" s="132"/>
      <c r="B281" s="658" t="s">
        <v>539</v>
      </c>
      <c r="C281" s="129"/>
      <c r="D281" s="697"/>
      <c r="E281" s="647"/>
      <c r="F281" s="662"/>
      <c r="G281" s="666"/>
      <c r="H281" s="669"/>
      <c r="I281" s="669"/>
      <c r="J281" s="669"/>
      <c r="K281" s="132"/>
    </row>
    <row r="282" spans="1:11">
      <c r="A282" s="132"/>
      <c r="B282" s="735" t="s">
        <v>3762</v>
      </c>
      <c r="C282" s="129" t="s">
        <v>3067</v>
      </c>
      <c r="D282" s="697" t="s">
        <v>539</v>
      </c>
      <c r="E282" s="647"/>
      <c r="F282" s="662"/>
      <c r="G282" s="666"/>
      <c r="H282" s="667">
        <f>SUMIF('Balance Sheet Detail'!$AQ:$AQ,$B282,'Balance Sheet Detail'!$U:$U)</f>
        <v>-4925.1014299999997</v>
      </c>
      <c r="I282" s="667">
        <f>SUMIF('Balance Sheet Detail'!$AQ:$AQ,$B282,'Balance Sheet Detail'!$V:$V)</f>
        <v>0</v>
      </c>
      <c r="J282" s="667">
        <f>SUM(H282:I282)</f>
        <v>-4925.1014299999997</v>
      </c>
      <c r="K282" s="132"/>
    </row>
    <row r="283" spans="1:11">
      <c r="A283" s="132"/>
      <c r="B283" s="658"/>
      <c r="C283" s="129"/>
      <c r="D283" s="697"/>
      <c r="E283" s="647"/>
      <c r="F283" s="662"/>
      <c r="G283" s="666"/>
      <c r="H283" s="131">
        <v>0</v>
      </c>
      <c r="I283" s="131">
        <v>0</v>
      </c>
      <c r="J283" s="131">
        <v>0</v>
      </c>
      <c r="K283" s="132"/>
    </row>
    <row r="284" spans="1:11">
      <c r="A284" s="132"/>
      <c r="B284" s="658"/>
      <c r="C284" s="132"/>
      <c r="D284" s="697"/>
      <c r="E284" s="743" t="s">
        <v>539</v>
      </c>
      <c r="F284" s="662" t="s">
        <v>1127</v>
      </c>
      <c r="G284" s="666" t="s">
        <v>1180</v>
      </c>
      <c r="H284" s="688">
        <f>SUM(H282:H283)</f>
        <v>-4925.1014299999997</v>
      </c>
      <c r="I284" s="688">
        <f>SUM(I282:I283)</f>
        <v>0</v>
      </c>
      <c r="J284" s="688">
        <f>SUM(J282:J283)</f>
        <v>-4925.1014299999997</v>
      </c>
      <c r="K284" s="132"/>
    </row>
    <row r="285" spans="1:11">
      <c r="A285" s="132"/>
      <c r="B285" s="658"/>
      <c r="C285" s="132"/>
      <c r="D285" s="697"/>
      <c r="E285" s="743"/>
      <c r="F285" s="662"/>
      <c r="G285" s="666"/>
      <c r="H285" s="688"/>
      <c r="I285" s="688"/>
      <c r="J285" s="688"/>
      <c r="K285" s="132"/>
    </row>
    <row r="286" spans="1:11">
      <c r="A286" s="132"/>
      <c r="B286" s="658" t="s">
        <v>4358</v>
      </c>
      <c r="C286" s="129"/>
      <c r="D286" s="697"/>
      <c r="E286" s="647"/>
      <c r="F286" s="662"/>
      <c r="G286" s="666"/>
      <c r="H286" s="667"/>
      <c r="I286" s="667"/>
      <c r="J286" s="667"/>
      <c r="K286" s="132"/>
    </row>
    <row r="287" spans="1:11">
      <c r="A287" s="132"/>
      <c r="B287" s="735" t="s">
        <v>4520</v>
      </c>
      <c r="C287" s="129" t="s">
        <v>3067</v>
      </c>
      <c r="D287" s="697" t="s">
        <v>2861</v>
      </c>
      <c r="E287" s="647" t="s">
        <v>1188</v>
      </c>
      <c r="F287" s="662">
        <f>VLOOKUP('Rate Base Detail'!$E287,Allocators!$B$4:$G$14,3,FALSE)</f>
        <v>0.76071990262269951</v>
      </c>
      <c r="G287" s="666"/>
      <c r="H287" s="667">
        <f>SUMIF('Balance Sheet Detail'!$AQ:$AQ,$B287,'Balance Sheet Detail'!$U:$U)</f>
        <v>-5584.9519517549898</v>
      </c>
      <c r="I287" s="667">
        <f>SUMIF('Balance Sheet Detail'!$AQ:$AQ,$B287,'Balance Sheet Detail'!$V:$V)</f>
        <v>-1756.7147149116799</v>
      </c>
      <c r="J287" s="667">
        <f>SUM(H287:I287)</f>
        <v>-7341.6666666666697</v>
      </c>
      <c r="K287" s="132"/>
    </row>
    <row r="288" spans="1:11">
      <c r="A288" s="132"/>
      <c r="B288" s="735"/>
      <c r="C288" s="129"/>
      <c r="D288" s="697"/>
      <c r="E288" s="647"/>
      <c r="F288" s="662"/>
      <c r="G288" s="666"/>
      <c r="H288" s="131">
        <v>0</v>
      </c>
      <c r="I288" s="131">
        <v>0</v>
      </c>
      <c r="J288" s="131">
        <v>0</v>
      </c>
      <c r="K288" s="132"/>
    </row>
    <row r="289" spans="1:12">
      <c r="A289" s="132"/>
      <c r="B289" s="735"/>
      <c r="C289" s="129"/>
      <c r="D289" s="697"/>
      <c r="E289" s="647"/>
      <c r="F289" s="662" t="s">
        <v>1127</v>
      </c>
      <c r="G289" s="666"/>
      <c r="H289" s="667">
        <f>SUM(H287:H288)</f>
        <v>-5584.9519517549898</v>
      </c>
      <c r="I289" s="667">
        <f>SUM(I287:I288)</f>
        <v>-1756.7147149116799</v>
      </c>
      <c r="J289" s="667">
        <f>SUM(J287:J288)</f>
        <v>-7341.6666666666697</v>
      </c>
      <c r="K289" s="132"/>
    </row>
    <row r="290" spans="1:12">
      <c r="A290" s="132"/>
      <c r="B290" s="658"/>
      <c r="C290" s="132"/>
      <c r="D290" s="697"/>
      <c r="E290" s="647"/>
      <c r="F290" s="662"/>
      <c r="G290" s="666"/>
      <c r="H290" s="660"/>
      <c r="I290" s="660"/>
      <c r="J290" s="660"/>
      <c r="K290" s="132"/>
    </row>
    <row r="291" spans="1:12">
      <c r="A291" s="132"/>
      <c r="B291" s="687" t="s">
        <v>44</v>
      </c>
      <c r="C291" s="737"/>
      <c r="D291" s="697"/>
      <c r="E291" s="647"/>
      <c r="F291" s="662"/>
      <c r="G291" s="666" t="s">
        <v>1180</v>
      </c>
      <c r="H291" s="688"/>
      <c r="I291" s="688"/>
      <c r="J291" s="688"/>
      <c r="K291" s="132"/>
    </row>
    <row r="292" spans="1:12">
      <c r="A292" s="132"/>
      <c r="B292" s="735" t="s">
        <v>3763</v>
      </c>
      <c r="C292" s="129" t="s">
        <v>43</v>
      </c>
      <c r="D292" s="697">
        <v>189000</v>
      </c>
      <c r="E292" s="647" t="s">
        <v>1188</v>
      </c>
      <c r="F292" s="662">
        <f>VLOOKUP('Rate Base Detail'!$E292,Allocators!$B$4:$G$14,3,FALSE)</f>
        <v>0.76071990262269951</v>
      </c>
      <c r="G292" s="666" t="s">
        <v>1180</v>
      </c>
      <c r="H292" s="667">
        <f>SUMIF('Balance Sheet Detail'!$AQ:$AQ,$B292,'Balance Sheet Detail'!$U:$U)</f>
        <v>16265.7712499429</v>
      </c>
      <c r="I292" s="667">
        <f>SUMIF('Balance Sheet Detail'!$AQ:$AQ,$B292,'Balance Sheet Detail'!$V:$V)</f>
        <v>5116.3053775571098</v>
      </c>
      <c r="J292" s="667">
        <f>SUM(H292:I292)</f>
        <v>21382.07662750001</v>
      </c>
      <c r="K292" s="132"/>
    </row>
    <row r="293" spans="1:12">
      <c r="A293" s="132"/>
      <c r="B293" s="735" t="s">
        <v>4860</v>
      </c>
      <c r="C293" s="129" t="s">
        <v>4784</v>
      </c>
      <c r="D293" s="697">
        <v>257000</v>
      </c>
      <c r="E293" s="647" t="s">
        <v>1188</v>
      </c>
      <c r="F293" s="662">
        <f>VLOOKUP('Rate Base Detail'!$E293,Allocators!$B$4:$G$14,3,FALSE)</f>
        <v>0.76071990262269951</v>
      </c>
      <c r="G293" s="666"/>
      <c r="H293" s="667">
        <f>SUMIF('Balance Sheet Detail'!$AQ:$AQ,$B293,'Balance Sheet Detail'!$U:$U)</f>
        <v>-12.3578818224741</v>
      </c>
      <c r="I293" s="667">
        <f>SUMIF('Balance Sheet Detail'!$AQ:$AQ,$B293,'Balance Sheet Detail'!$V:$V)</f>
        <v>-3.8871010941925901</v>
      </c>
      <c r="J293" s="667">
        <f>SUM(H293:I293)</f>
        <v>-16.244982916666689</v>
      </c>
      <c r="K293" s="132"/>
    </row>
    <row r="294" spans="1:12">
      <c r="A294" s="132"/>
      <c r="B294" s="735"/>
      <c r="C294" s="129"/>
      <c r="D294" s="697"/>
      <c r="E294" s="647"/>
      <c r="F294" s="662"/>
      <c r="G294" s="666" t="s">
        <v>1180</v>
      </c>
      <c r="H294" s="738">
        <v>0</v>
      </c>
      <c r="I294" s="738">
        <v>0</v>
      </c>
      <c r="J294" s="738">
        <v>0</v>
      </c>
      <c r="K294" s="132"/>
    </row>
    <row r="295" spans="1:12">
      <c r="A295" s="132"/>
      <c r="B295" s="735"/>
      <c r="C295" s="129"/>
      <c r="D295" s="697"/>
      <c r="E295" s="743" t="s">
        <v>44</v>
      </c>
      <c r="F295" s="662" t="s">
        <v>1127</v>
      </c>
      <c r="G295" s="666"/>
      <c r="H295" s="667">
        <f>SUM(H292:H294)</f>
        <v>16253.413368120426</v>
      </c>
      <c r="I295" s="667">
        <f>SUM(I292:I294)</f>
        <v>5112.4182764629168</v>
      </c>
      <c r="J295" s="667">
        <f>SUM(J292:J294)</f>
        <v>21365.831644583344</v>
      </c>
      <c r="K295" s="132"/>
    </row>
    <row r="296" spans="1:12" ht="15">
      <c r="A296" s="132"/>
      <c r="B296" s="735"/>
      <c r="C296" s="129"/>
      <c r="D296" s="697"/>
      <c r="E296" s="647"/>
      <c r="F296" s="662"/>
      <c r="G296" s="666"/>
      <c r="H296" s="669"/>
      <c r="I296" s="669"/>
      <c r="J296" s="669"/>
      <c r="K296" s="132"/>
    </row>
    <row r="297" spans="1:12" ht="15">
      <c r="A297" s="132"/>
      <c r="B297" s="687" t="s">
        <v>713</v>
      </c>
      <c r="C297" s="129"/>
      <c r="D297" s="697"/>
      <c r="E297" s="647"/>
      <c r="F297" s="662"/>
      <c r="G297" s="666"/>
      <c r="H297" s="669"/>
      <c r="I297" s="669"/>
      <c r="J297" s="669"/>
      <c r="K297" s="132"/>
    </row>
    <row r="298" spans="1:12">
      <c r="A298" s="132"/>
      <c r="B298" s="735" t="str">
        <f>+B297</f>
        <v>Marcy South</v>
      </c>
      <c r="C298" s="129" t="s">
        <v>712</v>
      </c>
      <c r="D298" s="697">
        <v>253092</v>
      </c>
      <c r="E298" s="647" t="s">
        <v>1183</v>
      </c>
      <c r="F298" s="662">
        <f>VLOOKUP('Rate Base Detail'!$E298,Allocators!$B$4:$G$14,3,FALSE)</f>
        <v>1</v>
      </c>
      <c r="G298" s="666"/>
      <c r="H298" s="667">
        <f>ROUND($F298*J298,0)</f>
        <v>-11739</v>
      </c>
      <c r="I298" s="667">
        <f>+ROUND(J298-H298,0)</f>
        <v>0</v>
      </c>
      <c r="J298" s="137">
        <f>SUMIF('Balance Sheet Detail'!$C:$C,$D298,'Balance Sheet Detail'!$X:$X)</f>
        <v>-11738.91034875</v>
      </c>
      <c r="K298" s="132"/>
    </row>
    <row r="299" spans="1:12">
      <c r="A299" s="132"/>
      <c r="B299" s="687"/>
      <c r="C299" s="737"/>
      <c r="D299" s="697"/>
      <c r="E299" s="647"/>
      <c r="F299" s="662"/>
      <c r="G299" s="666" t="s">
        <v>1180</v>
      </c>
      <c r="H299" s="738">
        <v>0</v>
      </c>
      <c r="I299" s="738">
        <v>0</v>
      </c>
      <c r="J299" s="738">
        <v>0</v>
      </c>
      <c r="K299" s="132"/>
    </row>
    <row r="300" spans="1:12">
      <c r="A300" s="132"/>
      <c r="B300" s="735"/>
      <c r="C300" s="744"/>
      <c r="D300" s="697"/>
      <c r="E300" s="743" t="s">
        <v>713</v>
      </c>
      <c r="F300" s="662" t="s">
        <v>1127</v>
      </c>
      <c r="G300" s="666"/>
      <c r="H300" s="688">
        <f>SUM(H298:H299)</f>
        <v>-11739</v>
      </c>
      <c r="I300" s="688">
        <f>SUM(I298:I299)</f>
        <v>0</v>
      </c>
      <c r="J300" s="688">
        <f>SUM(J298:J299)</f>
        <v>-11738.91034875</v>
      </c>
      <c r="K300" s="132"/>
    </row>
    <row r="301" spans="1:12">
      <c r="A301" s="132"/>
      <c r="B301" s="132"/>
      <c r="C301" s="666"/>
      <c r="D301" s="697"/>
      <c r="E301" s="132"/>
      <c r="F301" s="662"/>
      <c r="G301" s="666"/>
      <c r="H301" s="688"/>
      <c r="I301" s="688"/>
      <c r="J301" s="688"/>
      <c r="K301" s="132"/>
    </row>
    <row r="302" spans="1:12" ht="15">
      <c r="A302" s="132"/>
      <c r="B302" s="687" t="s">
        <v>914</v>
      </c>
      <c r="C302" s="129"/>
      <c r="D302" s="697"/>
      <c r="E302" s="647"/>
      <c r="F302" s="662"/>
      <c r="G302" s="666" t="s">
        <v>1180</v>
      </c>
      <c r="H302" s="669"/>
      <c r="I302" s="669"/>
      <c r="J302" s="669"/>
      <c r="K302" s="132"/>
    </row>
    <row r="303" spans="1:12">
      <c r="A303" s="132"/>
      <c r="B303" s="735" t="s">
        <v>3764</v>
      </c>
      <c r="C303" s="129" t="s">
        <v>3067</v>
      </c>
      <c r="D303" s="697" t="s">
        <v>914</v>
      </c>
      <c r="E303" s="647"/>
      <c r="F303" s="662"/>
      <c r="G303" s="666" t="s">
        <v>1180</v>
      </c>
      <c r="H303" s="667">
        <f>SUMIF('Balance Sheet Detail'!$AQ:$AQ,$B303,'Balance Sheet Detail'!$U:$U)</f>
        <v>272.32982014879963</v>
      </c>
      <c r="I303" s="667">
        <f>SUMIF('Balance Sheet Detail'!$AQ:$AQ,$B303,'Balance Sheet Detail'!$V:$V)</f>
        <v>60.185222767920095</v>
      </c>
      <c r="J303" s="137">
        <f>SUM(H303:I303)</f>
        <v>332.51504291671972</v>
      </c>
      <c r="K303" s="132"/>
      <c r="L303" s="134"/>
    </row>
    <row r="304" spans="1:12">
      <c r="A304" s="132"/>
      <c r="B304" s="687"/>
      <c r="C304" s="737"/>
      <c r="D304" s="697"/>
      <c r="E304" s="647"/>
      <c r="F304" s="662"/>
      <c r="G304" s="666" t="s">
        <v>1180</v>
      </c>
      <c r="H304" s="738">
        <v>0</v>
      </c>
      <c r="I304" s="738">
        <v>0</v>
      </c>
      <c r="J304" s="738">
        <v>0</v>
      </c>
      <c r="K304" s="132"/>
    </row>
    <row r="305" spans="1:11">
      <c r="E305" s="743" t="s">
        <v>914</v>
      </c>
      <c r="F305" s="662" t="s">
        <v>1127</v>
      </c>
      <c r="G305" s="666"/>
      <c r="H305" s="688">
        <f>SUM(H303:H304)</f>
        <v>272.32982014879963</v>
      </c>
      <c r="I305" s="688">
        <f>SUM(I303:I304)</f>
        <v>60.185222767920095</v>
      </c>
      <c r="J305" s="688">
        <f>SUM(J303:J304)</f>
        <v>332.51504291671972</v>
      </c>
      <c r="K305" s="132"/>
    </row>
    <row r="307" spans="1:11">
      <c r="A307" s="132"/>
      <c r="B307" s="658" t="s">
        <v>1484</v>
      </c>
      <c r="C307" s="737"/>
      <c r="D307" s="697"/>
      <c r="E307" s="647"/>
      <c r="F307" s="662"/>
      <c r="G307" s="666" t="s">
        <v>1180</v>
      </c>
      <c r="H307" s="688"/>
      <c r="I307" s="688"/>
      <c r="J307" s="688"/>
      <c r="K307" s="132"/>
    </row>
    <row r="308" spans="1:11">
      <c r="A308" s="132"/>
      <c r="B308" s="740" t="s">
        <v>3766</v>
      </c>
      <c r="C308" s="129" t="s">
        <v>3067</v>
      </c>
      <c r="D308" s="697" t="s">
        <v>1484</v>
      </c>
      <c r="E308" s="647"/>
      <c r="F308" s="662"/>
      <c r="G308" s="666" t="s">
        <v>1180</v>
      </c>
      <c r="H308" s="667">
        <f>SUMIF('Balance Sheet Detail'!$AQ:$AQ,$B308,'Balance Sheet Detail'!$U:$U)</f>
        <v>699.31633461750005</v>
      </c>
      <c r="I308" s="667">
        <f>SUMIF('Balance Sheet Detail'!$AQ:$AQ,$B308,'Balance Sheet Detail'!$V:$V)</f>
        <v>62.466164965833109</v>
      </c>
      <c r="J308" s="667">
        <f>SUM(H308:I308)</f>
        <v>761.78249958333311</v>
      </c>
      <c r="K308" s="132"/>
    </row>
    <row r="309" spans="1:11">
      <c r="A309" s="132"/>
      <c r="B309" s="740"/>
      <c r="C309" s="129"/>
      <c r="D309" s="697"/>
      <c r="E309" s="647"/>
      <c r="F309" s="662"/>
      <c r="G309" s="666" t="s">
        <v>1180</v>
      </c>
      <c r="H309" s="738">
        <v>0</v>
      </c>
      <c r="I309" s="738">
        <v>0</v>
      </c>
      <c r="J309" s="738">
        <v>0</v>
      </c>
      <c r="K309" s="132"/>
    </row>
    <row r="310" spans="1:11">
      <c r="A310" s="132"/>
      <c r="B310" s="740"/>
      <c r="C310" s="129"/>
      <c r="E310" s="743" t="s">
        <v>1484</v>
      </c>
      <c r="F310" s="662" t="s">
        <v>1127</v>
      </c>
      <c r="G310" s="666"/>
      <c r="H310" s="688">
        <f>SUM(H308:H309)</f>
        <v>699.31633461750005</v>
      </c>
      <c r="I310" s="688">
        <f>SUM(I308:I309)</f>
        <v>62.466164965833109</v>
      </c>
      <c r="J310" s="688">
        <f>SUM(J308:J309)</f>
        <v>761.78249958333311</v>
      </c>
      <c r="K310" s="132"/>
    </row>
    <row r="311" spans="1:11">
      <c r="A311" s="132"/>
      <c r="B311" s="740"/>
      <c r="C311" s="129"/>
      <c r="E311" s="743"/>
      <c r="F311" s="662"/>
      <c r="G311" s="666"/>
      <c r="H311" s="688"/>
      <c r="I311" s="688"/>
      <c r="J311" s="688"/>
      <c r="K311" s="132"/>
    </row>
    <row r="312" spans="1:11" ht="15">
      <c r="A312" s="132"/>
      <c r="B312" s="658" t="s">
        <v>3076</v>
      </c>
      <c r="C312" s="129"/>
      <c r="D312" s="697"/>
      <c r="E312" s="647"/>
      <c r="F312" s="662"/>
      <c r="G312" s="666"/>
      <c r="H312" s="669"/>
      <c r="I312" s="669"/>
      <c r="J312" s="669"/>
      <c r="K312" s="132"/>
    </row>
    <row r="313" spans="1:11">
      <c r="A313" s="132"/>
      <c r="B313" s="735"/>
      <c r="C313" s="129" t="s">
        <v>634</v>
      </c>
      <c r="D313" s="697">
        <v>174110</v>
      </c>
      <c r="E313" s="647" t="s">
        <v>1183</v>
      </c>
      <c r="F313" s="662">
        <f>VLOOKUP('Rate Base Detail'!$E313,Allocators!$B$4:$G$14,3,FALSE)</f>
        <v>1</v>
      </c>
      <c r="G313" s="666"/>
      <c r="H313" s="667">
        <f>ROUND($F313*J313,0)</f>
        <v>547</v>
      </c>
      <c r="I313" s="667">
        <f>+ROUND(J313-H313,0)</f>
        <v>0</v>
      </c>
      <c r="J313" s="137">
        <f>SUMIF('Balance Sheet Detail'!$C:$C,$D313,'Balance Sheet Detail'!$X:$X)</f>
        <v>546.56334541666695</v>
      </c>
      <c r="K313" s="132"/>
    </row>
    <row r="314" spans="1:11">
      <c r="A314" s="132"/>
      <c r="B314" s="735" t="s">
        <v>3770</v>
      </c>
      <c r="C314" s="129" t="s">
        <v>3067</v>
      </c>
      <c r="D314" s="697" t="s">
        <v>635</v>
      </c>
      <c r="E314" s="647"/>
      <c r="F314" s="662"/>
      <c r="G314" s="666"/>
      <c r="H314" s="667">
        <f>SUMIF('Balance Sheet Detail'!$AQ:$AQ,$B314,'Balance Sheet Detail'!$U:$U)</f>
        <v>-4680.6691116666398</v>
      </c>
      <c r="I314" s="667">
        <f>SUMIF('Balance Sheet Detail'!$AQ:$AQ,$B314,'Balance Sheet Detail'!$V:$V)</f>
        <v>0</v>
      </c>
      <c r="J314" s="667">
        <f>SUM(H314:I314)</f>
        <v>-4680.6691116666398</v>
      </c>
      <c r="K314" s="132"/>
    </row>
    <row r="315" spans="1:11">
      <c r="A315" s="132"/>
      <c r="B315" s="687"/>
      <c r="C315" s="737"/>
      <c r="D315" s="697"/>
      <c r="E315" s="647"/>
      <c r="F315" s="662"/>
      <c r="G315" s="666" t="s">
        <v>1180</v>
      </c>
      <c r="H315" s="738">
        <v>0</v>
      </c>
      <c r="I315" s="738">
        <v>0</v>
      </c>
      <c r="J315" s="738">
        <v>0</v>
      </c>
      <c r="K315" s="132"/>
    </row>
    <row r="316" spans="1:11">
      <c r="A316" s="132"/>
      <c r="B316" s="658"/>
      <c r="C316" s="129"/>
      <c r="D316" s="697"/>
      <c r="E316" s="647" t="s">
        <v>429</v>
      </c>
      <c r="F316" s="662" t="s">
        <v>1127</v>
      </c>
      <c r="G316" s="666"/>
      <c r="H316" s="667">
        <f>SUM(H313:H315)</f>
        <v>-4133.6691116666398</v>
      </c>
      <c r="I316" s="667">
        <f>SUM(I313:I315)</f>
        <v>0</v>
      </c>
      <c r="J316" s="667">
        <f>SUM(J313:J315)</f>
        <v>-4134.1057662499725</v>
      </c>
      <c r="K316" s="132"/>
    </row>
    <row r="317" spans="1:11">
      <c r="A317" s="132"/>
      <c r="B317" s="740"/>
      <c r="C317" s="129"/>
      <c r="D317" s="697"/>
      <c r="E317" s="647"/>
      <c r="F317" s="662"/>
      <c r="G317" s="666"/>
      <c r="H317" s="667"/>
      <c r="I317" s="667"/>
      <c r="J317" s="667"/>
      <c r="K317" s="132"/>
    </row>
    <row r="318" spans="1:11">
      <c r="A318" s="132"/>
      <c r="B318" s="658" t="s">
        <v>3822</v>
      </c>
      <c r="C318" s="129"/>
      <c r="D318" s="697"/>
      <c r="E318" s="647"/>
      <c r="F318" s="668"/>
      <c r="G318" s="666"/>
      <c r="H318" s="667"/>
      <c r="I318" s="667"/>
      <c r="J318" s="667"/>
      <c r="K318" s="132"/>
    </row>
    <row r="319" spans="1:11">
      <c r="A319" s="132"/>
      <c r="B319" s="735"/>
      <c r="C319" s="129" t="s">
        <v>1685</v>
      </c>
      <c r="D319" s="697">
        <v>219533</v>
      </c>
      <c r="E319" s="647" t="s">
        <v>1188</v>
      </c>
      <c r="F319" s="662">
        <f>VLOOKUP('Rate Base Detail'!$E319,Allocators!$B$4:$G$14,3,FALSE)</f>
        <v>0.76071990262269951</v>
      </c>
      <c r="G319" s="666"/>
      <c r="H319" s="667">
        <f>ROUND($F319*J319,0)</f>
        <v>1884</v>
      </c>
      <c r="I319" s="667">
        <f>+ROUND(J319-H319,0)</f>
        <v>592</v>
      </c>
      <c r="J319" s="137">
        <f>SUMIF('Balance Sheet Detail'!$C:$C,$D319,'Balance Sheet Detail'!$X:$X)</f>
        <v>2476.2658262499999</v>
      </c>
      <c r="K319" s="132"/>
    </row>
    <row r="320" spans="1:11">
      <c r="A320" s="132"/>
      <c r="B320" s="735"/>
      <c r="C320" s="129" t="s">
        <v>2374</v>
      </c>
      <c r="D320" s="697">
        <v>219537</v>
      </c>
      <c r="E320" s="647" t="s">
        <v>1188</v>
      </c>
      <c r="F320" s="662">
        <f>VLOOKUP('Rate Base Detail'!$E320,Allocators!$B$4:$G$14,3,FALSE)</f>
        <v>0.76071990262269951</v>
      </c>
      <c r="G320" s="666"/>
      <c r="H320" s="667">
        <f>ROUND($F320*J320,0)</f>
        <v>-459</v>
      </c>
      <c r="I320" s="667">
        <f>+ROUND(J320-H320,0)</f>
        <v>-144</v>
      </c>
      <c r="J320" s="137">
        <f>SUMIF('Balance Sheet Detail'!$C:$C,$D320,'Balance Sheet Detail'!$X:$X)</f>
        <v>-603.43924916666697</v>
      </c>
      <c r="K320" s="132"/>
    </row>
    <row r="321" spans="1:12">
      <c r="A321" s="132"/>
      <c r="B321" s="735"/>
      <c r="C321" s="129" t="s">
        <v>3823</v>
      </c>
      <c r="D321" s="697"/>
      <c r="E321" s="647"/>
      <c r="F321" s="662"/>
      <c r="G321" s="666"/>
      <c r="H321" s="667">
        <f>-SUM(H319:H320)</f>
        <v>-1425</v>
      </c>
      <c r="I321" s="667">
        <f>-SUM(I319:I320)</f>
        <v>-448</v>
      </c>
      <c r="J321" s="667">
        <f>-SUM(J319:J320)</f>
        <v>-1872.8265770833329</v>
      </c>
      <c r="K321" s="132"/>
    </row>
    <row r="322" spans="1:12">
      <c r="A322" s="132"/>
      <c r="B322" s="740"/>
      <c r="C322" s="129"/>
      <c r="D322" s="697"/>
      <c r="E322" s="647"/>
      <c r="F322" s="662"/>
      <c r="G322" s="666" t="s">
        <v>1180</v>
      </c>
      <c r="H322" s="738">
        <v>0</v>
      </c>
      <c r="I322" s="738">
        <v>0</v>
      </c>
      <c r="J322" s="738">
        <v>0</v>
      </c>
      <c r="K322" s="132"/>
    </row>
    <row r="323" spans="1:12">
      <c r="A323" s="132"/>
      <c r="B323" s="740"/>
      <c r="C323" s="129"/>
      <c r="D323" s="697"/>
      <c r="E323" s="743" t="s">
        <v>3822</v>
      </c>
      <c r="F323" s="662" t="s">
        <v>1127</v>
      </c>
      <c r="G323" s="666"/>
      <c r="H323" s="688">
        <f>SUM(H319:H322)</f>
        <v>0</v>
      </c>
      <c r="I323" s="688">
        <f>SUM(I319:I322)</f>
        <v>0</v>
      </c>
      <c r="J323" s="688">
        <f>SUM(J319:J322)</f>
        <v>0</v>
      </c>
      <c r="K323" s="132"/>
    </row>
    <row r="324" spans="1:12">
      <c r="A324" s="132"/>
      <c r="B324" s="740"/>
      <c r="C324" s="129"/>
      <c r="D324" s="697"/>
      <c r="E324" s="743"/>
      <c r="F324" s="662"/>
      <c r="G324" s="666"/>
      <c r="H324" s="688"/>
      <c r="I324" s="688"/>
      <c r="J324" s="688"/>
      <c r="K324" s="132"/>
    </row>
    <row r="325" spans="1:12">
      <c r="A325" s="132"/>
      <c r="B325" s="658" t="s">
        <v>4418</v>
      </c>
      <c r="C325" s="129"/>
      <c r="D325" s="697"/>
      <c r="E325" s="647"/>
      <c r="F325" s="662"/>
      <c r="G325" s="666"/>
      <c r="H325" s="667"/>
      <c r="I325" s="667"/>
      <c r="J325" s="667"/>
      <c r="K325" s="132"/>
    </row>
    <row r="326" spans="1:12" ht="15">
      <c r="A326" s="132"/>
      <c r="B326" s="735" t="s">
        <v>4521</v>
      </c>
      <c r="C326" s="129" t="s">
        <v>3067</v>
      </c>
      <c r="D326" s="697" t="s">
        <v>4418</v>
      </c>
      <c r="E326" s="647"/>
      <c r="F326" s="662"/>
      <c r="G326" s="666"/>
      <c r="H326" s="667">
        <f>SUMIF('Balance Sheet Detail'!$AQ:$AQ,$B326,'Balance Sheet Detail'!$U:$U)</f>
        <v>0</v>
      </c>
      <c r="I326" s="667">
        <f>SUMIF('Balance Sheet Detail'!$AQ:$AQ,$B326,'Balance Sheet Detail'!$V:$V)</f>
        <v>-137.07979166666701</v>
      </c>
      <c r="J326" s="667">
        <f>SUM(H326:I326)</f>
        <v>-137.07979166666701</v>
      </c>
      <c r="K326" s="742"/>
      <c r="L326" s="134"/>
    </row>
    <row r="327" spans="1:12">
      <c r="A327" s="132"/>
      <c r="B327" s="740"/>
      <c r="C327" s="129"/>
      <c r="D327" s="697"/>
      <c r="E327" s="647"/>
      <c r="F327" s="662"/>
      <c r="G327" s="666" t="s">
        <v>1180</v>
      </c>
      <c r="H327" s="738">
        <v>0</v>
      </c>
      <c r="I327" s="738">
        <v>0</v>
      </c>
      <c r="J327" s="738">
        <v>0</v>
      </c>
      <c r="K327" s="132"/>
    </row>
    <row r="328" spans="1:12">
      <c r="A328" s="132"/>
      <c r="B328" s="740"/>
      <c r="C328" s="129"/>
      <c r="D328" s="697"/>
      <c r="E328" s="743" t="s">
        <v>4418</v>
      </c>
      <c r="F328" s="662" t="s">
        <v>1127</v>
      </c>
      <c r="G328" s="666"/>
      <c r="H328" s="688">
        <f>SUM(H326:H327)</f>
        <v>0</v>
      </c>
      <c r="I328" s="688">
        <f>SUM(I326:I327)</f>
        <v>-137.07979166666701</v>
      </c>
      <c r="J328" s="688">
        <f>SUM(J326:J327)</f>
        <v>-137.07979166666701</v>
      </c>
      <c r="K328" s="132"/>
    </row>
    <row r="329" spans="1:12">
      <c r="A329" s="132"/>
      <c r="B329" s="740"/>
      <c r="C329" s="129"/>
      <c r="D329" s="697"/>
      <c r="E329" s="647"/>
      <c r="F329" s="662"/>
      <c r="G329" s="666"/>
      <c r="H329" s="688"/>
      <c r="I329" s="688"/>
      <c r="J329" s="688"/>
      <c r="K329" s="132"/>
    </row>
    <row r="330" spans="1:12">
      <c r="A330" s="132"/>
      <c r="B330" s="658" t="s">
        <v>3824</v>
      </c>
      <c r="C330" s="129"/>
      <c r="D330" s="697"/>
      <c r="E330" s="647"/>
      <c r="F330" s="668"/>
      <c r="G330" s="666"/>
      <c r="H330" s="667"/>
      <c r="I330" s="667"/>
      <c r="J330" s="667"/>
      <c r="K330" s="132"/>
    </row>
    <row r="331" spans="1:12">
      <c r="A331" s="132"/>
      <c r="B331" s="735"/>
      <c r="C331" s="129" t="s">
        <v>1928</v>
      </c>
      <c r="D331" s="697">
        <v>253230</v>
      </c>
      <c r="E331" s="647" t="s">
        <v>1553</v>
      </c>
      <c r="F331" s="662">
        <f>VLOOKUP('Rate Base Detail'!$E331,Allocators!$B$4:$G$14,3,FALSE)</f>
        <v>0.81899999999999995</v>
      </c>
      <c r="G331" s="666"/>
      <c r="H331" s="667">
        <f>ROUND($F331*J331,0)</f>
        <v>-2773</v>
      </c>
      <c r="I331" s="667">
        <f>+ROUND(J331-H331,0)</f>
        <v>-613</v>
      </c>
      <c r="J331" s="137">
        <f>SUMIF('Balance Sheet Detail'!$C:$C,$D331,'Balance Sheet Detail'!$X:$X)</f>
        <v>-3386.0786775000001</v>
      </c>
      <c r="K331" s="132"/>
    </row>
    <row r="332" spans="1:12">
      <c r="A332" s="132"/>
      <c r="B332" s="740"/>
      <c r="C332" s="129" t="s">
        <v>3825</v>
      </c>
      <c r="D332" s="697"/>
      <c r="E332" s="647"/>
      <c r="F332" s="662"/>
      <c r="G332" s="666"/>
      <c r="H332" s="688">
        <f>-H331</f>
        <v>2773</v>
      </c>
      <c r="I332" s="688">
        <f>-I331</f>
        <v>613</v>
      </c>
      <c r="J332" s="688">
        <f>-J331</f>
        <v>3386.0786775000001</v>
      </c>
      <c r="K332" s="132"/>
      <c r="L332" s="134"/>
    </row>
    <row r="333" spans="1:12">
      <c r="A333" s="132"/>
      <c r="B333" s="740"/>
      <c r="C333" s="129"/>
      <c r="D333" s="697"/>
      <c r="E333" s="647"/>
      <c r="F333" s="662"/>
      <c r="G333" s="666" t="s">
        <v>1180</v>
      </c>
      <c r="H333" s="738">
        <v>0</v>
      </c>
      <c r="I333" s="738">
        <v>0</v>
      </c>
      <c r="J333" s="738">
        <v>0</v>
      </c>
      <c r="K333" s="132"/>
    </row>
    <row r="334" spans="1:12">
      <c r="A334" s="132"/>
      <c r="B334" s="740"/>
      <c r="C334" s="129"/>
      <c r="D334" s="697"/>
      <c r="E334" s="743" t="s">
        <v>3824</v>
      </c>
      <c r="F334" s="662" t="s">
        <v>1127</v>
      </c>
      <c r="G334" s="666"/>
      <c r="H334" s="688">
        <f>SUM(H330:H333)</f>
        <v>0</v>
      </c>
      <c r="I334" s="688">
        <f>SUM(I330:I333)</f>
        <v>0</v>
      </c>
      <c r="J334" s="688">
        <f>SUM(J330:J333)</f>
        <v>0</v>
      </c>
      <c r="K334" s="132"/>
    </row>
    <row r="335" spans="1:12">
      <c r="A335" s="132"/>
      <c r="B335" s="740"/>
      <c r="C335" s="129"/>
      <c r="D335" s="697"/>
      <c r="E335" s="647"/>
      <c r="F335" s="662"/>
      <c r="G335" s="666"/>
      <c r="H335" s="688"/>
      <c r="I335" s="688"/>
      <c r="J335" s="688"/>
      <c r="K335" s="132"/>
    </row>
    <row r="336" spans="1:12">
      <c r="A336" s="132"/>
      <c r="B336" s="658" t="s">
        <v>1665</v>
      </c>
      <c r="C336" s="129"/>
      <c r="D336" s="697"/>
      <c r="E336" s="647"/>
      <c r="F336" s="662"/>
      <c r="G336" s="666"/>
      <c r="H336" s="667"/>
      <c r="I336" s="667"/>
      <c r="J336" s="667"/>
      <c r="K336" s="132"/>
    </row>
    <row r="337" spans="1:12" ht="15">
      <c r="A337" s="132"/>
      <c r="B337" s="735" t="s">
        <v>3769</v>
      </c>
      <c r="C337" s="129" t="s">
        <v>3067</v>
      </c>
      <c r="D337" s="697" t="s">
        <v>1665</v>
      </c>
      <c r="E337" s="647"/>
      <c r="F337" s="662"/>
      <c r="G337" s="666"/>
      <c r="H337" s="667">
        <f>SUMIF('Balance Sheet Detail'!$AQ:$AQ,$B337,'Balance Sheet Detail'!$U:$U)</f>
        <v>26.860700000000001</v>
      </c>
      <c r="I337" s="667">
        <f>SUMIF('Balance Sheet Detail'!$AQ:$AQ,$B337,'Balance Sheet Detail'!$V:$V)</f>
        <v>0</v>
      </c>
      <c r="J337" s="667">
        <f>SUM(H337:I337)</f>
        <v>26.860700000000001</v>
      </c>
      <c r="K337" s="742"/>
      <c r="L337" s="134"/>
    </row>
    <row r="338" spans="1:12">
      <c r="A338" s="132"/>
      <c r="B338" s="740"/>
      <c r="C338" s="129"/>
      <c r="D338" s="697"/>
      <c r="E338" s="647"/>
      <c r="F338" s="662"/>
      <c r="G338" s="666" t="s">
        <v>1180</v>
      </c>
      <c r="H338" s="738">
        <v>0</v>
      </c>
      <c r="I338" s="738">
        <v>0</v>
      </c>
      <c r="J338" s="738">
        <v>0</v>
      </c>
      <c r="K338" s="132"/>
    </row>
    <row r="339" spans="1:12">
      <c r="A339" s="132"/>
      <c r="B339" s="740"/>
      <c r="C339" s="129"/>
      <c r="D339" s="697"/>
      <c r="E339" s="743" t="s">
        <v>1665</v>
      </c>
      <c r="F339" s="662" t="s">
        <v>1127</v>
      </c>
      <c r="G339" s="666"/>
      <c r="H339" s="688">
        <f>SUM(H337:H338)</f>
        <v>26.860700000000001</v>
      </c>
      <c r="I339" s="688">
        <f>SUM(I337:I338)</f>
        <v>0</v>
      </c>
      <c r="J339" s="688">
        <f>SUM(J337:J338)</f>
        <v>26.860700000000001</v>
      </c>
      <c r="K339" s="132"/>
    </row>
    <row r="340" spans="1:12">
      <c r="A340" s="132"/>
      <c r="B340" s="658"/>
      <c r="C340" s="132"/>
      <c r="D340" s="697"/>
      <c r="E340" s="660"/>
      <c r="F340" s="660"/>
      <c r="G340" s="666" t="s">
        <v>1180</v>
      </c>
      <c r="H340" s="660"/>
      <c r="I340" s="660"/>
      <c r="J340" s="660"/>
      <c r="K340" s="132"/>
    </row>
    <row r="341" spans="1:12">
      <c r="A341" s="132"/>
      <c r="B341" s="687" t="s">
        <v>3073</v>
      </c>
      <c r="C341" s="737"/>
      <c r="D341" s="697"/>
      <c r="E341" s="647"/>
      <c r="F341" s="662"/>
      <c r="G341" s="666" t="s">
        <v>1180</v>
      </c>
      <c r="H341" s="688"/>
      <c r="I341" s="688"/>
      <c r="J341" s="688"/>
      <c r="K341" s="132"/>
    </row>
    <row r="342" spans="1:12">
      <c r="A342" s="132"/>
      <c r="B342" s="735" t="s">
        <v>3767</v>
      </c>
      <c r="C342" s="129" t="s">
        <v>2367</v>
      </c>
      <c r="D342" s="697">
        <v>228310</v>
      </c>
      <c r="E342" s="647" t="s">
        <v>1553</v>
      </c>
      <c r="F342" s="662">
        <f>VLOOKUP('Rate Base Detail'!$E342,Allocators!$B$4:$G$14,3,FALSE)</f>
        <v>0.81899999999999995</v>
      </c>
      <c r="G342" s="666" t="s">
        <v>1180</v>
      </c>
      <c r="H342" s="667">
        <f>ROUND($F342*J342,0)</f>
        <v>-78546</v>
      </c>
      <c r="I342" s="667">
        <f>+ROUND(J342-H342,0)</f>
        <v>-17359</v>
      </c>
      <c r="J342" s="137">
        <f>SUMIF('Balance Sheet Detail'!$C:$C,$D342,'Balance Sheet Detail'!$X:$X)</f>
        <v>-95905.254007083306</v>
      </c>
      <c r="K342" s="132"/>
    </row>
    <row r="343" spans="1:12">
      <c r="A343" s="132"/>
      <c r="B343" s="735" t="s">
        <v>3768</v>
      </c>
      <c r="C343" s="129" t="s">
        <v>3067</v>
      </c>
      <c r="D343" s="697" t="s">
        <v>170</v>
      </c>
      <c r="E343" s="647"/>
      <c r="F343" s="662"/>
      <c r="G343" s="666"/>
      <c r="H343" s="667">
        <f>SUMIF('Balance Sheet Detail'!$AQ:$AQ,$B343,'Balance Sheet Detail'!$U:$U)</f>
        <v>-35233.702245105</v>
      </c>
      <c r="I343" s="667">
        <f>SUMIF('Balance Sheet Detail'!$AQ:$AQ,$B343,'Balance Sheet Detail'!$V:$V)</f>
        <v>-7786.6912165616704</v>
      </c>
      <c r="J343" s="667">
        <f>SUM(H343:I343)</f>
        <v>-43020.393461666667</v>
      </c>
      <c r="K343" s="132"/>
    </row>
    <row r="344" spans="1:12" ht="15">
      <c r="A344" s="132"/>
      <c r="B344" s="658"/>
      <c r="C344" s="129"/>
      <c r="D344" s="697"/>
      <c r="E344" s="647"/>
      <c r="F344" s="662"/>
      <c r="G344" s="666"/>
      <c r="H344" s="669">
        <v>0</v>
      </c>
      <c r="I344" s="669">
        <v>0</v>
      </c>
      <c r="J344" s="669">
        <v>0</v>
      </c>
      <c r="K344" s="132"/>
    </row>
    <row r="345" spans="1:12">
      <c r="A345" s="132"/>
      <c r="B345" s="658"/>
      <c r="C345" s="737"/>
      <c r="D345" s="697"/>
      <c r="E345" s="647" t="s">
        <v>3074</v>
      </c>
      <c r="F345" s="736" t="s">
        <v>1127</v>
      </c>
      <c r="G345" s="666" t="s">
        <v>1180</v>
      </c>
      <c r="H345" s="688">
        <f>SUM(H342:H344)</f>
        <v>-113779.702245105</v>
      </c>
      <c r="I345" s="688">
        <f>SUM(I342:I344)</f>
        <v>-25145.69121656167</v>
      </c>
      <c r="J345" s="688">
        <f>SUM(J342:J344)</f>
        <v>-138925.64746874996</v>
      </c>
      <c r="K345" s="132"/>
    </row>
    <row r="346" spans="1:12">
      <c r="A346" s="132"/>
      <c r="B346" s="658"/>
      <c r="C346" s="737"/>
      <c r="D346" s="697"/>
      <c r="E346" s="647"/>
      <c r="F346" s="736"/>
      <c r="G346" s="666"/>
      <c r="H346" s="688"/>
      <c r="I346" s="688"/>
      <c r="J346" s="688"/>
      <c r="K346" s="132"/>
    </row>
    <row r="347" spans="1:12">
      <c r="A347" s="132"/>
      <c r="B347" s="658" t="s">
        <v>763</v>
      </c>
      <c r="C347" s="129"/>
      <c r="D347" s="697"/>
      <c r="E347" s="647"/>
      <c r="F347" s="662"/>
      <c r="G347" s="666"/>
      <c r="H347" s="667"/>
      <c r="I347" s="667"/>
      <c r="J347" s="667"/>
      <c r="K347" s="132"/>
    </row>
    <row r="348" spans="1:12">
      <c r="A348" s="132"/>
      <c r="B348" s="735" t="s">
        <v>3775</v>
      </c>
      <c r="C348" s="129" t="s">
        <v>3067</v>
      </c>
      <c r="D348" s="697" t="s">
        <v>763</v>
      </c>
      <c r="E348" s="647"/>
      <c r="F348" s="662"/>
      <c r="G348" s="666"/>
      <c r="H348" s="667">
        <f>SUMIF('Balance Sheet Detail'!$AQ:$AQ,$B348,'Balance Sheet Detail'!$U:$U)</f>
        <v>-13654.55565</v>
      </c>
      <c r="I348" s="667">
        <f>SUMIF('Balance Sheet Detail'!$AQ:$AQ,$B348,'Balance Sheet Detail'!$V:$V)</f>
        <v>231.48803999999799</v>
      </c>
      <c r="J348" s="667">
        <f>SUM(H348:I348)</f>
        <v>-13423.067610000002</v>
      </c>
      <c r="K348" s="132"/>
    </row>
    <row r="349" spans="1:12" ht="15">
      <c r="E349" s="647"/>
      <c r="F349" s="662"/>
      <c r="G349" s="666"/>
      <c r="H349" s="669">
        <v>0</v>
      </c>
      <c r="I349" s="669">
        <v>0</v>
      </c>
      <c r="J349" s="669">
        <v>0</v>
      </c>
      <c r="K349" s="132"/>
    </row>
    <row r="350" spans="1:12">
      <c r="E350" s="743" t="s">
        <v>763</v>
      </c>
      <c r="F350" s="736" t="s">
        <v>1127</v>
      </c>
      <c r="G350" s="666" t="s">
        <v>1180</v>
      </c>
      <c r="H350" s="688">
        <f>SUM(H347:H349)</f>
        <v>-13654.55565</v>
      </c>
      <c r="I350" s="688">
        <f>SUM(I347:I349)</f>
        <v>231.48803999999799</v>
      </c>
      <c r="J350" s="688">
        <f>SUM(J347:J349)</f>
        <v>-13423.067610000002</v>
      </c>
      <c r="K350" s="132"/>
    </row>
    <row r="352" spans="1:12">
      <c r="B352" s="745" t="s">
        <v>4355</v>
      </c>
    </row>
    <row r="353" spans="1:11">
      <c r="A353" s="132"/>
      <c r="B353" s="735" t="s">
        <v>4356</v>
      </c>
      <c r="C353" s="129" t="s">
        <v>2321</v>
      </c>
      <c r="D353" s="697">
        <v>183010</v>
      </c>
      <c r="E353" s="647" t="s">
        <v>1183</v>
      </c>
      <c r="F353" s="662">
        <f>VLOOKUP('Rate Base Detail'!$E353,Allocators!$B$4:$G$14,3,FALSE)</f>
        <v>1</v>
      </c>
      <c r="G353" s="666"/>
      <c r="H353" s="667">
        <f>SUMIF('Balance Sheet Detail'!$AQ:$AQ,$B353,'Balance Sheet Detail'!$U:$U)</f>
        <v>1144.5832275</v>
      </c>
      <c r="I353" s="667">
        <f>SUMIF('Balance Sheet Detail'!$AQ:$AQ,$B353,'Balance Sheet Detail'!$V:$V)</f>
        <v>136.44978458333301</v>
      </c>
      <c r="J353" s="667">
        <f>SUM(H353:I353)</f>
        <v>1281.033012083333</v>
      </c>
      <c r="K353" s="132"/>
    </row>
    <row r="354" spans="1:11" ht="15">
      <c r="A354" s="132"/>
      <c r="B354" s="735" t="s">
        <v>4356</v>
      </c>
      <c r="C354" s="129" t="s">
        <v>590</v>
      </c>
      <c r="D354" s="697">
        <v>183030</v>
      </c>
      <c r="E354" s="647" t="s">
        <v>1184</v>
      </c>
      <c r="F354" s="662">
        <f>VLOOKUP('Rate Base Detail'!$E354,Allocators!$B$4:$G$14,3,FALSE)</f>
        <v>0</v>
      </c>
      <c r="G354" s="666"/>
      <c r="H354" s="669">
        <v>0</v>
      </c>
      <c r="I354" s="669">
        <v>0</v>
      </c>
      <c r="J354" s="669">
        <v>0</v>
      </c>
      <c r="K354" s="132"/>
    </row>
    <row r="355" spans="1:11">
      <c r="E355" s="743" t="s">
        <v>1811</v>
      </c>
      <c r="F355" s="736" t="s">
        <v>1127</v>
      </c>
      <c r="G355" s="666"/>
      <c r="H355" s="688">
        <f>SUM(H352:H354)</f>
        <v>1144.5832275</v>
      </c>
      <c r="I355" s="688">
        <f>SUM(I352:I354)</f>
        <v>136.44978458333301</v>
      </c>
      <c r="J355" s="688">
        <f>SUM(J352:J354)</f>
        <v>1281.033012083333</v>
      </c>
      <c r="K355" s="132"/>
    </row>
    <row r="357" spans="1:11">
      <c r="A357" s="132"/>
      <c r="B357" s="658" t="s">
        <v>815</v>
      </c>
      <c r="C357" s="129"/>
      <c r="D357" s="697"/>
      <c r="E357" s="647"/>
      <c r="F357" s="662"/>
      <c r="G357" s="666"/>
      <c r="H357" s="667"/>
      <c r="I357" s="667"/>
      <c r="J357" s="667"/>
      <c r="K357" s="132"/>
    </row>
    <row r="358" spans="1:11">
      <c r="A358" s="132"/>
      <c r="B358" s="735" t="s">
        <v>3776</v>
      </c>
      <c r="C358" s="129" t="s">
        <v>3067</v>
      </c>
      <c r="D358" s="697" t="s">
        <v>815</v>
      </c>
      <c r="E358" s="647"/>
      <c r="F358" s="662"/>
      <c r="G358" s="666"/>
      <c r="H358" s="667">
        <f>SUMIF('Balance Sheet Detail'!$AQ:$AQ,$B358,'Balance Sheet Detail'!$U:$U)</f>
        <v>0</v>
      </c>
      <c r="I358" s="667">
        <f>SUMIF('Balance Sheet Detail'!$AQ:$AQ,$B358,'Balance Sheet Detail'!$V:$V)</f>
        <v>20.378355000000091</v>
      </c>
      <c r="J358" s="667">
        <f>SUM(H358:I358)</f>
        <v>20.378355000000091</v>
      </c>
      <c r="K358" s="132"/>
    </row>
    <row r="359" spans="1:11" ht="15">
      <c r="E359" s="647"/>
      <c r="F359" s="662"/>
      <c r="G359" s="666"/>
      <c r="H359" s="669">
        <v>0</v>
      </c>
      <c r="I359" s="669">
        <v>0</v>
      </c>
      <c r="J359" s="669">
        <v>0</v>
      </c>
      <c r="K359" s="132"/>
    </row>
    <row r="360" spans="1:11">
      <c r="E360" s="743" t="s">
        <v>815</v>
      </c>
      <c r="F360" s="736" t="s">
        <v>1127</v>
      </c>
      <c r="G360" s="666" t="s">
        <v>1180</v>
      </c>
      <c r="H360" s="688">
        <f>SUM(H357:H359)</f>
        <v>0</v>
      </c>
      <c r="I360" s="688">
        <f>SUM(I357:I359)</f>
        <v>20.378355000000091</v>
      </c>
      <c r="J360" s="688">
        <f>SUM(J357:J359)</f>
        <v>20.378355000000091</v>
      </c>
      <c r="K360" s="132"/>
    </row>
    <row r="362" spans="1:11">
      <c r="A362" s="132"/>
      <c r="B362" s="658" t="s">
        <v>1844</v>
      </c>
      <c r="C362" s="129"/>
      <c r="D362" s="697"/>
      <c r="E362" s="647"/>
      <c r="F362" s="662"/>
      <c r="G362" s="666"/>
      <c r="H362" s="667"/>
      <c r="I362" s="667"/>
      <c r="J362" s="667"/>
      <c r="K362" s="132"/>
    </row>
    <row r="363" spans="1:11">
      <c r="A363" s="132"/>
      <c r="B363" s="735" t="s">
        <v>3777</v>
      </c>
      <c r="C363" s="129" t="s">
        <v>3067</v>
      </c>
      <c r="D363" s="697" t="s">
        <v>1844</v>
      </c>
      <c r="E363" s="647"/>
      <c r="F363" s="662"/>
      <c r="G363" s="666"/>
      <c r="H363" s="667">
        <f>SUMIF('Balance Sheet Detail'!$AQ:$AQ,$B363,'Balance Sheet Detail'!$U:$U)</f>
        <v>145.21123125</v>
      </c>
      <c r="I363" s="667">
        <f>SUMIF('Balance Sheet Detail'!$AQ:$AQ,$B363,'Balance Sheet Detail'!$V:$V)</f>
        <v>-43.919492083333303</v>
      </c>
      <c r="J363" s="667">
        <f>SUM(H363:I363)</f>
        <v>101.2917391666667</v>
      </c>
      <c r="K363" s="132"/>
    </row>
    <row r="364" spans="1:11">
      <c r="A364" s="132"/>
      <c r="B364" s="735"/>
      <c r="C364" s="129" t="s">
        <v>4615</v>
      </c>
      <c r="D364" s="697">
        <v>174210</v>
      </c>
      <c r="E364" s="647" t="s">
        <v>1183</v>
      </c>
      <c r="F364" s="662">
        <f>VLOOKUP('Rate Base Detail'!$E364,Allocators!$B$4:$G$14,3,FALSE)</f>
        <v>1</v>
      </c>
      <c r="G364" s="666"/>
      <c r="H364" s="667">
        <f>((SUM('NYSEG PSC Assess Liab'!$H54:$T54)-('NYSEG PSC Assess Liab'!$H54+'NYSEG PSC Assess Liab'!$T54)/2)/12)/1000</f>
        <v>236.33289250000004</v>
      </c>
      <c r="I364" s="667">
        <v>0</v>
      </c>
      <c r="J364" s="667">
        <f>SUM(H364:I364)</f>
        <v>236.33289250000004</v>
      </c>
      <c r="K364" s="132"/>
    </row>
    <row r="365" spans="1:11">
      <c r="A365" s="132"/>
      <c r="B365" s="735"/>
      <c r="C365" s="129" t="s">
        <v>4615</v>
      </c>
      <c r="D365" s="697">
        <v>174220</v>
      </c>
      <c r="E365" s="647" t="s">
        <v>1184</v>
      </c>
      <c r="F365" s="662">
        <f>VLOOKUP('Rate Base Detail'!$E365,Allocators!$B$4:$G$14,3,FALSE)</f>
        <v>0</v>
      </c>
      <c r="G365" s="666"/>
      <c r="H365" s="667">
        <v>0</v>
      </c>
      <c r="I365" s="667">
        <f>((SUM('NYSEG PSC Assess Liab'!$H60:$T60)-('NYSEG PSC Assess Liab'!$H60+'NYSEG PSC Assess Liab'!$T60)/2)/12)/1000</f>
        <v>-94.812804999999997</v>
      </c>
      <c r="J365" s="667">
        <f>SUM(H365:I365)</f>
        <v>-94.812804999999997</v>
      </c>
      <c r="K365" s="132"/>
    </row>
    <row r="366" spans="1:11" ht="15">
      <c r="E366" s="647"/>
      <c r="F366" s="662"/>
      <c r="G366" s="666"/>
      <c r="H366" s="669">
        <v>0</v>
      </c>
      <c r="I366" s="669">
        <v>0</v>
      </c>
      <c r="J366" s="669">
        <v>0</v>
      </c>
      <c r="K366" s="132"/>
    </row>
    <row r="367" spans="1:11">
      <c r="E367" s="743" t="s">
        <v>1844</v>
      </c>
      <c r="F367" s="736" t="s">
        <v>1127</v>
      </c>
      <c r="G367" s="666" t="s">
        <v>1180</v>
      </c>
      <c r="H367" s="688">
        <f>SUM(H362:H366)</f>
        <v>381.54412375000004</v>
      </c>
      <c r="I367" s="688">
        <f>SUM(I362:I366)</f>
        <v>-138.73229708333329</v>
      </c>
      <c r="J367" s="688">
        <f>SUM(J362:J366)</f>
        <v>242.81182666666675</v>
      </c>
      <c r="K367" s="132"/>
    </row>
    <row r="368" spans="1:11">
      <c r="E368" s="743"/>
      <c r="F368" s="736"/>
      <c r="G368" s="666"/>
      <c r="H368" s="688"/>
      <c r="I368" s="688"/>
      <c r="J368" s="688"/>
      <c r="K368" s="132"/>
    </row>
    <row r="369" spans="1:11">
      <c r="A369" s="132"/>
      <c r="B369" s="658" t="s">
        <v>2858</v>
      </c>
      <c r="C369" s="746"/>
      <c r="D369" s="697"/>
      <c r="E369" s="647"/>
      <c r="F369" s="662"/>
      <c r="G369" s="666"/>
      <c r="H369" s="131"/>
      <c r="I369" s="131"/>
      <c r="J369" s="138"/>
      <c r="K369" s="132"/>
    </row>
    <row r="370" spans="1:11">
      <c r="A370" s="132"/>
      <c r="B370" s="735" t="s">
        <v>3778</v>
      </c>
      <c r="C370" s="129" t="s">
        <v>3067</v>
      </c>
      <c r="D370" s="697" t="s">
        <v>2858</v>
      </c>
      <c r="E370" s="647"/>
      <c r="F370" s="662"/>
      <c r="G370" s="666"/>
      <c r="H370" s="667">
        <f>SUMIF('Balance Sheet Detail'!$AQ:$AQ,$B370,'Balance Sheet Detail'!$U:$U)</f>
        <v>-810.62223625000047</v>
      </c>
      <c r="I370" s="667">
        <f>SUMIF('Balance Sheet Detail'!$AQ:$AQ,$B370,'Balance Sheet Detail'!$V:$V)</f>
        <v>-106.27664208333371</v>
      </c>
      <c r="J370" s="667">
        <f>SUM(H370:I370)</f>
        <v>-916.89887833333421</v>
      </c>
      <c r="K370" s="132"/>
    </row>
    <row r="371" spans="1:11" ht="15">
      <c r="E371" s="647"/>
      <c r="F371" s="662"/>
      <c r="G371" s="666"/>
      <c r="H371" s="669">
        <v>0</v>
      </c>
      <c r="I371" s="669">
        <v>0</v>
      </c>
      <c r="J371" s="669">
        <v>0</v>
      </c>
      <c r="K371" s="132"/>
    </row>
    <row r="372" spans="1:11">
      <c r="E372" s="743" t="s">
        <v>2858</v>
      </c>
      <c r="F372" s="736" t="s">
        <v>1127</v>
      </c>
      <c r="G372" s="666" t="s">
        <v>1180</v>
      </c>
      <c r="H372" s="688">
        <f>SUM(H369:H371)</f>
        <v>-810.62223625000047</v>
      </c>
      <c r="I372" s="688">
        <f>SUM(I369:I371)</f>
        <v>-106.27664208333371</v>
      </c>
      <c r="J372" s="688">
        <f>SUM(J369:J371)</f>
        <v>-916.89887833333421</v>
      </c>
      <c r="K372" s="132"/>
    </row>
    <row r="373" spans="1:11">
      <c r="A373" s="132"/>
      <c r="B373" s="658"/>
      <c r="C373" s="737"/>
      <c r="D373" s="697"/>
      <c r="E373" s="647"/>
      <c r="F373" s="736"/>
      <c r="G373" s="666"/>
      <c r="H373" s="688"/>
      <c r="I373" s="688"/>
      <c r="J373" s="688"/>
      <c r="K373" s="132"/>
    </row>
    <row r="374" spans="1:11">
      <c r="A374" s="132"/>
      <c r="B374" s="658" t="s">
        <v>341</v>
      </c>
      <c r="C374" s="129"/>
      <c r="D374" s="697"/>
      <c r="E374" s="647"/>
      <c r="F374" s="662"/>
      <c r="G374" s="666"/>
      <c r="H374" s="131"/>
      <c r="I374" s="131"/>
      <c r="J374" s="138"/>
      <c r="K374" s="132"/>
    </row>
    <row r="375" spans="1:11">
      <c r="A375" s="132"/>
      <c r="B375" s="735" t="s">
        <v>3779</v>
      </c>
      <c r="C375" s="129" t="s">
        <v>3067</v>
      </c>
      <c r="D375" s="697" t="s">
        <v>341</v>
      </c>
      <c r="E375" s="647"/>
      <c r="F375" s="662"/>
      <c r="G375" s="666"/>
      <c r="H375" s="667">
        <f>SUMIF('Balance Sheet Detail'!$AQ:$AQ,$B375,'Balance Sheet Detail'!$U:$U)</f>
        <v>0</v>
      </c>
      <c r="I375" s="667">
        <f>SUMIF('Balance Sheet Detail'!$AQ:$AQ,$B375,'Balance Sheet Detail'!$V:$V)</f>
        <v>0</v>
      </c>
      <c r="J375" s="667">
        <f>SUM(H375:I375)</f>
        <v>0</v>
      </c>
      <c r="K375" s="132"/>
    </row>
    <row r="376" spans="1:11" ht="15">
      <c r="A376" s="132"/>
      <c r="B376" s="658"/>
      <c r="C376" s="737"/>
      <c r="D376" s="697"/>
      <c r="E376" s="647"/>
      <c r="F376" s="662"/>
      <c r="G376" s="666"/>
      <c r="H376" s="669">
        <v>0</v>
      </c>
      <c r="I376" s="669">
        <v>0</v>
      </c>
      <c r="J376" s="669">
        <v>0</v>
      </c>
      <c r="K376" s="132"/>
    </row>
    <row r="377" spans="1:11">
      <c r="A377" s="132"/>
      <c r="B377" s="658"/>
      <c r="C377" s="737"/>
      <c r="D377" s="697"/>
      <c r="E377" s="743" t="s">
        <v>341</v>
      </c>
      <c r="F377" s="736" t="s">
        <v>1127</v>
      </c>
      <c r="G377" s="666" t="s">
        <v>1180</v>
      </c>
      <c r="H377" s="688">
        <f>SUM(H374:H376)</f>
        <v>0</v>
      </c>
      <c r="I377" s="688">
        <f>SUM(I374:I376)</f>
        <v>0</v>
      </c>
      <c r="J377" s="688">
        <f>SUM(J374:J376)</f>
        <v>0</v>
      </c>
      <c r="K377" s="132"/>
    </row>
    <row r="378" spans="1:11">
      <c r="A378" s="132"/>
      <c r="B378" s="658"/>
      <c r="C378" s="737"/>
      <c r="D378" s="697"/>
      <c r="E378" s="647"/>
      <c r="F378" s="736"/>
      <c r="G378" s="666"/>
      <c r="H378" s="688"/>
      <c r="I378" s="688"/>
      <c r="J378" s="688"/>
      <c r="K378" s="132"/>
    </row>
    <row r="379" spans="1:11">
      <c r="A379" s="132"/>
      <c r="B379" s="658" t="s">
        <v>3032</v>
      </c>
      <c r="C379" s="129"/>
      <c r="D379" s="697"/>
      <c r="E379" s="647"/>
      <c r="F379" s="662"/>
      <c r="G379" s="666"/>
      <c r="H379" s="131"/>
      <c r="I379" s="131"/>
      <c r="J379" s="138"/>
      <c r="K379" s="132"/>
    </row>
    <row r="380" spans="1:11">
      <c r="A380" s="132"/>
      <c r="B380" s="735" t="s">
        <v>3780</v>
      </c>
      <c r="C380" s="129" t="s">
        <v>3067</v>
      </c>
      <c r="D380" s="697" t="s">
        <v>3032</v>
      </c>
      <c r="E380" s="647"/>
      <c r="F380" s="662"/>
      <c r="G380" s="666"/>
      <c r="H380" s="667">
        <f>SUMIF('Balance Sheet Detail'!$AQ:$AQ,$B380,'Balance Sheet Detail'!$U:$U)</f>
        <v>0</v>
      </c>
      <c r="I380" s="667">
        <f>SUMIF('Balance Sheet Detail'!$AQ:$AQ,$B380,'Balance Sheet Detail'!$V:$V)</f>
        <v>182.37376999999998</v>
      </c>
      <c r="J380" s="667">
        <f>SUM(H380:I380)</f>
        <v>182.37376999999998</v>
      </c>
      <c r="K380" s="132"/>
    </row>
    <row r="381" spans="1:11" ht="15">
      <c r="H381" s="669">
        <v>0</v>
      </c>
      <c r="I381" s="669">
        <v>0</v>
      </c>
      <c r="J381" s="669">
        <v>0</v>
      </c>
      <c r="K381" s="132"/>
    </row>
    <row r="382" spans="1:11">
      <c r="E382" s="743" t="s">
        <v>3032</v>
      </c>
      <c r="F382" s="736" t="s">
        <v>1127</v>
      </c>
      <c r="H382" s="688">
        <f>SUM(H379:H381)</f>
        <v>0</v>
      </c>
      <c r="I382" s="688">
        <f>SUM(I379:I381)</f>
        <v>182.37376999999998</v>
      </c>
      <c r="J382" s="688">
        <f>SUM(J379:J381)</f>
        <v>182.37376999999998</v>
      </c>
      <c r="K382" s="132"/>
    </row>
    <row r="383" spans="1:11">
      <c r="A383" s="132"/>
      <c r="B383" s="658"/>
      <c r="C383" s="129"/>
      <c r="D383" s="697"/>
      <c r="E383" s="647"/>
      <c r="F383" s="662"/>
      <c r="G383" s="666"/>
      <c r="H383" s="667"/>
      <c r="I383" s="667"/>
      <c r="J383" s="667"/>
      <c r="K383" s="132"/>
    </row>
    <row r="384" spans="1:11">
      <c r="A384" s="132"/>
      <c r="B384" s="658" t="s">
        <v>2714</v>
      </c>
      <c r="C384" s="129"/>
      <c r="D384" s="697"/>
      <c r="E384" s="647"/>
      <c r="F384" s="662"/>
      <c r="G384" s="666"/>
      <c r="H384" s="667"/>
      <c r="I384" s="667"/>
      <c r="J384" s="667"/>
      <c r="K384" s="132"/>
    </row>
    <row r="385" spans="1:11">
      <c r="A385" s="132"/>
      <c r="B385" s="735" t="s">
        <v>3781</v>
      </c>
      <c r="C385" s="129" t="s">
        <v>3067</v>
      </c>
      <c r="D385" s="697" t="s">
        <v>2714</v>
      </c>
      <c r="E385" s="647"/>
      <c r="F385" s="662"/>
      <c r="G385" s="666"/>
      <c r="H385" s="667">
        <f>SUMIF('Balance Sheet Detail'!$AQ:$AQ,$B385,'Balance Sheet Detail'!$U:$U)</f>
        <v>0</v>
      </c>
      <c r="I385" s="667">
        <f>SUMIF('Balance Sheet Detail'!$AQ:$AQ,$B385,'Balance Sheet Detail'!$V:$V)</f>
        <v>-212.16536000000093</v>
      </c>
      <c r="J385" s="667">
        <f>SUM(H385:I385)</f>
        <v>-212.16536000000093</v>
      </c>
      <c r="K385" s="132"/>
    </row>
    <row r="386" spans="1:11" ht="15">
      <c r="A386" s="132"/>
      <c r="B386" s="658"/>
      <c r="C386" s="129"/>
      <c r="D386" s="697"/>
      <c r="H386" s="669">
        <v>0</v>
      </c>
      <c r="I386" s="669">
        <v>0</v>
      </c>
      <c r="J386" s="669">
        <v>0</v>
      </c>
      <c r="K386" s="132"/>
    </row>
    <row r="387" spans="1:11">
      <c r="E387" s="743" t="s">
        <v>2714</v>
      </c>
      <c r="F387" s="736" t="s">
        <v>1127</v>
      </c>
      <c r="H387" s="688">
        <f>SUM(H384:H386)</f>
        <v>0</v>
      </c>
      <c r="I387" s="688">
        <f>SUM(I384:I386)</f>
        <v>-212.16536000000093</v>
      </c>
      <c r="J387" s="688">
        <f>SUM(J384:J386)</f>
        <v>-212.16536000000093</v>
      </c>
      <c r="K387" s="132"/>
    </row>
    <row r="389" spans="1:11">
      <c r="A389" s="132"/>
      <c r="B389" s="658" t="s">
        <v>1943</v>
      </c>
      <c r="C389" s="129"/>
      <c r="D389" s="697"/>
      <c r="E389" s="647"/>
      <c r="F389" s="662"/>
      <c r="G389" s="666"/>
      <c r="H389" s="131"/>
      <c r="I389" s="131"/>
      <c r="J389" s="138"/>
      <c r="K389" s="132"/>
    </row>
    <row r="390" spans="1:11">
      <c r="A390" s="132"/>
      <c r="B390" s="735" t="s">
        <v>3782</v>
      </c>
      <c r="C390" s="129" t="s">
        <v>3067</v>
      </c>
      <c r="D390" s="697" t="s">
        <v>1943</v>
      </c>
      <c r="E390" s="647"/>
      <c r="F390" s="662"/>
      <c r="G390" s="666"/>
      <c r="H390" s="667">
        <f>SUMIF('Balance Sheet Detail'!$AQ:$AQ,$B390,'Balance Sheet Detail'!$U:$U)</f>
        <v>1.1E-14</v>
      </c>
      <c r="I390" s="667">
        <f>SUMIF('Balance Sheet Detail'!$AQ:$AQ,$B390,'Balance Sheet Detail'!$V:$V)</f>
        <v>-4.0000000000000003E-15</v>
      </c>
      <c r="J390" s="667">
        <f>SUM(H390:I390)</f>
        <v>7.0000000000000001E-15</v>
      </c>
      <c r="K390" s="132"/>
    </row>
    <row r="391" spans="1:11" ht="15">
      <c r="H391" s="669">
        <v>0</v>
      </c>
      <c r="I391" s="669">
        <v>0</v>
      </c>
      <c r="J391" s="669">
        <v>0</v>
      </c>
      <c r="K391" s="132"/>
    </row>
    <row r="392" spans="1:11">
      <c r="A392" s="132"/>
      <c r="B392" s="658"/>
      <c r="C392" s="129"/>
      <c r="D392" s="697"/>
      <c r="E392" s="743" t="s">
        <v>1943</v>
      </c>
      <c r="F392" s="736" t="s">
        <v>1127</v>
      </c>
      <c r="H392" s="688">
        <f>SUM(H389:H391)</f>
        <v>1.1E-14</v>
      </c>
      <c r="I392" s="688">
        <f>SUM(I389:I391)</f>
        <v>-4.0000000000000003E-15</v>
      </c>
      <c r="J392" s="688">
        <f>SUM(J389:J391)</f>
        <v>7.0000000000000001E-15</v>
      </c>
      <c r="K392" s="132"/>
    </row>
    <row r="393" spans="1:11">
      <c r="A393" s="132"/>
      <c r="B393" s="658"/>
      <c r="C393" s="129"/>
      <c r="D393" s="697"/>
      <c r="E393" s="647"/>
      <c r="F393" s="662"/>
      <c r="G393" s="666"/>
      <c r="H393" s="667"/>
      <c r="I393" s="667"/>
      <c r="J393" s="667"/>
      <c r="K393" s="132"/>
    </row>
    <row r="394" spans="1:11">
      <c r="A394" s="132"/>
      <c r="B394" s="658" t="s">
        <v>2857</v>
      </c>
      <c r="C394" s="129"/>
      <c r="D394" s="697"/>
      <c r="E394" s="647"/>
      <c r="F394" s="662"/>
      <c r="G394" s="666"/>
      <c r="H394" s="667"/>
      <c r="I394" s="667"/>
      <c r="J394" s="667"/>
      <c r="K394" s="132"/>
    </row>
    <row r="395" spans="1:11">
      <c r="A395" s="132"/>
      <c r="B395" s="735" t="s">
        <v>3783</v>
      </c>
      <c r="C395" s="129" t="s">
        <v>3067</v>
      </c>
      <c r="D395" s="697" t="s">
        <v>2857</v>
      </c>
      <c r="E395" s="647"/>
      <c r="F395" s="662"/>
      <c r="G395" s="666"/>
      <c r="H395" s="667">
        <f>SUMIF('Balance Sheet Detail'!$AQ:$AQ,$B395,'Balance Sheet Detail'!$U:$U)</f>
        <v>32.084780000004898</v>
      </c>
      <c r="I395" s="667">
        <f>SUMIF('Balance Sheet Detail'!$AQ:$AQ,$B395,'Balance Sheet Detail'!$V:$V)</f>
        <v>0</v>
      </c>
      <c r="J395" s="667">
        <f>SUM(H395:I395)</f>
        <v>32.084780000004898</v>
      </c>
      <c r="K395" s="132"/>
    </row>
    <row r="396" spans="1:11" ht="15">
      <c r="A396" s="132"/>
      <c r="B396" s="658"/>
      <c r="C396" s="129"/>
      <c r="D396" s="697"/>
      <c r="H396" s="669">
        <v>0</v>
      </c>
      <c r="I396" s="669">
        <v>0</v>
      </c>
      <c r="J396" s="669">
        <v>0</v>
      </c>
      <c r="K396" s="132"/>
    </row>
    <row r="397" spans="1:11">
      <c r="A397" s="132"/>
      <c r="B397" s="735"/>
      <c r="C397" s="129"/>
      <c r="D397" s="697"/>
      <c r="E397" s="743" t="s">
        <v>2857</v>
      </c>
      <c r="F397" s="736" t="s">
        <v>1127</v>
      </c>
      <c r="H397" s="688">
        <f>SUM(H394:H396)</f>
        <v>32.084780000004898</v>
      </c>
      <c r="I397" s="688">
        <f>SUM(I394:I396)</f>
        <v>0</v>
      </c>
      <c r="J397" s="688">
        <f>SUM(J394:J396)</f>
        <v>32.084780000004898</v>
      </c>
      <c r="K397" s="132"/>
    </row>
    <row r="398" spans="1:11">
      <c r="A398" s="132"/>
      <c r="B398" s="658"/>
      <c r="C398" s="129"/>
      <c r="D398" s="697"/>
      <c r="E398" s="647"/>
      <c r="F398" s="662"/>
      <c r="G398" s="666"/>
      <c r="H398" s="667"/>
      <c r="I398" s="667"/>
      <c r="J398" s="667"/>
      <c r="K398" s="132"/>
    </row>
    <row r="399" spans="1:11">
      <c r="A399" s="132"/>
      <c r="B399" s="658" t="s">
        <v>1217</v>
      </c>
      <c r="C399" s="129"/>
      <c r="D399" s="697"/>
      <c r="E399" s="647"/>
      <c r="F399" s="662"/>
      <c r="G399" s="666"/>
      <c r="H399" s="667"/>
      <c r="I399" s="667"/>
      <c r="J399" s="667"/>
      <c r="K399" s="132"/>
    </row>
    <row r="400" spans="1:11">
      <c r="A400" s="132"/>
      <c r="B400" s="735" t="s">
        <v>4360</v>
      </c>
      <c r="C400" s="129" t="s">
        <v>3067</v>
      </c>
      <c r="D400" s="697" t="s">
        <v>1217</v>
      </c>
      <c r="E400" s="647" t="s">
        <v>1188</v>
      </c>
      <c r="F400" s="662">
        <f>VLOOKUP('Rate Base Detail'!$E400,Allocators!$B$4:$G$14,3,FALSE)</f>
        <v>0.76071990262269951</v>
      </c>
      <c r="G400" s="666"/>
      <c r="H400" s="667">
        <f>SUMIF('Balance Sheet Detail'!$AQ:$AQ,$B400,'Balance Sheet Detail'!$U:$U)</f>
        <v>-5401.1113086211699</v>
      </c>
      <c r="I400" s="667">
        <f>SUMIF('Balance Sheet Detail'!$AQ:$AQ,$B400,'Balance Sheet Detail'!$V:$V)</f>
        <v>-1698.8886913788399</v>
      </c>
      <c r="J400" s="667">
        <f>SUM(H400:I400)</f>
        <v>-7100.00000000001</v>
      </c>
      <c r="K400" s="132"/>
    </row>
    <row r="401" spans="1:11">
      <c r="A401" s="132"/>
      <c r="B401" s="735"/>
      <c r="C401" s="129"/>
      <c r="D401" s="697"/>
      <c r="E401" s="647"/>
      <c r="F401" s="662"/>
      <c r="G401" s="666"/>
      <c r="H401" s="131">
        <v>0</v>
      </c>
      <c r="I401" s="131">
        <v>0</v>
      </c>
      <c r="J401" s="131">
        <v>0</v>
      </c>
      <c r="K401" s="132"/>
    </row>
    <row r="402" spans="1:11">
      <c r="A402" s="132"/>
      <c r="B402" s="735"/>
      <c r="C402" s="129"/>
      <c r="D402" s="697"/>
      <c r="E402" s="647"/>
      <c r="F402" s="736" t="s">
        <v>1127</v>
      </c>
      <c r="G402" s="666"/>
      <c r="H402" s="667">
        <f>SUM(H400:H401)</f>
        <v>-5401.1113086211699</v>
      </c>
      <c r="I402" s="667">
        <f>SUM(I400:I401)</f>
        <v>-1698.8886913788399</v>
      </c>
      <c r="J402" s="667">
        <f>SUM(J400:J401)</f>
        <v>-7100.00000000001</v>
      </c>
      <c r="K402" s="132"/>
    </row>
    <row r="403" spans="1:11">
      <c r="A403" s="132"/>
      <c r="B403" s="658"/>
      <c r="C403" s="129"/>
      <c r="D403" s="697"/>
      <c r="E403" s="647"/>
      <c r="F403" s="662"/>
      <c r="G403" s="666"/>
      <c r="H403" s="667"/>
      <c r="I403" s="667"/>
      <c r="J403" s="667"/>
      <c r="K403" s="132"/>
    </row>
    <row r="405" spans="1:11">
      <c r="A405" s="132"/>
      <c r="B405" s="658"/>
      <c r="C405" s="129"/>
      <c r="D405" s="697"/>
      <c r="E405" s="647"/>
      <c r="F405" s="662"/>
      <c r="G405" s="666"/>
      <c r="H405" s="667"/>
      <c r="I405" s="667"/>
      <c r="J405" s="137"/>
      <c r="K405" s="132"/>
    </row>
    <row r="406" spans="1:11">
      <c r="A406" s="132"/>
      <c r="B406" s="658"/>
      <c r="C406" s="129"/>
      <c r="D406" s="697"/>
      <c r="E406" s="647"/>
      <c r="F406" s="662"/>
      <c r="G406" s="666"/>
      <c r="H406" s="667"/>
      <c r="I406" s="667"/>
      <c r="J406" s="667"/>
      <c r="K406" s="132"/>
    </row>
    <row r="407" spans="1:11">
      <c r="A407" s="132"/>
      <c r="B407" s="658"/>
      <c r="C407" s="737"/>
      <c r="D407" s="670"/>
      <c r="E407" s="647"/>
      <c r="F407" s="662"/>
      <c r="G407" s="666"/>
      <c r="H407" s="664"/>
      <c r="I407" s="664"/>
      <c r="J407" s="664"/>
      <c r="K407" s="132"/>
    </row>
    <row r="408" spans="1:11">
      <c r="A408" s="658" t="s">
        <v>4375</v>
      </c>
      <c r="B408" s="658"/>
      <c r="C408" s="737"/>
      <c r="D408" s="670"/>
      <c r="E408" s="647"/>
      <c r="F408" s="662"/>
      <c r="G408" s="666"/>
      <c r="H408" s="747">
        <f>SUM(H185:H407)-SUMIF($F185:$F405,$F397,H185:H405)</f>
        <v>294044.27629180608</v>
      </c>
      <c r="I408" s="747">
        <f>SUM(I185:I407)-SUMIF($F185:$F405,$F397,I185:I405)</f>
        <v>84079.275531110005</v>
      </c>
      <c r="J408" s="747">
        <f>SUM(J185:J407)-SUMIF($F185:$F405,$F397,J185:J405)</f>
        <v>378123.27410458284</v>
      </c>
      <c r="K408" s="132"/>
    </row>
    <row r="409" spans="1:11">
      <c r="A409" s="132"/>
      <c r="B409" s="658"/>
      <c r="C409" s="737"/>
      <c r="D409" s="670"/>
      <c r="E409" s="647"/>
      <c r="F409" s="662"/>
      <c r="G409" s="666"/>
      <c r="H409" s="664"/>
      <c r="I409" s="664"/>
      <c r="J409" s="664"/>
      <c r="K409" s="132"/>
    </row>
    <row r="410" spans="1:11">
      <c r="A410" s="132"/>
      <c r="B410" s="658"/>
      <c r="C410" s="737"/>
      <c r="D410" s="670"/>
      <c r="E410" s="647"/>
      <c r="F410" s="662"/>
      <c r="G410" s="666"/>
      <c r="H410" s="672"/>
      <c r="I410" s="672"/>
      <c r="J410" s="672"/>
      <c r="K410" s="132"/>
    </row>
    <row r="411" spans="1:11">
      <c r="A411" s="687" t="s">
        <v>3078</v>
      </c>
      <c r="B411" s="132"/>
      <c r="C411" s="132"/>
      <c r="D411" s="670"/>
      <c r="E411" s="647"/>
      <c r="F411" s="662"/>
      <c r="G411" s="666" t="s">
        <v>1180</v>
      </c>
      <c r="H411" s="748"/>
      <c r="I411" s="748"/>
      <c r="J411" s="748"/>
      <c r="K411" s="132"/>
    </row>
    <row r="412" spans="1:11">
      <c r="A412" s="749"/>
      <c r="B412" s="750"/>
      <c r="C412" s="129"/>
      <c r="D412" s="751"/>
      <c r="E412" s="647"/>
      <c r="F412" s="662"/>
      <c r="G412" s="666"/>
      <c r="H412" s="752"/>
      <c r="I412" s="752"/>
      <c r="J412" s="752"/>
      <c r="K412" s="753"/>
    </row>
    <row r="413" spans="1:11">
      <c r="A413" s="658"/>
      <c r="B413" s="737"/>
      <c r="C413" s="132"/>
      <c r="D413" s="670"/>
      <c r="E413" s="647"/>
      <c r="F413" s="662"/>
      <c r="G413" s="666" t="s">
        <v>1180</v>
      </c>
      <c r="H413" s="672"/>
      <c r="I413" s="672"/>
      <c r="J413" s="672"/>
      <c r="K413" s="132"/>
    </row>
    <row r="414" spans="1:11">
      <c r="A414" s="681"/>
      <c r="B414" s="754"/>
      <c r="C414" s="132"/>
      <c r="D414" s="670"/>
      <c r="E414" s="647"/>
      <c r="F414" s="662"/>
      <c r="G414" s="666"/>
      <c r="H414" s="672"/>
      <c r="I414" s="672"/>
      <c r="J414" s="672"/>
      <c r="K414" s="132"/>
    </row>
    <row r="415" spans="1:11">
      <c r="A415" s="658"/>
      <c r="B415" s="737"/>
      <c r="C415" s="737"/>
      <c r="D415" s="670"/>
      <c r="E415" s="647"/>
      <c r="F415" s="662"/>
      <c r="G415" s="666"/>
      <c r="H415" s="672"/>
      <c r="I415" s="672"/>
      <c r="J415" s="672"/>
      <c r="K415" s="132"/>
    </row>
    <row r="416" spans="1:11">
      <c r="A416" s="658" t="s">
        <v>4376</v>
      </c>
      <c r="B416" s="737"/>
      <c r="C416" s="737"/>
      <c r="D416" s="670"/>
      <c r="E416" s="647"/>
      <c r="F416" s="662"/>
      <c r="G416" s="666"/>
      <c r="H416" s="671">
        <f>SUM(H408:H415)</f>
        <v>294044.27629180608</v>
      </c>
      <c r="I416" s="671">
        <f>SUM(I408:I415)</f>
        <v>84079.275531110005</v>
      </c>
      <c r="J416" s="671">
        <f>SUM(J408:J415)</f>
        <v>378123.27410458284</v>
      </c>
      <c r="K416" s="132"/>
    </row>
    <row r="417" spans="1:11">
      <c r="A417" s="658"/>
      <c r="B417" s="737"/>
      <c r="C417" s="737"/>
      <c r="D417" s="670"/>
      <c r="E417" s="647"/>
      <c r="F417" s="662"/>
      <c r="G417" s="666"/>
      <c r="H417" s="671"/>
      <c r="I417" s="671"/>
      <c r="J417" s="671"/>
      <c r="K417" s="132"/>
    </row>
    <row r="418" spans="1:11">
      <c r="B418" s="654" t="str">
        <f>$B$3</f>
        <v>NYSEG</v>
      </c>
      <c r="C418" s="654"/>
      <c r="D418" s="654"/>
      <c r="E418" s="654"/>
      <c r="F418" s="654"/>
      <c r="G418" s="654"/>
      <c r="H418" s="654"/>
      <c r="I418" s="654"/>
      <c r="J418" s="654"/>
      <c r="K418" s="132"/>
    </row>
    <row r="419" spans="1:11">
      <c r="B419" s="654" t="str">
        <f>$B$4</f>
        <v>Rate Base - Detail</v>
      </c>
      <c r="C419" s="654"/>
      <c r="D419" s="654"/>
      <c r="E419" s="654"/>
      <c r="F419" s="654"/>
      <c r="G419" s="654"/>
      <c r="H419" s="654"/>
      <c r="I419" s="654"/>
      <c r="J419" s="654"/>
      <c r="K419" s="132"/>
    </row>
    <row r="420" spans="1:11">
      <c r="B420" s="654" t="str">
        <f>$B$5</f>
        <v>12 Months Ended December 31, 2014</v>
      </c>
      <c r="C420" s="654"/>
      <c r="D420" s="654"/>
      <c r="E420" s="654"/>
      <c r="F420" s="654"/>
      <c r="G420" s="654"/>
      <c r="H420" s="654"/>
      <c r="I420" s="654"/>
      <c r="J420" s="654"/>
      <c r="K420" s="132"/>
    </row>
    <row r="421" spans="1:11">
      <c r="B421" s="654" t="s">
        <v>4377</v>
      </c>
      <c r="C421" s="654"/>
      <c r="D421" s="654"/>
      <c r="E421" s="654"/>
      <c r="F421" s="654"/>
      <c r="G421" s="654"/>
      <c r="H421" s="654"/>
      <c r="I421" s="654"/>
      <c r="J421" s="654"/>
      <c r="K421" s="132"/>
    </row>
    <row r="422" spans="1:11">
      <c r="A422" s="729"/>
      <c r="B422" s="729"/>
      <c r="C422" s="729"/>
      <c r="D422" s="730"/>
      <c r="E422" s="729"/>
      <c r="F422" s="729"/>
      <c r="G422" s="729"/>
      <c r="H422" s="654" t="str">
        <f>+H$48</f>
        <v>13-Month Rolling Average</v>
      </c>
      <c r="I422" s="654"/>
      <c r="J422" s="654"/>
      <c r="K422" s="655"/>
    </row>
    <row r="423" spans="1:11">
      <c r="A423" s="731"/>
      <c r="B423" s="732"/>
      <c r="C423" s="732"/>
      <c r="D423" s="733" t="s">
        <v>1960</v>
      </c>
      <c r="E423" s="734" t="s">
        <v>3036</v>
      </c>
      <c r="F423" s="734" t="s">
        <v>3037</v>
      </c>
      <c r="G423" s="734"/>
      <c r="H423" s="734" t="s">
        <v>1177</v>
      </c>
      <c r="I423" s="734" t="s">
        <v>1178</v>
      </c>
      <c r="J423" s="734" t="s">
        <v>1179</v>
      </c>
      <c r="K423" s="732"/>
    </row>
    <row r="424" spans="1:11">
      <c r="A424" s="658"/>
      <c r="B424" s="737"/>
      <c r="C424" s="737"/>
      <c r="D424" s="670"/>
      <c r="E424" s="647"/>
      <c r="F424" s="662"/>
      <c r="G424" s="666"/>
      <c r="H424" s="671"/>
      <c r="I424" s="671"/>
      <c r="J424" s="671"/>
      <c r="K424" s="132"/>
    </row>
    <row r="425" spans="1:11">
      <c r="A425" s="755"/>
      <c r="B425" s="135"/>
      <c r="C425" s="135"/>
      <c r="D425" s="599"/>
      <c r="E425" s="135"/>
      <c r="F425" s="135"/>
      <c r="G425" s="135"/>
      <c r="H425" s="137"/>
      <c r="I425" s="137"/>
      <c r="J425" s="137"/>
      <c r="K425" s="135"/>
    </row>
    <row r="426" spans="1:11">
      <c r="A426" s="755" t="s">
        <v>2926</v>
      </c>
      <c r="B426" s="135"/>
      <c r="C426" s="135" t="s">
        <v>3836</v>
      </c>
      <c r="D426" s="599"/>
      <c r="E426" s="135"/>
      <c r="F426" s="135"/>
      <c r="G426" s="598"/>
      <c r="H426" s="621">
        <f>+SUMIF('Balance Sheet Detail'!$L:$L,"R11",'Balance Sheet Detail'!U:U)</f>
        <v>-533292.43936275435</v>
      </c>
      <c r="I426" s="621">
        <f>+SUMIF('Balance Sheet Detail'!$L:$L,"R11",'Balance Sheet Detail'!V:V)</f>
        <v>-194516.17532057897</v>
      </c>
      <c r="J426" s="621">
        <f>SUM(H426:I426)</f>
        <v>-727808.61468333332</v>
      </c>
      <c r="K426" s="606"/>
    </row>
    <row r="427" spans="1:11">
      <c r="A427" s="755"/>
      <c r="B427" s="135"/>
      <c r="C427" s="756" t="s">
        <v>4366</v>
      </c>
      <c r="D427" s="599"/>
      <c r="E427" s="135"/>
      <c r="F427" s="135"/>
      <c r="G427" s="598"/>
      <c r="H427" s="621"/>
      <c r="I427" s="621"/>
      <c r="J427" s="621"/>
      <c r="K427" s="606"/>
    </row>
    <row r="428" spans="1:11">
      <c r="A428" s="755"/>
      <c r="B428" s="135"/>
      <c r="C428" s="148" t="s">
        <v>4367</v>
      </c>
      <c r="D428" s="599"/>
      <c r="E428" s="135"/>
      <c r="F428" s="135"/>
      <c r="G428" s="598"/>
      <c r="H428" s="621">
        <f>H367*-0.39615</f>
        <v>-151.14870462356251</v>
      </c>
      <c r="I428" s="621">
        <f>I367*-0.39615</f>
        <v>54.958799489562487</v>
      </c>
      <c r="J428" s="621">
        <f t="shared" ref="J428:J433" si="6">SUM(H428:I428)</f>
        <v>-96.189905134000014</v>
      </c>
      <c r="K428" s="606"/>
    </row>
    <row r="429" spans="1:11">
      <c r="A429" s="755"/>
      <c r="B429" s="135"/>
      <c r="C429" s="148" t="s">
        <v>4368</v>
      </c>
      <c r="D429" s="599"/>
      <c r="E429" s="135"/>
      <c r="F429" s="135"/>
      <c r="G429" s="598"/>
      <c r="H429" s="621">
        <f>H499</f>
        <v>1.7195134205394424E-12</v>
      </c>
      <c r="I429" s="621">
        <v>0</v>
      </c>
      <c r="J429" s="621">
        <f t="shared" si="6"/>
        <v>1.7195134205394424E-12</v>
      </c>
      <c r="K429" s="606"/>
    </row>
    <row r="430" spans="1:11">
      <c r="A430" s="755"/>
      <c r="B430" s="135"/>
      <c r="C430" s="148" t="s">
        <v>4369</v>
      </c>
      <c r="D430" s="599"/>
      <c r="E430" s="135"/>
      <c r="F430" s="135"/>
      <c r="G430" s="598"/>
      <c r="H430" s="621">
        <f>H195*-0.39615</f>
        <v>2055.0281249999998</v>
      </c>
      <c r="I430" s="621">
        <f>I195*-0.39615</f>
        <v>0</v>
      </c>
      <c r="J430" s="621">
        <f t="shared" si="6"/>
        <v>2055.0281249999998</v>
      </c>
      <c r="K430" s="606"/>
    </row>
    <row r="431" spans="1:11">
      <c r="A431" s="755"/>
      <c r="B431" s="135"/>
      <c r="C431" s="148" t="s">
        <v>4370</v>
      </c>
      <c r="D431" s="599"/>
      <c r="E431" s="135"/>
      <c r="F431" s="135"/>
      <c r="G431" s="598"/>
      <c r="H431" s="621">
        <f>H252*-0.39615</f>
        <v>-4.1088065409440606E-2</v>
      </c>
      <c r="I431" s="621">
        <f>I252*-0.39615</f>
        <v>2.3756503066241566E-2</v>
      </c>
      <c r="J431" s="621">
        <f t="shared" si="6"/>
        <v>-1.733156234319904E-2</v>
      </c>
      <c r="K431" s="606"/>
    </row>
    <row r="432" spans="1:11">
      <c r="A432" s="755"/>
      <c r="B432" s="135"/>
      <c r="C432" s="148" t="s">
        <v>4825</v>
      </c>
      <c r="D432" s="599"/>
      <c r="E432" s="135"/>
      <c r="F432" s="135"/>
      <c r="G432" s="598"/>
      <c r="H432" s="621">
        <f>H241*-0.39615</f>
        <v>-71.140881925312499</v>
      </c>
      <c r="I432" s="621">
        <f>I241*-0.39615</f>
        <v>-27.572596260625012</v>
      </c>
      <c r="J432" s="621">
        <f t="shared" si="6"/>
        <v>-98.713478185937504</v>
      </c>
      <c r="K432" s="606"/>
    </row>
    <row r="433" spans="1:11">
      <c r="A433" s="755"/>
      <c r="B433" s="135"/>
      <c r="C433" s="757" t="s">
        <v>4371</v>
      </c>
      <c r="D433" s="599"/>
      <c r="E433" s="135"/>
      <c r="F433" s="135"/>
      <c r="G433" s="598"/>
      <c r="H433" s="621">
        <f>-'Bonus Depr ADIT'!S138/1000</f>
        <v>106809.41598145795</v>
      </c>
      <c r="I433" s="621">
        <f>-'Bonus Depr ADIT'!S139/1000</f>
        <v>21606.671934595248</v>
      </c>
      <c r="J433" s="621">
        <f t="shared" si="6"/>
        <v>128416.08791605319</v>
      </c>
      <c r="K433" s="606"/>
    </row>
    <row r="434" spans="1:11" s="758" customFormat="1" ht="3.75" customHeight="1">
      <c r="B434" s="759"/>
      <c r="C434" s="760"/>
      <c r="D434" s="697"/>
      <c r="G434" s="761"/>
      <c r="H434" s="136">
        <v>0</v>
      </c>
      <c r="I434" s="136">
        <v>0</v>
      </c>
      <c r="J434" s="136">
        <v>0</v>
      </c>
    </row>
    <row r="435" spans="1:11">
      <c r="A435" s="762" t="s">
        <v>4372</v>
      </c>
      <c r="B435" s="135"/>
      <c r="C435" s="135"/>
      <c r="D435" s="599"/>
      <c r="E435" s="135"/>
      <c r="F435" s="135"/>
      <c r="G435" s="598"/>
      <c r="H435" s="386">
        <f>SUM(H426:H434)</f>
        <v>-424650.32593091077</v>
      </c>
      <c r="I435" s="386">
        <f>SUM(I426:I434)</f>
        <v>-172882.09342625173</v>
      </c>
      <c r="J435" s="386">
        <f>SUM(J426:J434)</f>
        <v>-597532.41935716243</v>
      </c>
      <c r="K435" s="386"/>
    </row>
    <row r="436" spans="1:11">
      <c r="A436" s="762"/>
      <c r="B436" s="135"/>
      <c r="C436" s="135"/>
      <c r="D436" s="599"/>
      <c r="E436" s="135"/>
      <c r="F436" s="135"/>
      <c r="G436" s="598"/>
      <c r="H436" s="135"/>
      <c r="I436" s="135"/>
      <c r="J436" s="135"/>
      <c r="K436" s="135"/>
    </row>
    <row r="437" spans="1:11">
      <c r="A437" s="755" t="s">
        <v>3079</v>
      </c>
      <c r="B437" s="135"/>
      <c r="C437" s="135"/>
      <c r="D437" s="599"/>
      <c r="E437" s="135"/>
      <c r="F437" s="135"/>
      <c r="G437" s="135"/>
      <c r="H437" s="763">
        <f>+SUMIF('Balance Sheet Detail'!$L:$L,"R12",'Balance Sheet Detail'!U:U)</f>
        <v>-14721.00654</v>
      </c>
      <c r="I437" s="763">
        <f>+SUMIF('Balance Sheet Detail'!$L:$L,"R12",'Balance Sheet Detail'!V:V)</f>
        <v>-738.62359583333398</v>
      </c>
      <c r="J437" s="763">
        <f>SUM(H437:I437)</f>
        <v>-15459.630135833335</v>
      </c>
      <c r="K437" s="764"/>
    </row>
    <row r="438" spans="1:11" ht="13.5" thickBot="1">
      <c r="A438" s="765"/>
      <c r="B438" s="625"/>
      <c r="C438" s="625"/>
      <c r="D438" s="766"/>
      <c r="E438" s="625"/>
      <c r="F438" s="625"/>
      <c r="G438" s="767"/>
      <c r="H438" s="768"/>
      <c r="I438" s="625"/>
      <c r="J438" s="625"/>
      <c r="K438" s="625"/>
    </row>
    <row r="439" spans="1:11">
      <c r="A439" s="755"/>
      <c r="B439" s="135"/>
      <c r="C439" s="135"/>
      <c r="D439" s="599"/>
      <c r="E439" s="135"/>
      <c r="F439" s="135"/>
      <c r="G439" s="598"/>
      <c r="H439" s="135"/>
      <c r="I439" s="135"/>
      <c r="J439" s="135"/>
      <c r="K439" s="135"/>
    </row>
    <row r="440" spans="1:11">
      <c r="A440" s="658" t="s">
        <v>3832</v>
      </c>
      <c r="B440" s="132"/>
      <c r="C440" s="132"/>
      <c r="D440" s="676"/>
      <c r="E440" s="647"/>
      <c r="F440" s="677"/>
      <c r="G440" s="668"/>
      <c r="H440" s="132"/>
      <c r="I440" s="132"/>
      <c r="J440" s="132"/>
      <c r="K440" s="132"/>
    </row>
    <row r="441" spans="1:11">
      <c r="A441" s="658"/>
      <c r="B441" s="132"/>
      <c r="C441" s="132"/>
      <c r="D441" s="676"/>
      <c r="E441" s="647"/>
      <c r="F441" s="677"/>
      <c r="G441" s="668"/>
      <c r="H441" s="132"/>
      <c r="I441" s="132"/>
      <c r="J441" s="132"/>
      <c r="K441" s="132"/>
    </row>
    <row r="443" spans="1:11">
      <c r="A443" s="769"/>
      <c r="B443" s="716"/>
      <c r="C443" s="148"/>
      <c r="D443" s="204"/>
      <c r="E443" s="148"/>
      <c r="F443" s="148"/>
      <c r="J443" s="148"/>
      <c r="K443" s="148"/>
    </row>
    <row r="444" spans="1:11">
      <c r="A444" s="770" t="s">
        <v>1051</v>
      </c>
      <c r="B444" s="716"/>
      <c r="C444" s="148"/>
      <c r="D444" s="204"/>
      <c r="E444" s="148"/>
      <c r="F444" s="148"/>
      <c r="J444" s="148"/>
      <c r="K444" s="148"/>
    </row>
    <row r="445" spans="1:11">
      <c r="A445" s="769"/>
      <c r="B445" s="148"/>
      <c r="C445" s="148"/>
      <c r="D445" s="204"/>
      <c r="E445" s="148"/>
      <c r="F445" s="148"/>
      <c r="J445" s="148"/>
      <c r="K445" s="148"/>
    </row>
    <row r="446" spans="1:11">
      <c r="A446" s="769"/>
      <c r="B446" s="148" t="s">
        <v>1564</v>
      </c>
      <c r="C446" s="135"/>
      <c r="D446" s="204"/>
      <c r="E446" s="148"/>
      <c r="F446" s="771">
        <f>I505/40</f>
        <v>-892.03513199999998</v>
      </c>
      <c r="G446" s="772" t="s">
        <v>698</v>
      </c>
      <c r="H446" s="772"/>
      <c r="I446" s="137"/>
      <c r="J446" s="148"/>
      <c r="K446" s="148"/>
    </row>
    <row r="447" spans="1:11">
      <c r="A447" s="769"/>
      <c r="B447" s="148"/>
      <c r="C447" s="148"/>
      <c r="D447" s="204"/>
      <c r="E447" s="148"/>
      <c r="G447" s="773" t="s">
        <v>1052</v>
      </c>
      <c r="H447" s="773" t="s">
        <v>1176</v>
      </c>
      <c r="I447" s="137"/>
      <c r="J447" s="148"/>
    </row>
    <row r="448" spans="1:11">
      <c r="A448" s="769"/>
      <c r="B448" s="148"/>
      <c r="C448" s="148"/>
      <c r="D448" s="204"/>
      <c r="F448" s="774">
        <v>40451</v>
      </c>
      <c r="J448" s="148"/>
      <c r="K448" s="148"/>
    </row>
    <row r="449" spans="1:11">
      <c r="A449" s="769"/>
      <c r="B449" s="148"/>
      <c r="C449" s="148"/>
      <c r="D449" s="204"/>
      <c r="E449" s="377"/>
      <c r="F449" s="774">
        <v>40482</v>
      </c>
      <c r="J449" s="148"/>
      <c r="K449" s="148"/>
    </row>
    <row r="450" spans="1:11">
      <c r="A450" s="769"/>
      <c r="B450" s="148"/>
      <c r="C450" s="148"/>
      <c r="D450" s="204"/>
      <c r="E450" s="377"/>
      <c r="F450" s="774">
        <v>40512</v>
      </c>
      <c r="J450" s="148"/>
      <c r="K450" s="148"/>
    </row>
    <row r="451" spans="1:11">
      <c r="A451" s="769"/>
      <c r="B451" s="148"/>
      <c r="C451" s="148"/>
      <c r="D451" s="204"/>
      <c r="E451" s="377"/>
      <c r="F451" s="774">
        <v>40543</v>
      </c>
      <c r="J451" s="148"/>
      <c r="K451" s="148"/>
    </row>
    <row r="452" spans="1:11">
      <c r="A452" s="769"/>
      <c r="B452" s="148"/>
      <c r="C452" s="148"/>
      <c r="D452" s="204"/>
      <c r="E452" s="377"/>
      <c r="F452" s="774">
        <v>40574</v>
      </c>
      <c r="J452" s="148"/>
      <c r="K452" s="148"/>
    </row>
    <row r="453" spans="1:11">
      <c r="A453" s="769"/>
      <c r="B453" s="148"/>
      <c r="C453" s="148"/>
      <c r="D453" s="204"/>
      <c r="E453" s="377"/>
      <c r="F453" s="774">
        <v>40602</v>
      </c>
      <c r="J453" s="148"/>
      <c r="K453" s="148"/>
    </row>
    <row r="454" spans="1:11">
      <c r="A454" s="769"/>
      <c r="B454" s="148"/>
      <c r="C454" s="148"/>
      <c r="D454" s="204"/>
      <c r="E454" s="377"/>
      <c r="F454" s="774">
        <v>40633</v>
      </c>
      <c r="J454" s="148"/>
      <c r="K454" s="369"/>
    </row>
    <row r="455" spans="1:11">
      <c r="A455" s="769"/>
      <c r="B455" s="148"/>
      <c r="C455" s="148"/>
      <c r="D455" s="204"/>
      <c r="E455" s="377"/>
      <c r="F455" s="774">
        <v>40663</v>
      </c>
      <c r="J455" s="148"/>
      <c r="K455" s="148"/>
    </row>
    <row r="456" spans="1:11">
      <c r="A456" s="769"/>
      <c r="B456" s="148"/>
      <c r="C456" s="148"/>
      <c r="D456" s="204"/>
      <c r="E456" s="377"/>
      <c r="F456" s="774">
        <v>40694</v>
      </c>
      <c r="J456" s="148"/>
      <c r="K456" s="148"/>
    </row>
    <row r="457" spans="1:11">
      <c r="A457" s="769"/>
      <c r="B457" s="148"/>
      <c r="C457" s="148"/>
      <c r="D457" s="204"/>
      <c r="E457" s="377"/>
      <c r="F457" s="774">
        <v>40724</v>
      </c>
      <c r="J457" s="148"/>
      <c r="K457" s="148"/>
    </row>
    <row r="458" spans="1:11">
      <c r="A458" s="769"/>
      <c r="B458" s="148"/>
      <c r="C458" s="148"/>
      <c r="D458" s="204"/>
      <c r="E458" s="377"/>
      <c r="F458" s="774">
        <v>40755</v>
      </c>
      <c r="J458" s="148"/>
      <c r="K458" s="148"/>
    </row>
    <row r="459" spans="1:11">
      <c r="A459" s="769"/>
      <c r="B459" s="148"/>
      <c r="C459" s="148"/>
      <c r="F459" s="774">
        <v>40786</v>
      </c>
      <c r="G459" s="137">
        <f>(SUM(G505:G518)-(G505+G519)/2)/12</f>
        <v>-26445.945846666669</v>
      </c>
      <c r="H459" s="137">
        <f>(SUM(H505:H518)-(H505+H519)/2)/12</f>
        <v>-1801.833333333333</v>
      </c>
      <c r="J459" s="148"/>
    </row>
    <row r="460" spans="1:11">
      <c r="A460" s="769"/>
      <c r="B460" s="148"/>
      <c r="C460" s="148"/>
      <c r="F460" s="774">
        <v>40816</v>
      </c>
      <c r="G460" s="137">
        <f>(SUM(G508:G520)-(G508+G520)/2)/12</f>
        <v>-27559.459356000007</v>
      </c>
      <c r="H460" s="137">
        <f>(SUM(H508:H520)-(H508+H520)/2)/12</f>
        <v>-1877.6999999999996</v>
      </c>
      <c r="J460" s="148"/>
    </row>
    <row r="461" spans="1:11">
      <c r="A461" s="769"/>
      <c r="B461" s="148"/>
      <c r="C461" s="148"/>
      <c r="F461" s="774">
        <v>40847</v>
      </c>
      <c r="G461" s="137">
        <f>(SUM(G509:G521)-(G509+G521)/2)/12</f>
        <v>-26724.324224000011</v>
      </c>
      <c r="H461" s="137">
        <f>(SUM(H509:H521)-(H509+H521)/2)/12</f>
        <v>-1820.7999999999995</v>
      </c>
      <c r="J461" s="148"/>
    </row>
    <row r="462" spans="1:11">
      <c r="A462" s="769"/>
      <c r="B462" s="148"/>
      <c r="C462" s="148"/>
      <c r="F462" s="774">
        <v>40877</v>
      </c>
      <c r="G462" s="137">
        <f>(SUM(G510:G522)-(G510+G522)/2)/12</f>
        <v>-25889.189092000004</v>
      </c>
      <c r="H462" s="137">
        <f>(SUM(H510:H522)-(H510+H522)/2)/12</f>
        <v>-1763.8999999999994</v>
      </c>
      <c r="J462" s="148"/>
    </row>
    <row r="463" spans="1:11">
      <c r="A463" s="769"/>
      <c r="B463" s="148"/>
      <c r="C463" s="148"/>
      <c r="F463" s="774">
        <v>40908</v>
      </c>
      <c r="G463" s="137">
        <f>(SUM(G511:G523)-(G511+G523)/2)/12</f>
        <v>-25054.053960000005</v>
      </c>
      <c r="H463" s="137">
        <f>(SUM(H511:H523)-(H511+H523)/2)/12</f>
        <v>-1706.9999999999989</v>
      </c>
      <c r="J463" s="148"/>
    </row>
    <row r="464" spans="1:11">
      <c r="A464" s="769"/>
      <c r="B464" s="148"/>
      <c r="C464" s="148"/>
      <c r="F464" s="774">
        <v>40939</v>
      </c>
      <c r="G464" s="137">
        <f>(SUM(G512:G524)-(G512+G524)/2)/12</f>
        <v>-24218.918827999998</v>
      </c>
      <c r="H464" s="137">
        <f>(SUM(H512:H524)-(H512+H524)/2)/12</f>
        <v>-1650.0999999999992</v>
      </c>
      <c r="J464" s="148"/>
    </row>
    <row r="465" spans="1:10">
      <c r="A465" s="769"/>
      <c r="B465" s="148"/>
      <c r="C465" s="148"/>
      <c r="F465" s="774">
        <v>40968</v>
      </c>
      <c r="G465" s="137">
        <f>(SUM(G513:G525)-(G513+G525)/2)/12</f>
        <v>-23383.783696000002</v>
      </c>
      <c r="H465" s="137">
        <f>(SUM(H513:H525)-(H513+H525)/2)/12</f>
        <v>-1593.1999999999989</v>
      </c>
      <c r="J465" s="148"/>
    </row>
    <row r="466" spans="1:10">
      <c r="A466" s="769"/>
      <c r="B466" s="148"/>
      <c r="C466" s="148"/>
      <c r="F466" s="774">
        <v>40999</v>
      </c>
      <c r="G466" s="137">
        <f>(SUM(G514:G526)-(G514+G526)/2)/12</f>
        <v>-22548.648564000003</v>
      </c>
      <c r="H466" s="137">
        <f>(SUM(H514:H526)-(H514+H526)/2)/12</f>
        <v>-1536.299999999999</v>
      </c>
      <c r="J466" s="148"/>
    </row>
    <row r="467" spans="1:10">
      <c r="A467" s="769"/>
      <c r="B467" s="148"/>
      <c r="C467" s="148"/>
      <c r="F467" s="774">
        <v>41029</v>
      </c>
      <c r="G467" s="137">
        <f>(SUM(G515:G527)-(G515+G527)/2)/12</f>
        <v>-21713.513432000011</v>
      </c>
      <c r="H467" s="137">
        <f>(SUM(H515:H527)-(H515+H527)/2)/12</f>
        <v>-1479.3999999999987</v>
      </c>
      <c r="J467" s="148"/>
    </row>
    <row r="468" spans="1:10">
      <c r="A468" s="769"/>
      <c r="B468" s="148"/>
      <c r="C468" s="148"/>
      <c r="F468" s="774">
        <v>41060</v>
      </c>
      <c r="G468" s="137">
        <f>(SUM(G516:G528)-(G516+G528)/2)/12</f>
        <v>-20878.378300000008</v>
      </c>
      <c r="H468" s="137">
        <f>(SUM(H516:H528)-(H516+H528)/2)/12</f>
        <v>-1422.4999999999989</v>
      </c>
      <c r="J468" s="148"/>
    </row>
    <row r="469" spans="1:10">
      <c r="A469" s="769"/>
      <c r="B469" s="148"/>
      <c r="C469" s="148"/>
      <c r="F469" s="774">
        <v>41090</v>
      </c>
      <c r="G469" s="137">
        <f>(SUM(G517:G529)-(G517+G529)/2)/12</f>
        <v>-20043.243168000005</v>
      </c>
      <c r="H469" s="137">
        <f>(SUM(H517:H529)-(H517+H529)/2)/12</f>
        <v>-1365.5999999999985</v>
      </c>
      <c r="J469" s="148"/>
    </row>
    <row r="470" spans="1:10">
      <c r="A470" s="769"/>
      <c r="B470" s="148"/>
      <c r="C470" s="148"/>
      <c r="F470" s="774">
        <v>41121</v>
      </c>
      <c r="G470" s="137">
        <f>(SUM(G518:G530)-(G518+G530)/2)/12</f>
        <v>-19208.108036000009</v>
      </c>
      <c r="H470" s="137">
        <f>(SUM(H518:H530)-(H518+H530)/2)/12</f>
        <v>-1308.6999999999987</v>
      </c>
      <c r="J470" s="148"/>
    </row>
    <row r="471" spans="1:10">
      <c r="A471" s="769"/>
      <c r="B471" s="148"/>
      <c r="C471" s="148"/>
      <c r="F471" s="774">
        <v>41152</v>
      </c>
      <c r="G471" s="137">
        <f>(SUM(G519:G531)-(G519+G531)/2)/12</f>
        <v>-18372.972904000009</v>
      </c>
      <c r="H471" s="137">
        <f>(SUM(H519:H531)-(H519+H531)/2)/12</f>
        <v>-1251.7999999999984</v>
      </c>
      <c r="J471" s="148"/>
    </row>
    <row r="472" spans="1:10">
      <c r="A472" s="769"/>
      <c r="B472" s="148"/>
      <c r="C472" s="148"/>
      <c r="F472" s="774">
        <v>41182</v>
      </c>
      <c r="G472" s="137">
        <f>(SUM(G520:G532)-(G520+G532)/2)/12</f>
        <v>-17537.83777200001</v>
      </c>
      <c r="H472" s="137">
        <f>(SUM(H520:H532)-(H520+H532)/2)/12</f>
        <v>-1194.8999999999985</v>
      </c>
      <c r="J472" s="148"/>
    </row>
    <row r="473" spans="1:10">
      <c r="A473" s="769"/>
      <c r="B473" s="148"/>
      <c r="C473" s="148"/>
      <c r="F473" s="774">
        <v>41213</v>
      </c>
      <c r="G473" s="137">
        <f>(SUM(G521:G533)-(G521+G533)/2)/12</f>
        <v>-16702.702640000014</v>
      </c>
      <c r="H473" s="137">
        <f>(SUM(H521:H533)-(H521+H533)/2)/12</f>
        <v>-1137.9999999999984</v>
      </c>
      <c r="J473" s="148"/>
    </row>
    <row r="474" spans="1:10">
      <c r="A474" s="769"/>
      <c r="B474" s="148"/>
      <c r="C474" s="148"/>
      <c r="F474" s="774">
        <v>41243</v>
      </c>
      <c r="G474" s="137">
        <f>(SUM(G522:G534)-(G522+G534)/2)/12</f>
        <v>-15867.567508000009</v>
      </c>
      <c r="H474" s="137">
        <f>(SUM(H522:H534)-(H522+H534)/2)/12</f>
        <v>-1081.0999999999983</v>
      </c>
      <c r="J474" s="148"/>
    </row>
    <row r="475" spans="1:10">
      <c r="A475" s="769"/>
      <c r="B475" s="148"/>
      <c r="C475" s="148"/>
      <c r="F475" s="774">
        <v>41274</v>
      </c>
      <c r="G475" s="137">
        <f>(SUM(G523:G535)-(G523+G535)/2)/12</f>
        <v>-15032.432376000012</v>
      </c>
      <c r="H475" s="137">
        <f>(SUM(H523:H535)-(H523+H535)/2)/12</f>
        <v>-1024.1999999999982</v>
      </c>
      <c r="J475" s="148"/>
    </row>
    <row r="476" spans="1:10">
      <c r="A476" s="769"/>
      <c r="B476" s="148"/>
      <c r="C476" s="148"/>
      <c r="F476" s="774">
        <v>41305</v>
      </c>
      <c r="G476" s="137">
        <f>(SUM(G524:G536)-(G524+G536)/2)/12</f>
        <v>-14197.29724400001</v>
      </c>
      <c r="H476" s="137">
        <f>(SUM(H524:H536)-(H524+H536)/2)/12</f>
        <v>-967.29999999999802</v>
      </c>
      <c r="J476" s="148"/>
    </row>
    <row r="477" spans="1:10">
      <c r="A477" s="769"/>
      <c r="B477" s="148"/>
      <c r="C477" s="148"/>
      <c r="F477" s="774">
        <v>41333</v>
      </c>
      <c r="G477" s="137">
        <f>(SUM(G525:G537)-(G525+G537)/2)/12</f>
        <v>-13362.162112000011</v>
      </c>
      <c r="H477" s="137">
        <f>(SUM(H525:H537)-(H525+H537)/2)/12</f>
        <v>-910.39999999999816</v>
      </c>
      <c r="J477" s="148"/>
    </row>
    <row r="478" spans="1:10">
      <c r="A478" s="769"/>
      <c r="B478" s="148"/>
      <c r="C478" s="148"/>
      <c r="F478" s="774">
        <v>41364</v>
      </c>
      <c r="G478" s="137">
        <f>(SUM(G526:G538)-(G526+G538)/2)/12</f>
        <v>-12527.026980000011</v>
      </c>
      <c r="H478" s="137">
        <f>(SUM(H526:H538)-(H526+H538)/2)/12</f>
        <v>-853.49999999999818</v>
      </c>
      <c r="J478" s="148"/>
    </row>
    <row r="479" spans="1:10">
      <c r="A479" s="769"/>
      <c r="B479" s="148"/>
      <c r="C479" s="148"/>
      <c r="F479" s="774">
        <v>41394</v>
      </c>
      <c r="G479" s="137">
        <f>(SUM(G527:G539)-(G527+G539)/2)/12</f>
        <v>-11691.891848000014</v>
      </c>
      <c r="H479" s="137">
        <f>(SUM(H527:H539)-(H527+H539)/2)/12</f>
        <v>-796.59999999999809</v>
      </c>
      <c r="J479" s="148"/>
    </row>
    <row r="480" spans="1:10">
      <c r="A480" s="769"/>
      <c r="B480" s="148"/>
      <c r="C480" s="148"/>
      <c r="F480" s="774">
        <v>41425</v>
      </c>
      <c r="G480" s="137">
        <f>(SUM(G528:G540)-(G528+G540)/2)/12</f>
        <v>-10856.756716000016</v>
      </c>
      <c r="H480" s="137">
        <f>(SUM(H528:H540)-(H528+H540)/2)/12</f>
        <v>-739.699999999998</v>
      </c>
      <c r="J480" s="148"/>
    </row>
    <row r="481" spans="1:10">
      <c r="A481" s="769"/>
      <c r="B481" s="148"/>
      <c r="C481" s="148"/>
      <c r="F481" s="774">
        <v>41455</v>
      </c>
      <c r="G481" s="137">
        <f>(SUM(G529:G541)-(G529+G541)/2)/12</f>
        <v>-10021.621584000013</v>
      </c>
      <c r="H481" s="137">
        <f>(SUM(H529:H541)-(H529+H541)/2)/12</f>
        <v>-682.79999999999825</v>
      </c>
      <c r="J481" s="148"/>
    </row>
    <row r="482" spans="1:10">
      <c r="A482" s="769"/>
      <c r="B482" s="148"/>
      <c r="C482" s="148"/>
      <c r="F482" s="774">
        <v>41486</v>
      </c>
      <c r="G482" s="137">
        <f>(SUM(G530:G542)-(G530+G542)/2)/12</f>
        <v>-9186.4864520000137</v>
      </c>
      <c r="H482" s="137">
        <f>(SUM(H530:H542)-(H530+H542)/2)/12</f>
        <v>-625.89999999999827</v>
      </c>
      <c r="J482" s="148"/>
    </row>
    <row r="483" spans="1:10">
      <c r="A483" s="769"/>
      <c r="B483" s="148"/>
      <c r="C483" s="148"/>
      <c r="F483" s="774">
        <v>41517</v>
      </c>
      <c r="G483" s="137">
        <f>(SUM(G531:G543)-(G531+G543)/2)/12</f>
        <v>-8351.3513200000143</v>
      </c>
      <c r="H483" s="137">
        <f>(SUM(H531:H543)-(H531+H543)/2)/12</f>
        <v>-568.99999999999818</v>
      </c>
      <c r="J483" s="148"/>
    </row>
    <row r="484" spans="1:10">
      <c r="A484" s="769"/>
      <c r="B484" s="148"/>
      <c r="C484" s="148"/>
      <c r="F484" s="774">
        <v>41547</v>
      </c>
      <c r="G484" s="137">
        <f>(SUM(G532:G544)-(G532+G544)/2)/12</f>
        <v>-7516.216188000014</v>
      </c>
      <c r="H484" s="137">
        <f>(SUM(H532:H544)-(H532+H544)/2)/12</f>
        <v>-512.0999999999982</v>
      </c>
      <c r="J484" s="148"/>
    </row>
    <row r="485" spans="1:10">
      <c r="A485" s="769"/>
      <c r="B485" s="148"/>
      <c r="C485" s="148"/>
      <c r="F485" s="774">
        <v>41578</v>
      </c>
      <c r="G485" s="137">
        <f>(SUM(G533:G545)-(G533+G545)/2)/12</f>
        <v>-6681.0810560000164</v>
      </c>
      <c r="H485" s="137">
        <f>(SUM(H533:H545)-(H533+H545)/2)/12</f>
        <v>-455.19999999999823</v>
      </c>
      <c r="J485" s="148"/>
    </row>
    <row r="486" spans="1:10">
      <c r="A486" s="769"/>
      <c r="B486" s="148"/>
      <c r="C486" s="148"/>
      <c r="F486" s="774">
        <v>41608</v>
      </c>
      <c r="G486" s="137">
        <f>(SUM(G534:G546)-(G534+G546)/2)/12</f>
        <v>-5845.9459240000142</v>
      </c>
      <c r="H486" s="137">
        <f>(SUM(H534:H546)-(H534+H546)/2)/12</f>
        <v>-398.29999999999819</v>
      </c>
      <c r="J486" s="148"/>
    </row>
    <row r="487" spans="1:10">
      <c r="A487" s="769"/>
      <c r="B487" s="148"/>
      <c r="C487" s="148"/>
      <c r="F487" s="774">
        <v>41639</v>
      </c>
      <c r="G487" s="137">
        <f>(SUM(G535:G547)-(G535+G547)/2)/12</f>
        <v>-5010.8107920000157</v>
      </c>
      <c r="H487" s="137">
        <f>(SUM(H535:H547)-(H535+H547)/2)/12</f>
        <v>-341.39999999999827</v>
      </c>
      <c r="J487" s="148"/>
    </row>
    <row r="488" spans="1:10">
      <c r="A488" s="769"/>
      <c r="B488" s="148"/>
      <c r="C488" s="148"/>
      <c r="F488" s="774">
        <v>41670</v>
      </c>
      <c r="G488" s="137">
        <f>(SUM(G536:G548)-(G536+G548)/2)/12</f>
        <v>-4210.4729571666821</v>
      </c>
      <c r="H488" s="137">
        <f>(SUM(H536:H548)-(H536+H548)/2)/12</f>
        <v>-286.87083333333157</v>
      </c>
      <c r="J488" s="148"/>
    </row>
    <row r="489" spans="1:10">
      <c r="A489" s="769"/>
      <c r="B489" s="148"/>
      <c r="C489" s="148"/>
      <c r="F489" s="774">
        <v>41698</v>
      </c>
      <c r="G489" s="137">
        <f>(SUM(G537:G549)-(G537+G549)/2)/12</f>
        <v>-3479.7297166666817</v>
      </c>
      <c r="H489" s="137">
        <f>(SUM(H537:H549)-(H537+H549)/2)/12</f>
        <v>-237.08333333333155</v>
      </c>
      <c r="J489" s="148"/>
    </row>
    <row r="490" spans="1:10">
      <c r="A490" s="769"/>
      <c r="B490" s="148"/>
      <c r="C490" s="148"/>
      <c r="F490" s="774">
        <v>41729</v>
      </c>
      <c r="G490" s="137">
        <f>(SUM(G538:G550)-(G538+G550)/2)/12</f>
        <v>-2818.5810705000149</v>
      </c>
      <c r="H490" s="137">
        <f>(SUM(H538:H550)-(H538+H550)/2)/12</f>
        <v>-192.03749999999823</v>
      </c>
      <c r="J490" s="148"/>
    </row>
    <row r="491" spans="1:10">
      <c r="A491" s="769"/>
      <c r="B491" s="148"/>
      <c r="C491" s="148"/>
      <c r="F491" s="774">
        <v>41759</v>
      </c>
      <c r="G491" s="137">
        <f>(SUM(G539:G551)-(G539+G551)/2)/12</f>
        <v>-2227.0270186666817</v>
      </c>
      <c r="H491" s="137">
        <f>(SUM(H539:H551)-(H539+H551)/2)/12</f>
        <v>-151.73333333333156</v>
      </c>
      <c r="J491" s="148"/>
    </row>
    <row r="492" spans="1:10">
      <c r="A492" s="769"/>
      <c r="B492" s="148"/>
      <c r="C492" s="148"/>
      <c r="F492" s="774">
        <v>41790</v>
      </c>
      <c r="G492" s="137">
        <f>(SUM(G540:G552)-(G540+G552)/2)/12</f>
        <v>-1705.0675611666813</v>
      </c>
      <c r="H492" s="137">
        <f>(SUM(H540:H552)-(H540+H552)/2)/12</f>
        <v>-116.17083333333157</v>
      </c>
      <c r="J492" s="148"/>
    </row>
    <row r="493" spans="1:10">
      <c r="A493" s="769"/>
      <c r="B493" s="148"/>
      <c r="C493" s="148"/>
      <c r="F493" s="774">
        <v>41820</v>
      </c>
      <c r="G493" s="137">
        <f>(SUM(G541:G553)-(G541+G553)/2)/12</f>
        <v>-1252.7026980000144</v>
      </c>
      <c r="H493" s="137">
        <f>(SUM(H541:H553)-(H541+H553)/2)/12</f>
        <v>-85.349999999998246</v>
      </c>
      <c r="J493" s="148"/>
    </row>
    <row r="494" spans="1:10">
      <c r="A494" s="769"/>
      <c r="B494" s="148"/>
      <c r="C494" s="148"/>
      <c r="F494" s="774">
        <v>41851</v>
      </c>
      <c r="G494" s="137">
        <f>(SUM(G542:G554)-(G542+G554)/2)/12</f>
        <v>-869.93242916668123</v>
      </c>
      <c r="H494" s="137">
        <f>(SUM(H542:H554)-(H542+H554)/2)/12</f>
        <v>-59.27083333333163</v>
      </c>
      <c r="J494" s="148"/>
    </row>
    <row r="495" spans="1:10">
      <c r="A495" s="769"/>
      <c r="B495" s="148"/>
      <c r="C495" s="148"/>
      <c r="F495" s="774">
        <v>41882</v>
      </c>
      <c r="G495" s="137">
        <f>(SUM(G543:G555)-(G543+G555)/2)/12</f>
        <v>-556.7567546666811</v>
      </c>
      <c r="H495" s="137">
        <f>(SUM(H543:H555)-(H543+H555)/2)/12</f>
        <v>-37.933333333331625</v>
      </c>
      <c r="J495" s="148"/>
    </row>
    <row r="496" spans="1:10">
      <c r="A496" s="769"/>
      <c r="B496" s="148"/>
      <c r="C496" s="148"/>
      <c r="F496" s="774">
        <v>41912</v>
      </c>
      <c r="G496" s="137">
        <f>(SUM(G544:G556)-(G544+G556)/2)/12</f>
        <v>-313.17567450001462</v>
      </c>
      <c r="H496" s="137">
        <f>(SUM(H544:H556)-(H544+H556)/2)/12</f>
        <v>-21.33749999999829</v>
      </c>
      <c r="J496" s="148"/>
    </row>
    <row r="497" spans="1:12">
      <c r="A497" s="769"/>
      <c r="B497" s="148"/>
      <c r="C497" s="148"/>
      <c r="F497" s="774">
        <v>41943</v>
      </c>
      <c r="G497" s="137">
        <f>(SUM(G545:G557)-(G545+G557)/2)/12</f>
        <v>-139.18918866668128</v>
      </c>
      <c r="H497" s="137">
        <f>(SUM(H545:H557)-(H545+H557)/2)/12</f>
        <v>-9.4833333333316236</v>
      </c>
      <c r="J497" s="148"/>
    </row>
    <row r="498" spans="1:12">
      <c r="A498" s="769"/>
      <c r="B498" s="148"/>
      <c r="C498" s="148"/>
      <c r="F498" s="774">
        <v>41973</v>
      </c>
      <c r="G498" s="137">
        <f>(SUM(G546:G558)-(G546+G558)/2)/12</f>
        <v>-34.797297166681446</v>
      </c>
      <c r="H498" s="137">
        <f>(SUM(H546:H558)-(H546+H558)/2)/12</f>
        <v>-2.3708333333316136</v>
      </c>
      <c r="J498" s="148"/>
    </row>
    <row r="499" spans="1:12">
      <c r="A499" s="769"/>
      <c r="B499" s="148"/>
      <c r="C499" s="148"/>
      <c r="F499" s="774">
        <v>42004</v>
      </c>
      <c r="G499" s="137">
        <f>(SUM(G547:G559)-(G547+G559)/2)/12</f>
        <v>-1.4779288903810084E-11</v>
      </c>
      <c r="H499" s="137">
        <f>(SUM(H547:H559)-(H547+H559)/2)/12</f>
        <v>1.7195134205394424E-12</v>
      </c>
      <c r="J499" s="148"/>
    </row>
    <row r="500" spans="1:12">
      <c r="A500" s="775"/>
      <c r="B500" s="384"/>
      <c r="C500" s="384"/>
      <c r="D500" s="387"/>
      <c r="E500" s="384"/>
      <c r="F500" s="384"/>
      <c r="G500" s="776"/>
      <c r="H500" s="777"/>
      <c r="I500" s="777"/>
      <c r="J500" s="384"/>
      <c r="K500" s="384"/>
      <c r="L500" s="778"/>
    </row>
    <row r="502" spans="1:12">
      <c r="G502" s="772" t="s">
        <v>1200</v>
      </c>
      <c r="H502" s="772"/>
      <c r="I502" s="772"/>
    </row>
    <row r="503" spans="1:12">
      <c r="G503" s="148"/>
      <c r="I503" s="377" t="s">
        <v>3712</v>
      </c>
    </row>
    <row r="504" spans="1:12">
      <c r="G504" s="773" t="s">
        <v>1052</v>
      </c>
      <c r="H504" s="773" t="s">
        <v>1176</v>
      </c>
      <c r="I504" s="773" t="s">
        <v>1179</v>
      </c>
    </row>
    <row r="505" spans="1:12">
      <c r="G505" s="137">
        <v>-33405.405279999999</v>
      </c>
      <c r="H505" s="137">
        <v>-2276</v>
      </c>
      <c r="I505" s="137">
        <f>SUM(G505:H505)</f>
        <v>-35681.405279999999</v>
      </c>
    </row>
    <row r="508" spans="1:12">
      <c r="F508" s="774">
        <v>40451</v>
      </c>
      <c r="G508" s="137">
        <f>G505-G$505/40</f>
        <v>-32570.270148</v>
      </c>
      <c r="H508" s="137">
        <f>H505-H$505/40</f>
        <v>-2219.1</v>
      </c>
      <c r="I508" s="137">
        <f>I505-I$505/40</f>
        <v>-34789.370148000002</v>
      </c>
    </row>
    <row r="509" spans="1:12">
      <c r="F509" s="774">
        <v>40482</v>
      </c>
      <c r="G509" s="137">
        <f>G508-G$505/40</f>
        <v>-31735.135016</v>
      </c>
      <c r="H509" s="137">
        <f>H508-H$505/40</f>
        <v>-2162.1999999999998</v>
      </c>
      <c r="I509" s="137">
        <f>I508-I$505/40</f>
        <v>-33897.335016000005</v>
      </c>
    </row>
    <row r="510" spans="1:12">
      <c r="F510" s="774">
        <v>40512</v>
      </c>
      <c r="G510" s="137">
        <f>G509-G$505/40</f>
        <v>-30899.999884000001</v>
      </c>
      <c r="H510" s="137">
        <f>H509-H$505/40</f>
        <v>-2105.2999999999997</v>
      </c>
      <c r="I510" s="137">
        <f>I509-I$505/40</f>
        <v>-33005.299884000007</v>
      </c>
    </row>
    <row r="511" spans="1:12">
      <c r="F511" s="774">
        <v>40543</v>
      </c>
      <c r="G511" s="137">
        <f>G510-G$505/40</f>
        <v>-30064.864752000001</v>
      </c>
      <c r="H511" s="137">
        <f>H510-H$505/40</f>
        <v>-2048.3999999999996</v>
      </c>
      <c r="I511" s="137">
        <f>I510-I$505/40</f>
        <v>-32113.264752000006</v>
      </c>
    </row>
    <row r="512" spans="1:12">
      <c r="F512" s="774">
        <v>40574</v>
      </c>
      <c r="G512" s="137">
        <f>G511-G$505/40</f>
        <v>-29229.729620000002</v>
      </c>
      <c r="H512" s="137">
        <f>H511-H$505/40</f>
        <v>-1991.4999999999995</v>
      </c>
      <c r="I512" s="137">
        <f>I511-I$505/40</f>
        <v>-31221.229620000006</v>
      </c>
    </row>
    <row r="513" spans="6:9">
      <c r="F513" s="774">
        <v>40602</v>
      </c>
      <c r="G513" s="137">
        <f>G512-G$505/40</f>
        <v>-28394.594488000002</v>
      </c>
      <c r="H513" s="137">
        <f>H512-H$505/40</f>
        <v>-1934.5999999999995</v>
      </c>
      <c r="I513" s="137">
        <f>I512-I$505/40</f>
        <v>-30329.194488000005</v>
      </c>
    </row>
    <row r="514" spans="6:9">
      <c r="F514" s="774">
        <v>40633</v>
      </c>
      <c r="G514" s="137">
        <f>G513-G$505/40</f>
        <v>-27559.459356000003</v>
      </c>
      <c r="H514" s="137">
        <f>H513-H$505/40</f>
        <v>-1877.6999999999994</v>
      </c>
      <c r="I514" s="137">
        <f>I513-I$505/40</f>
        <v>-29437.159356000004</v>
      </c>
    </row>
    <row r="515" spans="6:9">
      <c r="F515" s="774">
        <v>40663</v>
      </c>
      <c r="G515" s="137">
        <f>G514-G$505/40</f>
        <v>-26724.324224000004</v>
      </c>
      <c r="H515" s="137">
        <f>H514-H$505/40</f>
        <v>-1820.7999999999993</v>
      </c>
      <c r="I515" s="137">
        <f>I514-I$505/40</f>
        <v>-28545.124224000003</v>
      </c>
    </row>
    <row r="516" spans="6:9">
      <c r="F516" s="774">
        <v>40694</v>
      </c>
      <c r="G516" s="137">
        <f>G515-G$505/40</f>
        <v>-25889.189092000004</v>
      </c>
      <c r="H516" s="137">
        <f>H515-H$505/40</f>
        <v>-1763.8999999999992</v>
      </c>
      <c r="I516" s="137">
        <f>I515-I$505/40</f>
        <v>-27653.089092000002</v>
      </c>
    </row>
    <row r="517" spans="6:9">
      <c r="F517" s="774">
        <v>40724</v>
      </c>
      <c r="G517" s="137">
        <f>G516-G$505/40</f>
        <v>-25054.053960000005</v>
      </c>
      <c r="H517" s="137">
        <f>H516-H$505/40</f>
        <v>-1706.9999999999991</v>
      </c>
      <c r="I517" s="137">
        <f>I516-I$505/40</f>
        <v>-26761.053960000001</v>
      </c>
    </row>
    <row r="518" spans="6:9">
      <c r="F518" s="774">
        <v>40755</v>
      </c>
      <c r="G518" s="137">
        <f>G517-G$505/40</f>
        <v>-24218.918828000005</v>
      </c>
      <c r="H518" s="137">
        <f>H517-H$505/40</f>
        <v>-1650.099999999999</v>
      </c>
      <c r="I518" s="137">
        <f>I517-I$505/40</f>
        <v>-25869.018828</v>
      </c>
    </row>
    <row r="519" spans="6:9">
      <c r="F519" s="774">
        <v>40786</v>
      </c>
      <c r="G519" s="137">
        <f>G518-G$505/40</f>
        <v>-23383.783696000006</v>
      </c>
      <c r="H519" s="137">
        <f>H518-H$505/40</f>
        <v>-1593.1999999999989</v>
      </c>
      <c r="I519" s="137">
        <f>I518-I$505/40</f>
        <v>-24976.983695999999</v>
      </c>
    </row>
    <row r="520" spans="6:9">
      <c r="F520" s="774">
        <v>40816</v>
      </c>
      <c r="G520" s="137">
        <f>G519-G$505/40</f>
        <v>-22548.648564000006</v>
      </c>
      <c r="H520" s="137">
        <f>H519-H$505/40</f>
        <v>-1536.2999999999988</v>
      </c>
      <c r="I520" s="137">
        <f>I519-I$505/40</f>
        <v>-24084.948563999998</v>
      </c>
    </row>
    <row r="521" spans="6:9">
      <c r="F521" s="774">
        <v>40847</v>
      </c>
      <c r="G521" s="137">
        <f>G520-G$505/40</f>
        <v>-21713.513432000007</v>
      </c>
      <c r="H521" s="137">
        <f>H520-H$505/40</f>
        <v>-1479.3999999999987</v>
      </c>
      <c r="I521" s="137">
        <f>I520-I$505/40</f>
        <v>-23192.913431999998</v>
      </c>
    </row>
    <row r="522" spans="6:9">
      <c r="F522" s="774">
        <v>40877</v>
      </c>
      <c r="G522" s="137">
        <f>G521-G$505/40</f>
        <v>-20878.378300000008</v>
      </c>
      <c r="H522" s="137">
        <f>H521-H$505/40</f>
        <v>-1422.4999999999986</v>
      </c>
      <c r="I522" s="137">
        <f>I521-I$505/40</f>
        <v>-22300.878299999997</v>
      </c>
    </row>
    <row r="523" spans="6:9">
      <c r="F523" s="774">
        <v>40908</v>
      </c>
      <c r="G523" s="137">
        <f>G522-G$505/40</f>
        <v>-20043.243168000008</v>
      </c>
      <c r="H523" s="137">
        <f>H522-H$505/40</f>
        <v>-1365.5999999999985</v>
      </c>
      <c r="I523" s="137">
        <f>I522-I$505/40</f>
        <v>-21408.843167999996</v>
      </c>
    </row>
    <row r="524" spans="6:9">
      <c r="F524" s="774">
        <v>40939</v>
      </c>
      <c r="G524" s="137">
        <f>G523-G$505/40</f>
        <v>-19208.108036000009</v>
      </c>
      <c r="H524" s="137">
        <f>H523-H$505/40</f>
        <v>-1308.6999999999985</v>
      </c>
      <c r="I524" s="137">
        <f>I523-I$505/40</f>
        <v>-20516.808035999995</v>
      </c>
    </row>
    <row r="525" spans="6:9">
      <c r="F525" s="774">
        <v>40968</v>
      </c>
      <c r="G525" s="137">
        <f>G524-G$505/40</f>
        <v>-18372.972904000009</v>
      </c>
      <c r="H525" s="137">
        <f>H524-H$505/40</f>
        <v>-1251.7999999999984</v>
      </c>
      <c r="I525" s="137">
        <f>I524-I$505/40</f>
        <v>-19624.772903999994</v>
      </c>
    </row>
    <row r="526" spans="6:9">
      <c r="F526" s="774">
        <v>40999</v>
      </c>
      <c r="G526" s="137">
        <f>G525-G$505/40</f>
        <v>-17537.83777200001</v>
      </c>
      <c r="H526" s="137">
        <f>H525-H$505/40</f>
        <v>-1194.8999999999983</v>
      </c>
      <c r="I526" s="137">
        <f>I525-I$505/40</f>
        <v>-18732.737771999993</v>
      </c>
    </row>
    <row r="527" spans="6:9">
      <c r="F527" s="774">
        <v>41029</v>
      </c>
      <c r="G527" s="137">
        <f>G526-G$505/40</f>
        <v>-16702.70264000001</v>
      </c>
      <c r="H527" s="137">
        <f>H526-H$505/40</f>
        <v>-1137.9999999999982</v>
      </c>
      <c r="I527" s="137">
        <f>I526-I$505/40</f>
        <v>-17840.702639999992</v>
      </c>
    </row>
    <row r="528" spans="6:9">
      <c r="F528" s="774">
        <v>41060</v>
      </c>
      <c r="G528" s="137">
        <f>G527-G$505/40</f>
        <v>-15867.567508000011</v>
      </c>
      <c r="H528" s="137">
        <f>H527-H$505/40</f>
        <v>-1081.0999999999981</v>
      </c>
      <c r="I528" s="137">
        <f>I527-I$505/40</f>
        <v>-16948.667507999991</v>
      </c>
    </row>
    <row r="529" spans="6:9">
      <c r="F529" s="774">
        <v>41090</v>
      </c>
      <c r="G529" s="137">
        <f>G528-G$505/40</f>
        <v>-15032.432376000012</v>
      </c>
      <c r="H529" s="137">
        <f>H528-H$505/40</f>
        <v>-1024.199999999998</v>
      </c>
      <c r="I529" s="137">
        <f>I528-I$505/40</f>
        <v>-16056.63237599999</v>
      </c>
    </row>
    <row r="530" spans="6:9">
      <c r="F530" s="774">
        <v>41121</v>
      </c>
      <c r="G530" s="137">
        <f>G529-G$505/40</f>
        <v>-14197.297244000012</v>
      </c>
      <c r="H530" s="137">
        <f>H529-H$505/40</f>
        <v>-967.29999999999802</v>
      </c>
      <c r="I530" s="137">
        <f>I529-I$505/40</f>
        <v>-15164.59724399999</v>
      </c>
    </row>
    <row r="531" spans="6:9">
      <c r="F531" s="774">
        <v>41152</v>
      </c>
      <c r="G531" s="137">
        <f>G530-G$505/40</f>
        <v>-13362.162112000013</v>
      </c>
      <c r="H531" s="137">
        <f>H530-H$505/40</f>
        <v>-910.39999999999804</v>
      </c>
      <c r="I531" s="137">
        <f>I530-I$505/40</f>
        <v>-14272.562111999989</v>
      </c>
    </row>
    <row r="532" spans="6:9">
      <c r="F532" s="774">
        <v>41182</v>
      </c>
      <c r="G532" s="137">
        <f>G531-G$505/40</f>
        <v>-12527.026980000013</v>
      </c>
      <c r="H532" s="137">
        <f>H531-H$505/40</f>
        <v>-853.49999999999807</v>
      </c>
      <c r="I532" s="137">
        <f>I531-I$505/40</f>
        <v>-13380.526979999988</v>
      </c>
    </row>
    <row r="533" spans="6:9">
      <c r="F533" s="774">
        <v>41213</v>
      </c>
      <c r="G533" s="137">
        <f>G532-G$505/40</f>
        <v>-11691.891848000014</v>
      </c>
      <c r="H533" s="137">
        <f>H532-H$505/40</f>
        <v>-796.59999999999809</v>
      </c>
      <c r="I533" s="137">
        <f>I532-I$505/40</f>
        <v>-12488.491847999987</v>
      </c>
    </row>
    <row r="534" spans="6:9">
      <c r="F534" s="774">
        <v>41243</v>
      </c>
      <c r="G534" s="137">
        <f>G533-G$505/40</f>
        <v>-10856.756716000014</v>
      </c>
      <c r="H534" s="137">
        <f>H533-H$505/40</f>
        <v>-739.69999999999811</v>
      </c>
      <c r="I534" s="137">
        <f>I533-I$505/40</f>
        <v>-11596.456715999986</v>
      </c>
    </row>
    <row r="535" spans="6:9">
      <c r="F535" s="774">
        <v>41274</v>
      </c>
      <c r="G535" s="137">
        <f>G534-G$505/40</f>
        <v>-10021.621584000015</v>
      </c>
      <c r="H535" s="137">
        <f>H534-H$505/40</f>
        <v>-682.79999999999814</v>
      </c>
      <c r="I535" s="137">
        <f>I534-I$505/40</f>
        <v>-10704.421583999985</v>
      </c>
    </row>
    <row r="536" spans="6:9">
      <c r="F536" s="774">
        <v>41305</v>
      </c>
      <c r="G536" s="137">
        <f>G535-G$505/40</f>
        <v>-9186.4864520000156</v>
      </c>
      <c r="H536" s="137">
        <f>H535-H$505/40</f>
        <v>-625.89999999999816</v>
      </c>
      <c r="I536" s="137">
        <f>I535-I$505/40</f>
        <v>-9812.3864519999843</v>
      </c>
    </row>
    <row r="537" spans="6:9">
      <c r="F537" s="774">
        <v>41333</v>
      </c>
      <c r="G537" s="137">
        <f>G536-G$505/40</f>
        <v>-8351.3513200000161</v>
      </c>
      <c r="H537" s="137">
        <f>H536-H$505/40</f>
        <v>-568.99999999999818</v>
      </c>
      <c r="I537" s="137">
        <f>I536-I$505/40</f>
        <v>-8920.3513199999834</v>
      </c>
    </row>
    <row r="538" spans="6:9">
      <c r="F538" s="774">
        <v>41364</v>
      </c>
      <c r="G538" s="137">
        <f>G537-G$505/40</f>
        <v>-7516.2161880000158</v>
      </c>
      <c r="H538" s="137">
        <f>H537-H$505/40</f>
        <v>-512.0999999999982</v>
      </c>
      <c r="I538" s="137">
        <f>I537-I$505/40</f>
        <v>-8028.3161879999834</v>
      </c>
    </row>
    <row r="539" spans="6:9">
      <c r="F539" s="774">
        <v>41394</v>
      </c>
      <c r="G539" s="137">
        <f>G538-G$505/40</f>
        <v>-6681.0810560000155</v>
      </c>
      <c r="H539" s="137">
        <f>H538-H$505/40</f>
        <v>-455.19999999999823</v>
      </c>
      <c r="I539" s="137">
        <f>I538-I$505/40</f>
        <v>-7136.2810559999834</v>
      </c>
    </row>
    <row r="540" spans="6:9">
      <c r="F540" s="774">
        <v>41425</v>
      </c>
      <c r="G540" s="137">
        <f>G539-G$505/40</f>
        <v>-5845.9459240000151</v>
      </c>
      <c r="H540" s="137">
        <f>H539-H$505/40</f>
        <v>-398.29999999999825</v>
      </c>
      <c r="I540" s="137">
        <f>I539-I$505/40</f>
        <v>-6244.2459239999835</v>
      </c>
    </row>
    <row r="541" spans="6:9">
      <c r="F541" s="774">
        <v>41455</v>
      </c>
      <c r="G541" s="137">
        <f>G540-G$505/40</f>
        <v>-5010.8107920000148</v>
      </c>
      <c r="H541" s="137">
        <f>H540-H$505/40</f>
        <v>-341.39999999999827</v>
      </c>
      <c r="I541" s="137">
        <f>I540-I$505/40</f>
        <v>-5352.2107919999835</v>
      </c>
    </row>
    <row r="542" spans="6:9">
      <c r="F542" s="774">
        <v>41486</v>
      </c>
      <c r="G542" s="137">
        <f>G541-G$505/40</f>
        <v>-4175.6756600000144</v>
      </c>
      <c r="H542" s="137">
        <f>H541-H$505/40</f>
        <v>-284.49999999999829</v>
      </c>
      <c r="I542" s="137">
        <f>I541-I$505/40</f>
        <v>-4460.1756599999835</v>
      </c>
    </row>
    <row r="543" spans="6:9">
      <c r="F543" s="774">
        <v>41517</v>
      </c>
      <c r="G543" s="137">
        <f>G542-G$505/40</f>
        <v>-3340.5405280000145</v>
      </c>
      <c r="H543" s="137">
        <f>H542-H$505/40</f>
        <v>-227.59999999999829</v>
      </c>
      <c r="I543" s="137">
        <f>I542-I$505/40</f>
        <v>-3568.1405279999835</v>
      </c>
    </row>
    <row r="544" spans="6:9">
      <c r="F544" s="774">
        <v>41547</v>
      </c>
      <c r="G544" s="137">
        <f>G543-G$505/40</f>
        <v>-2505.4053960000147</v>
      </c>
      <c r="H544" s="137">
        <f>H543-H$505/40</f>
        <v>-170.69999999999828</v>
      </c>
      <c r="I544" s="137">
        <f>I543-I$505/40</f>
        <v>-2676.1053959999836</v>
      </c>
    </row>
    <row r="545" spans="6:9">
      <c r="F545" s="774">
        <v>41578</v>
      </c>
      <c r="G545" s="137">
        <f>G544-G$505/40</f>
        <v>-1670.2702640000148</v>
      </c>
      <c r="H545" s="137">
        <f>H544-H$505/40</f>
        <v>-113.79999999999828</v>
      </c>
      <c r="I545" s="137">
        <f>I544-I$505/40</f>
        <v>-1784.0702639999836</v>
      </c>
    </row>
    <row r="546" spans="6:9">
      <c r="F546" s="774">
        <v>41608</v>
      </c>
      <c r="G546" s="137">
        <f>G545-G$505/40</f>
        <v>-835.13513200001478</v>
      </c>
      <c r="H546" s="137">
        <f>H545-H$505/40</f>
        <v>-56.899999999998279</v>
      </c>
      <c r="I546" s="137">
        <f>I545-I$505/40</f>
        <v>-892.03513199998361</v>
      </c>
    </row>
    <row r="547" spans="6:9">
      <c r="F547" s="774">
        <v>41639</v>
      </c>
      <c r="G547" s="137">
        <f>G546-G$505/40</f>
        <v>-1.4779288903810084E-11</v>
      </c>
      <c r="H547" s="137">
        <f>H546-H$505/40</f>
        <v>1.7195134205394424E-12</v>
      </c>
      <c r="I547" s="137">
        <f>I546-I$505/40</f>
        <v>1.6370904631912708E-11</v>
      </c>
    </row>
    <row r="548" spans="6:9">
      <c r="F548" s="774">
        <v>41670</v>
      </c>
      <c r="G548" s="137">
        <f>G547</f>
        <v>-1.4779288903810084E-11</v>
      </c>
      <c r="H548" s="137">
        <f>H547</f>
        <v>1.7195134205394424E-12</v>
      </c>
      <c r="I548" s="137">
        <f>I547</f>
        <v>1.6370904631912708E-11</v>
      </c>
    </row>
    <row r="549" spans="6:9">
      <c r="F549" s="774">
        <v>41698</v>
      </c>
      <c r="G549" s="137">
        <f t="shared" ref="G549:G559" si="7">G548</f>
        <v>-1.4779288903810084E-11</v>
      </c>
      <c r="H549" s="137">
        <f t="shared" ref="H549:H559" si="8">H548</f>
        <v>1.7195134205394424E-12</v>
      </c>
      <c r="I549" s="137">
        <f t="shared" ref="I549:I559" si="9">I548</f>
        <v>1.6370904631912708E-11</v>
      </c>
    </row>
    <row r="550" spans="6:9">
      <c r="F550" s="774">
        <v>41729</v>
      </c>
      <c r="G550" s="137">
        <f t="shared" si="7"/>
        <v>-1.4779288903810084E-11</v>
      </c>
      <c r="H550" s="137">
        <f t="shared" si="8"/>
        <v>1.7195134205394424E-12</v>
      </c>
      <c r="I550" s="137">
        <f t="shared" si="9"/>
        <v>1.6370904631912708E-11</v>
      </c>
    </row>
    <row r="551" spans="6:9">
      <c r="F551" s="774">
        <v>41759</v>
      </c>
      <c r="G551" s="137">
        <f t="shared" si="7"/>
        <v>-1.4779288903810084E-11</v>
      </c>
      <c r="H551" s="137">
        <f t="shared" si="8"/>
        <v>1.7195134205394424E-12</v>
      </c>
      <c r="I551" s="137">
        <f t="shared" si="9"/>
        <v>1.6370904631912708E-11</v>
      </c>
    </row>
    <row r="552" spans="6:9">
      <c r="F552" s="774">
        <v>41790</v>
      </c>
      <c r="G552" s="137">
        <f t="shared" si="7"/>
        <v>-1.4779288903810084E-11</v>
      </c>
      <c r="H552" s="137">
        <f t="shared" si="8"/>
        <v>1.7195134205394424E-12</v>
      </c>
      <c r="I552" s="137">
        <f t="shared" si="9"/>
        <v>1.6370904631912708E-11</v>
      </c>
    </row>
    <row r="553" spans="6:9">
      <c r="F553" s="774">
        <v>41820</v>
      </c>
      <c r="G553" s="137">
        <f t="shared" si="7"/>
        <v>-1.4779288903810084E-11</v>
      </c>
      <c r="H553" s="137">
        <f t="shared" si="8"/>
        <v>1.7195134205394424E-12</v>
      </c>
      <c r="I553" s="137">
        <f t="shared" si="9"/>
        <v>1.6370904631912708E-11</v>
      </c>
    </row>
    <row r="554" spans="6:9">
      <c r="F554" s="774">
        <v>41851</v>
      </c>
      <c r="G554" s="137">
        <f t="shared" si="7"/>
        <v>-1.4779288903810084E-11</v>
      </c>
      <c r="H554" s="137">
        <f t="shared" si="8"/>
        <v>1.7195134205394424E-12</v>
      </c>
      <c r="I554" s="137">
        <f t="shared" si="9"/>
        <v>1.6370904631912708E-11</v>
      </c>
    </row>
    <row r="555" spans="6:9">
      <c r="F555" s="774">
        <v>41882</v>
      </c>
      <c r="G555" s="137">
        <f t="shared" si="7"/>
        <v>-1.4779288903810084E-11</v>
      </c>
      <c r="H555" s="137">
        <f t="shared" si="8"/>
        <v>1.7195134205394424E-12</v>
      </c>
      <c r="I555" s="137">
        <f t="shared" si="9"/>
        <v>1.6370904631912708E-11</v>
      </c>
    </row>
    <row r="556" spans="6:9">
      <c r="F556" s="774">
        <v>41912</v>
      </c>
      <c r="G556" s="137">
        <f t="shared" si="7"/>
        <v>-1.4779288903810084E-11</v>
      </c>
      <c r="H556" s="137">
        <f t="shared" si="8"/>
        <v>1.7195134205394424E-12</v>
      </c>
      <c r="I556" s="137">
        <f t="shared" si="9"/>
        <v>1.6370904631912708E-11</v>
      </c>
    </row>
    <row r="557" spans="6:9">
      <c r="F557" s="774">
        <v>41943</v>
      </c>
      <c r="G557" s="137">
        <f t="shared" si="7"/>
        <v>-1.4779288903810084E-11</v>
      </c>
      <c r="H557" s="137">
        <f t="shared" si="8"/>
        <v>1.7195134205394424E-12</v>
      </c>
      <c r="I557" s="137">
        <f t="shared" si="9"/>
        <v>1.6370904631912708E-11</v>
      </c>
    </row>
    <row r="558" spans="6:9">
      <c r="F558" s="774">
        <v>41973</v>
      </c>
      <c r="G558" s="137">
        <f t="shared" si="7"/>
        <v>-1.4779288903810084E-11</v>
      </c>
      <c r="H558" s="137">
        <f t="shared" si="8"/>
        <v>1.7195134205394424E-12</v>
      </c>
      <c r="I558" s="137">
        <f t="shared" si="9"/>
        <v>1.6370904631912708E-11</v>
      </c>
    </row>
    <row r="559" spans="6:9">
      <c r="F559" s="774">
        <v>42004</v>
      </c>
      <c r="G559" s="137">
        <f t="shared" si="7"/>
        <v>-1.4779288903810084E-11</v>
      </c>
      <c r="H559" s="137">
        <f t="shared" si="8"/>
        <v>1.7195134205394424E-12</v>
      </c>
      <c r="I559" s="137">
        <f t="shared" si="9"/>
        <v>1.6370904631912708E-11</v>
      </c>
    </row>
  </sheetData>
  <mergeCells count="33">
    <mergeCell ref="G502:I502"/>
    <mergeCell ref="H183:J183"/>
    <mergeCell ref="B43:J43"/>
    <mergeCell ref="B44:J44"/>
    <mergeCell ref="B45:J45"/>
    <mergeCell ref="B46:J46"/>
    <mergeCell ref="H90:J90"/>
    <mergeCell ref="H119:J119"/>
    <mergeCell ref="H8:J8"/>
    <mergeCell ref="H48:J48"/>
    <mergeCell ref="B47:J47"/>
    <mergeCell ref="B86:J86"/>
    <mergeCell ref="B181:J181"/>
    <mergeCell ref="B180:J180"/>
    <mergeCell ref="B3:J3"/>
    <mergeCell ref="B4:J4"/>
    <mergeCell ref="B5:J5"/>
    <mergeCell ref="B6:J6"/>
    <mergeCell ref="B7:J7"/>
    <mergeCell ref="B87:J87"/>
    <mergeCell ref="B88:J88"/>
    <mergeCell ref="B89:J89"/>
    <mergeCell ref="B114:J114"/>
    <mergeCell ref="B115:J115"/>
    <mergeCell ref="B116:J116"/>
    <mergeCell ref="B179:J179"/>
    <mergeCell ref="G446:H446"/>
    <mergeCell ref="B182:J182"/>
    <mergeCell ref="B418:J418"/>
    <mergeCell ref="B419:J419"/>
    <mergeCell ref="B420:J420"/>
    <mergeCell ref="B421:J421"/>
    <mergeCell ref="H422:J422"/>
  </mergeCells>
  <conditionalFormatting sqref="D412">
    <cfRule type="cellIs" dxfId="3" priority="2" stopIfTrue="1" operator="equal">
      <formula>"see detail"</formula>
    </cfRule>
  </conditionalFormatting>
  <pageMargins left="0.31" right="0.4" top="0.57999999999999996" bottom="0.52" header="0.3" footer="0.3"/>
  <pageSetup scale="66" orientation="portrait" r:id="rId1"/>
  <rowBreaks count="8" manualBreakCount="8">
    <brk id="41" max="9" man="1"/>
    <brk id="84" max="9" man="1"/>
    <brk id="112" max="9" man="1"/>
    <brk id="178" max="9" man="1"/>
    <brk id="257" max="9" man="1"/>
    <brk id="339" max="9" man="1"/>
    <brk id="417" max="9" man="1"/>
    <brk id="500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BA1872"/>
  <sheetViews>
    <sheetView view="pageBreakPreview" zoomScale="90" zoomScaleNormal="100" zoomScaleSheetLayoutView="90" workbookViewId="0">
      <pane xSplit="7" ySplit="6" topLeftCell="H108" activePane="bottomRight" state="frozen"/>
      <selection pane="topRight" activeCell="H1" sqref="H1"/>
      <selection pane="bottomLeft" activeCell="A7" sqref="A7"/>
      <selection pane="bottomRight" activeCell="H108" sqref="H108"/>
    </sheetView>
  </sheetViews>
  <sheetFormatPr defaultRowHeight="12.75"/>
  <cols>
    <col min="1" max="1" width="5.7109375" style="288" customWidth="1"/>
    <col min="2" max="2" width="23.5703125" style="288" customWidth="1"/>
    <col min="3" max="3" width="8" style="288" customWidth="1"/>
    <col min="4" max="4" width="9.5703125" style="288" customWidth="1"/>
    <col min="5" max="5" width="10.28515625" style="165" customWidth="1"/>
    <col min="6" max="6" width="21.85546875" style="165" customWidth="1"/>
    <col min="7" max="7" width="32.7109375" style="133" customWidth="1"/>
    <col min="8" max="8" width="15.7109375" style="133" customWidth="1"/>
    <col min="9" max="9" width="8" style="133" customWidth="1"/>
    <col min="10" max="11" width="8.7109375" style="133" customWidth="1"/>
    <col min="12" max="12" width="9.28515625" style="165" customWidth="1"/>
    <col min="13" max="13" width="9.28515625" style="133" customWidth="1"/>
    <col min="14" max="14" width="7.7109375" style="133" customWidth="1"/>
    <col min="15" max="15" width="10.28515625" style="133" customWidth="1"/>
    <col min="16" max="16" width="7.7109375" style="165" customWidth="1"/>
    <col min="17" max="20" width="7.7109375" style="133" customWidth="1"/>
    <col min="21" max="21" width="9.85546875" style="133" customWidth="1"/>
    <col min="22" max="23" width="9.7109375" style="133" customWidth="1"/>
    <col min="24" max="24" width="10.5703125" style="133" customWidth="1"/>
    <col min="25" max="28" width="9.140625" style="133"/>
    <col min="29" max="41" width="17.42578125" style="133" customWidth="1"/>
    <col min="42" max="42" width="9.85546875" style="133" bestFit="1" customWidth="1"/>
    <col min="43" max="44" width="9.140625" style="133"/>
    <col min="45" max="45" width="29.5703125" style="133" customWidth="1"/>
    <col min="46" max="16384" width="9.140625" style="133"/>
  </cols>
  <sheetData>
    <row r="1" spans="1:46" s="308" customFormat="1" ht="14.25" customHeight="1">
      <c r="A1" s="194" t="s">
        <v>1558</v>
      </c>
      <c r="B1" s="188"/>
      <c r="C1" s="181" t="s">
        <v>1559</v>
      </c>
      <c r="D1" s="198"/>
      <c r="E1" s="198"/>
      <c r="F1" s="198"/>
      <c r="G1" s="198"/>
      <c r="H1" s="305"/>
      <c r="I1" s="198"/>
      <c r="J1" s="198"/>
      <c r="K1" s="305"/>
      <c r="L1" s="306"/>
      <c r="M1" s="306"/>
      <c r="N1" s="306"/>
      <c r="O1" s="306"/>
      <c r="P1" s="198"/>
      <c r="Q1" s="198"/>
      <c r="R1" s="198"/>
      <c r="S1" s="198"/>
      <c r="T1" s="198"/>
      <c r="U1" s="205" t="s">
        <v>4892</v>
      </c>
      <c r="V1" s="206"/>
      <c r="W1" s="206"/>
      <c r="X1" s="206"/>
      <c r="Y1" s="205" t="s">
        <v>4891</v>
      </c>
      <c r="Z1" s="206"/>
      <c r="AA1" s="206"/>
      <c r="AB1" s="206"/>
      <c r="AC1" s="307">
        <v>2013</v>
      </c>
      <c r="AD1" s="205" t="s">
        <v>4668</v>
      </c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308" t="s">
        <v>1559</v>
      </c>
      <c r="AS1" s="309"/>
    </row>
    <row r="2" spans="1:46" s="5" customFormat="1" ht="20.25" customHeight="1" thickBot="1">
      <c r="A2" s="310"/>
      <c r="B2" s="189" t="s">
        <v>4670</v>
      </c>
      <c r="C2" s="182" t="s">
        <v>2973</v>
      </c>
      <c r="D2" s="199" t="s">
        <v>2974</v>
      </c>
      <c r="E2" s="199" t="s">
        <v>2009</v>
      </c>
      <c r="F2" s="199" t="s">
        <v>2975</v>
      </c>
      <c r="G2" s="4" t="s">
        <v>375</v>
      </c>
      <c r="H2" s="189" t="s">
        <v>376</v>
      </c>
      <c r="I2" s="199" t="s">
        <v>377</v>
      </c>
      <c r="J2" s="199" t="s">
        <v>378</v>
      </c>
      <c r="K2" s="189" t="s">
        <v>379</v>
      </c>
      <c r="L2" s="14" t="s">
        <v>2385</v>
      </c>
      <c r="M2" s="14" t="s">
        <v>380</v>
      </c>
      <c r="N2" s="311" t="s">
        <v>380</v>
      </c>
      <c r="O2" s="311" t="s">
        <v>2511</v>
      </c>
      <c r="P2" s="312" t="s">
        <v>340</v>
      </c>
      <c r="Q2" s="313" t="s">
        <v>1254</v>
      </c>
      <c r="R2" s="314" t="s">
        <v>201</v>
      </c>
      <c r="S2" s="314" t="s">
        <v>202</v>
      </c>
      <c r="T2" s="314" t="s">
        <v>2696</v>
      </c>
      <c r="U2" s="96" t="s">
        <v>1177</v>
      </c>
      <c r="V2" s="92" t="s">
        <v>1178</v>
      </c>
      <c r="W2" s="95" t="s">
        <v>1187</v>
      </c>
      <c r="X2" s="92" t="s">
        <v>1179</v>
      </c>
      <c r="Y2" s="96" t="s">
        <v>1177</v>
      </c>
      <c r="Z2" s="92" t="s">
        <v>1178</v>
      </c>
      <c r="AA2" s="95" t="s">
        <v>1187</v>
      </c>
      <c r="AB2" s="92" t="s">
        <v>1179</v>
      </c>
      <c r="AC2" s="91" t="s">
        <v>2314</v>
      </c>
      <c r="AD2" s="92" t="s">
        <v>1962</v>
      </c>
      <c r="AE2" s="92" t="s">
        <v>631</v>
      </c>
      <c r="AF2" s="92" t="s">
        <v>1694</v>
      </c>
      <c r="AG2" s="92" t="s">
        <v>632</v>
      </c>
      <c r="AH2" s="92" t="s">
        <v>2245</v>
      </c>
      <c r="AI2" s="92" t="s">
        <v>2273</v>
      </c>
      <c r="AJ2" s="92" t="s">
        <v>2309</v>
      </c>
      <c r="AK2" s="92" t="s">
        <v>2310</v>
      </c>
      <c r="AL2" s="92" t="s">
        <v>2311</v>
      </c>
      <c r="AM2" s="92" t="s">
        <v>2312</v>
      </c>
      <c r="AN2" s="92" t="s">
        <v>2313</v>
      </c>
      <c r="AO2" s="92" t="s">
        <v>2314</v>
      </c>
      <c r="AP2" s="5" t="s">
        <v>2973</v>
      </c>
      <c r="AQ2" s="5" t="s">
        <v>2974</v>
      </c>
      <c r="AR2" s="5" t="s">
        <v>2492</v>
      </c>
      <c r="AS2" s="6"/>
    </row>
    <row r="3" spans="1:46" s="8" customFormat="1" ht="5.25" customHeight="1" thickTop="1">
      <c r="A3" s="315"/>
      <c r="B3" s="190"/>
      <c r="C3" s="183"/>
      <c r="D3" s="200"/>
      <c r="E3" s="200"/>
      <c r="F3" s="200"/>
      <c r="G3" s="7"/>
      <c r="H3" s="7"/>
      <c r="I3" s="316"/>
      <c r="J3" s="317"/>
      <c r="K3" s="7"/>
      <c r="L3" s="15"/>
      <c r="M3" s="15"/>
      <c r="N3" s="318"/>
      <c r="O3" s="318"/>
      <c r="P3" s="190"/>
      <c r="Q3" s="190"/>
      <c r="R3" s="319"/>
      <c r="S3" s="319"/>
      <c r="T3" s="319"/>
      <c r="U3" s="97"/>
      <c r="V3" s="93"/>
      <c r="W3" s="98"/>
      <c r="X3" s="99"/>
      <c r="Y3" s="97"/>
      <c r="Z3" s="93"/>
      <c r="AA3" s="98"/>
      <c r="AB3" s="99"/>
      <c r="AC3" s="104"/>
      <c r="AD3" s="97"/>
      <c r="AE3" s="97"/>
      <c r="AF3" s="97"/>
      <c r="AG3" s="93"/>
      <c r="AH3" s="93"/>
      <c r="AI3" s="93"/>
      <c r="AJ3" s="93"/>
      <c r="AK3" s="93"/>
      <c r="AL3" s="93"/>
      <c r="AM3" s="93"/>
      <c r="AN3" s="93"/>
      <c r="AO3" s="93"/>
      <c r="AS3" s="9"/>
    </row>
    <row r="4" spans="1:46" s="8" customFormat="1" ht="19.5" customHeight="1">
      <c r="A4" s="320"/>
      <c r="B4" s="10"/>
      <c r="C4" s="321"/>
      <c r="D4" s="322"/>
      <c r="E4" s="322"/>
      <c r="F4" s="322"/>
      <c r="G4" s="10"/>
      <c r="H4" s="317"/>
      <c r="I4" s="317"/>
      <c r="J4" s="317"/>
      <c r="K4" s="317"/>
      <c r="L4" s="15"/>
      <c r="M4" s="15"/>
      <c r="N4" s="318"/>
      <c r="O4" s="318"/>
      <c r="P4" s="190"/>
      <c r="Q4" s="190"/>
      <c r="R4" s="319"/>
      <c r="S4" s="319"/>
      <c r="T4" s="319"/>
      <c r="U4" s="100"/>
      <c r="V4" s="94"/>
      <c r="W4" s="101"/>
      <c r="X4" s="102"/>
      <c r="Y4" s="100"/>
      <c r="Z4" s="94"/>
      <c r="AA4" s="101"/>
      <c r="AB4" s="102"/>
      <c r="AC4" s="105"/>
      <c r="AD4" s="100"/>
      <c r="AE4" s="100"/>
      <c r="AF4" s="100"/>
      <c r="AG4" s="94"/>
      <c r="AH4" s="94"/>
      <c r="AI4" s="94"/>
      <c r="AJ4" s="94"/>
      <c r="AK4" s="94"/>
      <c r="AL4" s="94"/>
      <c r="AM4" s="94"/>
      <c r="AN4" s="94"/>
      <c r="AO4" s="94"/>
      <c r="AS4" s="9"/>
    </row>
    <row r="5" spans="1:46" s="323" customFormat="1" ht="12.75" customHeight="1">
      <c r="A5" s="195" t="s">
        <v>1180</v>
      </c>
      <c r="B5" s="191"/>
      <c r="C5" s="184"/>
      <c r="D5" s="184"/>
      <c r="E5" s="184"/>
      <c r="H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AS5" s="325"/>
    </row>
    <row r="6" spans="1:46" s="329" customFormat="1" ht="25.5" customHeight="1">
      <c r="A6" s="196" t="s">
        <v>604</v>
      </c>
      <c r="B6" s="192"/>
      <c r="C6" s="185"/>
      <c r="D6" s="185"/>
      <c r="E6" s="185"/>
      <c r="F6" s="326"/>
      <c r="G6" s="326"/>
      <c r="H6" s="327"/>
      <c r="I6" s="326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8" t="s">
        <v>1180</v>
      </c>
      <c r="AT6" s="326"/>
    </row>
    <row r="7" spans="1:46" s="125" customFormat="1" ht="25.5" customHeight="1">
      <c r="A7" s="216" t="s">
        <v>2493</v>
      </c>
      <c r="B7" s="217" t="str">
        <f>CONCATENATE(A7,C7,D7,E7)</f>
        <v>GL101010</v>
      </c>
      <c r="C7" s="186">
        <v>101010</v>
      </c>
      <c r="D7" s="201"/>
      <c r="E7" s="162"/>
      <c r="F7" s="169" t="s">
        <v>227</v>
      </c>
      <c r="G7" s="117"/>
      <c r="H7" s="118" t="s">
        <v>1180</v>
      </c>
      <c r="I7" s="119"/>
      <c r="J7" s="120"/>
      <c r="K7" s="120" t="str">
        <f>IF(L7="N3","SFAS-109","")</f>
        <v/>
      </c>
      <c r="L7" s="170" t="s">
        <v>1890</v>
      </c>
      <c r="M7" s="122" t="str">
        <f t="shared" ref="M7:M46" si="0">LEFT(L7,1)</f>
        <v>R</v>
      </c>
      <c r="N7" s="116" t="str">
        <f>IF($L7&lt;&gt;"",VLOOKUP($L7,Categories!$E:$G,2,FALSE),IF($F7&lt;&gt;"","NO CAT",""))</f>
        <v>Rate Base</v>
      </c>
      <c r="O7" s="116" t="str">
        <f>IF($L7&lt;&gt;"",VLOOKUP($L7,Categories!$E:$G,3,FALSE),IF($F7&lt;&gt;"","NO CAT",""))</f>
        <v>Utility Plant</v>
      </c>
      <c r="P7" s="170" t="s">
        <v>1183</v>
      </c>
      <c r="Q7" s="123" t="s">
        <v>1177</v>
      </c>
      <c r="R7" s="124">
        <v>1</v>
      </c>
      <c r="S7" s="124">
        <v>0</v>
      </c>
      <c r="T7" s="124">
        <v>0</v>
      </c>
      <c r="U7" s="121">
        <f>IF(ABS(X7)=0,"",IF($R7="NO ALLOC","NO ALLOC",ROUND($R7*X7,15)))</f>
        <v>3340608.82837458</v>
      </c>
      <c r="V7" s="121">
        <f>IF(ABS(X7)=0,"",IF($S7="NO ALLOC","NO ALLOC",ROUND($S7*X7,15)))</f>
        <v>0</v>
      </c>
      <c r="W7" s="121">
        <f>IF(ABS(X7)=0,"",IF($T7="NO ALLOC","NO ALLOC",ROUND($T7*X7,15)))</f>
        <v>0</v>
      </c>
      <c r="X7" s="121">
        <f>IF(ISERROR(ROUND((SUM(AC7:AO7)-((AC7+AO7))/2)/12,15)),"",ROUND((SUM(AC7:AO7)-((AC7+AO7))/2)/12,15))</f>
        <v>3340608.82837458</v>
      </c>
      <c r="Y7" s="121">
        <f>IF(ABS(AB7)=0,"",IF($R7="NO ALLOC","NO ALLOC",ROUND($R7*AB7,15)))</f>
        <v>3456807.0366699998</v>
      </c>
      <c r="Z7" s="121">
        <f>IF(ABS(AB7)=0,"",IF($S7="NO ALLOC","NO ALLOC",ROUND($S7*AB7,15)))</f>
        <v>0</v>
      </c>
      <c r="AA7" s="121">
        <f>IF(ABS(AB7)=0,"",IF($T7="NO ALLOC","NO ALLOC",ROUND($T7*AB7,15)))</f>
        <v>0</v>
      </c>
      <c r="AB7" s="121">
        <f>IF(AO7="",0,+AO7)</f>
        <v>3456807.0366700003</v>
      </c>
      <c r="AC7" s="121">
        <v>3208626.7153000003</v>
      </c>
      <c r="AD7" s="121">
        <v>3213777.0322800004</v>
      </c>
      <c r="AE7" s="121">
        <v>3219923.8256300003</v>
      </c>
      <c r="AF7" s="121">
        <v>3247343.80865</v>
      </c>
      <c r="AG7" s="121">
        <v>3249096.8378900001</v>
      </c>
      <c r="AH7" s="121">
        <v>3331648.49138</v>
      </c>
      <c r="AI7" s="121">
        <v>3396279.1232699999</v>
      </c>
      <c r="AJ7" s="121">
        <v>3402799.3720300002</v>
      </c>
      <c r="AK7" s="121">
        <v>3396480.2316399999</v>
      </c>
      <c r="AL7" s="121">
        <v>3403769.1525100004</v>
      </c>
      <c r="AM7" s="121">
        <v>3430694.1018000003</v>
      </c>
      <c r="AN7" s="121">
        <v>3462777.0874299998</v>
      </c>
      <c r="AO7" s="121">
        <v>3456807.0366700003</v>
      </c>
      <c r="AP7" s="125" t="str">
        <f>CONCATENATE(A7,M7)</f>
        <v>GLR</v>
      </c>
      <c r="AQ7" s="125" t="str">
        <f>CONCATENATE(AP7,L7,H7)</f>
        <v>GLRR1</v>
      </c>
      <c r="AS7" s="125" t="str">
        <f>CONCATENATE(L7,H7,J7)</f>
        <v>R1</v>
      </c>
    </row>
    <row r="8" spans="1:46" s="125" customFormat="1" ht="25.5" customHeight="1">
      <c r="A8" s="216" t="s">
        <v>2493</v>
      </c>
      <c r="B8" s="217" t="str">
        <f t="shared" ref="B8:B46" si="1">CONCATENATE(A8,C8,D8,E8)</f>
        <v>GL101030</v>
      </c>
      <c r="C8" s="186">
        <v>101030</v>
      </c>
      <c r="D8" s="201"/>
      <c r="E8" s="162"/>
      <c r="F8" s="169" t="s">
        <v>1825</v>
      </c>
      <c r="G8" s="117"/>
      <c r="H8" s="118" t="s">
        <v>1180</v>
      </c>
      <c r="I8" s="119"/>
      <c r="J8" s="120"/>
      <c r="K8" s="120" t="str">
        <f t="shared" ref="K8:K46" si="2">IF(L8="N3","SFAS-109","")</f>
        <v/>
      </c>
      <c r="L8" s="170" t="s">
        <v>1890</v>
      </c>
      <c r="M8" s="122" t="str">
        <f t="shared" si="0"/>
        <v>R</v>
      </c>
      <c r="N8" s="116" t="str">
        <f>IF($L8&lt;&gt;"",VLOOKUP($L8,Categories!$E:$G,2,FALSE),IF($F8&lt;&gt;"","NO CAT",""))</f>
        <v>Rate Base</v>
      </c>
      <c r="O8" s="116" t="str">
        <f>IF($L8&lt;&gt;"",VLOOKUP($L8,Categories!$E:$G,3,FALSE),IF($F8&lt;&gt;"","NO CAT",""))</f>
        <v>Utility Plant</v>
      </c>
      <c r="P8" s="170" t="s">
        <v>1184</v>
      </c>
      <c r="Q8" s="123" t="s">
        <v>1178</v>
      </c>
      <c r="R8" s="124">
        <v>0</v>
      </c>
      <c r="S8" s="124">
        <v>1</v>
      </c>
      <c r="T8" s="124">
        <v>0</v>
      </c>
      <c r="U8" s="121">
        <f t="shared" ref="U8:U45" si="3">IF(ABS(X8)=0,"",IF($R8="NO ALLOC","NO ALLOC",ROUND($R8*X8,15)))</f>
        <v>0</v>
      </c>
      <c r="V8" s="121">
        <f t="shared" ref="V8:V45" si="4">IF(ABS(X8)=0,"",IF($S8="NO ALLOC","NO ALLOC",ROUND($S8*X8,15)))</f>
        <v>819654.87991041702</v>
      </c>
      <c r="W8" s="121">
        <f t="shared" ref="W8:W45" si="5">IF(ABS(X8)=0,"",IF($T8="NO ALLOC","NO ALLOC",ROUND($T8*X8,15)))</f>
        <v>0</v>
      </c>
      <c r="X8" s="121">
        <f t="shared" ref="X8:X45" si="6">IF(ISERROR(ROUND((SUM(AC8:AO8)-((AC8+AO8))/2)/12,15)),"",ROUND((SUM(AC8:AO8)-((AC8+AO8))/2)/12,15))</f>
        <v>819654.87991041702</v>
      </c>
      <c r="Y8" s="121">
        <f t="shared" ref="Y8:Y45" si="7">IF(ABS(AB8)=0,"",IF($R8="NO ALLOC","NO ALLOC",ROUND($R8*AB8,15)))</f>
        <v>0</v>
      </c>
      <c r="Z8" s="121">
        <f t="shared" ref="Z8:Z45" si="8">IF(ABS(AB8)=0,"",IF($S8="NO ALLOC","NO ALLOC",ROUND($S8*AB8,15)))</f>
        <v>845223.36303000001</v>
      </c>
      <c r="AA8" s="121">
        <f t="shared" ref="AA8:AA45" si="9">IF(ABS(AB8)=0,"",IF($T8="NO ALLOC","NO ALLOC",ROUND($T8*AB8,15)))</f>
        <v>0</v>
      </c>
      <c r="AB8" s="121">
        <f t="shared" ref="AB8:AB45" si="10">IF(AO8="",0,+AO8)</f>
        <v>845223.36303000001</v>
      </c>
      <c r="AC8" s="121">
        <v>795020.7596799999</v>
      </c>
      <c r="AD8" s="121">
        <v>796971.56839999999</v>
      </c>
      <c r="AE8" s="121">
        <v>800519.98976000003</v>
      </c>
      <c r="AF8" s="121">
        <v>808102.07122000004</v>
      </c>
      <c r="AG8" s="121">
        <v>808300.92669000011</v>
      </c>
      <c r="AH8" s="121">
        <v>813953.47191999992</v>
      </c>
      <c r="AI8" s="121">
        <v>817829.95276000001</v>
      </c>
      <c r="AJ8" s="121">
        <v>826905.85548000003</v>
      </c>
      <c r="AK8" s="121">
        <v>830950.95427999995</v>
      </c>
      <c r="AL8" s="121">
        <v>833623.31047999999</v>
      </c>
      <c r="AM8" s="121">
        <v>836846.29628000001</v>
      </c>
      <c r="AN8" s="121">
        <v>841732.10029999993</v>
      </c>
      <c r="AO8" s="121">
        <v>845223.36303000001</v>
      </c>
      <c r="AP8" s="125" t="str">
        <f>CONCATENATE(A8,M8)</f>
        <v>GLR</v>
      </c>
      <c r="AQ8" s="125" t="str">
        <f>CONCATENATE(AP8,L8,H8)</f>
        <v>GLRR1</v>
      </c>
      <c r="AR8" s="125" t="s">
        <v>1180</v>
      </c>
      <c r="AS8" s="125" t="str">
        <f>CONCATENATE(L8,H8,J8)</f>
        <v>R1</v>
      </c>
    </row>
    <row r="9" spans="1:46" s="125" customFormat="1" ht="25.5" customHeight="1">
      <c r="A9" s="216" t="s">
        <v>2493</v>
      </c>
      <c r="B9" s="217" t="str">
        <f t="shared" si="1"/>
        <v>GL101070</v>
      </c>
      <c r="C9" s="186">
        <v>101070</v>
      </c>
      <c r="D9" s="201"/>
      <c r="E9" s="162"/>
      <c r="F9" s="169" t="s">
        <v>230</v>
      </c>
      <c r="G9" s="117"/>
      <c r="H9" s="118" t="s">
        <v>1180</v>
      </c>
      <c r="I9" s="119"/>
      <c r="J9" s="120"/>
      <c r="K9" s="120" t="str">
        <f t="shared" si="2"/>
        <v/>
      </c>
      <c r="L9" s="170" t="s">
        <v>1890</v>
      </c>
      <c r="M9" s="122" t="str">
        <f t="shared" si="0"/>
        <v>R</v>
      </c>
      <c r="N9" s="116" t="str">
        <f>IF($L9&lt;&gt;"",VLOOKUP($L9,Categories!$E:$G,2,FALSE),IF($F9&lt;&gt;"","NO CAT",""))</f>
        <v>Rate Base</v>
      </c>
      <c r="O9" s="116" t="str">
        <f>IF($L9&lt;&gt;"",VLOOKUP($L9,Categories!$E:$G,3,FALSE),IF($F9&lt;&gt;"","NO CAT",""))</f>
        <v>Utility Plant</v>
      </c>
      <c r="P9" s="170" t="s">
        <v>1182</v>
      </c>
      <c r="Q9" s="123" t="s">
        <v>1693</v>
      </c>
      <c r="R9" s="124">
        <v>0.79196546646577504</v>
      </c>
      <c r="S9" s="124">
        <v>0.20803453353422496</v>
      </c>
      <c r="T9" s="124">
        <v>0</v>
      </c>
      <c r="U9" s="121">
        <f t="shared" si="3"/>
        <v>228091.011919579</v>
      </c>
      <c r="V9" s="121">
        <f t="shared" si="4"/>
        <v>59915.247920837901</v>
      </c>
      <c r="W9" s="121">
        <f t="shared" si="5"/>
        <v>0</v>
      </c>
      <c r="X9" s="121">
        <f t="shared" si="6"/>
        <v>288006.25984041701</v>
      </c>
      <c r="Y9" s="121">
        <f t="shared" si="7"/>
        <v>245699.333140909</v>
      </c>
      <c r="Z9" s="121">
        <f t="shared" si="8"/>
        <v>64540.624969091303</v>
      </c>
      <c r="AA9" s="121">
        <f t="shared" si="9"/>
        <v>0</v>
      </c>
      <c r="AB9" s="121">
        <f t="shared" si="10"/>
        <v>310239.95811000001</v>
      </c>
      <c r="AC9" s="121">
        <v>265394.19402</v>
      </c>
      <c r="AD9" s="121">
        <v>265766.68511000002</v>
      </c>
      <c r="AE9" s="121">
        <v>265403.64713999996</v>
      </c>
      <c r="AF9" s="121">
        <v>273737.16719999997</v>
      </c>
      <c r="AG9" s="121">
        <v>274436.38951000001</v>
      </c>
      <c r="AH9" s="121">
        <v>286873.99562</v>
      </c>
      <c r="AI9" s="121">
        <v>284732.42952999996</v>
      </c>
      <c r="AJ9" s="121">
        <v>303302.42706999998</v>
      </c>
      <c r="AK9" s="121">
        <v>298982.72254000005</v>
      </c>
      <c r="AL9" s="121">
        <v>302778.69114000001</v>
      </c>
      <c r="AM9" s="121">
        <v>303714.81270000001</v>
      </c>
      <c r="AN9" s="121">
        <v>308529.07445999997</v>
      </c>
      <c r="AO9" s="121">
        <v>310239.95811000001</v>
      </c>
      <c r="AP9" s="125" t="str">
        <f>CONCATENATE(A9,M9)</f>
        <v>GLR</v>
      </c>
      <c r="AQ9" s="125" t="str">
        <f>CONCATENATE(AP9,L9,H9)</f>
        <v>GLRR1</v>
      </c>
      <c r="AS9" s="125" t="str">
        <f>CONCATENATE(L9,H9,J9)</f>
        <v>R1</v>
      </c>
    </row>
    <row r="10" spans="1:46" s="125" customFormat="1" ht="25.5" customHeight="1">
      <c r="A10" s="216" t="s">
        <v>2493</v>
      </c>
      <c r="B10" s="217" t="str">
        <f t="shared" si="1"/>
        <v>GL101130</v>
      </c>
      <c r="C10" s="186">
        <v>101130</v>
      </c>
      <c r="D10" s="201"/>
      <c r="E10" s="162"/>
      <c r="F10" s="169" t="s">
        <v>231</v>
      </c>
      <c r="G10" s="117"/>
      <c r="H10" s="118" t="s">
        <v>1180</v>
      </c>
      <c r="I10" s="119"/>
      <c r="J10" s="120"/>
      <c r="K10" s="120" t="str">
        <f t="shared" si="2"/>
        <v/>
      </c>
      <c r="L10" s="170" t="s">
        <v>2809</v>
      </c>
      <c r="M10" s="122" t="str">
        <f t="shared" si="0"/>
        <v>N</v>
      </c>
      <c r="N10" s="116" t="str">
        <f>IF($L10&lt;&gt;"",VLOOKUP($L10,Categories!$E:$G,2,FALSE),IF($F10&lt;&gt;"","NO CAT",""))</f>
        <v>Not in Rate Base</v>
      </c>
      <c r="O10" s="116" t="str">
        <f>IF($L10&lt;&gt;"",VLOOKUP($L10,Categories!$E:$G,3,FALSE),IF($F10&lt;&gt;"","NO CAT",""))</f>
        <v>Capital Leases   (offsetting)</v>
      </c>
      <c r="P10" s="170" t="s">
        <v>1186</v>
      </c>
      <c r="Q10" s="123" t="s">
        <v>1187</v>
      </c>
      <c r="R10" s="124">
        <v>0</v>
      </c>
      <c r="S10" s="124">
        <v>0</v>
      </c>
      <c r="T10" s="124">
        <v>1</v>
      </c>
      <c r="U10" s="121">
        <f t="shared" si="3"/>
        <v>0</v>
      </c>
      <c r="V10" s="121">
        <f t="shared" si="4"/>
        <v>0</v>
      </c>
      <c r="W10" s="121">
        <f t="shared" si="5"/>
        <v>887.68629833333296</v>
      </c>
      <c r="X10" s="121">
        <f t="shared" si="6"/>
        <v>887.68629833333296</v>
      </c>
      <c r="Y10" s="121">
        <f t="shared" si="7"/>
        <v>0</v>
      </c>
      <c r="Z10" s="121">
        <f t="shared" si="8"/>
        <v>0</v>
      </c>
      <c r="AA10" s="121">
        <f t="shared" si="9"/>
        <v>511.61072000000001</v>
      </c>
      <c r="AB10" s="121">
        <f t="shared" si="10"/>
        <v>511.61071999999996</v>
      </c>
      <c r="AC10" s="121">
        <v>1175.55708</v>
      </c>
      <c r="AD10" s="121">
        <v>1148.3816899999999</v>
      </c>
      <c r="AE10" s="121">
        <v>1121.0953300000001</v>
      </c>
      <c r="AF10" s="121">
        <v>1093.6975500000001</v>
      </c>
      <c r="AG10" s="121">
        <v>1066.1878999999999</v>
      </c>
      <c r="AH10" s="121">
        <v>1037.18163</v>
      </c>
      <c r="AI10" s="121">
        <v>1002.5758199999999</v>
      </c>
      <c r="AJ10" s="121">
        <v>973.33218000000011</v>
      </c>
      <c r="AK10" s="121">
        <v>639.51340000000005</v>
      </c>
      <c r="AL10" s="121">
        <v>607.53773000000001</v>
      </c>
      <c r="AM10" s="121">
        <v>575.56206000000009</v>
      </c>
      <c r="AN10" s="121">
        <v>543.58639000000005</v>
      </c>
      <c r="AO10" s="121">
        <v>511.61071999999996</v>
      </c>
      <c r="AP10" s="125" t="str">
        <f>CONCATENATE(A10,M10)</f>
        <v>GLN</v>
      </c>
      <c r="AQ10" s="125" t="str">
        <f>CONCATENATE(AP10,L10,H10)</f>
        <v>GLNN4</v>
      </c>
      <c r="AS10" s="125" t="str">
        <f>CONCATENATE(L10,H10,J10)</f>
        <v>N4</v>
      </c>
    </row>
    <row r="11" spans="1:46" s="125" customFormat="1" ht="25.5" customHeight="1">
      <c r="A11" s="216" t="s">
        <v>2493</v>
      </c>
      <c r="B11" s="217" t="str">
        <f t="shared" si="1"/>
        <v>GL105010</v>
      </c>
      <c r="C11" s="186">
        <v>105010</v>
      </c>
      <c r="D11" s="201"/>
      <c r="E11" s="162"/>
      <c r="F11" s="169" t="s">
        <v>232</v>
      </c>
      <c r="G11" s="117"/>
      <c r="H11" s="118" t="s">
        <v>1180</v>
      </c>
      <c r="I11" s="119"/>
      <c r="J11" s="120"/>
      <c r="K11" s="120" t="str">
        <f t="shared" si="2"/>
        <v/>
      </c>
      <c r="L11" s="170" t="s">
        <v>1890</v>
      </c>
      <c r="M11" s="122" t="str">
        <f t="shared" si="0"/>
        <v>R</v>
      </c>
      <c r="N11" s="116" t="str">
        <f>IF($L11&lt;&gt;"",VLOOKUP($L11,Categories!$E:$G,2,FALSE),IF($F11&lt;&gt;"","NO CAT",""))</f>
        <v>Rate Base</v>
      </c>
      <c r="O11" s="116" t="str">
        <f>IF($L11&lt;&gt;"",VLOOKUP($L11,Categories!$E:$G,3,FALSE),IF($F11&lt;&gt;"","NO CAT",""))</f>
        <v>Utility Plant</v>
      </c>
      <c r="P11" s="170" t="s">
        <v>1183</v>
      </c>
      <c r="Q11" s="123" t="s">
        <v>1177</v>
      </c>
      <c r="R11" s="124">
        <v>1</v>
      </c>
      <c r="S11" s="124">
        <v>0</v>
      </c>
      <c r="T11" s="124">
        <v>0</v>
      </c>
      <c r="U11" s="121">
        <f t="shared" si="3"/>
        <v>1327.6280999999999</v>
      </c>
      <c r="V11" s="121">
        <f t="shared" si="4"/>
        <v>0</v>
      </c>
      <c r="W11" s="121">
        <f t="shared" si="5"/>
        <v>0</v>
      </c>
      <c r="X11" s="121">
        <f t="shared" si="6"/>
        <v>1327.6280999999999</v>
      </c>
      <c r="Y11" s="121">
        <f t="shared" si="7"/>
        <v>1327.6280999999999</v>
      </c>
      <c r="Z11" s="121">
        <f t="shared" si="8"/>
        <v>0</v>
      </c>
      <c r="AA11" s="121">
        <f t="shared" si="9"/>
        <v>0</v>
      </c>
      <c r="AB11" s="121">
        <f t="shared" si="10"/>
        <v>1327.6281000000001</v>
      </c>
      <c r="AC11" s="121">
        <v>1327.6281000000001</v>
      </c>
      <c r="AD11" s="121">
        <v>1327.6281000000001</v>
      </c>
      <c r="AE11" s="121">
        <v>1327.6281000000001</v>
      </c>
      <c r="AF11" s="121">
        <v>1327.6281000000001</v>
      </c>
      <c r="AG11" s="121">
        <v>1327.6281000000001</v>
      </c>
      <c r="AH11" s="121">
        <v>1327.6281000000001</v>
      </c>
      <c r="AI11" s="121">
        <v>1327.6281000000001</v>
      </c>
      <c r="AJ11" s="121">
        <v>1327.6281000000001</v>
      </c>
      <c r="AK11" s="121">
        <v>1327.6281000000001</v>
      </c>
      <c r="AL11" s="121">
        <v>1327.6281000000001</v>
      </c>
      <c r="AM11" s="121">
        <v>1327.6281000000001</v>
      </c>
      <c r="AN11" s="121">
        <v>1327.6281000000001</v>
      </c>
      <c r="AO11" s="121">
        <v>1327.6281000000001</v>
      </c>
      <c r="AP11" s="125" t="str">
        <f>CONCATENATE(A11,M11)</f>
        <v>GLR</v>
      </c>
      <c r="AQ11" s="125" t="str">
        <f>CONCATENATE(AP11,L11,H11)</f>
        <v>GLRR1</v>
      </c>
      <c r="AS11" s="125" t="str">
        <f>CONCATENATE(L11,H11,J11)</f>
        <v>R1</v>
      </c>
    </row>
    <row r="12" spans="1:46" s="125" customFormat="1" ht="25.5" customHeight="1">
      <c r="A12" s="216" t="s">
        <v>2493</v>
      </c>
      <c r="B12" s="217" t="str">
        <f t="shared" si="1"/>
        <v>GL106010</v>
      </c>
      <c r="C12" s="186">
        <v>106010</v>
      </c>
      <c r="D12" s="201"/>
      <c r="E12" s="162"/>
      <c r="F12" s="169" t="s">
        <v>2497</v>
      </c>
      <c r="G12" s="117"/>
      <c r="H12" s="118" t="s">
        <v>1180</v>
      </c>
      <c r="I12" s="119"/>
      <c r="J12" s="120"/>
      <c r="K12" s="120" t="str">
        <f t="shared" si="2"/>
        <v/>
      </c>
      <c r="L12" s="170" t="s">
        <v>1890</v>
      </c>
      <c r="M12" s="122" t="str">
        <f t="shared" si="0"/>
        <v>R</v>
      </c>
      <c r="N12" s="116" t="str">
        <f>IF($L12&lt;&gt;"",VLOOKUP($L12,Categories!$E:$G,2,FALSE),IF($F12&lt;&gt;"","NO CAT",""))</f>
        <v>Rate Base</v>
      </c>
      <c r="O12" s="116" t="str">
        <f>IF($L12&lt;&gt;"",VLOOKUP($L12,Categories!$E:$G,3,FALSE),IF($F12&lt;&gt;"","NO CAT",""))</f>
        <v>Utility Plant</v>
      </c>
      <c r="P12" s="170" t="s">
        <v>1183</v>
      </c>
      <c r="Q12" s="123" t="s">
        <v>1177</v>
      </c>
      <c r="R12" s="124">
        <v>1</v>
      </c>
      <c r="S12" s="124">
        <v>0</v>
      </c>
      <c r="T12" s="124">
        <v>0</v>
      </c>
      <c r="U12" s="121">
        <f t="shared" si="3"/>
        <v>218382.94434291701</v>
      </c>
      <c r="V12" s="121">
        <f t="shared" si="4"/>
        <v>0</v>
      </c>
      <c r="W12" s="121">
        <f t="shared" si="5"/>
        <v>0</v>
      </c>
      <c r="X12" s="121">
        <f t="shared" si="6"/>
        <v>218382.94434291701</v>
      </c>
      <c r="Y12" s="121">
        <f t="shared" si="7"/>
        <v>112492.50089</v>
      </c>
      <c r="Z12" s="121">
        <f t="shared" si="8"/>
        <v>0</v>
      </c>
      <c r="AA12" s="121">
        <f t="shared" si="9"/>
        <v>0</v>
      </c>
      <c r="AB12" s="121">
        <f t="shared" si="10"/>
        <v>112492.50089</v>
      </c>
      <c r="AC12" s="121">
        <v>309152.74810000003</v>
      </c>
      <c r="AD12" s="121">
        <v>310066.00676000002</v>
      </c>
      <c r="AE12" s="121">
        <v>319222.67389999999</v>
      </c>
      <c r="AF12" s="121">
        <v>312811.70983000001</v>
      </c>
      <c r="AG12" s="121">
        <v>322928.20504000003</v>
      </c>
      <c r="AH12" s="121">
        <v>245123.72981999998</v>
      </c>
      <c r="AI12" s="121">
        <v>176268.17400999999</v>
      </c>
      <c r="AJ12" s="121">
        <v>174946.54306</v>
      </c>
      <c r="AK12" s="121">
        <v>147137.2677</v>
      </c>
      <c r="AL12" s="121">
        <v>150004.49153</v>
      </c>
      <c r="AM12" s="121">
        <v>138599.66713999998</v>
      </c>
      <c r="AN12" s="121">
        <v>112664.23883</v>
      </c>
      <c r="AO12" s="121">
        <v>112492.50089</v>
      </c>
      <c r="AP12" s="125" t="str">
        <f>CONCATENATE(A12,M12)</f>
        <v>GLR</v>
      </c>
      <c r="AQ12" s="125" t="str">
        <f>CONCATENATE(AP12,L12,H12)</f>
        <v>GLRR1</v>
      </c>
      <c r="AS12" s="125" t="str">
        <f>CONCATENATE(L12,H12,J12)</f>
        <v>R1</v>
      </c>
    </row>
    <row r="13" spans="1:46" s="125" customFormat="1" ht="25.5" customHeight="1">
      <c r="A13" s="216" t="s">
        <v>2493</v>
      </c>
      <c r="B13" s="217" t="str">
        <f t="shared" si="1"/>
        <v>GL106030</v>
      </c>
      <c r="C13" s="186">
        <v>106030</v>
      </c>
      <c r="D13" s="201"/>
      <c r="E13" s="162"/>
      <c r="F13" s="169" t="s">
        <v>1766</v>
      </c>
      <c r="G13" s="117"/>
      <c r="H13" s="118" t="s">
        <v>1180</v>
      </c>
      <c r="I13" s="119"/>
      <c r="J13" s="120"/>
      <c r="K13" s="120" t="str">
        <f t="shared" si="2"/>
        <v/>
      </c>
      <c r="L13" s="170" t="s">
        <v>1890</v>
      </c>
      <c r="M13" s="122" t="str">
        <f t="shared" si="0"/>
        <v>R</v>
      </c>
      <c r="N13" s="116" t="str">
        <f>IF($L13&lt;&gt;"",VLOOKUP($L13,Categories!$E:$G,2,FALSE),IF($F13&lt;&gt;"","NO CAT",""))</f>
        <v>Rate Base</v>
      </c>
      <c r="O13" s="116" t="str">
        <f>IF($L13&lt;&gt;"",VLOOKUP($L13,Categories!$E:$G,3,FALSE),IF($F13&lt;&gt;"","NO CAT",""))</f>
        <v>Utility Plant</v>
      </c>
      <c r="P13" s="170" t="s">
        <v>1184</v>
      </c>
      <c r="Q13" s="123" t="s">
        <v>1178</v>
      </c>
      <c r="R13" s="124">
        <v>0</v>
      </c>
      <c r="S13" s="124">
        <v>1</v>
      </c>
      <c r="T13" s="124">
        <v>0</v>
      </c>
      <c r="U13" s="121">
        <f t="shared" si="3"/>
        <v>0</v>
      </c>
      <c r="V13" s="121">
        <f t="shared" si="4"/>
        <v>41926.221415833301</v>
      </c>
      <c r="W13" s="121">
        <f t="shared" si="5"/>
        <v>0</v>
      </c>
      <c r="X13" s="121">
        <f t="shared" si="6"/>
        <v>41926.221415833301</v>
      </c>
      <c r="Y13" s="121">
        <f t="shared" si="7"/>
        <v>0</v>
      </c>
      <c r="Z13" s="121">
        <f t="shared" si="8"/>
        <v>32715.281009999999</v>
      </c>
      <c r="AA13" s="121">
        <f t="shared" si="9"/>
        <v>0</v>
      </c>
      <c r="AB13" s="121">
        <f t="shared" si="10"/>
        <v>32715.281010000002</v>
      </c>
      <c r="AC13" s="121">
        <v>52068.248950000001</v>
      </c>
      <c r="AD13" s="121">
        <v>53003.133479999997</v>
      </c>
      <c r="AE13" s="121">
        <v>53227.463200000006</v>
      </c>
      <c r="AF13" s="121">
        <v>46142.955829999999</v>
      </c>
      <c r="AG13" s="121">
        <v>49111.638599999998</v>
      </c>
      <c r="AH13" s="121">
        <v>47760.831560000006</v>
      </c>
      <c r="AI13" s="121">
        <v>43872.576439999997</v>
      </c>
      <c r="AJ13" s="121">
        <v>37543.276109999999</v>
      </c>
      <c r="AK13" s="121">
        <v>32919.833850000003</v>
      </c>
      <c r="AL13" s="121">
        <v>32595.044379999999</v>
      </c>
      <c r="AM13" s="121">
        <v>33289.114260000002</v>
      </c>
      <c r="AN13" s="121">
        <v>31257.024300000001</v>
      </c>
      <c r="AO13" s="121">
        <v>32715.281010000002</v>
      </c>
      <c r="AP13" s="125" t="str">
        <f>CONCATENATE(A13,M13)</f>
        <v>GLR</v>
      </c>
      <c r="AQ13" s="125" t="str">
        <f>CONCATENATE(AP13,L13,H13)</f>
        <v>GLRR1</v>
      </c>
      <c r="AS13" s="125" t="str">
        <f>CONCATENATE(L13,H13,J13)</f>
        <v>R1</v>
      </c>
    </row>
    <row r="14" spans="1:46" s="125" customFormat="1" ht="25.5" customHeight="1">
      <c r="A14" s="216" t="s">
        <v>2493</v>
      </c>
      <c r="B14" s="217" t="str">
        <f t="shared" si="1"/>
        <v>GL106070</v>
      </c>
      <c r="C14" s="186">
        <v>106070</v>
      </c>
      <c r="D14" s="201"/>
      <c r="E14" s="162"/>
      <c r="F14" s="169" t="s">
        <v>1767</v>
      </c>
      <c r="G14" s="117"/>
      <c r="H14" s="118" t="s">
        <v>1180</v>
      </c>
      <c r="I14" s="119"/>
      <c r="J14" s="120"/>
      <c r="K14" s="120" t="str">
        <f t="shared" si="2"/>
        <v/>
      </c>
      <c r="L14" s="170" t="s">
        <v>1890</v>
      </c>
      <c r="M14" s="122" t="str">
        <f t="shared" si="0"/>
        <v>R</v>
      </c>
      <c r="N14" s="116" t="str">
        <f>IF($L14&lt;&gt;"",VLOOKUP($L14,Categories!$E:$G,2,FALSE),IF($F14&lt;&gt;"","NO CAT",""))</f>
        <v>Rate Base</v>
      </c>
      <c r="O14" s="116" t="str">
        <f>IF($L14&lt;&gt;"",VLOOKUP($L14,Categories!$E:$G,3,FALSE),IF($F14&lt;&gt;"","NO CAT",""))</f>
        <v>Utility Plant</v>
      </c>
      <c r="P14" s="170" t="s">
        <v>1182</v>
      </c>
      <c r="Q14" s="123" t="s">
        <v>1693</v>
      </c>
      <c r="R14" s="124">
        <v>0.79196546646577504</v>
      </c>
      <c r="S14" s="124">
        <v>0.20803453353422496</v>
      </c>
      <c r="T14" s="124">
        <v>0</v>
      </c>
      <c r="U14" s="121">
        <f t="shared" si="3"/>
        <v>43734.845491795801</v>
      </c>
      <c r="V14" s="121">
        <f t="shared" si="4"/>
        <v>11488.326911120899</v>
      </c>
      <c r="W14" s="121">
        <f t="shared" si="5"/>
        <v>0</v>
      </c>
      <c r="X14" s="121">
        <f t="shared" si="6"/>
        <v>55223.172402916702</v>
      </c>
      <c r="Y14" s="121">
        <f t="shared" si="7"/>
        <v>29990.418890806199</v>
      </c>
      <c r="Z14" s="121">
        <f t="shared" si="8"/>
        <v>7877.9227991937896</v>
      </c>
      <c r="AA14" s="121">
        <f t="shared" si="9"/>
        <v>0</v>
      </c>
      <c r="AB14" s="121">
        <f t="shared" si="10"/>
        <v>37868.341690000001</v>
      </c>
      <c r="AC14" s="121">
        <v>69646.757400000002</v>
      </c>
      <c r="AD14" s="121">
        <v>70563.830150000009</v>
      </c>
      <c r="AE14" s="121">
        <v>78026.2454</v>
      </c>
      <c r="AF14" s="121">
        <v>70212.914010000008</v>
      </c>
      <c r="AG14" s="121">
        <v>70162.831810000003</v>
      </c>
      <c r="AH14" s="121">
        <v>60103.245289999999</v>
      </c>
      <c r="AI14" s="121">
        <v>61614.985509999999</v>
      </c>
      <c r="AJ14" s="121">
        <v>43963.794569999998</v>
      </c>
      <c r="AK14" s="121">
        <v>41522.662670000005</v>
      </c>
      <c r="AL14" s="121">
        <v>43421.010499999997</v>
      </c>
      <c r="AM14" s="121">
        <v>35595.743869999998</v>
      </c>
      <c r="AN14" s="121">
        <v>33733.255509999995</v>
      </c>
      <c r="AO14" s="121">
        <v>37868.341690000001</v>
      </c>
      <c r="AP14" s="125" t="str">
        <f>CONCATENATE(A14,M14)</f>
        <v>GLR</v>
      </c>
      <c r="AQ14" s="125" t="str">
        <f>CONCATENATE(AP14,L14,H14)</f>
        <v>GLRR1</v>
      </c>
      <c r="AS14" s="125" t="str">
        <f>CONCATENATE(L14,H14,J14)</f>
        <v>R1</v>
      </c>
    </row>
    <row r="15" spans="1:46" s="125" customFormat="1" ht="25.5" customHeight="1">
      <c r="A15" s="216" t="s">
        <v>2493</v>
      </c>
      <c r="B15" s="217" t="str">
        <f t="shared" si="1"/>
        <v>GL107010</v>
      </c>
      <c r="C15" s="186">
        <v>107010</v>
      </c>
      <c r="D15" s="201"/>
      <c r="E15" s="162"/>
      <c r="F15" s="169" t="s">
        <v>709</v>
      </c>
      <c r="G15" s="117"/>
      <c r="H15" s="118" t="s">
        <v>1180</v>
      </c>
      <c r="I15" s="119"/>
      <c r="J15" s="120"/>
      <c r="K15" s="120" t="str">
        <f t="shared" si="2"/>
        <v/>
      </c>
      <c r="L15" s="170" t="s">
        <v>1817</v>
      </c>
      <c r="M15" s="122" t="str">
        <f t="shared" si="0"/>
        <v>R</v>
      </c>
      <c r="N15" s="116" t="str">
        <f>IF($L15&lt;&gt;"",VLOOKUP($L15,Categories!$E:$G,2,FALSE),IF($F15&lt;&gt;"","NO CAT",""))</f>
        <v>Rate Base</v>
      </c>
      <c r="O15" s="116" t="str">
        <f>IF($L15&lt;&gt;"",VLOOKUP($L15,Categories!$E:$G,3,FALSE),IF($F15&lt;&gt;"","NO CAT",""))</f>
        <v>Uncompleted CWIP</v>
      </c>
      <c r="P15" s="170" t="s">
        <v>1183</v>
      </c>
      <c r="Q15" s="123" t="s">
        <v>1177</v>
      </c>
      <c r="R15" s="124">
        <v>1</v>
      </c>
      <c r="S15" s="124">
        <v>0</v>
      </c>
      <c r="T15" s="124">
        <v>0</v>
      </c>
      <c r="U15" s="121">
        <f t="shared" si="3"/>
        <v>135812.68558666701</v>
      </c>
      <c r="V15" s="121">
        <f t="shared" si="4"/>
        <v>0</v>
      </c>
      <c r="W15" s="121">
        <f t="shared" si="5"/>
        <v>0</v>
      </c>
      <c r="X15" s="121">
        <f t="shared" si="6"/>
        <v>135812.68558666701</v>
      </c>
      <c r="Y15" s="121">
        <f t="shared" si="7"/>
        <v>179049.63208000001</v>
      </c>
      <c r="Z15" s="121">
        <f t="shared" si="8"/>
        <v>0</v>
      </c>
      <c r="AA15" s="121">
        <f t="shared" si="9"/>
        <v>0</v>
      </c>
      <c r="AB15" s="121">
        <f t="shared" si="10"/>
        <v>179049.63208000001</v>
      </c>
      <c r="AC15" s="121">
        <v>137337.79491999999</v>
      </c>
      <c r="AD15" s="121">
        <v>139720.30736000001</v>
      </c>
      <c r="AE15" s="121">
        <v>130044.47953</v>
      </c>
      <c r="AF15" s="121">
        <v>121513.24779000001</v>
      </c>
      <c r="AG15" s="121">
        <v>122292.97062000001</v>
      </c>
      <c r="AH15" s="121">
        <v>122088.62303</v>
      </c>
      <c r="AI15" s="121">
        <v>118793.91901000001</v>
      </c>
      <c r="AJ15" s="121">
        <v>123126.62344</v>
      </c>
      <c r="AK15" s="121">
        <v>138583.6501</v>
      </c>
      <c r="AL15" s="121">
        <v>143415.63405000002</v>
      </c>
      <c r="AM15" s="121">
        <v>152164.63415999999</v>
      </c>
      <c r="AN15" s="121">
        <v>159814.42444999999</v>
      </c>
      <c r="AO15" s="121">
        <v>179049.63208000001</v>
      </c>
      <c r="AP15" s="125" t="str">
        <f>CONCATENATE(A15,M15)</f>
        <v>GLR</v>
      </c>
      <c r="AQ15" s="125" t="str">
        <f>CONCATENATE(AP15,L15,H15)</f>
        <v>GLRR2</v>
      </c>
      <c r="AS15" s="125" t="str">
        <f>CONCATENATE(L15,H15,J15)</f>
        <v>R2</v>
      </c>
    </row>
    <row r="16" spans="1:46" s="125" customFormat="1" ht="25.5" customHeight="1">
      <c r="A16" s="216" t="s">
        <v>2493</v>
      </c>
      <c r="B16" s="217" t="str">
        <f t="shared" si="1"/>
        <v>GL107030</v>
      </c>
      <c r="C16" s="186">
        <v>107030</v>
      </c>
      <c r="D16" s="201"/>
      <c r="E16" s="162"/>
      <c r="F16" s="169" t="s">
        <v>710</v>
      </c>
      <c r="G16" s="117"/>
      <c r="H16" s="118" t="s">
        <v>1180</v>
      </c>
      <c r="I16" s="119"/>
      <c r="J16" s="120"/>
      <c r="K16" s="120" t="str">
        <f t="shared" si="2"/>
        <v/>
      </c>
      <c r="L16" s="170" t="s">
        <v>1817</v>
      </c>
      <c r="M16" s="122" t="str">
        <f t="shared" si="0"/>
        <v>R</v>
      </c>
      <c r="N16" s="116" t="str">
        <f>IF($L16&lt;&gt;"",VLOOKUP($L16,Categories!$E:$G,2,FALSE),IF($F16&lt;&gt;"","NO CAT",""))</f>
        <v>Rate Base</v>
      </c>
      <c r="O16" s="116" t="str">
        <f>IF($L16&lt;&gt;"",VLOOKUP($L16,Categories!$E:$G,3,FALSE),IF($F16&lt;&gt;"","NO CAT",""))</f>
        <v>Uncompleted CWIP</v>
      </c>
      <c r="P16" s="170" t="s">
        <v>1184</v>
      </c>
      <c r="Q16" s="123" t="s">
        <v>1178</v>
      </c>
      <c r="R16" s="124">
        <v>0</v>
      </c>
      <c r="S16" s="124">
        <v>1</v>
      </c>
      <c r="T16" s="124">
        <v>0</v>
      </c>
      <c r="U16" s="121">
        <f t="shared" si="3"/>
        <v>0</v>
      </c>
      <c r="V16" s="121">
        <f t="shared" si="4"/>
        <v>8179.9177275000002</v>
      </c>
      <c r="W16" s="121">
        <f t="shared" si="5"/>
        <v>0</v>
      </c>
      <c r="X16" s="121">
        <f t="shared" si="6"/>
        <v>8179.9177275000002</v>
      </c>
      <c r="Y16" s="121">
        <f t="shared" si="7"/>
        <v>0</v>
      </c>
      <c r="Z16" s="121">
        <f t="shared" si="8"/>
        <v>12818.70132</v>
      </c>
      <c r="AA16" s="121">
        <f t="shared" si="9"/>
        <v>0</v>
      </c>
      <c r="AB16" s="121">
        <f t="shared" si="10"/>
        <v>12818.70132</v>
      </c>
      <c r="AC16" s="121">
        <v>9790.7269199999992</v>
      </c>
      <c r="AD16" s="121">
        <v>7191.2438499999998</v>
      </c>
      <c r="AE16" s="121">
        <v>3786.44992</v>
      </c>
      <c r="AF16" s="121">
        <v>4387.9258499999996</v>
      </c>
      <c r="AG16" s="121">
        <v>4890.5368699999999</v>
      </c>
      <c r="AH16" s="121">
        <v>6925.8998300000003</v>
      </c>
      <c r="AI16" s="121">
        <v>7705.9474</v>
      </c>
      <c r="AJ16" s="121">
        <v>8986.416580000001</v>
      </c>
      <c r="AK16" s="121">
        <v>9760.4155800000008</v>
      </c>
      <c r="AL16" s="121">
        <v>11311.545769999999</v>
      </c>
      <c r="AM16" s="121">
        <v>10550.245359999999</v>
      </c>
      <c r="AN16" s="121">
        <v>11357.6716</v>
      </c>
      <c r="AO16" s="121">
        <v>12818.70132</v>
      </c>
      <c r="AP16" s="125" t="str">
        <f>CONCATENATE(A16,M16)</f>
        <v>GLR</v>
      </c>
      <c r="AQ16" s="125" t="str">
        <f>CONCATENATE(AP16,L16,H16)</f>
        <v>GLRR2</v>
      </c>
      <c r="AS16" s="125" t="str">
        <f>CONCATENATE(L16,H16,J16)</f>
        <v>R2</v>
      </c>
    </row>
    <row r="17" spans="1:45" s="125" customFormat="1" ht="25.5" customHeight="1">
      <c r="A17" s="216" t="s">
        <v>2493</v>
      </c>
      <c r="B17" s="217" t="str">
        <f t="shared" si="1"/>
        <v>GL107070</v>
      </c>
      <c r="C17" s="186">
        <v>107070</v>
      </c>
      <c r="D17" s="201"/>
      <c r="E17" s="162"/>
      <c r="F17" s="169" t="s">
        <v>2672</v>
      </c>
      <c r="G17" s="117"/>
      <c r="H17" s="118" t="s">
        <v>1180</v>
      </c>
      <c r="I17" s="119"/>
      <c r="J17" s="120"/>
      <c r="K17" s="120" t="str">
        <f t="shared" si="2"/>
        <v/>
      </c>
      <c r="L17" s="170" t="s">
        <v>1817</v>
      </c>
      <c r="M17" s="122" t="str">
        <f t="shared" si="0"/>
        <v>R</v>
      </c>
      <c r="N17" s="116" t="str">
        <f>IF($L17&lt;&gt;"",VLOOKUP($L17,Categories!$E:$G,2,FALSE),IF($F17&lt;&gt;"","NO CAT",""))</f>
        <v>Rate Base</v>
      </c>
      <c r="O17" s="116" t="str">
        <f>IF($L17&lt;&gt;"",VLOOKUP($L17,Categories!$E:$G,3,FALSE),IF($F17&lt;&gt;"","NO CAT",""))</f>
        <v>Uncompleted CWIP</v>
      </c>
      <c r="P17" s="170" t="s">
        <v>1182</v>
      </c>
      <c r="Q17" s="123" t="s">
        <v>1693</v>
      </c>
      <c r="R17" s="124">
        <v>0.79196546646577504</v>
      </c>
      <c r="S17" s="124">
        <v>0.20803453353422496</v>
      </c>
      <c r="T17" s="124">
        <v>0</v>
      </c>
      <c r="U17" s="121">
        <f t="shared" si="3"/>
        <v>17106.132179316999</v>
      </c>
      <c r="V17" s="121">
        <f t="shared" si="4"/>
        <v>4493.4613681830197</v>
      </c>
      <c r="W17" s="121">
        <f t="shared" si="5"/>
        <v>0</v>
      </c>
      <c r="X17" s="121">
        <f t="shared" si="6"/>
        <v>21599.593547500001</v>
      </c>
      <c r="Y17" s="121">
        <f t="shared" si="7"/>
        <v>26945.359649513299</v>
      </c>
      <c r="Z17" s="121">
        <f t="shared" si="8"/>
        <v>7078.0426204867399</v>
      </c>
      <c r="AA17" s="121">
        <f t="shared" si="9"/>
        <v>0</v>
      </c>
      <c r="AB17" s="121">
        <f t="shared" si="10"/>
        <v>34023.402270000006</v>
      </c>
      <c r="AC17" s="121">
        <v>19020.145510000002</v>
      </c>
      <c r="AD17" s="121">
        <v>18908.118930000001</v>
      </c>
      <c r="AE17" s="121">
        <v>12756.35383</v>
      </c>
      <c r="AF17" s="121">
        <v>14214.86658</v>
      </c>
      <c r="AG17" s="121">
        <v>15973.80082</v>
      </c>
      <c r="AH17" s="121">
        <v>17747.926889999999</v>
      </c>
      <c r="AI17" s="121">
        <v>19120.86074</v>
      </c>
      <c r="AJ17" s="121">
        <v>20525.75274</v>
      </c>
      <c r="AK17" s="121">
        <v>25513.866320000001</v>
      </c>
      <c r="AL17" s="121">
        <v>26871.829180000001</v>
      </c>
      <c r="AM17" s="121">
        <v>29831.026180000001</v>
      </c>
      <c r="AN17" s="121">
        <v>31208.946469999999</v>
      </c>
      <c r="AO17" s="121">
        <v>34023.402270000006</v>
      </c>
      <c r="AP17" s="125" t="str">
        <f>CONCATENATE(A17,M17)</f>
        <v>GLR</v>
      </c>
      <c r="AQ17" s="125" t="str">
        <f>CONCATENATE(AP17,L17,H17)</f>
        <v>GLRR2</v>
      </c>
      <c r="AS17" s="125" t="str">
        <f>CONCATENATE(L17,H17,J17)</f>
        <v>R2</v>
      </c>
    </row>
    <row r="18" spans="1:45" s="125" customFormat="1" ht="25.5" customHeight="1">
      <c r="A18" s="216" t="s">
        <v>2493</v>
      </c>
      <c r="B18" s="217" t="str">
        <f t="shared" si="1"/>
        <v>GL108010</v>
      </c>
      <c r="C18" s="186">
        <v>108010</v>
      </c>
      <c r="D18" s="201"/>
      <c r="E18" s="162"/>
      <c r="F18" s="169" t="s">
        <v>845</v>
      </c>
      <c r="G18" s="117"/>
      <c r="H18" s="118" t="s">
        <v>1180</v>
      </c>
      <c r="I18" s="119"/>
      <c r="J18" s="120"/>
      <c r="K18" s="120" t="str">
        <f t="shared" si="2"/>
        <v/>
      </c>
      <c r="L18" s="170" t="s">
        <v>1819</v>
      </c>
      <c r="M18" s="122" t="str">
        <f t="shared" si="0"/>
        <v>R</v>
      </c>
      <c r="N18" s="116" t="str">
        <f>IF($L18&lt;&gt;"",VLOOKUP($L18,Categories!$E:$G,2,FALSE),IF($F18&lt;&gt;"","NO CAT",""))</f>
        <v>Rate Base</v>
      </c>
      <c r="O18" s="116" t="str">
        <f>IF($L18&lt;&gt;"",VLOOKUP($L18,Categories!$E:$G,3,FALSE),IF($F18&lt;&gt;"","NO CAT",""))</f>
        <v>Depreciation Reserve</v>
      </c>
      <c r="P18" s="170" t="s">
        <v>1183</v>
      </c>
      <c r="Q18" s="123" t="s">
        <v>1177</v>
      </c>
      <c r="R18" s="124">
        <v>1</v>
      </c>
      <c r="S18" s="124">
        <v>0</v>
      </c>
      <c r="T18" s="124">
        <v>0</v>
      </c>
      <c r="U18" s="121">
        <f t="shared" si="3"/>
        <v>-1803643.2511799999</v>
      </c>
      <c r="V18" s="121">
        <f t="shared" si="4"/>
        <v>0</v>
      </c>
      <c r="W18" s="121">
        <f t="shared" si="5"/>
        <v>0</v>
      </c>
      <c r="X18" s="121">
        <f t="shared" si="6"/>
        <v>-1803643.2511799999</v>
      </c>
      <c r="Y18" s="121">
        <f t="shared" si="7"/>
        <v>-1808136.2890000001</v>
      </c>
      <c r="Z18" s="121">
        <f t="shared" si="8"/>
        <v>0</v>
      </c>
      <c r="AA18" s="121">
        <f t="shared" si="9"/>
        <v>0</v>
      </c>
      <c r="AB18" s="121">
        <f t="shared" si="10"/>
        <v>-1808136.2890000001</v>
      </c>
      <c r="AC18" s="121">
        <v>-1793081.89176</v>
      </c>
      <c r="AD18" s="121">
        <v>-1799008.0827599999</v>
      </c>
      <c r="AE18" s="121">
        <v>-1804380.1061199999</v>
      </c>
      <c r="AF18" s="121">
        <v>-1809822.76557</v>
      </c>
      <c r="AG18" s="121">
        <v>-1815078.8288800002</v>
      </c>
      <c r="AH18" s="121">
        <v>-1820856.22001</v>
      </c>
      <c r="AI18" s="121">
        <v>-1807969.13325</v>
      </c>
      <c r="AJ18" s="121">
        <v>-1812887.02905</v>
      </c>
      <c r="AK18" s="121">
        <v>-1785094.4824400002</v>
      </c>
      <c r="AL18" s="121">
        <v>-1790401.4094500002</v>
      </c>
      <c r="AM18" s="121">
        <v>-1795793.0860899999</v>
      </c>
      <c r="AN18" s="121">
        <v>-1801818.7801600001</v>
      </c>
      <c r="AO18" s="121">
        <v>-1808136.2890000001</v>
      </c>
      <c r="AP18" s="125" t="str">
        <f>CONCATENATE(A18,M18)</f>
        <v>GLR</v>
      </c>
      <c r="AQ18" s="125" t="str">
        <f>CONCATENATE(AP18,L18,H18)</f>
        <v>GLRR3</v>
      </c>
      <c r="AS18" s="125" t="str">
        <f>CONCATENATE(L18,H18,J18)</f>
        <v>R3</v>
      </c>
    </row>
    <row r="19" spans="1:45" s="125" customFormat="1" ht="25.5" customHeight="1">
      <c r="A19" s="216" t="s">
        <v>2493</v>
      </c>
      <c r="B19" s="217" t="str">
        <f t="shared" si="1"/>
        <v>GL108030</v>
      </c>
      <c r="C19" s="186">
        <v>108030</v>
      </c>
      <c r="D19" s="201"/>
      <c r="E19" s="162"/>
      <c r="F19" s="169" t="s">
        <v>2611</v>
      </c>
      <c r="G19" s="117"/>
      <c r="H19" s="118" t="s">
        <v>1180</v>
      </c>
      <c r="I19" s="119"/>
      <c r="J19" s="120"/>
      <c r="K19" s="120" t="str">
        <f t="shared" si="2"/>
        <v/>
      </c>
      <c r="L19" s="170" t="s">
        <v>1819</v>
      </c>
      <c r="M19" s="122" t="str">
        <f t="shared" si="0"/>
        <v>R</v>
      </c>
      <c r="N19" s="116" t="str">
        <f>IF($L19&lt;&gt;"",VLOOKUP($L19,Categories!$E:$G,2,FALSE),IF($F19&lt;&gt;"","NO CAT",""))</f>
        <v>Rate Base</v>
      </c>
      <c r="O19" s="116" t="str">
        <f>IF($L19&lt;&gt;"",VLOOKUP($L19,Categories!$E:$G,3,FALSE),IF($F19&lt;&gt;"","NO CAT",""))</f>
        <v>Depreciation Reserve</v>
      </c>
      <c r="P19" s="170" t="s">
        <v>1184</v>
      </c>
      <c r="Q19" s="123" t="s">
        <v>1178</v>
      </c>
      <c r="R19" s="124">
        <v>0</v>
      </c>
      <c r="S19" s="124">
        <v>1</v>
      </c>
      <c r="T19" s="124">
        <v>0</v>
      </c>
      <c r="U19" s="121">
        <f t="shared" si="3"/>
        <v>0</v>
      </c>
      <c r="V19" s="121">
        <f t="shared" si="4"/>
        <v>-311952.034850417</v>
      </c>
      <c r="W19" s="121">
        <f t="shared" si="5"/>
        <v>0</v>
      </c>
      <c r="X19" s="121">
        <f t="shared" si="6"/>
        <v>-311952.034850417</v>
      </c>
      <c r="Y19" s="121">
        <f t="shared" si="7"/>
        <v>0</v>
      </c>
      <c r="Z19" s="121">
        <f t="shared" si="8"/>
        <v>-314849.71015</v>
      </c>
      <c r="AA19" s="121">
        <f t="shared" si="9"/>
        <v>0</v>
      </c>
      <c r="AB19" s="121">
        <f t="shared" si="10"/>
        <v>-314849.71015</v>
      </c>
      <c r="AC19" s="121">
        <v>-307707.66448000004</v>
      </c>
      <c r="AD19" s="121">
        <v>-309182.60612999997</v>
      </c>
      <c r="AE19" s="121">
        <v>-310509.86027</v>
      </c>
      <c r="AF19" s="121">
        <v>-311641.93958999997</v>
      </c>
      <c r="AG19" s="121">
        <v>-312721.85023000004</v>
      </c>
      <c r="AH19" s="121">
        <v>-312928.92313000001</v>
      </c>
      <c r="AI19" s="121">
        <v>-313133.98462</v>
      </c>
      <c r="AJ19" s="121">
        <v>-313840.03564999998</v>
      </c>
      <c r="AK19" s="121">
        <v>-310389.93216000003</v>
      </c>
      <c r="AL19" s="121">
        <v>-311405.80623000005</v>
      </c>
      <c r="AM19" s="121">
        <v>-312542.84619999997</v>
      </c>
      <c r="AN19" s="121">
        <v>-313847.94667999999</v>
      </c>
      <c r="AO19" s="121">
        <v>-314849.71015</v>
      </c>
      <c r="AP19" s="125" t="str">
        <f>CONCATENATE(A19,M19)</f>
        <v>GLR</v>
      </c>
      <c r="AQ19" s="125" t="str">
        <f>CONCATENATE(AP19,L19,H19)</f>
        <v>GLRR3</v>
      </c>
      <c r="AS19" s="125" t="str">
        <f>CONCATENATE(L19,H19,J19)</f>
        <v>R3</v>
      </c>
    </row>
    <row r="20" spans="1:45" s="125" customFormat="1" ht="25.5" customHeight="1">
      <c r="A20" s="216" t="s">
        <v>2493</v>
      </c>
      <c r="B20" s="217" t="str">
        <f t="shared" si="1"/>
        <v>GL108070</v>
      </c>
      <c r="C20" s="186">
        <v>108070</v>
      </c>
      <c r="D20" s="201"/>
      <c r="E20" s="162"/>
      <c r="F20" s="169" t="s">
        <v>525</v>
      </c>
      <c r="G20" s="117"/>
      <c r="H20" s="118" t="s">
        <v>1180</v>
      </c>
      <c r="I20" s="119"/>
      <c r="J20" s="120"/>
      <c r="K20" s="120" t="str">
        <f t="shared" si="2"/>
        <v/>
      </c>
      <c r="L20" s="170" t="s">
        <v>1819</v>
      </c>
      <c r="M20" s="122" t="str">
        <f t="shared" si="0"/>
        <v>R</v>
      </c>
      <c r="N20" s="116" t="str">
        <f>IF($L20&lt;&gt;"",VLOOKUP($L20,Categories!$E:$G,2,FALSE),IF($F20&lt;&gt;"","NO CAT",""))</f>
        <v>Rate Base</v>
      </c>
      <c r="O20" s="116" t="str">
        <f>IF($L20&lt;&gt;"",VLOOKUP($L20,Categories!$E:$G,3,FALSE),IF($F20&lt;&gt;"","NO CAT",""))</f>
        <v>Depreciation Reserve</v>
      </c>
      <c r="P20" s="170" t="s">
        <v>1182</v>
      </c>
      <c r="Q20" s="123" t="s">
        <v>1693</v>
      </c>
      <c r="R20" s="124">
        <v>0.79196546646577504</v>
      </c>
      <c r="S20" s="124">
        <v>0.20803453353422496</v>
      </c>
      <c r="T20" s="124">
        <v>0</v>
      </c>
      <c r="U20" s="121">
        <f t="shared" si="3"/>
        <v>-60483.928182291696</v>
      </c>
      <c r="V20" s="121">
        <f t="shared" si="4"/>
        <v>-15887.9980485416</v>
      </c>
      <c r="W20" s="121">
        <f t="shared" si="5"/>
        <v>0</v>
      </c>
      <c r="X20" s="121">
        <f t="shared" si="6"/>
        <v>-76371.926230833298</v>
      </c>
      <c r="Y20" s="121">
        <f t="shared" si="7"/>
        <v>-58553.987979901904</v>
      </c>
      <c r="Z20" s="121">
        <f t="shared" si="8"/>
        <v>-15381.0388100981</v>
      </c>
      <c r="AA20" s="121">
        <f t="shared" si="9"/>
        <v>0</v>
      </c>
      <c r="AB20" s="121">
        <f t="shared" si="10"/>
        <v>-73935.026790000004</v>
      </c>
      <c r="AC20" s="121">
        <v>-76849.757249999995</v>
      </c>
      <c r="AD20" s="121">
        <v>-77740.204339999997</v>
      </c>
      <c r="AE20" s="121">
        <v>-78278.021930000003</v>
      </c>
      <c r="AF20" s="121">
        <v>-79027.102959999989</v>
      </c>
      <c r="AG20" s="121">
        <v>-79786.089870000011</v>
      </c>
      <c r="AH20" s="121">
        <v>-80318.952810000003</v>
      </c>
      <c r="AI20" s="121">
        <v>-78766.753939999995</v>
      </c>
      <c r="AJ20" s="121">
        <v>-79722.520870000008</v>
      </c>
      <c r="AK20" s="121">
        <v>-70659.792719999998</v>
      </c>
      <c r="AL20" s="121">
        <v>-71491.594450000004</v>
      </c>
      <c r="AM20" s="121">
        <v>-72282.769799999995</v>
      </c>
      <c r="AN20" s="121">
        <v>-72996.91906</v>
      </c>
      <c r="AO20" s="121">
        <v>-73935.026790000004</v>
      </c>
      <c r="AP20" s="125" t="str">
        <f>CONCATENATE(A20,M20)</f>
        <v>GLR</v>
      </c>
      <c r="AQ20" s="125" t="str">
        <f>CONCATENATE(AP20,L20,H20)</f>
        <v>GLRR3</v>
      </c>
      <c r="AS20" s="125" t="str">
        <f>CONCATENATE(L20,H20,J20)</f>
        <v>R3</v>
      </c>
    </row>
    <row r="21" spans="1:45" s="125" customFormat="1" ht="25.5" customHeight="1">
      <c r="A21" s="216" t="s">
        <v>2493</v>
      </c>
      <c r="B21" s="217" t="str">
        <f t="shared" si="1"/>
        <v>GL111010</v>
      </c>
      <c r="C21" s="186">
        <v>111010</v>
      </c>
      <c r="D21" s="201"/>
      <c r="E21" s="162"/>
      <c r="F21" s="169" t="s">
        <v>72</v>
      </c>
      <c r="G21" s="117"/>
      <c r="H21" s="118" t="s">
        <v>1180</v>
      </c>
      <c r="I21" s="119"/>
      <c r="J21" s="120"/>
      <c r="K21" s="120" t="str">
        <f t="shared" si="2"/>
        <v/>
      </c>
      <c r="L21" s="170" t="s">
        <v>1819</v>
      </c>
      <c r="M21" s="122" t="str">
        <f t="shared" si="0"/>
        <v>R</v>
      </c>
      <c r="N21" s="116" t="str">
        <f>IF($L21&lt;&gt;"",VLOOKUP($L21,Categories!$E:$G,2,FALSE),IF($F21&lt;&gt;"","NO CAT",""))</f>
        <v>Rate Base</v>
      </c>
      <c r="O21" s="116" t="str">
        <f>IF($L21&lt;&gt;"",VLOOKUP($L21,Categories!$E:$G,3,FALSE),IF($F21&lt;&gt;"","NO CAT",""))</f>
        <v>Depreciation Reserve</v>
      </c>
      <c r="P21" s="170" t="s">
        <v>1183</v>
      </c>
      <c r="Q21" s="123" t="s">
        <v>1177</v>
      </c>
      <c r="R21" s="124">
        <v>1</v>
      </c>
      <c r="S21" s="124">
        <v>0</v>
      </c>
      <c r="T21" s="124">
        <v>0</v>
      </c>
      <c r="U21" s="121">
        <f t="shared" si="3"/>
        <v>-71010.950191249998</v>
      </c>
      <c r="V21" s="121">
        <f t="shared" si="4"/>
        <v>0</v>
      </c>
      <c r="W21" s="121">
        <f t="shared" si="5"/>
        <v>0</v>
      </c>
      <c r="X21" s="121">
        <f t="shared" si="6"/>
        <v>-71010.950191249998</v>
      </c>
      <c r="Y21" s="121">
        <f t="shared" si="7"/>
        <v>-71928.196890000007</v>
      </c>
      <c r="Z21" s="121">
        <f t="shared" si="8"/>
        <v>0</v>
      </c>
      <c r="AA21" s="121">
        <f t="shared" si="9"/>
        <v>0</v>
      </c>
      <c r="AB21" s="121">
        <f t="shared" si="10"/>
        <v>-71928.196890000007</v>
      </c>
      <c r="AC21" s="121">
        <v>-69989.297980000003</v>
      </c>
      <c r="AD21" s="121">
        <v>-70152.537620000003</v>
      </c>
      <c r="AE21" s="121">
        <v>-70272.616500000004</v>
      </c>
      <c r="AF21" s="121">
        <v>-70392.479069999987</v>
      </c>
      <c r="AG21" s="121">
        <v>-70512.342400000009</v>
      </c>
      <c r="AH21" s="121">
        <v>-70634.098040000012</v>
      </c>
      <c r="AI21" s="121">
        <v>-70513.627420000004</v>
      </c>
      <c r="AJ21" s="121">
        <v>-70741.778640000004</v>
      </c>
      <c r="AK21" s="121">
        <v>-71783.346269999995</v>
      </c>
      <c r="AL21" s="121">
        <v>-71935.612359999999</v>
      </c>
      <c r="AM21" s="121">
        <v>-72056.540790000014</v>
      </c>
      <c r="AN21" s="121">
        <v>-72177.675749999995</v>
      </c>
      <c r="AO21" s="121">
        <v>-71928.196890000007</v>
      </c>
      <c r="AP21" s="125" t="str">
        <f>CONCATENATE(A21,M21)</f>
        <v>GLR</v>
      </c>
      <c r="AQ21" s="125" t="str">
        <f>CONCATENATE(AP21,L21,H21)</f>
        <v>GLRR3</v>
      </c>
      <c r="AS21" s="125" t="str">
        <f>CONCATENATE(L21,H21,J21)</f>
        <v>R3</v>
      </c>
    </row>
    <row r="22" spans="1:45" s="125" customFormat="1" ht="25.5" customHeight="1">
      <c r="A22" s="216" t="s">
        <v>2493</v>
      </c>
      <c r="B22" s="217" t="str">
        <f t="shared" si="1"/>
        <v>GL111030</v>
      </c>
      <c r="C22" s="186">
        <v>111030</v>
      </c>
      <c r="D22" s="201"/>
      <c r="E22" s="162"/>
      <c r="F22" s="169" t="s">
        <v>1164</v>
      </c>
      <c r="G22" s="117"/>
      <c r="H22" s="118" t="s">
        <v>1180</v>
      </c>
      <c r="I22" s="119"/>
      <c r="J22" s="120"/>
      <c r="K22" s="120" t="str">
        <f t="shared" si="2"/>
        <v/>
      </c>
      <c r="L22" s="170" t="s">
        <v>1819</v>
      </c>
      <c r="M22" s="122" t="str">
        <f t="shared" si="0"/>
        <v>R</v>
      </c>
      <c r="N22" s="116" t="str">
        <f>IF($L22&lt;&gt;"",VLOOKUP($L22,Categories!$E:$G,2,FALSE),IF($F22&lt;&gt;"","NO CAT",""))</f>
        <v>Rate Base</v>
      </c>
      <c r="O22" s="116" t="str">
        <f>IF($L22&lt;&gt;"",VLOOKUP($L22,Categories!$E:$G,3,FALSE),IF($F22&lt;&gt;"","NO CAT",""))</f>
        <v>Depreciation Reserve</v>
      </c>
      <c r="P22" s="170" t="s">
        <v>1184</v>
      </c>
      <c r="Q22" s="123" t="s">
        <v>1178</v>
      </c>
      <c r="R22" s="124">
        <v>0</v>
      </c>
      <c r="S22" s="124">
        <v>1</v>
      </c>
      <c r="T22" s="124">
        <v>0</v>
      </c>
      <c r="U22" s="121">
        <f t="shared" si="3"/>
        <v>0</v>
      </c>
      <c r="V22" s="121">
        <f t="shared" si="4"/>
        <v>-11872.523765</v>
      </c>
      <c r="W22" s="121">
        <f t="shared" si="5"/>
        <v>0</v>
      </c>
      <c r="X22" s="121">
        <f t="shared" si="6"/>
        <v>-11872.523765</v>
      </c>
      <c r="Y22" s="121">
        <f t="shared" si="7"/>
        <v>0</v>
      </c>
      <c r="Z22" s="121">
        <f t="shared" si="8"/>
        <v>-11121.77786</v>
      </c>
      <c r="AA22" s="121">
        <f t="shared" si="9"/>
        <v>0</v>
      </c>
      <c r="AB22" s="121">
        <f t="shared" si="10"/>
        <v>-11121.77786</v>
      </c>
      <c r="AC22" s="121">
        <v>-12626.95278</v>
      </c>
      <c r="AD22" s="121">
        <v>-12638.26375</v>
      </c>
      <c r="AE22" s="121">
        <v>-12923.106679999999</v>
      </c>
      <c r="AF22" s="121">
        <v>-12965.073539999999</v>
      </c>
      <c r="AG22" s="121">
        <v>-12976.38452</v>
      </c>
      <c r="AH22" s="121">
        <v>-13070.721089999999</v>
      </c>
      <c r="AI22" s="121">
        <v>-10913.10793</v>
      </c>
      <c r="AJ22" s="121">
        <v>-10948.699060000001</v>
      </c>
      <c r="AK22" s="121">
        <v>-10987.234789999999</v>
      </c>
      <c r="AL22" s="121">
        <v>-11025.77051</v>
      </c>
      <c r="AM22" s="121">
        <v>-11057.776169999999</v>
      </c>
      <c r="AN22" s="121">
        <v>-11089.78182</v>
      </c>
      <c r="AO22" s="121">
        <v>-11121.77786</v>
      </c>
      <c r="AP22" s="125" t="str">
        <f>CONCATENATE(A22,M22)</f>
        <v>GLR</v>
      </c>
      <c r="AQ22" s="125" t="str">
        <f>CONCATENATE(AP22,L22,H22)</f>
        <v>GLRR3</v>
      </c>
      <c r="AS22" s="125" t="str">
        <f>CONCATENATE(L22,H22,J22)</f>
        <v>R3</v>
      </c>
    </row>
    <row r="23" spans="1:45" s="125" customFormat="1" ht="25.5" customHeight="1">
      <c r="A23" s="216" t="s">
        <v>2493</v>
      </c>
      <c r="B23" s="217" t="str">
        <f t="shared" si="1"/>
        <v>GL111070</v>
      </c>
      <c r="C23" s="186">
        <v>111070</v>
      </c>
      <c r="D23" s="201"/>
      <c r="E23" s="162"/>
      <c r="F23" s="169" t="s">
        <v>1165</v>
      </c>
      <c r="G23" s="117"/>
      <c r="H23" s="118" t="s">
        <v>1180</v>
      </c>
      <c r="I23" s="119"/>
      <c r="J23" s="120"/>
      <c r="K23" s="120" t="str">
        <f t="shared" si="2"/>
        <v/>
      </c>
      <c r="L23" s="170" t="s">
        <v>1819</v>
      </c>
      <c r="M23" s="122" t="str">
        <f t="shared" si="0"/>
        <v>R</v>
      </c>
      <c r="N23" s="116" t="str">
        <f>IF($L23&lt;&gt;"",VLOOKUP($L23,Categories!$E:$G,2,FALSE),IF($F23&lt;&gt;"","NO CAT",""))</f>
        <v>Rate Base</v>
      </c>
      <c r="O23" s="116" t="str">
        <f>IF($L23&lt;&gt;"",VLOOKUP($L23,Categories!$E:$G,3,FALSE),IF($F23&lt;&gt;"","NO CAT",""))</f>
        <v>Depreciation Reserve</v>
      </c>
      <c r="P23" s="170" t="s">
        <v>1182</v>
      </c>
      <c r="Q23" s="123" t="s">
        <v>1693</v>
      </c>
      <c r="R23" s="124">
        <v>0.79196546646577504</v>
      </c>
      <c r="S23" s="124">
        <v>0.20803453353422496</v>
      </c>
      <c r="T23" s="124">
        <v>0</v>
      </c>
      <c r="U23" s="121">
        <f t="shared" si="3"/>
        <v>-65955.161552959195</v>
      </c>
      <c r="V23" s="121">
        <f t="shared" si="4"/>
        <v>-17325.188848290902</v>
      </c>
      <c r="W23" s="121">
        <f t="shared" si="5"/>
        <v>0</v>
      </c>
      <c r="X23" s="121">
        <f t="shared" si="6"/>
        <v>-83280.350401250005</v>
      </c>
      <c r="Y23" s="121">
        <f t="shared" si="7"/>
        <v>-68207.570918159894</v>
      </c>
      <c r="Z23" s="121">
        <f t="shared" si="8"/>
        <v>-17916.8547118401</v>
      </c>
      <c r="AA23" s="121">
        <f t="shared" si="9"/>
        <v>0</v>
      </c>
      <c r="AB23" s="121">
        <f t="shared" si="10"/>
        <v>-86124.425629999998</v>
      </c>
      <c r="AC23" s="121">
        <v>-80446.291420000009</v>
      </c>
      <c r="AD23" s="121">
        <v>-80965.516409999997</v>
      </c>
      <c r="AE23" s="121">
        <v>-81238.086030000006</v>
      </c>
      <c r="AF23" s="121">
        <v>-81781.418950000007</v>
      </c>
      <c r="AG23" s="121">
        <v>-82324.421109999996</v>
      </c>
      <c r="AH23" s="121">
        <v>-82784.728419999999</v>
      </c>
      <c r="AI23" s="121">
        <v>-83300.272469999996</v>
      </c>
      <c r="AJ23" s="121">
        <v>-83805.10729</v>
      </c>
      <c r="AK23" s="121">
        <v>-84271.772719999994</v>
      </c>
      <c r="AL23" s="121">
        <v>-84738.438139999998</v>
      </c>
      <c r="AM23" s="121">
        <v>-85205.103499999997</v>
      </c>
      <c r="AN23" s="121">
        <v>-85663.981249999997</v>
      </c>
      <c r="AO23" s="121">
        <v>-86124.425629999998</v>
      </c>
      <c r="AP23" s="125" t="str">
        <f>CONCATENATE(A23,M23)</f>
        <v>GLR</v>
      </c>
      <c r="AQ23" s="125" t="str">
        <f>CONCATENATE(AP23,L23,H23)</f>
        <v>GLRR3</v>
      </c>
      <c r="AS23" s="125" t="str">
        <f>CONCATENATE(L23,H23,J23)</f>
        <v>R3</v>
      </c>
    </row>
    <row r="24" spans="1:45" s="125" customFormat="1" ht="25.5" customHeight="1">
      <c r="A24" s="216" t="s">
        <v>2493</v>
      </c>
      <c r="B24" s="217" t="str">
        <f t="shared" si="1"/>
        <v>GL117300</v>
      </c>
      <c r="C24" s="186">
        <v>117300</v>
      </c>
      <c r="D24" s="201"/>
      <c r="E24" s="162"/>
      <c r="F24" s="169" t="s">
        <v>3011</v>
      </c>
      <c r="G24" s="117"/>
      <c r="H24" s="118" t="s">
        <v>3012</v>
      </c>
      <c r="I24" s="119"/>
      <c r="J24" s="120"/>
      <c r="K24" s="120" t="str">
        <f t="shared" si="2"/>
        <v/>
      </c>
      <c r="L24" s="170" t="s">
        <v>1823</v>
      </c>
      <c r="M24" s="122" t="str">
        <f t="shared" si="0"/>
        <v>R</v>
      </c>
      <c r="N24" s="116" t="str">
        <f>IF($L24&lt;&gt;"",VLOOKUP($L24,Categories!$E:$G,2,FALSE),IF($F24&lt;&gt;"","NO CAT",""))</f>
        <v>Rate Base</v>
      </c>
      <c r="O24" s="116" t="str">
        <f>IF($L24&lt;&gt;"",VLOOKUP($L24,Categories!$E:$G,3,FALSE),IF($F24&lt;&gt;"","NO CAT",""))</f>
        <v>Storage Gas Inventory</v>
      </c>
      <c r="P24" s="170" t="s">
        <v>1184</v>
      </c>
      <c r="Q24" s="123" t="s">
        <v>1178</v>
      </c>
      <c r="R24" s="124">
        <v>0</v>
      </c>
      <c r="S24" s="124">
        <v>1</v>
      </c>
      <c r="T24" s="124">
        <v>0</v>
      </c>
      <c r="U24" s="121">
        <f t="shared" si="3"/>
        <v>0</v>
      </c>
      <c r="V24" s="121">
        <f t="shared" si="4"/>
        <v>478.33328999999998</v>
      </c>
      <c r="W24" s="121">
        <f t="shared" si="5"/>
        <v>0</v>
      </c>
      <c r="X24" s="121">
        <f t="shared" si="6"/>
        <v>478.33328999999998</v>
      </c>
      <c r="Y24" s="121">
        <f t="shared" si="7"/>
        <v>0</v>
      </c>
      <c r="Z24" s="121">
        <f t="shared" si="8"/>
        <v>478.33328999999998</v>
      </c>
      <c r="AA24" s="121">
        <f t="shared" si="9"/>
        <v>0</v>
      </c>
      <c r="AB24" s="121">
        <f t="shared" si="10"/>
        <v>478.33328999999998</v>
      </c>
      <c r="AC24" s="121">
        <v>478.33328999999998</v>
      </c>
      <c r="AD24" s="121">
        <v>478.33328999999998</v>
      </c>
      <c r="AE24" s="121">
        <v>478.33328999999998</v>
      </c>
      <c r="AF24" s="121">
        <v>478.33328999999998</v>
      </c>
      <c r="AG24" s="121">
        <v>478.33328999999998</v>
      </c>
      <c r="AH24" s="121">
        <v>478.33328999999998</v>
      </c>
      <c r="AI24" s="121">
        <v>478.33328999999998</v>
      </c>
      <c r="AJ24" s="121">
        <v>478.33328999999998</v>
      </c>
      <c r="AK24" s="121">
        <v>478.33328999999998</v>
      </c>
      <c r="AL24" s="121">
        <v>478.33328999999998</v>
      </c>
      <c r="AM24" s="121">
        <v>478.33328999999998</v>
      </c>
      <c r="AN24" s="121">
        <v>478.33328999999998</v>
      </c>
      <c r="AO24" s="121">
        <v>478.33328999999998</v>
      </c>
      <c r="AP24" s="125" t="str">
        <f>CONCATENATE(A24,M24)</f>
        <v>GLR</v>
      </c>
      <c r="AQ24" s="125" t="str">
        <f>CONCATENATE(AP24,L24,H24)</f>
        <v>GLRR5Storage Gas</v>
      </c>
      <c r="AS24" s="125" t="str">
        <f>CONCATENATE(L24,H24,J24)</f>
        <v>R5Storage Gas</v>
      </c>
    </row>
    <row r="25" spans="1:45" s="125" customFormat="1" ht="25.5" customHeight="1">
      <c r="A25" s="216" t="s">
        <v>2493</v>
      </c>
      <c r="B25" s="217" t="str">
        <f t="shared" si="1"/>
        <v>GL118010</v>
      </c>
      <c r="C25" s="186">
        <v>118010</v>
      </c>
      <c r="D25" s="201"/>
      <c r="E25" s="162"/>
      <c r="F25" s="169" t="s">
        <v>1324</v>
      </c>
      <c r="G25" s="117"/>
      <c r="H25" s="118" t="s">
        <v>972</v>
      </c>
      <c r="I25" s="119"/>
      <c r="J25" s="120"/>
      <c r="K25" s="120" t="str">
        <f t="shared" si="2"/>
        <v/>
      </c>
      <c r="L25" s="170" t="s">
        <v>928</v>
      </c>
      <c r="M25" s="122" t="str">
        <f t="shared" si="0"/>
        <v>N</v>
      </c>
      <c r="N25" s="116" t="str">
        <f>IF($L25&lt;&gt;"",VLOOKUP($L25,Categories!$E:$G,2,FALSE),IF($F25&lt;&gt;"","NO CAT",""))</f>
        <v>Not in Rate Base</v>
      </c>
      <c r="O25" s="116" t="str">
        <f>IF($L25&lt;&gt;"",VLOOKUP($L25,Categories!$E:$G,3,FALSE),IF($F25&lt;&gt;"","NO CAT",""))</f>
        <v>Direct Assign Items Not in RB</v>
      </c>
      <c r="P25" s="170" t="s">
        <v>1186</v>
      </c>
      <c r="Q25" s="123" t="s">
        <v>1187</v>
      </c>
      <c r="R25" s="124">
        <v>0</v>
      </c>
      <c r="S25" s="124">
        <v>0</v>
      </c>
      <c r="T25" s="124">
        <v>1</v>
      </c>
      <c r="U25" s="121">
        <f t="shared" si="3"/>
        <v>0</v>
      </c>
      <c r="V25" s="121">
        <f t="shared" si="4"/>
        <v>0</v>
      </c>
      <c r="W25" s="121">
        <f t="shared" si="5"/>
        <v>1726.1722199999999</v>
      </c>
      <c r="X25" s="121">
        <f t="shared" si="6"/>
        <v>1726.1722199999999</v>
      </c>
      <c r="Y25" s="121">
        <f t="shared" si="7"/>
        <v>0</v>
      </c>
      <c r="Z25" s="121">
        <f t="shared" si="8"/>
        <v>0</v>
      </c>
      <c r="AA25" s="121">
        <f t="shared" si="9"/>
        <v>1726.1722199999999</v>
      </c>
      <c r="AB25" s="121">
        <f t="shared" si="10"/>
        <v>1726.1722199999999</v>
      </c>
      <c r="AC25" s="121">
        <v>1726.1722199999999</v>
      </c>
      <c r="AD25" s="121">
        <v>1726.1722199999999</v>
      </c>
      <c r="AE25" s="121">
        <v>1726.1722199999999</v>
      </c>
      <c r="AF25" s="121">
        <v>1726.1722199999999</v>
      </c>
      <c r="AG25" s="121">
        <v>1726.1722199999999</v>
      </c>
      <c r="AH25" s="121">
        <v>1726.1722199999999</v>
      </c>
      <c r="AI25" s="121">
        <v>1726.1722199999999</v>
      </c>
      <c r="AJ25" s="121">
        <v>1726.1722199999999</v>
      </c>
      <c r="AK25" s="121">
        <v>1726.1722199999999</v>
      </c>
      <c r="AL25" s="121">
        <v>1726.1722199999999</v>
      </c>
      <c r="AM25" s="121">
        <v>1726.1722199999999</v>
      </c>
      <c r="AN25" s="121">
        <v>1726.1722199999999</v>
      </c>
      <c r="AO25" s="121">
        <v>1726.1722199999999</v>
      </c>
      <c r="AP25" s="125" t="str">
        <f>CONCATENATE(A25,M25)</f>
        <v>GLN</v>
      </c>
      <c r="AQ25" s="125" t="str">
        <f>CONCATENATE(AP25,L25,H25)</f>
        <v>GLNN2Asset Retirement Obligation</v>
      </c>
      <c r="AS25" s="125" t="str">
        <f>CONCATENATE(L25,H25,J25)</f>
        <v>N2Asset Retirement Obligation</v>
      </c>
    </row>
    <row r="26" spans="1:45" s="125" customFormat="1" ht="25.5" customHeight="1">
      <c r="A26" s="216" t="s">
        <v>2493</v>
      </c>
      <c r="B26" s="217" t="str">
        <f t="shared" si="1"/>
        <v>GL118030</v>
      </c>
      <c r="C26" s="186">
        <v>118030</v>
      </c>
      <c r="D26" s="201"/>
      <c r="E26" s="162"/>
      <c r="F26" s="169" t="s">
        <v>1325</v>
      </c>
      <c r="G26" s="117"/>
      <c r="H26" s="118" t="s">
        <v>972</v>
      </c>
      <c r="I26" s="119"/>
      <c r="J26" s="120"/>
      <c r="K26" s="120" t="str">
        <f t="shared" si="2"/>
        <v/>
      </c>
      <c r="L26" s="170" t="s">
        <v>928</v>
      </c>
      <c r="M26" s="122" t="str">
        <f t="shared" si="0"/>
        <v>N</v>
      </c>
      <c r="N26" s="116" t="str">
        <f>IF($L26&lt;&gt;"",VLOOKUP($L26,Categories!$E:$G,2,FALSE),IF($F26&lt;&gt;"","NO CAT",""))</f>
        <v>Not in Rate Base</v>
      </c>
      <c r="O26" s="116" t="str">
        <f>IF($L26&lt;&gt;"",VLOOKUP($L26,Categories!$E:$G,3,FALSE),IF($F26&lt;&gt;"","NO CAT",""))</f>
        <v>Direct Assign Items Not in RB</v>
      </c>
      <c r="P26" s="170" t="s">
        <v>1186</v>
      </c>
      <c r="Q26" s="123" t="s">
        <v>1187</v>
      </c>
      <c r="R26" s="124">
        <v>0</v>
      </c>
      <c r="S26" s="124">
        <v>0</v>
      </c>
      <c r="T26" s="124">
        <v>1</v>
      </c>
      <c r="U26" s="121">
        <f t="shared" si="3"/>
        <v>0</v>
      </c>
      <c r="V26" s="121">
        <f t="shared" si="4"/>
        <v>0</v>
      </c>
      <c r="W26" s="121">
        <f t="shared" si="5"/>
        <v>-419.54592374999999</v>
      </c>
      <c r="X26" s="121">
        <f t="shared" si="6"/>
        <v>-419.54592374999999</v>
      </c>
      <c r="Y26" s="121">
        <f t="shared" si="7"/>
        <v>0</v>
      </c>
      <c r="Z26" s="121">
        <f t="shared" si="8"/>
        <v>0</v>
      </c>
      <c r="AA26" s="121">
        <f t="shared" si="9"/>
        <v>798.30456000000004</v>
      </c>
      <c r="AB26" s="121">
        <f t="shared" si="10"/>
        <v>798.30456000000004</v>
      </c>
      <c r="AC26" s="121">
        <v>-921.01377000000002</v>
      </c>
      <c r="AD26" s="121">
        <v>-921.01377000000002</v>
      </c>
      <c r="AE26" s="121">
        <v>-921.01377000000002</v>
      </c>
      <c r="AF26" s="121">
        <v>-921.01377000000002</v>
      </c>
      <c r="AG26" s="121">
        <v>-921.01377000000002</v>
      </c>
      <c r="AH26" s="121">
        <v>-921.01377000000002</v>
      </c>
      <c r="AI26" s="121">
        <v>-921.01377000000002</v>
      </c>
      <c r="AJ26" s="121">
        <v>-921.01377000000002</v>
      </c>
      <c r="AK26" s="121">
        <v>-921.01377000000002</v>
      </c>
      <c r="AL26" s="121">
        <v>798.30456000000004</v>
      </c>
      <c r="AM26" s="121">
        <v>798.30456000000004</v>
      </c>
      <c r="AN26" s="121">
        <v>798.30456000000004</v>
      </c>
      <c r="AO26" s="121">
        <v>798.30456000000004</v>
      </c>
      <c r="AP26" s="125" t="str">
        <f>CONCATENATE(A26,M26)</f>
        <v>GLN</v>
      </c>
      <c r="AQ26" s="125" t="str">
        <f>CONCATENATE(AP26,L26,H26)</f>
        <v>GLNN2Asset Retirement Obligation</v>
      </c>
      <c r="AS26" s="125" t="str">
        <f>CONCATENATE(L26,H26,J26)</f>
        <v>N2Asset Retirement Obligation</v>
      </c>
    </row>
    <row r="27" spans="1:45" s="125" customFormat="1" ht="25.5" customHeight="1">
      <c r="A27" s="216" t="s">
        <v>2493</v>
      </c>
      <c r="B27" s="217" t="str">
        <f t="shared" si="1"/>
        <v>GL119010</v>
      </c>
      <c r="C27" s="186">
        <v>119010</v>
      </c>
      <c r="D27" s="201"/>
      <c r="E27" s="162"/>
      <c r="F27" s="169" t="s">
        <v>1326</v>
      </c>
      <c r="G27" s="117"/>
      <c r="H27" s="118" t="s">
        <v>972</v>
      </c>
      <c r="I27" s="119"/>
      <c r="J27" s="120"/>
      <c r="K27" s="120" t="str">
        <f t="shared" si="2"/>
        <v/>
      </c>
      <c r="L27" s="170" t="s">
        <v>928</v>
      </c>
      <c r="M27" s="122" t="str">
        <f t="shared" si="0"/>
        <v>N</v>
      </c>
      <c r="N27" s="116" t="str">
        <f>IF($L27&lt;&gt;"",VLOOKUP($L27,Categories!$E:$G,2,FALSE),IF($F27&lt;&gt;"","NO CAT",""))</f>
        <v>Not in Rate Base</v>
      </c>
      <c r="O27" s="116" t="str">
        <f>IF($L27&lt;&gt;"",VLOOKUP($L27,Categories!$E:$G,3,FALSE),IF($F27&lt;&gt;"","NO CAT",""))</f>
        <v>Direct Assign Items Not in RB</v>
      </c>
      <c r="P27" s="170" t="s">
        <v>1186</v>
      </c>
      <c r="Q27" s="123" t="s">
        <v>1187</v>
      </c>
      <c r="R27" s="124">
        <v>0</v>
      </c>
      <c r="S27" s="124">
        <v>0</v>
      </c>
      <c r="T27" s="124">
        <v>1</v>
      </c>
      <c r="U27" s="121">
        <f t="shared" si="3"/>
        <v>0</v>
      </c>
      <c r="V27" s="121">
        <f t="shared" si="4"/>
        <v>0</v>
      </c>
      <c r="W27" s="121">
        <f t="shared" si="5"/>
        <v>-843.484465</v>
      </c>
      <c r="X27" s="121">
        <f t="shared" si="6"/>
        <v>-843.484465</v>
      </c>
      <c r="Y27" s="121">
        <f t="shared" si="7"/>
        <v>0</v>
      </c>
      <c r="Z27" s="121">
        <f t="shared" si="8"/>
        <v>0</v>
      </c>
      <c r="AA27" s="121">
        <f t="shared" si="9"/>
        <v>-859.82429999999999</v>
      </c>
      <c r="AB27" s="121">
        <f t="shared" si="10"/>
        <v>-859.82429999999999</v>
      </c>
      <c r="AC27" s="121">
        <v>-827.14463999999998</v>
      </c>
      <c r="AD27" s="121">
        <v>-829.86793999999998</v>
      </c>
      <c r="AE27" s="121">
        <v>-832.59124999999995</v>
      </c>
      <c r="AF27" s="121">
        <v>-835.31455000000005</v>
      </c>
      <c r="AG27" s="121">
        <v>-838.03784999999993</v>
      </c>
      <c r="AH27" s="121">
        <v>-840.76116000000002</v>
      </c>
      <c r="AI27" s="121">
        <v>-843.48446000000001</v>
      </c>
      <c r="AJ27" s="121">
        <v>-846.20776000000001</v>
      </c>
      <c r="AK27" s="121">
        <v>-848.93106999999998</v>
      </c>
      <c r="AL27" s="121">
        <v>-851.65438000000006</v>
      </c>
      <c r="AM27" s="121">
        <v>-854.37768999999992</v>
      </c>
      <c r="AN27" s="121">
        <v>-857.101</v>
      </c>
      <c r="AO27" s="121">
        <v>-859.82429999999999</v>
      </c>
      <c r="AP27" s="125" t="str">
        <f>CONCATENATE(A27,M27)</f>
        <v>GLN</v>
      </c>
      <c r="AQ27" s="125" t="str">
        <f>CONCATENATE(AP27,L27,H27)</f>
        <v>GLNN2Asset Retirement Obligation</v>
      </c>
      <c r="AS27" s="125" t="str">
        <f>CONCATENATE(L27,H27,J27)</f>
        <v>N2Asset Retirement Obligation</v>
      </c>
    </row>
    <row r="28" spans="1:45" s="125" customFormat="1" ht="25.5" customHeight="1">
      <c r="A28" s="216" t="s">
        <v>2493</v>
      </c>
      <c r="B28" s="217" t="str">
        <f t="shared" si="1"/>
        <v>GL119030</v>
      </c>
      <c r="C28" s="186">
        <v>119030</v>
      </c>
      <c r="D28" s="201"/>
      <c r="E28" s="162"/>
      <c r="F28" s="169" t="s">
        <v>291</v>
      </c>
      <c r="G28" s="117"/>
      <c r="H28" s="118" t="s">
        <v>972</v>
      </c>
      <c r="I28" s="119"/>
      <c r="J28" s="120"/>
      <c r="K28" s="120" t="str">
        <f t="shared" si="2"/>
        <v/>
      </c>
      <c r="L28" s="170" t="s">
        <v>928</v>
      </c>
      <c r="M28" s="122" t="str">
        <f t="shared" si="0"/>
        <v>N</v>
      </c>
      <c r="N28" s="116" t="str">
        <f>IF($L28&lt;&gt;"",VLOOKUP($L28,Categories!$E:$G,2,FALSE),IF($F28&lt;&gt;"","NO CAT",""))</f>
        <v>Not in Rate Base</v>
      </c>
      <c r="O28" s="116" t="str">
        <f>IF($L28&lt;&gt;"",VLOOKUP($L28,Categories!$E:$G,3,FALSE),IF($F28&lt;&gt;"","NO CAT",""))</f>
        <v>Direct Assign Items Not in RB</v>
      </c>
      <c r="P28" s="170" t="s">
        <v>1186</v>
      </c>
      <c r="Q28" s="123" t="s">
        <v>1187</v>
      </c>
      <c r="R28" s="124">
        <v>0</v>
      </c>
      <c r="S28" s="124">
        <v>0</v>
      </c>
      <c r="T28" s="124">
        <v>1</v>
      </c>
      <c r="U28" s="121">
        <f t="shared" si="3"/>
        <v>0</v>
      </c>
      <c r="V28" s="121">
        <f t="shared" si="4"/>
        <v>0</v>
      </c>
      <c r="W28" s="121">
        <f t="shared" si="5"/>
        <v>-678.91777416666696</v>
      </c>
      <c r="X28" s="121">
        <f t="shared" si="6"/>
        <v>-678.91777416666696</v>
      </c>
      <c r="Y28" s="121">
        <f t="shared" si="7"/>
        <v>0</v>
      </c>
      <c r="Z28" s="121">
        <f t="shared" si="8"/>
        <v>0</v>
      </c>
      <c r="AA28" s="121">
        <f t="shared" si="9"/>
        <v>-663.81334000000004</v>
      </c>
      <c r="AB28" s="121">
        <f t="shared" si="10"/>
        <v>-663.81333999999993</v>
      </c>
      <c r="AC28" s="121">
        <v>-713.74199999999996</v>
      </c>
      <c r="AD28" s="121">
        <v>-707.11631000000011</v>
      </c>
      <c r="AE28" s="121">
        <v>-700.49059999999997</v>
      </c>
      <c r="AF28" s="121">
        <v>-693.86491000000001</v>
      </c>
      <c r="AG28" s="121">
        <v>-687.23921999999993</v>
      </c>
      <c r="AH28" s="121">
        <v>-680.61351999999999</v>
      </c>
      <c r="AI28" s="121">
        <v>-673.98782999999992</v>
      </c>
      <c r="AJ28" s="121">
        <v>-667.36214000000007</v>
      </c>
      <c r="AK28" s="121">
        <v>-660.73643000000004</v>
      </c>
      <c r="AL28" s="121">
        <v>-661.50566000000003</v>
      </c>
      <c r="AM28" s="121">
        <v>-662.27489000000003</v>
      </c>
      <c r="AN28" s="121">
        <v>-663.04410999999993</v>
      </c>
      <c r="AO28" s="121">
        <v>-663.81333999999993</v>
      </c>
      <c r="AP28" s="125" t="str">
        <f>CONCATENATE(A28,M28)</f>
        <v>GLN</v>
      </c>
      <c r="AQ28" s="125" t="str">
        <f>CONCATENATE(AP28,L28,H28)</f>
        <v>GLNN2Asset Retirement Obligation</v>
      </c>
      <c r="AS28" s="125" t="str">
        <f>CONCATENATE(L28,H28,J28)</f>
        <v>N2Asset Retirement Obligation</v>
      </c>
    </row>
    <row r="29" spans="1:45" s="125" customFormat="1" ht="25.5" customHeight="1">
      <c r="A29" s="216" t="s">
        <v>2493</v>
      </c>
      <c r="B29" s="217" t="str">
        <f t="shared" si="1"/>
        <v>GL121000</v>
      </c>
      <c r="C29" s="186">
        <v>121000</v>
      </c>
      <c r="D29" s="201"/>
      <c r="E29" s="162"/>
      <c r="F29" s="169" t="s">
        <v>1113</v>
      </c>
      <c r="G29" s="117"/>
      <c r="H29" s="118" t="s">
        <v>636</v>
      </c>
      <c r="I29" s="119"/>
      <c r="J29" s="120"/>
      <c r="K29" s="120" t="str">
        <f t="shared" si="2"/>
        <v/>
      </c>
      <c r="L29" s="170" t="s">
        <v>928</v>
      </c>
      <c r="M29" s="122" t="str">
        <f t="shared" si="0"/>
        <v>N</v>
      </c>
      <c r="N29" s="116" t="str">
        <f>IF($L29&lt;&gt;"",VLOOKUP($L29,Categories!$E:$G,2,FALSE),IF($F29&lt;&gt;"","NO CAT",""))</f>
        <v>Not in Rate Base</v>
      </c>
      <c r="O29" s="116" t="str">
        <f>IF($L29&lt;&gt;"",VLOOKUP($L29,Categories!$E:$G,3,FALSE),IF($F29&lt;&gt;"","NO CAT",""))</f>
        <v>Direct Assign Items Not in RB</v>
      </c>
      <c r="P29" s="170" t="s">
        <v>1186</v>
      </c>
      <c r="Q29" s="123" t="s">
        <v>1187</v>
      </c>
      <c r="R29" s="124">
        <v>0</v>
      </c>
      <c r="S29" s="124">
        <v>0</v>
      </c>
      <c r="T29" s="124">
        <v>1</v>
      </c>
      <c r="U29" s="121">
        <f t="shared" si="3"/>
        <v>0</v>
      </c>
      <c r="V29" s="121">
        <f t="shared" si="4"/>
        <v>0</v>
      </c>
      <c r="W29" s="121">
        <f t="shared" si="5"/>
        <v>6909.68022833333</v>
      </c>
      <c r="X29" s="121">
        <f t="shared" si="6"/>
        <v>6909.68022833333</v>
      </c>
      <c r="Y29" s="121">
        <f t="shared" si="7"/>
        <v>0</v>
      </c>
      <c r="Z29" s="121">
        <f t="shared" si="8"/>
        <v>0</v>
      </c>
      <c r="AA29" s="121">
        <f t="shared" si="9"/>
        <v>6909.6021000000001</v>
      </c>
      <c r="AB29" s="121">
        <f t="shared" si="10"/>
        <v>6909.6021000000001</v>
      </c>
      <c r="AC29" s="121">
        <v>6909.6021000000001</v>
      </c>
      <c r="AD29" s="121">
        <v>6909.6021000000001</v>
      </c>
      <c r="AE29" s="121">
        <v>6909.6021000000001</v>
      </c>
      <c r="AF29" s="121">
        <v>6909.6021000000001</v>
      </c>
      <c r="AG29" s="121">
        <v>6909.6021000000001</v>
      </c>
      <c r="AH29" s="121">
        <v>6909.6021000000001</v>
      </c>
      <c r="AI29" s="121">
        <v>6909.6021000000001</v>
      </c>
      <c r="AJ29" s="121">
        <v>6909.6021000000001</v>
      </c>
      <c r="AK29" s="121">
        <v>6909.6021000000001</v>
      </c>
      <c r="AL29" s="121">
        <v>6909.6021000000001</v>
      </c>
      <c r="AM29" s="121">
        <v>6910.5208400000001</v>
      </c>
      <c r="AN29" s="121">
        <v>6909.6209000000008</v>
      </c>
      <c r="AO29" s="121">
        <v>6909.6021000000001</v>
      </c>
      <c r="AP29" s="125" t="str">
        <f>CONCATENATE(A29,M29)</f>
        <v>GLN</v>
      </c>
      <c r="AQ29" s="125" t="str">
        <f>CONCATENATE(AP29,L29,H29)</f>
        <v>GLNN2Non-Utility Property</v>
      </c>
      <c r="AS29" s="125" t="str">
        <f>CONCATENATE(L29,H29,J29)</f>
        <v>N2Non-Utility Property</v>
      </c>
    </row>
    <row r="30" spans="1:45" s="125" customFormat="1" ht="25.5" customHeight="1">
      <c r="A30" s="216" t="s">
        <v>2493</v>
      </c>
      <c r="B30" s="217" t="str">
        <f t="shared" si="1"/>
        <v>GL122000</v>
      </c>
      <c r="C30" s="186">
        <v>122000</v>
      </c>
      <c r="D30" s="201"/>
      <c r="E30" s="162"/>
      <c r="F30" s="169" t="s">
        <v>1043</v>
      </c>
      <c r="G30" s="117"/>
      <c r="H30" s="118" t="s">
        <v>636</v>
      </c>
      <c r="I30" s="119"/>
      <c r="J30" s="120"/>
      <c r="K30" s="120" t="str">
        <f t="shared" si="2"/>
        <v/>
      </c>
      <c r="L30" s="170" t="s">
        <v>928</v>
      </c>
      <c r="M30" s="122" t="str">
        <f t="shared" si="0"/>
        <v>N</v>
      </c>
      <c r="N30" s="116" t="str">
        <f>IF($L30&lt;&gt;"",VLOOKUP($L30,Categories!$E:$G,2,FALSE),IF($F30&lt;&gt;"","NO CAT",""))</f>
        <v>Not in Rate Base</v>
      </c>
      <c r="O30" s="116" t="str">
        <f>IF($L30&lt;&gt;"",VLOOKUP($L30,Categories!$E:$G,3,FALSE),IF($F30&lt;&gt;"","NO CAT",""))</f>
        <v>Direct Assign Items Not in RB</v>
      </c>
      <c r="P30" s="170" t="s">
        <v>1186</v>
      </c>
      <c r="Q30" s="123" t="s">
        <v>1187</v>
      </c>
      <c r="R30" s="124">
        <v>0</v>
      </c>
      <c r="S30" s="124">
        <v>0</v>
      </c>
      <c r="T30" s="124">
        <v>1</v>
      </c>
      <c r="U30" s="121">
        <f t="shared" si="3"/>
        <v>0</v>
      </c>
      <c r="V30" s="121">
        <f t="shared" si="4"/>
        <v>0</v>
      </c>
      <c r="W30" s="121">
        <f t="shared" si="5"/>
        <v>-1169.6266324999999</v>
      </c>
      <c r="X30" s="121">
        <f t="shared" si="6"/>
        <v>-1169.6266324999999</v>
      </c>
      <c r="Y30" s="121">
        <f t="shared" si="7"/>
        <v>0</v>
      </c>
      <c r="Z30" s="121">
        <f t="shared" si="8"/>
        <v>0</v>
      </c>
      <c r="AA30" s="121">
        <f t="shared" si="9"/>
        <v>-1205.3323600000001</v>
      </c>
      <c r="AB30" s="121">
        <f t="shared" si="10"/>
        <v>-1205.3323600000001</v>
      </c>
      <c r="AC30" s="121">
        <v>-1114.19856</v>
      </c>
      <c r="AD30" s="121">
        <v>-1123.5312099999999</v>
      </c>
      <c r="AE30" s="121">
        <v>-1132.8638600000002</v>
      </c>
      <c r="AF30" s="121">
        <v>-1142.19651</v>
      </c>
      <c r="AG30" s="121">
        <v>-1151.5291599999998</v>
      </c>
      <c r="AH30" s="121">
        <v>-1160.8618100000001</v>
      </c>
      <c r="AI30" s="121">
        <v>-1170.1944599999999</v>
      </c>
      <c r="AJ30" s="121">
        <v>-1179.52711</v>
      </c>
      <c r="AK30" s="121">
        <v>-1188.8597600000001</v>
      </c>
      <c r="AL30" s="121">
        <v>-1198.1924099999999</v>
      </c>
      <c r="AM30" s="121">
        <v>-1207.5250600000002</v>
      </c>
      <c r="AN30" s="121">
        <v>-1220.4727800000001</v>
      </c>
      <c r="AO30" s="121">
        <v>-1205.3323600000001</v>
      </c>
      <c r="AP30" s="125" t="str">
        <f>CONCATENATE(A30,M30)</f>
        <v>GLN</v>
      </c>
      <c r="AQ30" s="125" t="str">
        <f>CONCATENATE(AP30,L30,H30)</f>
        <v>GLNN2Non-Utility Property</v>
      </c>
      <c r="AS30" s="125" t="str">
        <f>CONCATENATE(L30,H30,J30)</f>
        <v>N2Non-Utility Property</v>
      </c>
    </row>
    <row r="31" spans="1:45" s="125" customFormat="1" ht="25.5" customHeight="1">
      <c r="A31" s="216" t="s">
        <v>2493</v>
      </c>
      <c r="B31" s="217" t="str">
        <f t="shared" si="1"/>
        <v>GL124000</v>
      </c>
      <c r="C31" s="186">
        <v>124000</v>
      </c>
      <c r="D31" s="201"/>
      <c r="E31" s="162"/>
      <c r="F31" s="169" t="s">
        <v>1926</v>
      </c>
      <c r="G31" s="117"/>
      <c r="H31" s="118" t="s">
        <v>637</v>
      </c>
      <c r="I31" s="119"/>
      <c r="J31" s="120"/>
      <c r="K31" s="120" t="str">
        <f t="shared" si="2"/>
        <v/>
      </c>
      <c r="L31" s="170" t="s">
        <v>928</v>
      </c>
      <c r="M31" s="122" t="str">
        <f t="shared" si="0"/>
        <v>N</v>
      </c>
      <c r="N31" s="116" t="str">
        <f>IF($L31&lt;&gt;"",VLOOKUP($L31,Categories!$E:$G,2,FALSE),IF($F31&lt;&gt;"","NO CAT",""))</f>
        <v>Not in Rate Base</v>
      </c>
      <c r="O31" s="116" t="str">
        <f>IF($L31&lt;&gt;"",VLOOKUP($L31,Categories!$E:$G,3,FALSE),IF($F31&lt;&gt;"","NO CAT",""))</f>
        <v>Direct Assign Items Not in RB</v>
      </c>
      <c r="P31" s="170" t="s">
        <v>1186</v>
      </c>
      <c r="Q31" s="123" t="s">
        <v>1187</v>
      </c>
      <c r="R31" s="124">
        <v>0</v>
      </c>
      <c r="S31" s="124">
        <v>0</v>
      </c>
      <c r="T31" s="124">
        <v>1</v>
      </c>
      <c r="U31" s="121">
        <f t="shared" si="3"/>
        <v>0</v>
      </c>
      <c r="V31" s="121">
        <f t="shared" si="4"/>
        <v>0</v>
      </c>
      <c r="W31" s="121">
        <f t="shared" si="5"/>
        <v>66.863874999999993</v>
      </c>
      <c r="X31" s="121">
        <f t="shared" si="6"/>
        <v>66.863874999999993</v>
      </c>
      <c r="Y31" s="121" t="str">
        <f t="shared" si="7"/>
        <v/>
      </c>
      <c r="Z31" s="121" t="str">
        <f t="shared" si="8"/>
        <v/>
      </c>
      <c r="AA31" s="121" t="str">
        <f t="shared" si="9"/>
        <v/>
      </c>
      <c r="AB31" s="121">
        <f t="shared" si="10"/>
        <v>0</v>
      </c>
      <c r="AC31" s="121">
        <v>69.771000000000001</v>
      </c>
      <c r="AD31" s="121">
        <v>69.771000000000001</v>
      </c>
      <c r="AE31" s="121">
        <v>69.771000000000001</v>
      </c>
      <c r="AF31" s="121">
        <v>69.771000000000001</v>
      </c>
      <c r="AG31" s="121">
        <v>69.771000000000001</v>
      </c>
      <c r="AH31" s="121">
        <v>69.771000000000001</v>
      </c>
      <c r="AI31" s="121">
        <v>69.771000000000001</v>
      </c>
      <c r="AJ31" s="121">
        <v>69.771000000000001</v>
      </c>
      <c r="AK31" s="121">
        <v>69.771000000000001</v>
      </c>
      <c r="AL31" s="121">
        <v>69.771000000000001</v>
      </c>
      <c r="AM31" s="121">
        <v>69.771000000000001</v>
      </c>
      <c r="AN31" s="121">
        <v>69.771000000000001</v>
      </c>
      <c r="AO31" s="121">
        <v>0</v>
      </c>
      <c r="AP31" s="125" t="str">
        <f>CONCATENATE(A31,M31)</f>
        <v>GLN</v>
      </c>
      <c r="AQ31" s="125" t="str">
        <f>CONCATENATE(AP31,L31,H31)</f>
        <v>GLNN2Other Investments</v>
      </c>
      <c r="AS31" s="125" t="str">
        <f>CONCATENATE(L31,H31,J31)</f>
        <v>N2Other Investments</v>
      </c>
    </row>
    <row r="32" spans="1:45" s="125" customFormat="1" ht="25.5" customHeight="1">
      <c r="A32" s="216" t="s">
        <v>2493</v>
      </c>
      <c r="B32" s="217" t="str">
        <f t="shared" si="1"/>
        <v>GL128000</v>
      </c>
      <c r="C32" s="186">
        <v>128000</v>
      </c>
      <c r="D32" s="201"/>
      <c r="E32" s="162"/>
      <c r="F32" s="169" t="s">
        <v>3013</v>
      </c>
      <c r="G32" s="117"/>
      <c r="H32" s="118" t="s">
        <v>1180</v>
      </c>
      <c r="I32" s="119"/>
      <c r="J32" s="120"/>
      <c r="K32" s="120" t="str">
        <f t="shared" si="2"/>
        <v/>
      </c>
      <c r="L32" s="170" t="s">
        <v>1419</v>
      </c>
      <c r="M32" s="122" t="str">
        <f t="shared" si="0"/>
        <v>A</v>
      </c>
      <c r="N32" s="116" t="str">
        <f>IF($L32&lt;&gt;"",VLOOKUP($L32,Categories!$E:$G,2,FALSE),IF($F32&lt;&gt;"","NO CAT",""))</f>
        <v>All Other</v>
      </c>
      <c r="O32" s="116" t="str">
        <f>IF($L32&lt;&gt;"",VLOOKUP($L32,Categories!$E:$G,3,FALSE),IF($F32&lt;&gt;"","NO CAT",""))</f>
        <v>EB-Cap</v>
      </c>
      <c r="P32" s="170" t="s">
        <v>1557</v>
      </c>
      <c r="Q32" s="123" t="s">
        <v>1891</v>
      </c>
      <c r="R32" s="124">
        <v>0.77544352505021785</v>
      </c>
      <c r="S32" s="124">
        <v>0.22455647494978223</v>
      </c>
      <c r="T32" s="124">
        <v>0</v>
      </c>
      <c r="U32" s="121">
        <f t="shared" si="3"/>
        <v>187.65733306215299</v>
      </c>
      <c r="V32" s="121">
        <f t="shared" si="4"/>
        <v>54.342666937847298</v>
      </c>
      <c r="W32" s="121">
        <f t="shared" si="5"/>
        <v>0</v>
      </c>
      <c r="X32" s="121">
        <f t="shared" si="6"/>
        <v>242</v>
      </c>
      <c r="Y32" s="121">
        <f t="shared" si="7"/>
        <v>187.65733306215299</v>
      </c>
      <c r="Z32" s="121">
        <f t="shared" si="8"/>
        <v>54.342666937847298</v>
      </c>
      <c r="AA32" s="121">
        <f t="shared" si="9"/>
        <v>0</v>
      </c>
      <c r="AB32" s="121">
        <f t="shared" si="10"/>
        <v>242</v>
      </c>
      <c r="AC32" s="121">
        <v>242</v>
      </c>
      <c r="AD32" s="121">
        <v>242</v>
      </c>
      <c r="AE32" s="121">
        <v>242</v>
      </c>
      <c r="AF32" s="121">
        <v>242</v>
      </c>
      <c r="AG32" s="121">
        <v>242</v>
      </c>
      <c r="AH32" s="121">
        <v>242</v>
      </c>
      <c r="AI32" s="121">
        <v>242</v>
      </c>
      <c r="AJ32" s="121">
        <v>242</v>
      </c>
      <c r="AK32" s="121">
        <v>242</v>
      </c>
      <c r="AL32" s="121">
        <v>242</v>
      </c>
      <c r="AM32" s="121">
        <v>242</v>
      </c>
      <c r="AN32" s="121">
        <v>242</v>
      </c>
      <c r="AO32" s="121">
        <v>242</v>
      </c>
      <c r="AP32" s="125" t="str">
        <f>CONCATENATE(A32,M32)</f>
        <v>GLA</v>
      </c>
      <c r="AQ32" s="125" t="str">
        <f>CONCATENATE(AP32,L32,H32)</f>
        <v>GLAA2</v>
      </c>
      <c r="AS32" s="125" t="str">
        <f>CONCATENATE(L32,H32,J32)</f>
        <v>A2</v>
      </c>
    </row>
    <row r="33" spans="1:45" s="125" customFormat="1" ht="25.5" customHeight="1">
      <c r="A33" s="216" t="s">
        <v>2493</v>
      </c>
      <c r="B33" s="217" t="str">
        <f t="shared" si="1"/>
        <v>GL128450</v>
      </c>
      <c r="C33" s="186">
        <v>128450</v>
      </c>
      <c r="D33" s="201"/>
      <c r="E33" s="162"/>
      <c r="F33" s="169" t="s">
        <v>2737</v>
      </c>
      <c r="G33" s="117"/>
      <c r="H33" s="118" t="s">
        <v>50</v>
      </c>
      <c r="I33" s="119"/>
      <c r="J33" s="120"/>
      <c r="K33" s="120" t="str">
        <f t="shared" si="2"/>
        <v/>
      </c>
      <c r="L33" s="170" t="s">
        <v>928</v>
      </c>
      <c r="M33" s="122" t="str">
        <f t="shared" si="0"/>
        <v>N</v>
      </c>
      <c r="N33" s="116" t="str">
        <f>IF($L33&lt;&gt;"",VLOOKUP($L33,Categories!$E:$G,2,FALSE),IF($F33&lt;&gt;"","NO CAT",""))</f>
        <v>Not in Rate Base</v>
      </c>
      <c r="O33" s="116" t="str">
        <f>IF($L33&lt;&gt;"",VLOOKUP($L33,Categories!$E:$G,3,FALSE),IF($F33&lt;&gt;"","NO CAT",""))</f>
        <v>Direct Assign Items Not in RB</v>
      </c>
      <c r="P33" s="170" t="s">
        <v>1186</v>
      </c>
      <c r="Q33" s="123" t="s">
        <v>1187</v>
      </c>
      <c r="R33" s="124">
        <v>0</v>
      </c>
      <c r="S33" s="124">
        <v>0</v>
      </c>
      <c r="T33" s="124">
        <v>1</v>
      </c>
      <c r="U33" s="121">
        <f t="shared" si="3"/>
        <v>0</v>
      </c>
      <c r="V33" s="121">
        <f t="shared" si="4"/>
        <v>0</v>
      </c>
      <c r="W33" s="121">
        <f t="shared" si="5"/>
        <v>9985.9254066666708</v>
      </c>
      <c r="X33" s="121">
        <f t="shared" si="6"/>
        <v>9985.9254066666708</v>
      </c>
      <c r="Y33" s="121">
        <f t="shared" si="7"/>
        <v>0</v>
      </c>
      <c r="Z33" s="121">
        <f t="shared" si="8"/>
        <v>0</v>
      </c>
      <c r="AA33" s="121">
        <f t="shared" si="9"/>
        <v>10226.5508499999</v>
      </c>
      <c r="AB33" s="121">
        <f t="shared" si="10"/>
        <v>10226.55085</v>
      </c>
      <c r="AC33" s="121">
        <v>10909.479609999999</v>
      </c>
      <c r="AD33" s="121">
        <v>10713.1273</v>
      </c>
      <c r="AE33" s="121">
        <v>10706.94011</v>
      </c>
      <c r="AF33" s="121">
        <v>10366.082689999999</v>
      </c>
      <c r="AG33" s="121">
        <v>10349.351699999999</v>
      </c>
      <c r="AH33" s="121">
        <v>10018.31163</v>
      </c>
      <c r="AI33" s="121">
        <v>10015.570810000001</v>
      </c>
      <c r="AJ33" s="121">
        <v>9843.2132799999999</v>
      </c>
      <c r="AK33" s="121">
        <v>9514.5036199999995</v>
      </c>
      <c r="AL33" s="121">
        <v>9343.0699199999999</v>
      </c>
      <c r="AM33" s="121">
        <v>9343.3043900000011</v>
      </c>
      <c r="AN33" s="121">
        <v>9049.6142</v>
      </c>
      <c r="AO33" s="121">
        <v>10226.55085</v>
      </c>
      <c r="AP33" s="125" t="str">
        <f>CONCATENATE(A33,M33)</f>
        <v>GLN</v>
      </c>
      <c r="AQ33" s="125" t="str">
        <f>CONCATENATE(AP33,L33,H33)</f>
        <v>GLNN2Non-Qualified Directors Trust</v>
      </c>
      <c r="AS33" s="125" t="str">
        <f>CONCATENATE(L33,H33,J33)</f>
        <v>N2Non-Qualified Directors Trust</v>
      </c>
    </row>
    <row r="34" spans="1:45" s="125" customFormat="1" ht="25.5" customHeight="1">
      <c r="A34" s="216" t="s">
        <v>2493</v>
      </c>
      <c r="B34" s="217" t="str">
        <f t="shared" si="1"/>
        <v>GL131000</v>
      </c>
      <c r="C34" s="186">
        <v>131000</v>
      </c>
      <c r="D34" s="201"/>
      <c r="E34" s="162"/>
      <c r="F34" s="169" t="s">
        <v>2738</v>
      </c>
      <c r="G34" s="117"/>
      <c r="H34" s="118" t="s">
        <v>2739</v>
      </c>
      <c r="I34" s="119"/>
      <c r="J34" s="120"/>
      <c r="K34" s="120" t="str">
        <f t="shared" si="2"/>
        <v/>
      </c>
      <c r="L34" s="170" t="s">
        <v>1419</v>
      </c>
      <c r="M34" s="122" t="str">
        <f t="shared" si="0"/>
        <v>A</v>
      </c>
      <c r="N34" s="116" t="str">
        <f>IF($L34&lt;&gt;"",VLOOKUP($L34,Categories!$E:$G,2,FALSE),IF($F34&lt;&gt;"","NO CAT",""))</f>
        <v>All Other</v>
      </c>
      <c r="O34" s="116" t="str">
        <f>IF($L34&lt;&gt;"",VLOOKUP($L34,Categories!$E:$G,3,FALSE),IF($F34&lt;&gt;"","NO CAT",""))</f>
        <v>EB-Cap</v>
      </c>
      <c r="P34" s="170" t="s">
        <v>1557</v>
      </c>
      <c r="Q34" s="123" t="s">
        <v>1891</v>
      </c>
      <c r="R34" s="124">
        <v>0.77544352505021785</v>
      </c>
      <c r="S34" s="124">
        <v>0.22455647494978223</v>
      </c>
      <c r="T34" s="124">
        <v>0</v>
      </c>
      <c r="U34" s="121">
        <f t="shared" si="3"/>
        <v>-3588.84534143685</v>
      </c>
      <c r="V34" s="121">
        <f t="shared" si="4"/>
        <v>-1039.27421272983</v>
      </c>
      <c r="W34" s="121">
        <f t="shared" si="5"/>
        <v>0</v>
      </c>
      <c r="X34" s="121">
        <f t="shared" si="6"/>
        <v>-4628.1195541666702</v>
      </c>
      <c r="Y34" s="121" t="str">
        <f t="shared" si="7"/>
        <v/>
      </c>
      <c r="Z34" s="121" t="str">
        <f t="shared" si="8"/>
        <v/>
      </c>
      <c r="AA34" s="121" t="str">
        <f t="shared" si="9"/>
        <v/>
      </c>
      <c r="AB34" s="121">
        <f t="shared" si="10"/>
        <v>0</v>
      </c>
      <c r="AC34" s="121">
        <v>0</v>
      </c>
      <c r="AD34" s="121">
        <v>0</v>
      </c>
      <c r="AE34" s="121">
        <v>0</v>
      </c>
      <c r="AF34" s="121"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-55537.434649999996</v>
      </c>
      <c r="AN34" s="121">
        <v>0</v>
      </c>
      <c r="AO34" s="121">
        <v>0</v>
      </c>
      <c r="AP34" s="125" t="str">
        <f>CONCATENATE(A34,M34)</f>
        <v>GLA</v>
      </c>
      <c r="AQ34" s="125" t="str">
        <f>CONCATENATE(AP34,L34,H34)</f>
        <v>GLAA2Special Deposits</v>
      </c>
      <c r="AS34" s="125" t="str">
        <f>CONCATENATE(L34,H34,J34)</f>
        <v>A2Special Deposits</v>
      </c>
    </row>
    <row r="35" spans="1:45" s="125" customFormat="1" ht="25.5" customHeight="1">
      <c r="A35" s="216" t="s">
        <v>2493</v>
      </c>
      <c r="B35" s="217" t="str">
        <f t="shared" si="1"/>
        <v>GL131002</v>
      </c>
      <c r="C35" s="186">
        <v>131002</v>
      </c>
      <c r="D35" s="201"/>
      <c r="E35" s="162"/>
      <c r="F35" s="169" t="s">
        <v>2740</v>
      </c>
      <c r="G35" s="117"/>
      <c r="H35" s="118" t="s">
        <v>2739</v>
      </c>
      <c r="I35" s="119"/>
      <c r="J35" s="120"/>
      <c r="K35" s="120" t="str">
        <f t="shared" si="2"/>
        <v/>
      </c>
      <c r="L35" s="170" t="s">
        <v>1419</v>
      </c>
      <c r="M35" s="122" t="str">
        <f t="shared" si="0"/>
        <v>A</v>
      </c>
      <c r="N35" s="116" t="str">
        <f>IF($L35&lt;&gt;"",VLOOKUP($L35,Categories!$E:$G,2,FALSE),IF($F35&lt;&gt;"","NO CAT",""))</f>
        <v>All Other</v>
      </c>
      <c r="O35" s="116" t="str">
        <f>IF($L35&lt;&gt;"",VLOOKUP($L35,Categories!$E:$G,3,FALSE),IF($F35&lt;&gt;"","NO CAT",""))</f>
        <v>EB-Cap</v>
      </c>
      <c r="P35" s="170" t="s">
        <v>1557</v>
      </c>
      <c r="Q35" s="123" t="s">
        <v>1891</v>
      </c>
      <c r="R35" s="124">
        <v>0.77544352505021785</v>
      </c>
      <c r="S35" s="124">
        <v>0.22455647494978223</v>
      </c>
      <c r="T35" s="124">
        <v>0</v>
      </c>
      <c r="U35" s="121">
        <f t="shared" si="3"/>
        <v>-4958.08489474404</v>
      </c>
      <c r="V35" s="121">
        <f t="shared" si="4"/>
        <v>-1435.78485150596</v>
      </c>
      <c r="W35" s="121">
        <f t="shared" si="5"/>
        <v>0</v>
      </c>
      <c r="X35" s="121">
        <f t="shared" si="6"/>
        <v>-6393.8697462500004</v>
      </c>
      <c r="Y35" s="121">
        <f t="shared" si="7"/>
        <v>-2685.2364608087</v>
      </c>
      <c r="Z35" s="121">
        <f t="shared" si="8"/>
        <v>-777.60302919130197</v>
      </c>
      <c r="AA35" s="121">
        <f t="shared" si="9"/>
        <v>0</v>
      </c>
      <c r="AB35" s="121">
        <f t="shared" si="10"/>
        <v>-3462.8394900000003</v>
      </c>
      <c r="AC35" s="121">
        <v>-2555.97894</v>
      </c>
      <c r="AD35" s="121">
        <v>-7473.3511799999997</v>
      </c>
      <c r="AE35" s="121">
        <v>-1690.9955600000001</v>
      </c>
      <c r="AF35" s="121">
        <v>-1241.10806</v>
      </c>
      <c r="AG35" s="121">
        <v>-606.91256999999996</v>
      </c>
      <c r="AH35" s="121">
        <v>-456.43779000000001</v>
      </c>
      <c r="AI35" s="121">
        <v>-1951.7739299999998</v>
      </c>
      <c r="AJ35" s="121">
        <v>-1060.3861299999999</v>
      </c>
      <c r="AK35" s="121">
        <v>-11764.611699999999</v>
      </c>
      <c r="AL35" s="121">
        <v>-42841.074670000002</v>
      </c>
      <c r="AM35" s="121">
        <v>-2086.6494299999999</v>
      </c>
      <c r="AN35" s="121">
        <v>-2543.7267200000001</v>
      </c>
      <c r="AO35" s="121">
        <v>-3462.8394900000003</v>
      </c>
      <c r="AP35" s="125" t="str">
        <f>CONCATENATE(A35,M35)</f>
        <v>GLA</v>
      </c>
      <c r="AQ35" s="125" t="str">
        <f>CONCATENATE(AP35,L35,H35)</f>
        <v>GLAA2Special Deposits</v>
      </c>
      <c r="AS35" s="125" t="str">
        <f>CONCATENATE(L35,H35,J35)</f>
        <v>A2Special Deposits</v>
      </c>
    </row>
    <row r="36" spans="1:45" s="125" customFormat="1" ht="25.5" customHeight="1">
      <c r="A36" s="216" t="s">
        <v>2493</v>
      </c>
      <c r="B36" s="217" t="str">
        <f t="shared" si="1"/>
        <v>GL131030</v>
      </c>
      <c r="C36" s="186">
        <v>131030</v>
      </c>
      <c r="D36" s="201"/>
      <c r="E36" s="162"/>
      <c r="F36" s="169" t="s">
        <v>2741</v>
      </c>
      <c r="G36" s="117"/>
      <c r="H36" s="118" t="s">
        <v>2739</v>
      </c>
      <c r="I36" s="119"/>
      <c r="J36" s="120"/>
      <c r="K36" s="120" t="str">
        <f t="shared" si="2"/>
        <v/>
      </c>
      <c r="L36" s="170" t="s">
        <v>1419</v>
      </c>
      <c r="M36" s="122" t="str">
        <f t="shared" si="0"/>
        <v>A</v>
      </c>
      <c r="N36" s="116" t="str">
        <f>IF($L36&lt;&gt;"",VLOOKUP($L36,Categories!$E:$G,2,FALSE),IF($F36&lt;&gt;"","NO CAT",""))</f>
        <v>All Other</v>
      </c>
      <c r="O36" s="116" t="str">
        <f>IF($L36&lt;&gt;"",VLOOKUP($L36,Categories!$E:$G,3,FALSE),IF($F36&lt;&gt;"","NO CAT",""))</f>
        <v>EB-Cap</v>
      </c>
      <c r="P36" s="170" t="s">
        <v>1557</v>
      </c>
      <c r="Q36" s="123" t="s">
        <v>1891</v>
      </c>
      <c r="R36" s="124">
        <v>0.77544352505021785</v>
      </c>
      <c r="S36" s="124">
        <v>0.22455647494978223</v>
      </c>
      <c r="T36" s="124">
        <v>0</v>
      </c>
      <c r="U36" s="121">
        <f t="shared" si="3"/>
        <v>4536.0269536724099</v>
      </c>
      <c r="V36" s="121">
        <f t="shared" si="4"/>
        <v>1313.56338674426</v>
      </c>
      <c r="W36" s="121">
        <f t="shared" si="5"/>
        <v>0</v>
      </c>
      <c r="X36" s="121">
        <f t="shared" si="6"/>
        <v>5849.5903404166702</v>
      </c>
      <c r="Y36" s="121">
        <f t="shared" si="7"/>
        <v>1753.41369886187</v>
      </c>
      <c r="Z36" s="121">
        <f t="shared" si="8"/>
        <v>507.761541138128</v>
      </c>
      <c r="AA36" s="121">
        <f t="shared" si="9"/>
        <v>0</v>
      </c>
      <c r="AB36" s="121">
        <f t="shared" si="10"/>
        <v>2261.17524</v>
      </c>
      <c r="AC36" s="121">
        <v>610.41597000000002</v>
      </c>
      <c r="AD36" s="121">
        <v>235.30407</v>
      </c>
      <c r="AE36" s="121">
        <v>1688.4738</v>
      </c>
      <c r="AF36" s="121">
        <v>1133.7538</v>
      </c>
      <c r="AG36" s="121">
        <v>2701.8134799999998</v>
      </c>
      <c r="AH36" s="121">
        <v>2112.4211600000003</v>
      </c>
      <c r="AI36" s="121">
        <v>1853.6677500000001</v>
      </c>
      <c r="AJ36" s="121">
        <v>1240.1992399999999</v>
      </c>
      <c r="AK36" s="121">
        <v>1522.9073899999999</v>
      </c>
      <c r="AL36" s="121">
        <v>-1493.8720800000001</v>
      </c>
      <c r="AM36" s="121">
        <v>57499.611270000001</v>
      </c>
      <c r="AN36" s="121">
        <v>265.0086</v>
      </c>
      <c r="AO36" s="121">
        <v>2261.17524</v>
      </c>
      <c r="AP36" s="125" t="str">
        <f>CONCATENATE(A36,M36)</f>
        <v>GLA</v>
      </c>
      <c r="AQ36" s="125" t="str">
        <f>CONCATENATE(AP36,L36,H36)</f>
        <v>GLAA2Special Deposits</v>
      </c>
      <c r="AS36" s="125" t="str">
        <f>CONCATENATE(L36,H36,J36)</f>
        <v>A2Special Deposits</v>
      </c>
    </row>
    <row r="37" spans="1:45" s="125" customFormat="1" ht="25.5" customHeight="1">
      <c r="A37" s="216" t="s">
        <v>2493</v>
      </c>
      <c r="B37" s="217" t="str">
        <f t="shared" si="1"/>
        <v>GL131081</v>
      </c>
      <c r="C37" s="186">
        <v>131081</v>
      </c>
      <c r="D37" s="201"/>
      <c r="E37" s="162"/>
      <c r="F37" s="169" t="s">
        <v>1311</v>
      </c>
      <c r="G37" s="117"/>
      <c r="H37" s="118" t="s">
        <v>2739</v>
      </c>
      <c r="I37" s="119"/>
      <c r="J37" s="120"/>
      <c r="K37" s="120" t="str">
        <f t="shared" si="2"/>
        <v/>
      </c>
      <c r="L37" s="170" t="s">
        <v>1419</v>
      </c>
      <c r="M37" s="122" t="str">
        <f t="shared" si="0"/>
        <v>A</v>
      </c>
      <c r="N37" s="116" t="str">
        <f>IF($L37&lt;&gt;"",VLOOKUP($L37,Categories!$E:$G,2,FALSE),IF($F37&lt;&gt;"","NO CAT",""))</f>
        <v>All Other</v>
      </c>
      <c r="O37" s="116" t="str">
        <f>IF($L37&lt;&gt;"",VLOOKUP($L37,Categories!$E:$G,3,FALSE),IF($F37&lt;&gt;"","NO CAT",""))</f>
        <v>EB-Cap</v>
      </c>
      <c r="P37" s="170" t="s">
        <v>1557</v>
      </c>
      <c r="Q37" s="123" t="s">
        <v>1891</v>
      </c>
      <c r="R37" s="124">
        <v>0.77544352505021785</v>
      </c>
      <c r="S37" s="124">
        <v>0.22455647494978223</v>
      </c>
      <c r="T37" s="124">
        <v>0</v>
      </c>
      <c r="U37" s="121">
        <f t="shared" si="3"/>
        <v>-1234.1785946156899</v>
      </c>
      <c r="V37" s="121">
        <f t="shared" si="4"/>
        <v>-357.39906996763898</v>
      </c>
      <c r="W37" s="121">
        <f t="shared" si="5"/>
        <v>0</v>
      </c>
      <c r="X37" s="121">
        <f t="shared" si="6"/>
        <v>-1591.57766458333</v>
      </c>
      <c r="Y37" s="121">
        <f t="shared" si="7"/>
        <v>-1355.0293397253899</v>
      </c>
      <c r="Z37" s="121">
        <f t="shared" si="8"/>
        <v>-392.39558027460498</v>
      </c>
      <c r="AA37" s="121">
        <f t="shared" si="9"/>
        <v>0</v>
      </c>
      <c r="AB37" s="121">
        <f t="shared" si="10"/>
        <v>-1747.4249199999999</v>
      </c>
      <c r="AC37" s="121">
        <v>-1744.6002699999999</v>
      </c>
      <c r="AD37" s="121">
        <v>-1589.0982799999999</v>
      </c>
      <c r="AE37" s="121">
        <v>-1609.7259299999998</v>
      </c>
      <c r="AF37" s="121">
        <v>-1506.5875900000001</v>
      </c>
      <c r="AG37" s="121">
        <v>-1556.5527400000001</v>
      </c>
      <c r="AH37" s="121">
        <v>-1527.4474399999999</v>
      </c>
      <c r="AI37" s="121">
        <v>-1627.63393</v>
      </c>
      <c r="AJ37" s="121">
        <v>-1576.9193700000001</v>
      </c>
      <c r="AK37" s="121">
        <v>-1530.48748</v>
      </c>
      <c r="AL37" s="121">
        <v>-1549.5282299999999</v>
      </c>
      <c r="AM37" s="121">
        <v>-1506.6525900000001</v>
      </c>
      <c r="AN37" s="121">
        <v>-1772.2858000000001</v>
      </c>
      <c r="AO37" s="121">
        <v>-1747.4249199999999</v>
      </c>
      <c r="AP37" s="125" t="str">
        <f>CONCATENATE(A37,M37)</f>
        <v>GLA</v>
      </c>
      <c r="AQ37" s="125" t="str">
        <f>CONCATENATE(AP37,L37,H37)</f>
        <v>GLAA2Special Deposits</v>
      </c>
      <c r="AS37" s="125" t="str">
        <f>CONCATENATE(L37,H37,J37)</f>
        <v>A2Special Deposits</v>
      </c>
    </row>
    <row r="38" spans="1:45" s="125" customFormat="1" ht="25.5" customHeight="1">
      <c r="A38" s="216" t="s">
        <v>2493</v>
      </c>
      <c r="B38" s="217" t="str">
        <f t="shared" si="1"/>
        <v>GL131131</v>
      </c>
      <c r="C38" s="186">
        <v>131131</v>
      </c>
      <c r="D38" s="201"/>
      <c r="E38" s="162"/>
      <c r="F38" s="169" t="s">
        <v>3025</v>
      </c>
      <c r="G38" s="117"/>
      <c r="H38" s="118" t="s">
        <v>2739</v>
      </c>
      <c r="I38" s="119"/>
      <c r="J38" s="120"/>
      <c r="K38" s="120" t="str">
        <f t="shared" si="2"/>
        <v/>
      </c>
      <c r="L38" s="170" t="s">
        <v>1419</v>
      </c>
      <c r="M38" s="122" t="str">
        <f t="shared" si="0"/>
        <v>A</v>
      </c>
      <c r="N38" s="116" t="str">
        <f>IF($L38&lt;&gt;"",VLOOKUP($L38,Categories!$E:$G,2,FALSE),IF($F38&lt;&gt;"","NO CAT",""))</f>
        <v>All Other</v>
      </c>
      <c r="O38" s="116" t="str">
        <f>IF($L38&lt;&gt;"",VLOOKUP($L38,Categories!$E:$G,3,FALSE),IF($F38&lt;&gt;"","NO CAT",""))</f>
        <v>EB-Cap</v>
      </c>
      <c r="P38" s="170" t="s">
        <v>1557</v>
      </c>
      <c r="Q38" s="123" t="s">
        <v>1891</v>
      </c>
      <c r="R38" s="124">
        <v>0.77544352505021785</v>
      </c>
      <c r="S38" s="124">
        <v>0.22455647494978223</v>
      </c>
      <c r="T38" s="124">
        <v>0</v>
      </c>
      <c r="U38" s="121">
        <f t="shared" si="3"/>
        <v>375.28347100059699</v>
      </c>
      <c r="V38" s="121">
        <f t="shared" si="4"/>
        <v>108.676300249403</v>
      </c>
      <c r="W38" s="121">
        <f t="shared" si="5"/>
        <v>0</v>
      </c>
      <c r="X38" s="121">
        <f t="shared" si="6"/>
        <v>483.95977125000002</v>
      </c>
      <c r="Y38" s="121" t="str">
        <f t="shared" si="7"/>
        <v/>
      </c>
      <c r="Z38" s="121" t="str">
        <f t="shared" si="8"/>
        <v/>
      </c>
      <c r="AA38" s="121" t="str">
        <f t="shared" si="9"/>
        <v/>
      </c>
      <c r="AB38" s="121">
        <f t="shared" si="10"/>
        <v>0</v>
      </c>
      <c r="AC38" s="121">
        <v>2460.9718700000003</v>
      </c>
      <c r="AD38" s="121">
        <v>4710.13922</v>
      </c>
      <c r="AE38" s="121">
        <v>-139.29916</v>
      </c>
      <c r="AF38" s="121">
        <v>143.30347</v>
      </c>
      <c r="AG38" s="121">
        <v>55.188319999999997</v>
      </c>
      <c r="AH38" s="121">
        <v>165.00586999999999</v>
      </c>
      <c r="AI38" s="121">
        <v>187.92229999999998</v>
      </c>
      <c r="AJ38" s="121">
        <v>-725.30952000000002</v>
      </c>
      <c r="AK38" s="121">
        <v>55.804050000000004</v>
      </c>
      <c r="AL38" s="121">
        <v>119.26852000000001</v>
      </c>
      <c r="AM38" s="121">
        <v>-26.83652</v>
      </c>
      <c r="AN38" s="121">
        <v>31.84477</v>
      </c>
      <c r="AO38" s="121">
        <v>0</v>
      </c>
      <c r="AP38" s="125" t="str">
        <f>CONCATENATE(A38,M38)</f>
        <v>GLA</v>
      </c>
      <c r="AQ38" s="125" t="str">
        <f>CONCATENATE(AP38,L38,H38)</f>
        <v>GLAA2Special Deposits</v>
      </c>
      <c r="AS38" s="125" t="str">
        <f>CONCATENATE(L38,H38,J38)</f>
        <v>A2Special Deposits</v>
      </c>
    </row>
    <row r="39" spans="1:45" s="125" customFormat="1" ht="25.5" customHeight="1">
      <c r="A39" s="216" t="s">
        <v>2493</v>
      </c>
      <c r="B39" s="217" t="str">
        <f t="shared" si="1"/>
        <v>GL131310</v>
      </c>
      <c r="C39" s="186">
        <v>131310</v>
      </c>
      <c r="D39" s="201"/>
      <c r="E39" s="162"/>
      <c r="F39" s="169" t="s">
        <v>3026</v>
      </c>
      <c r="G39" s="117"/>
      <c r="H39" s="118" t="s">
        <v>2739</v>
      </c>
      <c r="I39" s="119"/>
      <c r="J39" s="120"/>
      <c r="K39" s="120" t="str">
        <f t="shared" si="2"/>
        <v/>
      </c>
      <c r="L39" s="170" t="s">
        <v>1419</v>
      </c>
      <c r="M39" s="122" t="str">
        <f t="shared" si="0"/>
        <v>A</v>
      </c>
      <c r="N39" s="116" t="str">
        <f>IF($L39&lt;&gt;"",VLOOKUP($L39,Categories!$E:$G,2,FALSE),IF($F39&lt;&gt;"","NO CAT",""))</f>
        <v>All Other</v>
      </c>
      <c r="O39" s="116" t="str">
        <f>IF($L39&lt;&gt;"",VLOOKUP($L39,Categories!$E:$G,3,FALSE),IF($F39&lt;&gt;"","NO CAT",""))</f>
        <v>EB-Cap</v>
      </c>
      <c r="P39" s="170" t="s">
        <v>1557</v>
      </c>
      <c r="Q39" s="123" t="s">
        <v>1891</v>
      </c>
      <c r="R39" s="124">
        <v>0.77544352505021785</v>
      </c>
      <c r="S39" s="124">
        <v>0.22455647494978223</v>
      </c>
      <c r="T39" s="124">
        <v>0</v>
      </c>
      <c r="U39" s="121">
        <f t="shared" si="3"/>
        <v>772.39764039588204</v>
      </c>
      <c r="V39" s="121">
        <f t="shared" si="4"/>
        <v>223.67443377078499</v>
      </c>
      <c r="W39" s="121">
        <f t="shared" si="5"/>
        <v>0</v>
      </c>
      <c r="X39" s="121">
        <f t="shared" si="6"/>
        <v>996.07207416666699</v>
      </c>
      <c r="Y39" s="121">
        <f t="shared" si="7"/>
        <v>1986.8740925826801</v>
      </c>
      <c r="Z39" s="121">
        <f t="shared" si="8"/>
        <v>575.36806741731596</v>
      </c>
      <c r="AA39" s="121">
        <f t="shared" si="9"/>
        <v>0</v>
      </c>
      <c r="AB39" s="121">
        <f t="shared" si="10"/>
        <v>2562.2421600000002</v>
      </c>
      <c r="AC39" s="121">
        <v>93.901939999999996</v>
      </c>
      <c r="AD39" s="121">
        <v>371.89476999999999</v>
      </c>
      <c r="AE39" s="121">
        <v>519.09827000000007</v>
      </c>
      <c r="AF39" s="121">
        <v>1215.8768700000001</v>
      </c>
      <c r="AG39" s="121">
        <v>87.181250000000006</v>
      </c>
      <c r="AH39" s="121">
        <v>226.99841000000001</v>
      </c>
      <c r="AI39" s="121">
        <v>881.69786999999997</v>
      </c>
      <c r="AJ39" s="121">
        <v>116.44501</v>
      </c>
      <c r="AK39" s="121">
        <v>95.055449999999993</v>
      </c>
      <c r="AL39" s="121">
        <v>182.95023999999998</v>
      </c>
      <c r="AM39" s="121">
        <v>-481.36565000000002</v>
      </c>
      <c r="AN39" s="121">
        <v>7408.9603499999994</v>
      </c>
      <c r="AO39" s="121">
        <v>2562.2421600000002</v>
      </c>
      <c r="AP39" s="125" t="str">
        <f>CONCATENATE(A39,M39)</f>
        <v>GLA</v>
      </c>
      <c r="AQ39" s="125" t="str">
        <f>CONCATENATE(AP39,L39,H39)</f>
        <v>GLAA2Special Deposits</v>
      </c>
      <c r="AS39" s="125" t="str">
        <f>CONCATENATE(L39,H39,J39)</f>
        <v>A2Special Deposits</v>
      </c>
    </row>
    <row r="40" spans="1:45" s="125" customFormat="1" ht="25.5" customHeight="1">
      <c r="A40" s="216" t="s">
        <v>2493</v>
      </c>
      <c r="B40" s="217" t="str">
        <f t="shared" si="1"/>
        <v>GL131311</v>
      </c>
      <c r="C40" s="186">
        <v>131311</v>
      </c>
      <c r="D40" s="201"/>
      <c r="E40" s="162"/>
      <c r="F40" s="169" t="s">
        <v>3027</v>
      </c>
      <c r="G40" s="117"/>
      <c r="H40" s="118" t="s">
        <v>2739</v>
      </c>
      <c r="I40" s="119"/>
      <c r="J40" s="120"/>
      <c r="K40" s="120" t="str">
        <f t="shared" si="2"/>
        <v/>
      </c>
      <c r="L40" s="170" t="s">
        <v>1419</v>
      </c>
      <c r="M40" s="122" t="str">
        <f t="shared" si="0"/>
        <v>A</v>
      </c>
      <c r="N40" s="116" t="str">
        <f>IF($L40&lt;&gt;"",VLOOKUP($L40,Categories!$E:$G,2,FALSE),IF($F40&lt;&gt;"","NO CAT",""))</f>
        <v>All Other</v>
      </c>
      <c r="O40" s="116" t="str">
        <f>IF($L40&lt;&gt;"",VLOOKUP($L40,Categories!$E:$G,3,FALSE),IF($F40&lt;&gt;"","NO CAT",""))</f>
        <v>EB-Cap</v>
      </c>
      <c r="P40" s="170" t="s">
        <v>1557</v>
      </c>
      <c r="Q40" s="123" t="s">
        <v>1891</v>
      </c>
      <c r="R40" s="124">
        <v>0.77544352505021785</v>
      </c>
      <c r="S40" s="124">
        <v>0.22455647494978223</v>
      </c>
      <c r="T40" s="124">
        <v>0</v>
      </c>
      <c r="U40" s="121">
        <f t="shared" si="3"/>
        <v>-202.176695945104</v>
      </c>
      <c r="V40" s="121">
        <f t="shared" si="4"/>
        <v>-58.547250304896501</v>
      </c>
      <c r="W40" s="121">
        <f t="shared" si="5"/>
        <v>0</v>
      </c>
      <c r="X40" s="121">
        <f t="shared" si="6"/>
        <v>-260.72394624999998</v>
      </c>
      <c r="Y40" s="121">
        <f t="shared" si="7"/>
        <v>-1264.2091536840201</v>
      </c>
      <c r="Z40" s="121">
        <f t="shared" si="8"/>
        <v>-366.09545631598002</v>
      </c>
      <c r="AA40" s="121">
        <f t="shared" si="9"/>
        <v>0</v>
      </c>
      <c r="AB40" s="121">
        <f t="shared" si="10"/>
        <v>-1630.3046100000001</v>
      </c>
      <c r="AC40" s="121">
        <v>-552.57362000000001</v>
      </c>
      <c r="AD40" s="121">
        <v>1257.99054</v>
      </c>
      <c r="AE40" s="121">
        <v>-752.15256000000011</v>
      </c>
      <c r="AF40" s="121">
        <v>-262.28683000000001</v>
      </c>
      <c r="AG40" s="121">
        <v>-108.28055999999999</v>
      </c>
      <c r="AH40" s="121">
        <v>-416.01203000000004</v>
      </c>
      <c r="AI40" s="121">
        <v>118.43678</v>
      </c>
      <c r="AJ40" s="121">
        <v>-792.86815000000001</v>
      </c>
      <c r="AK40" s="121">
        <v>-248.76801</v>
      </c>
      <c r="AL40" s="121">
        <v>-231.29606000000001</v>
      </c>
      <c r="AM40" s="121">
        <v>-94.610420000000005</v>
      </c>
      <c r="AN40" s="121">
        <v>-507.40093999999999</v>
      </c>
      <c r="AO40" s="121">
        <v>-1630.3046100000001</v>
      </c>
      <c r="AP40" s="125" t="str">
        <f>CONCATENATE(A40,M40)</f>
        <v>GLA</v>
      </c>
      <c r="AQ40" s="125" t="str">
        <f>CONCATENATE(AP40,L40,H40)</f>
        <v>GLAA2Special Deposits</v>
      </c>
      <c r="AS40" s="125" t="str">
        <f>CONCATENATE(L40,H40,J40)</f>
        <v>A2Special Deposits</v>
      </c>
    </row>
    <row r="41" spans="1:45" s="125" customFormat="1" ht="25.5" customHeight="1">
      <c r="A41" s="216" t="s">
        <v>2493</v>
      </c>
      <c r="B41" s="217" t="str">
        <f t="shared" si="1"/>
        <v>GL131313</v>
      </c>
      <c r="C41" s="186">
        <v>131313</v>
      </c>
      <c r="D41" s="201"/>
      <c r="E41" s="162"/>
      <c r="F41" s="169" t="s">
        <v>2885</v>
      </c>
      <c r="G41" s="117"/>
      <c r="H41" s="118" t="s">
        <v>2739</v>
      </c>
      <c r="I41" s="119"/>
      <c r="J41" s="120"/>
      <c r="K41" s="120" t="str">
        <f t="shared" si="2"/>
        <v/>
      </c>
      <c r="L41" s="170" t="s">
        <v>1419</v>
      </c>
      <c r="M41" s="122" t="str">
        <f t="shared" si="0"/>
        <v>A</v>
      </c>
      <c r="N41" s="116" t="str">
        <f>IF($L41&lt;&gt;"",VLOOKUP($L41,Categories!$E:$G,2,FALSE),IF($F41&lt;&gt;"","NO CAT",""))</f>
        <v>All Other</v>
      </c>
      <c r="O41" s="116" t="str">
        <f>IF($L41&lt;&gt;"",VLOOKUP($L41,Categories!$E:$G,3,FALSE),IF($F41&lt;&gt;"","NO CAT",""))</f>
        <v>EB-Cap</v>
      </c>
      <c r="P41" s="170" t="s">
        <v>1557</v>
      </c>
      <c r="Q41" s="123" t="s">
        <v>1891</v>
      </c>
      <c r="R41" s="124">
        <v>0.77544352505021785</v>
      </c>
      <c r="S41" s="124">
        <v>0.22455647494978223</v>
      </c>
      <c r="T41" s="124">
        <v>0</v>
      </c>
      <c r="U41" s="121">
        <f t="shared" si="3"/>
        <v>1193.3181651053001</v>
      </c>
      <c r="V41" s="121">
        <f t="shared" si="4"/>
        <v>345.56652031137202</v>
      </c>
      <c r="W41" s="121">
        <f t="shared" si="5"/>
        <v>0</v>
      </c>
      <c r="X41" s="121">
        <f t="shared" si="6"/>
        <v>1538.88468541667</v>
      </c>
      <c r="Y41" s="121">
        <f t="shared" si="7"/>
        <v>0.53445894077036205</v>
      </c>
      <c r="Z41" s="121">
        <f t="shared" si="8"/>
        <v>0.15477105922963799</v>
      </c>
      <c r="AA41" s="121">
        <f t="shared" si="9"/>
        <v>0</v>
      </c>
      <c r="AB41" s="121">
        <f t="shared" si="10"/>
        <v>0.68923000000000001</v>
      </c>
      <c r="AC41" s="121">
        <v>9.8675400000000018</v>
      </c>
      <c r="AD41" s="121">
        <v>95.334199999999996</v>
      </c>
      <c r="AE41" s="121">
        <v>-297.29040000000003</v>
      </c>
      <c r="AF41" s="121">
        <v>2786.6438599999997</v>
      </c>
      <c r="AG41" s="121">
        <v>869.20942000000002</v>
      </c>
      <c r="AH41" s="121">
        <v>-3.90937</v>
      </c>
      <c r="AI41" s="121">
        <v>-3.76132</v>
      </c>
      <c r="AJ41" s="121">
        <v>5747.6493099999998</v>
      </c>
      <c r="AK41" s="121">
        <v>746.25430000000006</v>
      </c>
      <c r="AL41" s="121">
        <v>2581.3853199999999</v>
      </c>
      <c r="AM41" s="121">
        <v>5900.5460400000002</v>
      </c>
      <c r="AN41" s="121">
        <v>39.276480000000006</v>
      </c>
      <c r="AO41" s="121">
        <v>0.68923000000000001</v>
      </c>
      <c r="AP41" s="125" t="str">
        <f>CONCATENATE(A41,M41)</f>
        <v>GLA</v>
      </c>
      <c r="AQ41" s="125" t="str">
        <f>CONCATENATE(AP41,L41,H41)</f>
        <v>GLAA2Special Deposits</v>
      </c>
      <c r="AS41" s="125" t="str">
        <f>CONCATENATE(L41,H41,J41)</f>
        <v>A2Special Deposits</v>
      </c>
    </row>
    <row r="42" spans="1:45" s="125" customFormat="1" ht="25.5" customHeight="1">
      <c r="A42" s="216" t="s">
        <v>2493</v>
      </c>
      <c r="B42" s="217" t="str">
        <f t="shared" si="1"/>
        <v>GL131334</v>
      </c>
      <c r="C42" s="186">
        <v>131334</v>
      </c>
      <c r="D42" s="201"/>
      <c r="E42" s="162"/>
      <c r="F42" s="169" t="s">
        <v>2886</v>
      </c>
      <c r="G42" s="117"/>
      <c r="H42" s="118" t="s">
        <v>2739</v>
      </c>
      <c r="I42" s="119"/>
      <c r="J42" s="120"/>
      <c r="K42" s="120" t="str">
        <f t="shared" si="2"/>
        <v/>
      </c>
      <c r="L42" s="170" t="s">
        <v>1419</v>
      </c>
      <c r="M42" s="122" t="str">
        <f t="shared" si="0"/>
        <v>A</v>
      </c>
      <c r="N42" s="116" t="str">
        <f>IF($L42&lt;&gt;"",VLOOKUP($L42,Categories!$E:$G,2,FALSE),IF($F42&lt;&gt;"","NO CAT",""))</f>
        <v>All Other</v>
      </c>
      <c r="O42" s="116" t="str">
        <f>IF($L42&lt;&gt;"",VLOOKUP($L42,Categories!$E:$G,3,FALSE),IF($F42&lt;&gt;"","NO CAT",""))</f>
        <v>EB-Cap</v>
      </c>
      <c r="P42" s="170" t="s">
        <v>1557</v>
      </c>
      <c r="Q42" s="123" t="s">
        <v>1891</v>
      </c>
      <c r="R42" s="124">
        <v>0.77544352505021785</v>
      </c>
      <c r="S42" s="124">
        <v>0.22455647494978223</v>
      </c>
      <c r="T42" s="124">
        <v>0</v>
      </c>
      <c r="U42" s="121">
        <f t="shared" si="3"/>
        <v>-7.3686372341221302</v>
      </c>
      <c r="V42" s="121">
        <f t="shared" si="4"/>
        <v>-2.1338435992111999</v>
      </c>
      <c r="W42" s="121">
        <f t="shared" si="5"/>
        <v>0</v>
      </c>
      <c r="X42" s="121">
        <f t="shared" si="6"/>
        <v>-9.5024808333333297</v>
      </c>
      <c r="Y42" s="121" t="str">
        <f t="shared" si="7"/>
        <v/>
      </c>
      <c r="Z42" s="121" t="str">
        <f t="shared" si="8"/>
        <v/>
      </c>
      <c r="AA42" s="121" t="str">
        <f t="shared" si="9"/>
        <v/>
      </c>
      <c r="AB42" s="121">
        <f t="shared" si="10"/>
        <v>0</v>
      </c>
      <c r="AC42" s="121">
        <v>0</v>
      </c>
      <c r="AD42" s="121">
        <v>0</v>
      </c>
      <c r="AE42" s="121">
        <v>0</v>
      </c>
      <c r="AF42" s="121"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-10.17609</v>
      </c>
      <c r="AN42" s="121">
        <v>-103.85368</v>
      </c>
      <c r="AO42" s="121">
        <v>0</v>
      </c>
      <c r="AP42" s="125" t="str">
        <f>CONCATENATE(A42,M42)</f>
        <v>GLA</v>
      </c>
      <c r="AQ42" s="125" t="str">
        <f>CONCATENATE(AP42,L42,H42)</f>
        <v>GLAA2Special Deposits</v>
      </c>
      <c r="AS42" s="125" t="str">
        <f>CONCATENATE(L42,H42,J42)</f>
        <v>A2Special Deposits</v>
      </c>
    </row>
    <row r="43" spans="1:45" s="125" customFormat="1" ht="25.5" customHeight="1">
      <c r="A43" s="216" t="s">
        <v>2493</v>
      </c>
      <c r="B43" s="217" t="str">
        <f>CONCATENATE(A43,C43,D43,E43)</f>
        <v>GL131410</v>
      </c>
      <c r="C43" s="186">
        <v>131410</v>
      </c>
      <c r="D43" s="201"/>
      <c r="E43" s="162"/>
      <c r="F43" s="169" t="s">
        <v>4730</v>
      </c>
      <c r="G43" s="117"/>
      <c r="H43" s="118" t="s">
        <v>2739</v>
      </c>
      <c r="I43" s="119"/>
      <c r="J43" s="120"/>
      <c r="K43" s="120" t="str">
        <f>IF(L43="N3","SFAS-109","")</f>
        <v/>
      </c>
      <c r="L43" s="170" t="s">
        <v>1419</v>
      </c>
      <c r="M43" s="122" t="str">
        <f>LEFT(L43,1)</f>
        <v>A</v>
      </c>
      <c r="N43" s="116" t="str">
        <f>IF($L43&lt;&gt;"",VLOOKUP($L43,Categories!$E:$G,2,FALSE),IF($F43&lt;&gt;"","NO CAT",""))</f>
        <v>All Other</v>
      </c>
      <c r="O43" s="116" t="str">
        <f>IF($L43&lt;&gt;"",VLOOKUP($L43,Categories!$E:$G,3,FALSE),IF($F43&lt;&gt;"","NO CAT",""))</f>
        <v>EB-Cap</v>
      </c>
      <c r="P43" s="170" t="s">
        <v>1557</v>
      </c>
      <c r="Q43" s="123" t="s">
        <v>1891</v>
      </c>
      <c r="R43" s="124">
        <v>0.77544352505021785</v>
      </c>
      <c r="S43" s="124">
        <v>0.22455647494978223</v>
      </c>
      <c r="T43" s="124">
        <v>0</v>
      </c>
      <c r="U43" s="121">
        <f>IF(ABS(X43)=0,"",IF($R43="NO ALLOC","NO ALLOC",ROUND($R43*X43,15)))</f>
        <v>2546.6063184468198</v>
      </c>
      <c r="V43" s="121">
        <f>IF(ABS(X43)=0,"",IF($S43="NO ALLOC","NO ALLOC",ROUND($S43*X43,15)))</f>
        <v>737.457879886515</v>
      </c>
      <c r="W43" s="121">
        <f>IF(ABS(X43)=0,"",IF($T43="NO ALLOC","NO ALLOC",ROUND($T43*X43,15)))</f>
        <v>0</v>
      </c>
      <c r="X43" s="121">
        <f t="shared" si="6"/>
        <v>3284.0641983333298</v>
      </c>
      <c r="Y43" s="121">
        <f>IF(ABS(AB43)=0,"",IF($R43="NO ALLOC","NO ALLOC",ROUND($R43*AB43,15)))</f>
        <v>1366.55882016229</v>
      </c>
      <c r="Z43" s="121">
        <f>IF(ABS(AB43)=0,"",IF($S43="NO ALLOC","NO ALLOC",ROUND($S43*AB43,15)))</f>
        <v>395.73433983771298</v>
      </c>
      <c r="AA43" s="121">
        <f>IF(ABS(AB43)=0,"",IF($T43="NO ALLOC","NO ALLOC",ROUND($T43*AB43,15)))</f>
        <v>0</v>
      </c>
      <c r="AB43" s="121">
        <f t="shared" si="10"/>
        <v>1762.2931599999999</v>
      </c>
      <c r="AC43" s="121"/>
      <c r="AD43" s="121"/>
      <c r="AE43" s="121">
        <v>3892.7593299999999</v>
      </c>
      <c r="AF43" s="121">
        <v>8877.9090099999994</v>
      </c>
      <c r="AG43" s="121">
        <v>1306.7606599999999</v>
      </c>
      <c r="AH43" s="121">
        <v>5424.3735500000003</v>
      </c>
      <c r="AI43" s="121">
        <v>5789.1014000000005</v>
      </c>
      <c r="AJ43" s="121">
        <v>1700.2690400000001</v>
      </c>
      <c r="AK43" s="121">
        <v>3427.0882000000001</v>
      </c>
      <c r="AL43" s="121">
        <v>3705.74854</v>
      </c>
      <c r="AM43" s="121">
        <v>1699.56342</v>
      </c>
      <c r="AN43" s="121">
        <v>2704.0506500000001</v>
      </c>
      <c r="AO43" s="121">
        <v>1762.2931599999999</v>
      </c>
      <c r="AP43" s="125" t="str">
        <f>CONCATENATE(A43,M43)</f>
        <v>GLA</v>
      </c>
      <c r="AQ43" s="125" t="str">
        <f>CONCATENATE(AP43,L43,H43)</f>
        <v>GLAA2Special Deposits</v>
      </c>
      <c r="AS43" s="125" t="str">
        <f>CONCATENATE(L43,H43,J43)</f>
        <v>A2Special Deposits</v>
      </c>
    </row>
    <row r="44" spans="1:45" s="125" customFormat="1" ht="25.5" customHeight="1">
      <c r="A44" s="216" t="s">
        <v>2493</v>
      </c>
      <c r="B44" s="217" t="str">
        <f t="shared" si="1"/>
        <v>GL131505</v>
      </c>
      <c r="C44" s="186">
        <v>131505</v>
      </c>
      <c r="D44" s="201"/>
      <c r="E44" s="162"/>
      <c r="F44" s="169" t="s">
        <v>2887</v>
      </c>
      <c r="G44" s="117"/>
      <c r="H44" s="118" t="s">
        <v>2739</v>
      </c>
      <c r="I44" s="119"/>
      <c r="J44" s="120"/>
      <c r="K44" s="120" t="str">
        <f t="shared" si="2"/>
        <v/>
      </c>
      <c r="L44" s="170" t="s">
        <v>1419</v>
      </c>
      <c r="M44" s="122" t="str">
        <f t="shared" si="0"/>
        <v>A</v>
      </c>
      <c r="N44" s="116" t="str">
        <f>IF($L44&lt;&gt;"",VLOOKUP($L44,Categories!$E:$G,2,FALSE),IF($F44&lt;&gt;"","NO CAT",""))</f>
        <v>All Other</v>
      </c>
      <c r="O44" s="116" t="str">
        <f>IF($L44&lt;&gt;"",VLOOKUP($L44,Categories!$E:$G,3,FALSE),IF($F44&lt;&gt;"","NO CAT",""))</f>
        <v>EB-Cap</v>
      </c>
      <c r="P44" s="170" t="s">
        <v>1557</v>
      </c>
      <c r="Q44" s="123" t="s">
        <v>1891</v>
      </c>
      <c r="R44" s="124">
        <v>0.77544352505021785</v>
      </c>
      <c r="S44" s="124">
        <v>0.22455647494978223</v>
      </c>
      <c r="T44" s="124">
        <v>0</v>
      </c>
      <c r="U44" s="121">
        <f t="shared" si="3"/>
        <v>18.006711413315301</v>
      </c>
      <c r="V44" s="121">
        <f t="shared" si="4"/>
        <v>5.2144656700179901</v>
      </c>
      <c r="W44" s="121">
        <f t="shared" si="5"/>
        <v>0</v>
      </c>
      <c r="X44" s="121">
        <f t="shared" si="6"/>
        <v>23.221177083333298</v>
      </c>
      <c r="Y44" s="121" t="str">
        <f t="shared" si="7"/>
        <v/>
      </c>
      <c r="Z44" s="121" t="str">
        <f t="shared" si="8"/>
        <v/>
      </c>
      <c r="AA44" s="121" t="str">
        <f t="shared" si="9"/>
        <v/>
      </c>
      <c r="AB44" s="121">
        <f t="shared" si="10"/>
        <v>0</v>
      </c>
      <c r="AC44" s="121">
        <v>117.99439</v>
      </c>
      <c r="AD44" s="121">
        <v>94.330820000000003</v>
      </c>
      <c r="AE44" s="121">
        <v>129.67668</v>
      </c>
      <c r="AF44" s="121">
        <v>-6.2637999999999998</v>
      </c>
      <c r="AG44" s="121">
        <v>1.91323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v>0</v>
      </c>
      <c r="AO44" s="121">
        <v>0</v>
      </c>
      <c r="AP44" s="125" t="str">
        <f>CONCATENATE(A44,M44)</f>
        <v>GLA</v>
      </c>
      <c r="AQ44" s="125" t="str">
        <f>CONCATENATE(AP44,L44,H44)</f>
        <v>GLAA2Special Deposits</v>
      </c>
      <c r="AS44" s="125" t="str">
        <f>CONCATENATE(L44,H44,J44)</f>
        <v>A2Special Deposits</v>
      </c>
    </row>
    <row r="45" spans="1:45" s="125" customFormat="1" ht="25.5" customHeight="1">
      <c r="A45" s="216" t="s">
        <v>2493</v>
      </c>
      <c r="B45" s="217" t="str">
        <f t="shared" si="1"/>
        <v>GL131515</v>
      </c>
      <c r="C45" s="186">
        <v>131515</v>
      </c>
      <c r="D45" s="201"/>
      <c r="E45" s="162"/>
      <c r="F45" s="169" t="s">
        <v>2615</v>
      </c>
      <c r="G45" s="117"/>
      <c r="H45" s="118" t="s">
        <v>2739</v>
      </c>
      <c r="I45" s="119"/>
      <c r="J45" s="120"/>
      <c r="K45" s="120" t="str">
        <f t="shared" si="2"/>
        <v/>
      </c>
      <c r="L45" s="170" t="s">
        <v>1419</v>
      </c>
      <c r="M45" s="122" t="str">
        <f t="shared" si="0"/>
        <v>A</v>
      </c>
      <c r="N45" s="116" t="str">
        <f>IF($L45&lt;&gt;"",VLOOKUP($L45,Categories!$E:$G,2,FALSE),IF($F45&lt;&gt;"","NO CAT",""))</f>
        <v>All Other</v>
      </c>
      <c r="O45" s="116" t="str">
        <f>IF($L45&lt;&gt;"",VLOOKUP($L45,Categories!$E:$G,3,FALSE),IF($F45&lt;&gt;"","NO CAT",""))</f>
        <v>EB-Cap</v>
      </c>
      <c r="P45" s="170" t="s">
        <v>1557</v>
      </c>
      <c r="Q45" s="123" t="s">
        <v>1891</v>
      </c>
      <c r="R45" s="124">
        <v>0.77544352505021785</v>
      </c>
      <c r="S45" s="124">
        <v>0.22455647494978223</v>
      </c>
      <c r="T45" s="124">
        <v>0</v>
      </c>
      <c r="U45" s="121">
        <f t="shared" si="3"/>
        <v>209.175627231498</v>
      </c>
      <c r="V45" s="121">
        <f t="shared" si="4"/>
        <v>60.574032768502299</v>
      </c>
      <c r="W45" s="121">
        <f t="shared" si="5"/>
        <v>0</v>
      </c>
      <c r="X45" s="121">
        <f t="shared" si="6"/>
        <v>269.74966000000001</v>
      </c>
      <c r="Y45" s="121">
        <f t="shared" si="7"/>
        <v>25.450118527630199</v>
      </c>
      <c r="Z45" s="121">
        <f t="shared" si="8"/>
        <v>7.3699614723698499</v>
      </c>
      <c r="AA45" s="121">
        <f t="shared" si="9"/>
        <v>0</v>
      </c>
      <c r="AB45" s="121">
        <f t="shared" si="10"/>
        <v>32.820080000000004</v>
      </c>
      <c r="AC45" s="121">
        <v>23.799959999999999</v>
      </c>
      <c r="AD45" s="121">
        <v>78.857919999999993</v>
      </c>
      <c r="AE45" s="121">
        <v>104.80584</v>
      </c>
      <c r="AF45" s="121">
        <v>85.841570000000004</v>
      </c>
      <c r="AG45" s="121">
        <v>65.656880000000001</v>
      </c>
      <c r="AH45" s="121">
        <v>97.561999999999998</v>
      </c>
      <c r="AI45" s="121">
        <v>65.255529999999993</v>
      </c>
      <c r="AJ45" s="121">
        <v>1603.73954</v>
      </c>
      <c r="AK45" s="121">
        <v>574.63721999999996</v>
      </c>
      <c r="AL45" s="121">
        <v>91.775539999999992</v>
      </c>
      <c r="AM45" s="121">
        <v>381.79642000000001</v>
      </c>
      <c r="AN45" s="121">
        <v>58.757440000000003</v>
      </c>
      <c r="AO45" s="121">
        <v>32.820080000000004</v>
      </c>
      <c r="AP45" s="125" t="str">
        <f>CONCATENATE(A45,M45)</f>
        <v>GLA</v>
      </c>
      <c r="AQ45" s="125" t="str">
        <f>CONCATENATE(AP45,L45,H45)</f>
        <v>GLAA2Special Deposits</v>
      </c>
      <c r="AS45" s="125" t="str">
        <f>CONCATENATE(L45,H45,J45)</f>
        <v>A2Special Deposits</v>
      </c>
    </row>
    <row r="46" spans="1:45" s="125" customFormat="1" ht="25.5" customHeight="1">
      <c r="A46" s="216" t="s">
        <v>2493</v>
      </c>
      <c r="B46" s="217" t="str">
        <f t="shared" si="1"/>
        <v>GL131535</v>
      </c>
      <c r="C46" s="186">
        <v>131535</v>
      </c>
      <c r="D46" s="201"/>
      <c r="E46" s="162"/>
      <c r="F46" s="169" t="s">
        <v>1813</v>
      </c>
      <c r="G46" s="117"/>
      <c r="H46" s="118" t="s">
        <v>2739</v>
      </c>
      <c r="I46" s="119"/>
      <c r="J46" s="120"/>
      <c r="K46" s="120" t="str">
        <f t="shared" si="2"/>
        <v/>
      </c>
      <c r="L46" s="170" t="s">
        <v>1419</v>
      </c>
      <c r="M46" s="122" t="str">
        <f t="shared" si="0"/>
        <v>A</v>
      </c>
      <c r="N46" s="116" t="str">
        <f>IF($L46&lt;&gt;"",VLOOKUP($L46,Categories!$E:$G,2,FALSE),IF($F46&lt;&gt;"","NO CAT",""))</f>
        <v>All Other</v>
      </c>
      <c r="O46" s="116" t="str">
        <f>IF($L46&lt;&gt;"",VLOOKUP($L46,Categories!$E:$G,3,FALSE),IF($F46&lt;&gt;"","NO CAT",""))</f>
        <v>EB-Cap</v>
      </c>
      <c r="P46" s="170" t="s">
        <v>1557</v>
      </c>
      <c r="Q46" s="123" t="s">
        <v>1891</v>
      </c>
      <c r="R46" s="124">
        <v>0.77544352505021785</v>
      </c>
      <c r="S46" s="124">
        <v>0.22455647494978223</v>
      </c>
      <c r="T46" s="124">
        <v>0</v>
      </c>
      <c r="U46" s="121">
        <f t="shared" ref="U46:U57" si="11">IF(ABS(X46)=0,"",IF($R46="NO ALLOC","NO ALLOC",ROUND($R46*X46,15)))</f>
        <v>77.072422422198301</v>
      </c>
      <c r="V46" s="121">
        <f t="shared" ref="V46:V57" si="12">IF(ABS(X46)=0,"",IF($S46="NO ALLOC","NO ALLOC",ROUND($S46*X46,15)))</f>
        <v>22.318983827801802</v>
      </c>
      <c r="W46" s="121">
        <f t="shared" ref="W46:W57" si="13">IF(ABS(X46)=0,"",IF($T46="NO ALLOC","NO ALLOC",ROUND($T46*X46,15)))</f>
        <v>0</v>
      </c>
      <c r="X46" s="121">
        <f t="shared" ref="X46:X57" si="14">IF(ISERROR(ROUND((SUM(AC46:AO46)-((AC46+AO46))/2)/12,15)),"",ROUND((SUM(AC46:AO46)-((AC46+AO46))/2)/12,15))</f>
        <v>99.391406250000003</v>
      </c>
      <c r="Y46" s="121">
        <f t="shared" ref="Y46:Y57" si="15">IF(ABS(AB46)=0,"",IF($R46="NO ALLOC","NO ALLOC",ROUND($R46*AB46,15)))</f>
        <v>3.7073954932650997E-2</v>
      </c>
      <c r="Z46" s="121">
        <f t="shared" ref="Z46:Z57" si="16">IF(ABS(AB46)=0,"",IF($S46="NO ALLOC","NO ALLOC",ROUND($S46*AB46,15)))</f>
        <v>1.0736045067348999E-2</v>
      </c>
      <c r="AA46" s="121">
        <f t="shared" ref="AA46:AA57" si="17">IF(ABS(AB46)=0,"",IF($T46="NO ALLOC","NO ALLOC",ROUND($T46*AB46,15)))</f>
        <v>0</v>
      </c>
      <c r="AB46" s="121">
        <f t="shared" ref="AB46:AB57" si="18">IF(AO46="",0,+AO46)</f>
        <v>4.7810000000000005E-2</v>
      </c>
      <c r="AC46" s="121">
        <v>7.05314</v>
      </c>
      <c r="AD46" s="121">
        <v>41.775559999999999</v>
      </c>
      <c r="AE46" s="121">
        <v>6.8268000000000004</v>
      </c>
      <c r="AF46" s="121">
        <v>10.27153</v>
      </c>
      <c r="AG46" s="121">
        <v>9.9961000000000002</v>
      </c>
      <c r="AH46" s="121">
        <v>118.43630999999999</v>
      </c>
      <c r="AI46" s="121">
        <v>-3.24681</v>
      </c>
      <c r="AJ46" s="121">
        <v>94.822839999999999</v>
      </c>
      <c r="AK46" s="121">
        <v>216.08016000000001</v>
      </c>
      <c r="AL46" s="121">
        <v>306.61159000000004</v>
      </c>
      <c r="AM46" s="121">
        <v>383.30484000000001</v>
      </c>
      <c r="AN46" s="121">
        <v>4.2674799999999999</v>
      </c>
      <c r="AO46" s="121">
        <v>4.7810000000000005E-2</v>
      </c>
      <c r="AP46" s="125" t="str">
        <f>CONCATENATE(A46,M46)</f>
        <v>GLA</v>
      </c>
      <c r="AQ46" s="125" t="str">
        <f>CONCATENATE(AP46,L46,H46)</f>
        <v>GLAA2Special Deposits</v>
      </c>
      <c r="AS46" s="125" t="str">
        <f>CONCATENATE(L46,H46,J46)</f>
        <v>A2Special Deposits</v>
      </c>
    </row>
    <row r="47" spans="1:45" s="125" customFormat="1" ht="25.5" customHeight="1">
      <c r="A47" s="216" t="s">
        <v>2493</v>
      </c>
      <c r="B47" s="217" t="str">
        <f t="shared" ref="B47:B58" si="19">CONCATENATE(A47,C47,D47,E47)</f>
        <v>GL131565</v>
      </c>
      <c r="C47" s="186">
        <v>131565</v>
      </c>
      <c r="D47" s="201"/>
      <c r="E47" s="162"/>
      <c r="F47" s="169" t="s">
        <v>293</v>
      </c>
      <c r="G47" s="117"/>
      <c r="H47" s="118" t="s">
        <v>2739</v>
      </c>
      <c r="I47" s="119"/>
      <c r="J47" s="120"/>
      <c r="K47" s="120" t="str">
        <f t="shared" ref="K47:K60" si="20">IF(L47="N3","SFAS-109","")</f>
        <v/>
      </c>
      <c r="L47" s="170" t="s">
        <v>1419</v>
      </c>
      <c r="M47" s="122" t="str">
        <f t="shared" ref="M47:M63" si="21">LEFT(L47,1)</f>
        <v>A</v>
      </c>
      <c r="N47" s="116" t="str">
        <f>IF($L47&lt;&gt;"",VLOOKUP($L47,Categories!$E:$G,2,FALSE),IF($F47&lt;&gt;"","NO CAT",""))</f>
        <v>All Other</v>
      </c>
      <c r="O47" s="116" t="str">
        <f>IF($L47&lt;&gt;"",VLOOKUP($L47,Categories!$E:$G,3,FALSE),IF($F47&lt;&gt;"","NO CAT",""))</f>
        <v>EB-Cap</v>
      </c>
      <c r="P47" s="170" t="s">
        <v>1557</v>
      </c>
      <c r="Q47" s="123" t="s">
        <v>1891</v>
      </c>
      <c r="R47" s="124">
        <v>0.77544352505021785</v>
      </c>
      <c r="S47" s="124">
        <v>0.22455647494978223</v>
      </c>
      <c r="T47" s="124">
        <v>0</v>
      </c>
      <c r="U47" s="121">
        <f t="shared" si="11"/>
        <v>2.5054664300754399</v>
      </c>
      <c r="V47" s="121">
        <f t="shared" si="12"/>
        <v>0.72554440325789105</v>
      </c>
      <c r="W47" s="121">
        <f t="shared" si="13"/>
        <v>0</v>
      </c>
      <c r="X47" s="121">
        <f t="shared" si="14"/>
        <v>3.2310108333333298</v>
      </c>
      <c r="Y47" s="121" t="str">
        <f t="shared" si="15"/>
        <v/>
      </c>
      <c r="Z47" s="121" t="str">
        <f t="shared" si="16"/>
        <v/>
      </c>
      <c r="AA47" s="121" t="str">
        <f t="shared" si="17"/>
        <v/>
      </c>
      <c r="AB47" s="121">
        <f t="shared" si="18"/>
        <v>0</v>
      </c>
      <c r="AC47" s="121">
        <v>1.2726999999999999</v>
      </c>
      <c r="AD47" s="121">
        <v>7.9533699999999996</v>
      </c>
      <c r="AE47" s="121">
        <v>13.13819</v>
      </c>
      <c r="AF47" s="121">
        <v>17.044220000000003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v>0</v>
      </c>
      <c r="AO47" s="121">
        <v>0</v>
      </c>
      <c r="AP47" s="125" t="str">
        <f>CONCATENATE(A47,M47)</f>
        <v>GLA</v>
      </c>
      <c r="AQ47" s="125" t="str">
        <f>CONCATENATE(AP47,L47,H47)</f>
        <v>GLAA2Special Deposits</v>
      </c>
      <c r="AS47" s="125" t="str">
        <f>CONCATENATE(L47,H47,J47)</f>
        <v>A2Special Deposits</v>
      </c>
    </row>
    <row r="48" spans="1:45" s="125" customFormat="1" ht="25.5" customHeight="1">
      <c r="A48" s="216" t="s">
        <v>2493</v>
      </c>
      <c r="B48" s="217" t="str">
        <f t="shared" si="19"/>
        <v>GL131580</v>
      </c>
      <c r="C48" s="186">
        <v>131580</v>
      </c>
      <c r="D48" s="201"/>
      <c r="E48" s="162"/>
      <c r="F48" s="169" t="s">
        <v>1356</v>
      </c>
      <c r="G48" s="117"/>
      <c r="H48" s="118" t="s">
        <v>2739</v>
      </c>
      <c r="I48" s="119"/>
      <c r="J48" s="120"/>
      <c r="K48" s="120" t="str">
        <f t="shared" si="20"/>
        <v/>
      </c>
      <c r="L48" s="170" t="s">
        <v>1419</v>
      </c>
      <c r="M48" s="122" t="str">
        <f t="shared" si="21"/>
        <v>A</v>
      </c>
      <c r="N48" s="116" t="str">
        <f>IF($L48&lt;&gt;"",VLOOKUP($L48,Categories!$E:$G,2,FALSE),IF($F48&lt;&gt;"","NO CAT",""))</f>
        <v>All Other</v>
      </c>
      <c r="O48" s="116" t="str">
        <f>IF($L48&lt;&gt;"",VLOOKUP($L48,Categories!$E:$G,3,FALSE),IF($F48&lt;&gt;"","NO CAT",""))</f>
        <v>EB-Cap</v>
      </c>
      <c r="P48" s="170" t="s">
        <v>1557</v>
      </c>
      <c r="Q48" s="123" t="s">
        <v>1891</v>
      </c>
      <c r="R48" s="124">
        <v>0.77544352505021785</v>
      </c>
      <c r="S48" s="124">
        <v>0.22455647494978223</v>
      </c>
      <c r="T48" s="124">
        <v>0</v>
      </c>
      <c r="U48" s="121">
        <f t="shared" si="11"/>
        <v>22.8096457643361</v>
      </c>
      <c r="V48" s="121">
        <f t="shared" si="12"/>
        <v>6.6053213189972002</v>
      </c>
      <c r="W48" s="121">
        <f t="shared" si="13"/>
        <v>0</v>
      </c>
      <c r="X48" s="121">
        <f t="shared" si="14"/>
        <v>29.414967083333298</v>
      </c>
      <c r="Y48" s="121" t="str">
        <f t="shared" si="15"/>
        <v/>
      </c>
      <c r="Z48" s="121" t="str">
        <f t="shared" si="16"/>
        <v/>
      </c>
      <c r="AA48" s="121" t="str">
        <f t="shared" si="17"/>
        <v/>
      </c>
      <c r="AB48" s="121">
        <f t="shared" si="18"/>
        <v>0</v>
      </c>
      <c r="AC48" s="121">
        <v>78.614829999999998</v>
      </c>
      <c r="AD48" s="121">
        <v>89.905380000000008</v>
      </c>
      <c r="AE48" s="121">
        <v>204.80023</v>
      </c>
      <c r="AF48" s="121">
        <v>15.1691</v>
      </c>
      <c r="AG48" s="121">
        <v>3.7974800000000002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v>0</v>
      </c>
      <c r="AO48" s="121">
        <v>0</v>
      </c>
      <c r="AP48" s="125" t="str">
        <f>CONCATENATE(A48,M48)</f>
        <v>GLA</v>
      </c>
      <c r="AQ48" s="125" t="str">
        <f>CONCATENATE(AP48,L48,H48)</f>
        <v>GLAA2Special Deposits</v>
      </c>
      <c r="AS48" s="125" t="str">
        <f>CONCATENATE(L48,H48,J48)</f>
        <v>A2Special Deposits</v>
      </c>
    </row>
    <row r="49" spans="1:45" s="125" customFormat="1" ht="25.5" customHeight="1">
      <c r="A49" s="216" t="s">
        <v>2493</v>
      </c>
      <c r="B49" s="217" t="str">
        <f t="shared" si="19"/>
        <v>GL131585</v>
      </c>
      <c r="C49" s="186">
        <v>131585</v>
      </c>
      <c r="D49" s="201"/>
      <c r="E49" s="162"/>
      <c r="F49" s="169" t="s">
        <v>2308</v>
      </c>
      <c r="G49" s="117"/>
      <c r="H49" s="118" t="s">
        <v>2739</v>
      </c>
      <c r="I49" s="119"/>
      <c r="J49" s="120"/>
      <c r="K49" s="120" t="str">
        <f t="shared" si="20"/>
        <v/>
      </c>
      <c r="L49" s="170" t="s">
        <v>1419</v>
      </c>
      <c r="M49" s="122" t="str">
        <f t="shared" si="21"/>
        <v>A</v>
      </c>
      <c r="N49" s="116" t="str">
        <f>IF($L49&lt;&gt;"",VLOOKUP($L49,Categories!$E:$G,2,FALSE),IF($F49&lt;&gt;"","NO CAT",""))</f>
        <v>All Other</v>
      </c>
      <c r="O49" s="116" t="str">
        <f>IF($L49&lt;&gt;"",VLOOKUP($L49,Categories!$E:$G,3,FALSE),IF($F49&lt;&gt;"","NO CAT",""))</f>
        <v>EB-Cap</v>
      </c>
      <c r="P49" s="170" t="s">
        <v>1557</v>
      </c>
      <c r="Q49" s="123" t="s">
        <v>1891</v>
      </c>
      <c r="R49" s="124">
        <v>0.77544352505021785</v>
      </c>
      <c r="S49" s="124">
        <v>0.22455647494978223</v>
      </c>
      <c r="T49" s="124">
        <v>0</v>
      </c>
      <c r="U49" s="121">
        <f t="shared" si="11"/>
        <v>253.039771484933</v>
      </c>
      <c r="V49" s="121">
        <f t="shared" si="12"/>
        <v>73.276411848400102</v>
      </c>
      <c r="W49" s="121">
        <f t="shared" si="13"/>
        <v>0</v>
      </c>
      <c r="X49" s="121">
        <f t="shared" si="14"/>
        <v>326.31618333333302</v>
      </c>
      <c r="Y49" s="121">
        <f t="shared" si="15"/>
        <v>103.38460442454</v>
      </c>
      <c r="Z49" s="121">
        <f t="shared" si="16"/>
        <v>29.938585575460099</v>
      </c>
      <c r="AA49" s="121">
        <f t="shared" si="17"/>
        <v>0</v>
      </c>
      <c r="AB49" s="121">
        <f t="shared" si="18"/>
        <v>133.32319000000001</v>
      </c>
      <c r="AC49" s="121">
        <v>225.27654999999999</v>
      </c>
      <c r="AD49" s="121">
        <v>254.98864</v>
      </c>
      <c r="AE49" s="121">
        <v>352.84515999999996</v>
      </c>
      <c r="AF49" s="121">
        <v>465.87301000000002</v>
      </c>
      <c r="AG49" s="121">
        <v>338.96838000000002</v>
      </c>
      <c r="AH49" s="121">
        <v>370.10058000000004</v>
      </c>
      <c r="AI49" s="121">
        <v>347.63258000000002</v>
      </c>
      <c r="AJ49" s="121">
        <v>248.76091</v>
      </c>
      <c r="AK49" s="121">
        <v>293.36122999999998</v>
      </c>
      <c r="AL49" s="121">
        <v>305.87727000000001</v>
      </c>
      <c r="AM49" s="121">
        <v>372.53994</v>
      </c>
      <c r="AN49" s="121">
        <v>385.54662999999999</v>
      </c>
      <c r="AO49" s="121">
        <v>133.32319000000001</v>
      </c>
      <c r="AP49" s="125" t="str">
        <f>CONCATENATE(A49,M49)</f>
        <v>GLA</v>
      </c>
      <c r="AQ49" s="125" t="str">
        <f>CONCATENATE(AP49,L49,H49)</f>
        <v>GLAA2Special Deposits</v>
      </c>
      <c r="AS49" s="125" t="str">
        <f>CONCATENATE(L49,H49,J49)</f>
        <v>A2Special Deposits</v>
      </c>
    </row>
    <row r="50" spans="1:45" s="125" customFormat="1" ht="25.5" customHeight="1">
      <c r="A50" s="216" t="s">
        <v>2493</v>
      </c>
      <c r="B50" s="217" t="str">
        <f t="shared" si="19"/>
        <v>GL131590</v>
      </c>
      <c r="C50" s="186">
        <v>131590</v>
      </c>
      <c r="D50" s="201"/>
      <c r="E50" s="162"/>
      <c r="F50" s="169" t="s">
        <v>1458</v>
      </c>
      <c r="G50" s="117"/>
      <c r="H50" s="118" t="s">
        <v>2739</v>
      </c>
      <c r="I50" s="119"/>
      <c r="J50" s="120"/>
      <c r="K50" s="120" t="str">
        <f t="shared" si="20"/>
        <v/>
      </c>
      <c r="L50" s="170" t="s">
        <v>1419</v>
      </c>
      <c r="M50" s="122" t="str">
        <f t="shared" si="21"/>
        <v>A</v>
      </c>
      <c r="N50" s="116" t="str">
        <f>IF($L50&lt;&gt;"",VLOOKUP($L50,Categories!$E:$G,2,FALSE),IF($F50&lt;&gt;"","NO CAT",""))</f>
        <v>All Other</v>
      </c>
      <c r="O50" s="116" t="str">
        <f>IF($L50&lt;&gt;"",VLOOKUP($L50,Categories!$E:$G,3,FALSE),IF($F50&lt;&gt;"","NO CAT",""))</f>
        <v>EB-Cap</v>
      </c>
      <c r="P50" s="170" t="s">
        <v>1557</v>
      </c>
      <c r="Q50" s="123" t="s">
        <v>1891</v>
      </c>
      <c r="R50" s="124">
        <v>0.77544352505021785</v>
      </c>
      <c r="S50" s="124">
        <v>0.22455647494978223</v>
      </c>
      <c r="T50" s="124">
        <v>0</v>
      </c>
      <c r="U50" s="121">
        <f t="shared" si="11"/>
        <v>182.96593527676001</v>
      </c>
      <c r="V50" s="121">
        <f t="shared" si="12"/>
        <v>52.984110556572801</v>
      </c>
      <c r="W50" s="121">
        <f t="shared" si="13"/>
        <v>0</v>
      </c>
      <c r="X50" s="121">
        <f t="shared" si="14"/>
        <v>235.95004583333301</v>
      </c>
      <c r="Y50" s="121">
        <f t="shared" si="15"/>
        <v>38.490232741237897</v>
      </c>
      <c r="Z50" s="121">
        <f t="shared" si="16"/>
        <v>11.1461772587621</v>
      </c>
      <c r="AA50" s="121">
        <f t="shared" si="17"/>
        <v>0</v>
      </c>
      <c r="AB50" s="121">
        <f t="shared" si="18"/>
        <v>49.636410000000005</v>
      </c>
      <c r="AC50" s="121">
        <v>178.02939000000001</v>
      </c>
      <c r="AD50" s="121">
        <v>212.86188000000001</v>
      </c>
      <c r="AE50" s="121">
        <v>249.23758999999998</v>
      </c>
      <c r="AF50" s="121">
        <v>279.28065000000004</v>
      </c>
      <c r="AG50" s="121">
        <v>173.88157999999999</v>
      </c>
      <c r="AH50" s="121">
        <v>261.70814999999999</v>
      </c>
      <c r="AI50" s="121">
        <v>183.72363000000001</v>
      </c>
      <c r="AJ50" s="121">
        <v>161.16695999999999</v>
      </c>
      <c r="AK50" s="121">
        <v>208.19145</v>
      </c>
      <c r="AL50" s="121">
        <v>305.7371</v>
      </c>
      <c r="AM50" s="121">
        <v>499.31263999999999</v>
      </c>
      <c r="AN50" s="121">
        <v>182.46601999999999</v>
      </c>
      <c r="AO50" s="121">
        <v>49.636410000000005</v>
      </c>
      <c r="AP50" s="125" t="str">
        <f>CONCATENATE(A50,M50)</f>
        <v>GLA</v>
      </c>
      <c r="AQ50" s="125" t="str">
        <f>CONCATENATE(AP50,L50,H50)</f>
        <v>GLAA2Special Deposits</v>
      </c>
      <c r="AS50" s="125" t="str">
        <f>CONCATENATE(L50,H50,J50)</f>
        <v>A2Special Deposits</v>
      </c>
    </row>
    <row r="51" spans="1:45" s="125" customFormat="1" ht="25.5" customHeight="1">
      <c r="A51" s="216" t="s">
        <v>2493</v>
      </c>
      <c r="B51" s="217" t="str">
        <f t="shared" si="19"/>
        <v>GL131610</v>
      </c>
      <c r="C51" s="186">
        <v>131610</v>
      </c>
      <c r="D51" s="201"/>
      <c r="E51" s="162"/>
      <c r="F51" s="169" t="s">
        <v>1006</v>
      </c>
      <c r="G51" s="117"/>
      <c r="H51" s="118" t="s">
        <v>2739</v>
      </c>
      <c r="I51" s="119"/>
      <c r="J51" s="120"/>
      <c r="K51" s="120" t="str">
        <f t="shared" si="20"/>
        <v/>
      </c>
      <c r="L51" s="170" t="s">
        <v>1419</v>
      </c>
      <c r="M51" s="122" t="str">
        <f t="shared" si="21"/>
        <v>A</v>
      </c>
      <c r="N51" s="116" t="str">
        <f>IF($L51&lt;&gt;"",VLOOKUP($L51,Categories!$E:$G,2,FALSE),IF($F51&lt;&gt;"","NO CAT",""))</f>
        <v>All Other</v>
      </c>
      <c r="O51" s="116" t="str">
        <f>IF($L51&lt;&gt;"",VLOOKUP($L51,Categories!$E:$G,3,FALSE),IF($F51&lt;&gt;"","NO CAT",""))</f>
        <v>EB-Cap</v>
      </c>
      <c r="P51" s="170" t="s">
        <v>1557</v>
      </c>
      <c r="Q51" s="123" t="s">
        <v>1891</v>
      </c>
      <c r="R51" s="124">
        <v>0.77544352505021785</v>
      </c>
      <c r="S51" s="124">
        <v>0.22455647494978223</v>
      </c>
      <c r="T51" s="124">
        <v>0</v>
      </c>
      <c r="U51" s="121">
        <f t="shared" si="11"/>
        <v>14.7170311919214</v>
      </c>
      <c r="V51" s="121">
        <f t="shared" si="12"/>
        <v>4.2618250580786396</v>
      </c>
      <c r="W51" s="121">
        <f t="shared" si="13"/>
        <v>0</v>
      </c>
      <c r="X51" s="121">
        <f t="shared" si="14"/>
        <v>18.97885625</v>
      </c>
      <c r="Y51" s="121" t="str">
        <f t="shared" si="15"/>
        <v/>
      </c>
      <c r="Z51" s="121" t="str">
        <f t="shared" si="16"/>
        <v/>
      </c>
      <c r="AA51" s="121" t="str">
        <f t="shared" si="17"/>
        <v/>
      </c>
      <c r="AB51" s="121">
        <f t="shared" si="18"/>
        <v>0</v>
      </c>
      <c r="AC51" s="121">
        <v>57.57199</v>
      </c>
      <c r="AD51" s="121">
        <v>28.772089999999999</v>
      </c>
      <c r="AE51" s="121">
        <v>79.23809</v>
      </c>
      <c r="AF51" s="121">
        <v>75.484889999999993</v>
      </c>
      <c r="AG51" s="121">
        <v>15.465209999999999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v>0</v>
      </c>
      <c r="AO51" s="121">
        <v>0</v>
      </c>
      <c r="AP51" s="125" t="str">
        <f>CONCATENATE(A51,M51)</f>
        <v>GLA</v>
      </c>
      <c r="AQ51" s="125" t="str">
        <f>CONCATENATE(AP51,L51,H51)</f>
        <v>GLAA2Special Deposits</v>
      </c>
      <c r="AS51" s="125" t="str">
        <f>CONCATENATE(L51,H51,J51)</f>
        <v>A2Special Deposits</v>
      </c>
    </row>
    <row r="52" spans="1:45" s="125" customFormat="1" ht="25.5" customHeight="1">
      <c r="A52" s="216" t="s">
        <v>2493</v>
      </c>
      <c r="B52" s="217" t="str">
        <f t="shared" si="19"/>
        <v>GL131615</v>
      </c>
      <c r="C52" s="186">
        <v>131615</v>
      </c>
      <c r="D52" s="201"/>
      <c r="E52" s="162"/>
      <c r="F52" s="169" t="s">
        <v>1007</v>
      </c>
      <c r="G52" s="117"/>
      <c r="H52" s="118" t="s">
        <v>2739</v>
      </c>
      <c r="I52" s="119"/>
      <c r="J52" s="120"/>
      <c r="K52" s="120" t="str">
        <f t="shared" si="20"/>
        <v/>
      </c>
      <c r="L52" s="170" t="s">
        <v>1419</v>
      </c>
      <c r="M52" s="122" t="str">
        <f t="shared" si="21"/>
        <v>A</v>
      </c>
      <c r="N52" s="116" t="str">
        <f>IF($L52&lt;&gt;"",VLOOKUP($L52,Categories!$E:$G,2,FALSE),IF($F52&lt;&gt;"","NO CAT",""))</f>
        <v>All Other</v>
      </c>
      <c r="O52" s="116" t="str">
        <f>IF($L52&lt;&gt;"",VLOOKUP($L52,Categories!$E:$G,3,FALSE),IF($F52&lt;&gt;"","NO CAT",""))</f>
        <v>EB-Cap</v>
      </c>
      <c r="P52" s="170" t="s">
        <v>1557</v>
      </c>
      <c r="Q52" s="123" t="s">
        <v>1891</v>
      </c>
      <c r="R52" s="124">
        <v>0.77544352505021785</v>
      </c>
      <c r="S52" s="124">
        <v>0.22455647494978223</v>
      </c>
      <c r="T52" s="124">
        <v>0</v>
      </c>
      <c r="U52" s="121">
        <f t="shared" si="11"/>
        <v>575.38748103968101</v>
      </c>
      <c r="V52" s="121">
        <f t="shared" si="12"/>
        <v>166.623332710319</v>
      </c>
      <c r="W52" s="121">
        <f t="shared" si="13"/>
        <v>0</v>
      </c>
      <c r="X52" s="121">
        <f t="shared" si="14"/>
        <v>742.01081375000001</v>
      </c>
      <c r="Y52" s="121">
        <f t="shared" si="15"/>
        <v>264.491247472829</v>
      </c>
      <c r="Z52" s="121">
        <f t="shared" si="16"/>
        <v>76.592582527170805</v>
      </c>
      <c r="AA52" s="121">
        <f t="shared" si="17"/>
        <v>0</v>
      </c>
      <c r="AB52" s="121">
        <f t="shared" si="18"/>
        <v>341.08383000000003</v>
      </c>
      <c r="AC52" s="121">
        <v>781.86431999999991</v>
      </c>
      <c r="AD52" s="121">
        <v>534.03677000000005</v>
      </c>
      <c r="AE52" s="121">
        <v>655.13906000000009</v>
      </c>
      <c r="AF52" s="121">
        <v>815.05948999999998</v>
      </c>
      <c r="AG52" s="121">
        <v>1003.38261</v>
      </c>
      <c r="AH52" s="121">
        <v>1105.2327499999999</v>
      </c>
      <c r="AI52" s="121">
        <v>818.06412999999998</v>
      </c>
      <c r="AJ52" s="121">
        <v>632.05335000000002</v>
      </c>
      <c r="AK52" s="121">
        <v>625.94862000000001</v>
      </c>
      <c r="AL52" s="121">
        <v>1012.0037600000001</v>
      </c>
      <c r="AM52" s="121">
        <v>676.04691000000003</v>
      </c>
      <c r="AN52" s="121">
        <v>465.68824000000001</v>
      </c>
      <c r="AO52" s="121">
        <v>341.08383000000003</v>
      </c>
      <c r="AP52" s="125" t="str">
        <f>CONCATENATE(A52,M52)</f>
        <v>GLA</v>
      </c>
      <c r="AQ52" s="125" t="str">
        <f>CONCATENATE(AP52,L52,H52)</f>
        <v>GLAA2Special Deposits</v>
      </c>
      <c r="AS52" s="125" t="str">
        <f>CONCATENATE(L52,H52,J52)</f>
        <v>A2Special Deposits</v>
      </c>
    </row>
    <row r="53" spans="1:45" s="125" customFormat="1" ht="25.5" customHeight="1">
      <c r="A53" s="216" t="s">
        <v>2493</v>
      </c>
      <c r="B53" s="217" t="str">
        <f t="shared" si="19"/>
        <v>GL131782</v>
      </c>
      <c r="C53" s="186">
        <v>131782</v>
      </c>
      <c r="D53" s="201"/>
      <c r="E53" s="162"/>
      <c r="F53" s="169" t="s">
        <v>1312</v>
      </c>
      <c r="G53" s="117"/>
      <c r="H53" s="118" t="s">
        <v>2739</v>
      </c>
      <c r="I53" s="119"/>
      <c r="J53" s="120"/>
      <c r="K53" s="120" t="str">
        <f t="shared" si="20"/>
        <v/>
      </c>
      <c r="L53" s="170" t="s">
        <v>1419</v>
      </c>
      <c r="M53" s="122" t="str">
        <f t="shared" si="21"/>
        <v>A</v>
      </c>
      <c r="N53" s="116" t="str">
        <f>IF($L53&lt;&gt;"",VLOOKUP($L53,Categories!$E:$G,2,FALSE),IF($F53&lt;&gt;"","NO CAT",""))</f>
        <v>All Other</v>
      </c>
      <c r="O53" s="116" t="str">
        <f>IF($L53&lt;&gt;"",VLOOKUP($L53,Categories!$E:$G,3,FALSE),IF($F53&lt;&gt;"","NO CAT",""))</f>
        <v>EB-Cap</v>
      </c>
      <c r="P53" s="170" t="s">
        <v>1557</v>
      </c>
      <c r="Q53" s="123" t="s">
        <v>1891</v>
      </c>
      <c r="R53" s="124">
        <v>0.77544352505021785</v>
      </c>
      <c r="S53" s="124">
        <v>0.22455647494978223</v>
      </c>
      <c r="T53" s="124">
        <v>0</v>
      </c>
      <c r="U53" s="121">
        <f t="shared" si="11"/>
        <v>792.71000324414399</v>
      </c>
      <c r="V53" s="121">
        <f t="shared" si="12"/>
        <v>229.556580505856</v>
      </c>
      <c r="W53" s="121">
        <f t="shared" si="13"/>
        <v>0</v>
      </c>
      <c r="X53" s="121">
        <f t="shared" si="14"/>
        <v>1022.26658375</v>
      </c>
      <c r="Y53" s="121">
        <f t="shared" si="15"/>
        <v>874.92503529907594</v>
      </c>
      <c r="Z53" s="121">
        <f t="shared" si="16"/>
        <v>253.36478470092399</v>
      </c>
      <c r="AA53" s="121">
        <f t="shared" si="17"/>
        <v>0</v>
      </c>
      <c r="AB53" s="121">
        <f t="shared" si="18"/>
        <v>1128.28982</v>
      </c>
      <c r="AC53" s="121">
        <v>1077.01927</v>
      </c>
      <c r="AD53" s="121">
        <v>1060.39382</v>
      </c>
      <c r="AE53" s="121">
        <v>1053.13879</v>
      </c>
      <c r="AF53" s="121">
        <v>1088.1059299999999</v>
      </c>
      <c r="AG53" s="121">
        <v>1056.4188300000001</v>
      </c>
      <c r="AH53" s="121">
        <v>1049.7343700000001</v>
      </c>
      <c r="AI53" s="121">
        <v>1063.0650600000001</v>
      </c>
      <c r="AJ53" s="121">
        <v>1056.4333799999999</v>
      </c>
      <c r="AK53" s="121">
        <v>1053.4677300000001</v>
      </c>
      <c r="AL53" s="121">
        <v>1061.0693000000001</v>
      </c>
      <c r="AM53" s="121">
        <v>560.46114</v>
      </c>
      <c r="AN53" s="121">
        <v>1062.25611</v>
      </c>
      <c r="AO53" s="121">
        <v>1128.28982</v>
      </c>
      <c r="AP53" s="125" t="str">
        <f>CONCATENATE(A53,M53)</f>
        <v>GLA</v>
      </c>
      <c r="AQ53" s="125" t="str">
        <f>CONCATENATE(AP53,L53,H53)</f>
        <v>GLAA2Special Deposits</v>
      </c>
      <c r="AS53" s="125" t="str">
        <f>CONCATENATE(L53,H53,J53)</f>
        <v>A2Special Deposits</v>
      </c>
    </row>
    <row r="54" spans="1:45" s="125" customFormat="1" ht="25.5" customHeight="1">
      <c r="A54" s="216" t="s">
        <v>2493</v>
      </c>
      <c r="B54" s="217" t="str">
        <f t="shared" ref="B54" si="22">CONCATENATE(A54,C54,D54,E54)</f>
        <v>GL131909</v>
      </c>
      <c r="C54" s="186">
        <v>131909</v>
      </c>
      <c r="D54" s="201"/>
      <c r="E54" s="162"/>
      <c r="F54" s="169" t="s">
        <v>4856</v>
      </c>
      <c r="G54" s="117"/>
      <c r="H54" s="118" t="s">
        <v>2739</v>
      </c>
      <c r="I54" s="119"/>
      <c r="J54" s="120"/>
      <c r="K54" s="120" t="str">
        <f t="shared" ref="K54" si="23">IF(L54="N3","SFAS-109","")</f>
        <v/>
      </c>
      <c r="L54" s="170" t="s">
        <v>1419</v>
      </c>
      <c r="M54" s="122" t="str">
        <f t="shared" ref="M54" si="24">LEFT(L54,1)</f>
        <v>A</v>
      </c>
      <c r="N54" s="116" t="str">
        <f>IF($L54&lt;&gt;"",VLOOKUP($L54,Categories!$E:$G,2,FALSE),IF($F54&lt;&gt;"","NO CAT",""))</f>
        <v>All Other</v>
      </c>
      <c r="O54" s="116" t="str">
        <f>IF($L54&lt;&gt;"",VLOOKUP($L54,Categories!$E:$G,3,FALSE),IF($F54&lt;&gt;"","NO CAT",""))</f>
        <v>EB-Cap</v>
      </c>
      <c r="P54" s="170" t="s">
        <v>1557</v>
      </c>
      <c r="Q54" s="123" t="s">
        <v>1891</v>
      </c>
      <c r="R54" s="124">
        <v>0.77544352505021785</v>
      </c>
      <c r="S54" s="124">
        <v>0.22455647494978223</v>
      </c>
      <c r="T54" s="124">
        <v>0</v>
      </c>
      <c r="U54" s="121">
        <f t="shared" ref="U54" si="25">IF(ABS(X54)=0,"",IF($R54="NO ALLOC","NO ALLOC",ROUND($R54*X54,15)))</f>
        <v>16.1989880977757</v>
      </c>
      <c r="V54" s="121">
        <f t="shared" ref="V54" si="26">IF(ABS(X54)=0,"",IF($S54="NO ALLOC","NO ALLOC",ROUND($S54*X54,15)))</f>
        <v>4.6909769022243299</v>
      </c>
      <c r="W54" s="121">
        <f t="shared" ref="W54" si="27">IF(ABS(X54)=0,"",IF($T54="NO ALLOC","NO ALLOC",ROUND($T54*X54,15)))</f>
        <v>0</v>
      </c>
      <c r="X54" s="121">
        <f t="shared" si="14"/>
        <v>20.889965</v>
      </c>
      <c r="Y54" s="121">
        <f t="shared" ref="Y54" si="28">IF(ABS(AB54)=0,"",IF($R54="NO ALLOC","NO ALLOC",ROUND($R54*AB54,15)))</f>
        <v>388.77571434661598</v>
      </c>
      <c r="Z54" s="121">
        <f t="shared" ref="Z54" si="29">IF(ABS(AB54)=0,"",IF($S54="NO ALLOC","NO ALLOC",ROUND($S54*AB54,15)))</f>
        <v>112.583445653384</v>
      </c>
      <c r="AA54" s="121">
        <f t="shared" ref="AA54" si="30">IF(ABS(AB54)=0,"",IF($T54="NO ALLOC","NO ALLOC",ROUND($T54*AB54,15)))</f>
        <v>0</v>
      </c>
      <c r="AB54" s="121">
        <f t="shared" si="18"/>
        <v>501.35915999999997</v>
      </c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>
        <v>501.35915999999997</v>
      </c>
      <c r="AP54" s="125" t="str">
        <f>CONCATENATE(A54,M54)</f>
        <v>GLA</v>
      </c>
      <c r="AQ54" s="125" t="str">
        <f>CONCATENATE(AP54,L54,H54)</f>
        <v>GLAA2Special Deposits</v>
      </c>
      <c r="AS54" s="125" t="str">
        <f>CONCATENATE(L54,H54,J54)</f>
        <v>A2Special Deposits</v>
      </c>
    </row>
    <row r="55" spans="1:45" s="125" customFormat="1" ht="25.5" customHeight="1">
      <c r="A55" s="216" t="s">
        <v>2493</v>
      </c>
      <c r="B55" s="217" t="str">
        <f t="shared" si="19"/>
        <v>GL131990</v>
      </c>
      <c r="C55" s="186">
        <v>131990</v>
      </c>
      <c r="D55" s="201"/>
      <c r="E55" s="162"/>
      <c r="F55" s="169" t="s">
        <v>1521</v>
      </c>
      <c r="G55" s="117"/>
      <c r="H55" s="118" t="s">
        <v>2739</v>
      </c>
      <c r="I55" s="119"/>
      <c r="J55" s="120"/>
      <c r="K55" s="120" t="str">
        <f t="shared" si="20"/>
        <v/>
      </c>
      <c r="L55" s="170" t="s">
        <v>1419</v>
      </c>
      <c r="M55" s="122" t="str">
        <f t="shared" si="21"/>
        <v>A</v>
      </c>
      <c r="N55" s="116" t="str">
        <f>IF($L55&lt;&gt;"",VLOOKUP($L55,Categories!$E:$G,2,FALSE),IF($F55&lt;&gt;"","NO CAT",""))</f>
        <v>All Other</v>
      </c>
      <c r="O55" s="116" t="str">
        <f>IF($L55&lt;&gt;"",VLOOKUP($L55,Categories!$E:$G,3,FALSE),IF($F55&lt;&gt;"","NO CAT",""))</f>
        <v>EB-Cap</v>
      </c>
      <c r="P55" s="170" t="s">
        <v>1557</v>
      </c>
      <c r="Q55" s="123" t="s">
        <v>1891</v>
      </c>
      <c r="R55" s="124">
        <v>0.77544352505021785</v>
      </c>
      <c r="S55" s="124">
        <v>0.22455647494978223</v>
      </c>
      <c r="T55" s="124">
        <v>0</v>
      </c>
      <c r="U55" s="121">
        <f t="shared" si="11"/>
        <v>5643.2313854346503</v>
      </c>
      <c r="V55" s="121">
        <f t="shared" si="12"/>
        <v>1634.19269914868</v>
      </c>
      <c r="W55" s="121">
        <f t="shared" si="13"/>
        <v>0</v>
      </c>
      <c r="X55" s="121">
        <f t="shared" si="14"/>
        <v>7277.4240845833301</v>
      </c>
      <c r="Y55" s="121">
        <f t="shared" si="15"/>
        <v>4040.26580053409</v>
      </c>
      <c r="Z55" s="121">
        <f t="shared" si="16"/>
        <v>1169.99860946591</v>
      </c>
      <c r="AA55" s="121">
        <f t="shared" si="17"/>
        <v>0</v>
      </c>
      <c r="AB55" s="121">
        <f t="shared" si="18"/>
        <v>5210.2644099999998</v>
      </c>
      <c r="AC55" s="121">
        <v>2517.0657000000001</v>
      </c>
      <c r="AD55" s="121">
        <v>8002.0556399999996</v>
      </c>
      <c r="AE55" s="121">
        <v>3436.3248199999998</v>
      </c>
      <c r="AF55" s="121">
        <v>1928.1403500000001</v>
      </c>
      <c r="AG55" s="121">
        <v>1107.04648</v>
      </c>
      <c r="AH55" s="121">
        <v>1127.07385</v>
      </c>
      <c r="AI55" s="121">
        <v>2519.58961</v>
      </c>
      <c r="AJ55" s="121">
        <v>2306.1816400000002</v>
      </c>
      <c r="AK55" s="121">
        <v>12241.631449999999</v>
      </c>
      <c r="AL55" s="121">
        <v>44823.405679999996</v>
      </c>
      <c r="AM55" s="121">
        <v>1657.96192</v>
      </c>
      <c r="AN55" s="121">
        <v>4316.0125199999993</v>
      </c>
      <c r="AO55" s="121">
        <v>5210.2644099999998</v>
      </c>
      <c r="AP55" s="125" t="str">
        <f>CONCATENATE(A55,M55)</f>
        <v>GLA</v>
      </c>
      <c r="AQ55" s="125" t="str">
        <f>CONCATENATE(AP55,L55,H55)</f>
        <v>GLAA2Special Deposits</v>
      </c>
      <c r="AS55" s="125" t="str">
        <f>CONCATENATE(L55,H55,J55)</f>
        <v>A2Special Deposits</v>
      </c>
    </row>
    <row r="56" spans="1:45" s="125" customFormat="1" ht="25.5" customHeight="1">
      <c r="A56" s="216" t="s">
        <v>2493</v>
      </c>
      <c r="B56" s="217" t="str">
        <f t="shared" si="19"/>
        <v>GL131991</v>
      </c>
      <c r="C56" s="186">
        <v>131991</v>
      </c>
      <c r="D56" s="201"/>
      <c r="E56" s="162"/>
      <c r="F56" s="169" t="s">
        <v>1522</v>
      </c>
      <c r="G56" s="117"/>
      <c r="H56" s="118" t="s">
        <v>2739</v>
      </c>
      <c r="I56" s="119"/>
      <c r="J56" s="120"/>
      <c r="K56" s="120" t="str">
        <f t="shared" si="20"/>
        <v/>
      </c>
      <c r="L56" s="170" t="s">
        <v>1419</v>
      </c>
      <c r="M56" s="122" t="str">
        <f t="shared" si="21"/>
        <v>A</v>
      </c>
      <c r="N56" s="116" t="str">
        <f>IF($L56&lt;&gt;"",VLOOKUP($L56,Categories!$E:$G,2,FALSE),IF($F56&lt;&gt;"","NO CAT",""))</f>
        <v>All Other</v>
      </c>
      <c r="O56" s="116" t="str">
        <f>IF($L56&lt;&gt;"",VLOOKUP($L56,Categories!$E:$G,3,FALSE),IF($F56&lt;&gt;"","NO CAT",""))</f>
        <v>EB-Cap</v>
      </c>
      <c r="P56" s="170" t="s">
        <v>1557</v>
      </c>
      <c r="Q56" s="123" t="s">
        <v>1891</v>
      </c>
      <c r="R56" s="124">
        <v>0.77544352505021785</v>
      </c>
      <c r="S56" s="124">
        <v>0.22455647494978223</v>
      </c>
      <c r="T56" s="124">
        <v>0</v>
      </c>
      <c r="U56" s="121">
        <f t="shared" si="11"/>
        <v>-5643.2313854346503</v>
      </c>
      <c r="V56" s="121">
        <f t="shared" si="12"/>
        <v>-1634.19269914868</v>
      </c>
      <c r="W56" s="121">
        <f t="shared" si="13"/>
        <v>0</v>
      </c>
      <c r="X56" s="121">
        <f t="shared" si="14"/>
        <v>-7277.4240845833301</v>
      </c>
      <c r="Y56" s="121">
        <f t="shared" si="15"/>
        <v>-4040.26580053409</v>
      </c>
      <c r="Z56" s="121">
        <f t="shared" si="16"/>
        <v>-1169.99860946591</v>
      </c>
      <c r="AA56" s="121">
        <f t="shared" si="17"/>
        <v>0</v>
      </c>
      <c r="AB56" s="121">
        <f t="shared" si="18"/>
        <v>-5210.2644099999998</v>
      </c>
      <c r="AC56" s="121">
        <v>-2517.0657000000001</v>
      </c>
      <c r="AD56" s="121">
        <v>-8002.0556399999996</v>
      </c>
      <c r="AE56" s="121">
        <v>-3436.3248199999998</v>
      </c>
      <c r="AF56" s="121">
        <v>-1928.1403500000001</v>
      </c>
      <c r="AG56" s="121">
        <v>-1107.04648</v>
      </c>
      <c r="AH56" s="121">
        <v>-1127.07385</v>
      </c>
      <c r="AI56" s="121">
        <v>-2519.58961</v>
      </c>
      <c r="AJ56" s="121">
        <v>-2306.1816400000002</v>
      </c>
      <c r="AK56" s="121">
        <v>-12241.631449999999</v>
      </c>
      <c r="AL56" s="121">
        <v>-44823.405679999996</v>
      </c>
      <c r="AM56" s="121">
        <v>-1657.96192</v>
      </c>
      <c r="AN56" s="121">
        <v>-4316.0125199999993</v>
      </c>
      <c r="AO56" s="121">
        <v>-5210.2644099999998</v>
      </c>
      <c r="AP56" s="125" t="str">
        <f>CONCATENATE(A56,M56)</f>
        <v>GLA</v>
      </c>
      <c r="AQ56" s="125" t="str">
        <f>CONCATENATE(AP56,L56,H56)</f>
        <v>GLAA2Special Deposits</v>
      </c>
      <c r="AS56" s="125" t="str">
        <f>CONCATENATE(L56,H56,J56)</f>
        <v>A2Special Deposits</v>
      </c>
    </row>
    <row r="57" spans="1:45" s="125" customFormat="1" ht="25.5" customHeight="1">
      <c r="A57" s="216" t="s">
        <v>2493</v>
      </c>
      <c r="B57" s="217" t="str">
        <f t="shared" si="19"/>
        <v>GL135000</v>
      </c>
      <c r="C57" s="186">
        <v>135000</v>
      </c>
      <c r="D57" s="201"/>
      <c r="E57" s="162"/>
      <c r="F57" s="169" t="s">
        <v>1523</v>
      </c>
      <c r="G57" s="117"/>
      <c r="H57" s="118" t="s">
        <v>1524</v>
      </c>
      <c r="I57" s="119"/>
      <c r="J57" s="120"/>
      <c r="K57" s="120" t="str">
        <f t="shared" si="20"/>
        <v/>
      </c>
      <c r="L57" s="170" t="s">
        <v>1419</v>
      </c>
      <c r="M57" s="122" t="str">
        <f t="shared" si="21"/>
        <v>A</v>
      </c>
      <c r="N57" s="116" t="str">
        <f>IF($L57&lt;&gt;"",VLOOKUP($L57,Categories!$E:$G,2,FALSE),IF($F57&lt;&gt;"","NO CAT",""))</f>
        <v>All Other</v>
      </c>
      <c r="O57" s="116" t="str">
        <f>IF($L57&lt;&gt;"",VLOOKUP($L57,Categories!$E:$G,3,FALSE),IF($F57&lt;&gt;"","NO CAT",""))</f>
        <v>EB-Cap</v>
      </c>
      <c r="P57" s="170" t="s">
        <v>1557</v>
      </c>
      <c r="Q57" s="123" t="s">
        <v>1891</v>
      </c>
      <c r="R57" s="124">
        <v>0.77544352505021785</v>
      </c>
      <c r="S57" s="124">
        <v>0.22455647494978223</v>
      </c>
      <c r="T57" s="124">
        <v>0</v>
      </c>
      <c r="U57" s="121">
        <f t="shared" si="11"/>
        <v>2.3392546339014899</v>
      </c>
      <c r="V57" s="121">
        <f t="shared" si="12"/>
        <v>0.67741203276517703</v>
      </c>
      <c r="W57" s="121">
        <f t="shared" si="13"/>
        <v>0</v>
      </c>
      <c r="X57" s="121">
        <f t="shared" si="14"/>
        <v>3.0166666666666702</v>
      </c>
      <c r="Y57" s="121" t="str">
        <f t="shared" si="15"/>
        <v/>
      </c>
      <c r="Z57" s="121" t="str">
        <f t="shared" si="16"/>
        <v/>
      </c>
      <c r="AA57" s="121" t="str">
        <f t="shared" si="17"/>
        <v/>
      </c>
      <c r="AB57" s="121">
        <f t="shared" si="18"/>
        <v>0</v>
      </c>
      <c r="AC57" s="121">
        <v>3.2</v>
      </c>
      <c r="AD57" s="121">
        <v>3.2</v>
      </c>
      <c r="AE57" s="121">
        <v>3.2</v>
      </c>
      <c r="AF57" s="121">
        <v>3.2</v>
      </c>
      <c r="AG57" s="121">
        <v>3.2</v>
      </c>
      <c r="AH57" s="121">
        <v>3.2</v>
      </c>
      <c r="AI57" s="121">
        <v>3.2</v>
      </c>
      <c r="AJ57" s="121">
        <v>3.2</v>
      </c>
      <c r="AK57" s="121">
        <v>3.2</v>
      </c>
      <c r="AL57" s="121">
        <v>3</v>
      </c>
      <c r="AM57" s="121">
        <v>3</v>
      </c>
      <c r="AN57" s="121">
        <v>3</v>
      </c>
      <c r="AO57" s="121">
        <v>0</v>
      </c>
      <c r="AP57" s="125" t="str">
        <f>CONCATENATE(A57,M57)</f>
        <v>GLA</v>
      </c>
      <c r="AQ57" s="125" t="str">
        <f>CONCATENATE(AP57,L57,H57)</f>
        <v>GLAA2Working Funds</v>
      </c>
      <c r="AS57" s="125" t="str">
        <f>CONCATENATE(L57,H57,J57)</f>
        <v>A2Working Funds</v>
      </c>
    </row>
    <row r="58" spans="1:45" s="125" customFormat="1" ht="25.5" customHeight="1">
      <c r="A58" s="216" t="s">
        <v>2493</v>
      </c>
      <c r="B58" s="217" t="str">
        <f t="shared" si="19"/>
        <v>GL135500</v>
      </c>
      <c r="C58" s="186">
        <v>135500</v>
      </c>
      <c r="D58" s="201"/>
      <c r="E58" s="162"/>
      <c r="F58" s="169" t="s">
        <v>2418</v>
      </c>
      <c r="G58" s="117"/>
      <c r="H58" s="118" t="s">
        <v>1524</v>
      </c>
      <c r="I58" s="119"/>
      <c r="J58" s="120"/>
      <c r="K58" s="120" t="str">
        <f t="shared" si="20"/>
        <v/>
      </c>
      <c r="L58" s="170" t="s">
        <v>1419</v>
      </c>
      <c r="M58" s="122" t="str">
        <f t="shared" si="21"/>
        <v>A</v>
      </c>
      <c r="N58" s="116" t="str">
        <f>IF($L58&lt;&gt;"",VLOOKUP($L58,Categories!$E:$G,2,FALSE),IF($F58&lt;&gt;"","NO CAT",""))</f>
        <v>All Other</v>
      </c>
      <c r="O58" s="116" t="str">
        <f>IF($L58&lt;&gt;"",VLOOKUP($L58,Categories!$E:$G,3,FALSE),IF($F58&lt;&gt;"","NO CAT",""))</f>
        <v>EB-Cap</v>
      </c>
      <c r="P58" s="170" t="s">
        <v>1557</v>
      </c>
      <c r="Q58" s="123" t="s">
        <v>1891</v>
      </c>
      <c r="R58" s="124">
        <v>0.77544352505021785</v>
      </c>
      <c r="S58" s="124">
        <v>0.22455647494978223</v>
      </c>
      <c r="T58" s="124">
        <v>0</v>
      </c>
      <c r="U58" s="121">
        <f t="shared" ref="U58:U86" si="31">IF(ABS(X58)=0,"",IF($R58="NO ALLOC","NO ALLOC",ROUND($R58*X58,15)))</f>
        <v>523.78117228332405</v>
      </c>
      <c r="V58" s="121">
        <f t="shared" ref="V58:V86" si="32">IF(ABS(X58)=0,"",IF($S58="NO ALLOC","NO ALLOC",ROUND($S58*X58,15)))</f>
        <v>151.678942300009</v>
      </c>
      <c r="W58" s="121">
        <f t="shared" ref="W58:W86" si="33">IF(ABS(X58)=0,"",IF($T58="NO ALLOC","NO ALLOC",ROUND($T58*X58,15)))</f>
        <v>0</v>
      </c>
      <c r="X58" s="121">
        <f t="shared" ref="X58:X86" si="34">IF(ISERROR(ROUND((SUM(AC58:AO58)-((AC58+AO58))/2)/12,15)),"",ROUND((SUM(AC58:AO58)-((AC58+AO58))/2)/12,15))</f>
        <v>675.46011458333305</v>
      </c>
      <c r="Y58" s="121">
        <f t="shared" ref="Y58:Y86" si="35">IF(ABS(AB58)=0,"",IF($R58="NO ALLOC","NO ALLOC",ROUND($R58*AB58,15)))</f>
        <v>526.15615838555505</v>
      </c>
      <c r="Z58" s="121">
        <f t="shared" ref="Z58:Z86" si="36">IF(ABS(AB58)=0,"",IF($S58="NO ALLOC","NO ALLOC",ROUND($S58*AB58,15)))</f>
        <v>152.36670161444499</v>
      </c>
      <c r="AA58" s="121">
        <f t="shared" ref="AA58:AA86" si="37">IF(ABS(AB58)=0,"",IF($T58="NO ALLOC","NO ALLOC",ROUND($T58*AB58,15)))</f>
        <v>0</v>
      </c>
      <c r="AB58" s="121">
        <f t="shared" ref="AB58:AB86" si="38">IF(AO58="",0,+AO58)</f>
        <v>678.52286000000004</v>
      </c>
      <c r="AC58" s="121">
        <v>606.92522999999994</v>
      </c>
      <c r="AD58" s="121">
        <v>678.33681999999999</v>
      </c>
      <c r="AE58" s="121">
        <v>678.36774000000003</v>
      </c>
      <c r="AF58" s="121">
        <v>678.39866000000006</v>
      </c>
      <c r="AG58" s="121">
        <v>678.40872000000002</v>
      </c>
      <c r="AH58" s="121">
        <v>678.42431999999997</v>
      </c>
      <c r="AI58" s="121">
        <v>678.44010000000003</v>
      </c>
      <c r="AJ58" s="121">
        <v>678.45563000000004</v>
      </c>
      <c r="AK58" s="121">
        <v>678.47087999999997</v>
      </c>
      <c r="AL58" s="121">
        <v>678.48500999999999</v>
      </c>
      <c r="AM58" s="121">
        <v>678.49897999999996</v>
      </c>
      <c r="AN58" s="121">
        <v>678.51046999999994</v>
      </c>
      <c r="AO58" s="121">
        <v>678.52286000000004</v>
      </c>
      <c r="AP58" s="125" t="str">
        <f>CONCATENATE(A58,M58)</f>
        <v>GLA</v>
      </c>
      <c r="AQ58" s="125" t="str">
        <f>CONCATENATE(AP58,L58,H58)</f>
        <v>GLAA2Working Funds</v>
      </c>
      <c r="AS58" s="125" t="str">
        <f>CONCATENATE(L58,H58,J58)</f>
        <v>A2Working Funds</v>
      </c>
    </row>
    <row r="59" spans="1:45" s="125" customFormat="1" ht="25.5" customHeight="1">
      <c r="A59" s="216" t="s">
        <v>2493</v>
      </c>
      <c r="B59" s="217" t="str">
        <f t="shared" ref="B59:B86" si="39">CONCATENATE(A59,C59,D59,E59)</f>
        <v>GL136000</v>
      </c>
      <c r="C59" s="186">
        <v>136000</v>
      </c>
      <c r="D59" s="201"/>
      <c r="E59" s="162"/>
      <c r="F59" s="169" t="s">
        <v>2419</v>
      </c>
      <c r="G59" s="117"/>
      <c r="H59" s="118" t="s">
        <v>2420</v>
      </c>
      <c r="I59" s="119"/>
      <c r="J59" s="120"/>
      <c r="K59" s="120" t="str">
        <f t="shared" si="20"/>
        <v/>
      </c>
      <c r="L59" s="170" t="s">
        <v>928</v>
      </c>
      <c r="M59" s="122" t="str">
        <f t="shared" si="21"/>
        <v>N</v>
      </c>
      <c r="N59" s="116" t="str">
        <f>IF($L59&lt;&gt;"",VLOOKUP($L59,Categories!$E:$G,2,FALSE),IF($F59&lt;&gt;"","NO CAT",""))</f>
        <v>Not in Rate Base</v>
      </c>
      <c r="O59" s="116" t="str">
        <f>IF($L59&lt;&gt;"",VLOOKUP($L59,Categories!$E:$G,3,FALSE),IF($F59&lt;&gt;"","NO CAT",""))</f>
        <v>Direct Assign Items Not in RB</v>
      </c>
      <c r="P59" s="170" t="s">
        <v>1186</v>
      </c>
      <c r="Q59" s="123" t="s">
        <v>1187</v>
      </c>
      <c r="R59" s="124">
        <v>0</v>
      </c>
      <c r="S59" s="124">
        <v>0</v>
      </c>
      <c r="T59" s="124">
        <v>1</v>
      </c>
      <c r="U59" s="121">
        <f t="shared" si="31"/>
        <v>0</v>
      </c>
      <c r="V59" s="121">
        <f t="shared" si="32"/>
        <v>0</v>
      </c>
      <c r="W59" s="121">
        <f t="shared" si="33"/>
        <v>357418.77093416703</v>
      </c>
      <c r="X59" s="121">
        <f t="shared" si="34"/>
        <v>357418.77093416703</v>
      </c>
      <c r="Y59" s="121">
        <f t="shared" si="35"/>
        <v>0</v>
      </c>
      <c r="Z59" s="121">
        <f t="shared" si="36"/>
        <v>0</v>
      </c>
      <c r="AA59" s="121">
        <f t="shared" si="37"/>
        <v>359125.50241999998</v>
      </c>
      <c r="AB59" s="121">
        <f t="shared" si="38"/>
        <v>359125.50242000003</v>
      </c>
      <c r="AC59" s="121">
        <v>355975</v>
      </c>
      <c r="AD59" s="121">
        <v>355975</v>
      </c>
      <c r="AE59" s="121">
        <v>355975</v>
      </c>
      <c r="AF59" s="121">
        <v>355975</v>
      </c>
      <c r="AG59" s="121">
        <v>355975</v>
      </c>
      <c r="AH59" s="121">
        <v>355975</v>
      </c>
      <c r="AI59" s="121">
        <v>355975</v>
      </c>
      <c r="AJ59" s="121">
        <v>359125</v>
      </c>
      <c r="AK59" s="121">
        <v>359125</v>
      </c>
      <c r="AL59" s="121">
        <v>359125</v>
      </c>
      <c r="AM59" s="121">
        <v>359125</v>
      </c>
      <c r="AN59" s="121">
        <v>359125</v>
      </c>
      <c r="AO59" s="121">
        <v>359125.50242000003</v>
      </c>
      <c r="AP59" s="125" t="str">
        <f>CONCATENATE(A59,M59)</f>
        <v>GLN</v>
      </c>
      <c r="AQ59" s="125" t="str">
        <f>CONCATENATE(AP59,L59,H59)</f>
        <v>GLNN2Temporary Cash Investments</v>
      </c>
      <c r="AS59" s="125" t="str">
        <f>CONCATENATE(L59,H59,J59)</f>
        <v>N2Temporary Cash Investments</v>
      </c>
    </row>
    <row r="60" spans="1:45" s="125" customFormat="1" ht="25.5" customHeight="1">
      <c r="A60" s="216" t="s">
        <v>2493</v>
      </c>
      <c r="B60" s="217" t="str">
        <f t="shared" si="39"/>
        <v>GL136990</v>
      </c>
      <c r="C60" s="186">
        <v>136990</v>
      </c>
      <c r="D60" s="201"/>
      <c r="E60" s="162"/>
      <c r="F60" s="169" t="s">
        <v>2425</v>
      </c>
      <c r="G60" s="117"/>
      <c r="H60" s="118" t="s">
        <v>2420</v>
      </c>
      <c r="I60" s="119"/>
      <c r="J60" s="120"/>
      <c r="K60" s="120" t="str">
        <f t="shared" si="20"/>
        <v/>
      </c>
      <c r="L60" s="170" t="s">
        <v>928</v>
      </c>
      <c r="M60" s="122" t="str">
        <f t="shared" si="21"/>
        <v>N</v>
      </c>
      <c r="N60" s="116" t="str">
        <f>IF($L60&lt;&gt;"",VLOOKUP($L60,Categories!$E:$G,2,FALSE),IF($F60&lt;&gt;"","NO CAT",""))</f>
        <v>Not in Rate Base</v>
      </c>
      <c r="O60" s="116" t="str">
        <f>IF($L60&lt;&gt;"",VLOOKUP($L60,Categories!$E:$G,3,FALSE),IF($F60&lt;&gt;"","NO CAT",""))</f>
        <v>Direct Assign Items Not in RB</v>
      </c>
      <c r="P60" s="170" t="s">
        <v>1186</v>
      </c>
      <c r="Q60" s="123" t="s">
        <v>1187</v>
      </c>
      <c r="R60" s="124">
        <v>0</v>
      </c>
      <c r="S60" s="124">
        <v>0</v>
      </c>
      <c r="T60" s="124">
        <v>1</v>
      </c>
      <c r="U60" s="121">
        <f t="shared" si="31"/>
        <v>0</v>
      </c>
      <c r="V60" s="121">
        <f t="shared" si="32"/>
        <v>0</v>
      </c>
      <c r="W60" s="121">
        <f t="shared" si="33"/>
        <v>-357418.75</v>
      </c>
      <c r="X60" s="121">
        <f t="shared" si="34"/>
        <v>-357418.75</v>
      </c>
      <c r="Y60" s="121">
        <f t="shared" si="35"/>
        <v>0</v>
      </c>
      <c r="Z60" s="121">
        <f t="shared" si="36"/>
        <v>0</v>
      </c>
      <c r="AA60" s="121">
        <f t="shared" si="37"/>
        <v>-359125</v>
      </c>
      <c r="AB60" s="121">
        <f t="shared" si="38"/>
        <v>-359125</v>
      </c>
      <c r="AC60" s="121">
        <v>-355975</v>
      </c>
      <c r="AD60" s="121">
        <v>-355975</v>
      </c>
      <c r="AE60" s="121">
        <v>-355975</v>
      </c>
      <c r="AF60" s="121">
        <v>-355975</v>
      </c>
      <c r="AG60" s="121">
        <v>-355975</v>
      </c>
      <c r="AH60" s="121">
        <v>-355975</v>
      </c>
      <c r="AI60" s="121">
        <v>-355975</v>
      </c>
      <c r="AJ60" s="121">
        <v>-359125</v>
      </c>
      <c r="AK60" s="121">
        <v>-359125</v>
      </c>
      <c r="AL60" s="121">
        <v>-359125</v>
      </c>
      <c r="AM60" s="121">
        <v>-359125</v>
      </c>
      <c r="AN60" s="121">
        <v>-359125</v>
      </c>
      <c r="AO60" s="121">
        <v>-359125</v>
      </c>
      <c r="AP60" s="125" t="str">
        <f>CONCATENATE(A60,M60)</f>
        <v>GLN</v>
      </c>
      <c r="AQ60" s="125" t="str">
        <f>CONCATENATE(AP60,L60,H60)</f>
        <v>GLNN2Temporary Cash Investments</v>
      </c>
      <c r="AS60" s="125" t="str">
        <f>CONCATENATE(L60,H60,J60)</f>
        <v>N2Temporary Cash Investments</v>
      </c>
    </row>
    <row r="61" spans="1:45" s="125" customFormat="1" ht="25.5" customHeight="1">
      <c r="A61" s="216" t="s">
        <v>2493</v>
      </c>
      <c r="B61" s="217" t="str">
        <f t="shared" si="39"/>
        <v>GL136991</v>
      </c>
      <c r="C61" s="186">
        <v>136991</v>
      </c>
      <c r="D61" s="201"/>
      <c r="E61" s="162"/>
      <c r="F61" s="169" t="s">
        <v>2426</v>
      </c>
      <c r="G61" s="117"/>
      <c r="H61" s="118" t="s">
        <v>2420</v>
      </c>
      <c r="I61" s="119"/>
      <c r="J61" s="120"/>
      <c r="K61" s="120" t="str">
        <f t="shared" ref="K61:K91" si="40">IF(L61="N3","SFAS-109","")</f>
        <v/>
      </c>
      <c r="L61" s="170" t="s">
        <v>928</v>
      </c>
      <c r="M61" s="122" t="str">
        <f t="shared" si="21"/>
        <v>N</v>
      </c>
      <c r="N61" s="116" t="str">
        <f>IF($L61&lt;&gt;"",VLOOKUP($L61,Categories!$E:$G,2,FALSE),IF($F61&lt;&gt;"","NO CAT",""))</f>
        <v>Not in Rate Base</v>
      </c>
      <c r="O61" s="116" t="str">
        <f>IF($L61&lt;&gt;"",VLOOKUP($L61,Categories!$E:$G,3,FALSE),IF($F61&lt;&gt;"","NO CAT",""))</f>
        <v>Direct Assign Items Not in RB</v>
      </c>
      <c r="P61" s="170" t="s">
        <v>1186</v>
      </c>
      <c r="Q61" s="123" t="s">
        <v>1187</v>
      </c>
      <c r="R61" s="124">
        <v>0</v>
      </c>
      <c r="S61" s="124">
        <v>0</v>
      </c>
      <c r="T61" s="124">
        <v>1</v>
      </c>
      <c r="U61" s="121">
        <f t="shared" si="31"/>
        <v>0</v>
      </c>
      <c r="V61" s="121">
        <f t="shared" si="32"/>
        <v>0</v>
      </c>
      <c r="W61" s="121">
        <f t="shared" si="33"/>
        <v>357418.75</v>
      </c>
      <c r="X61" s="121">
        <f t="shared" si="34"/>
        <v>357418.75</v>
      </c>
      <c r="Y61" s="121">
        <f t="shared" si="35"/>
        <v>0</v>
      </c>
      <c r="Z61" s="121">
        <f t="shared" si="36"/>
        <v>0</v>
      </c>
      <c r="AA61" s="121">
        <f t="shared" si="37"/>
        <v>359125</v>
      </c>
      <c r="AB61" s="121">
        <f t="shared" si="38"/>
        <v>359125</v>
      </c>
      <c r="AC61" s="121">
        <v>355975</v>
      </c>
      <c r="AD61" s="121">
        <v>355975</v>
      </c>
      <c r="AE61" s="121">
        <v>355975</v>
      </c>
      <c r="AF61" s="121">
        <v>355975</v>
      </c>
      <c r="AG61" s="121">
        <v>355975</v>
      </c>
      <c r="AH61" s="121">
        <v>355975</v>
      </c>
      <c r="AI61" s="121">
        <v>355975</v>
      </c>
      <c r="AJ61" s="121">
        <v>359125</v>
      </c>
      <c r="AK61" s="121">
        <v>359125</v>
      </c>
      <c r="AL61" s="121">
        <v>359125</v>
      </c>
      <c r="AM61" s="121">
        <v>359125</v>
      </c>
      <c r="AN61" s="121">
        <v>359125</v>
      </c>
      <c r="AO61" s="121">
        <v>359125</v>
      </c>
      <c r="AP61" s="125" t="str">
        <f>CONCATENATE(A61,M61)</f>
        <v>GLN</v>
      </c>
      <c r="AQ61" s="125" t="str">
        <f>CONCATENATE(AP61,L61,H61)</f>
        <v>GLNN2Temporary Cash Investments</v>
      </c>
      <c r="AS61" s="125" t="str">
        <f>CONCATENATE(L61,H61,J61)</f>
        <v>N2Temporary Cash Investments</v>
      </c>
    </row>
    <row r="62" spans="1:45" s="125" customFormat="1" ht="25.5" customHeight="1">
      <c r="A62" s="216" t="s">
        <v>2493</v>
      </c>
      <c r="B62" s="217" t="str">
        <f t="shared" si="39"/>
        <v>GL136992</v>
      </c>
      <c r="C62" s="186">
        <v>136992</v>
      </c>
      <c r="D62" s="201"/>
      <c r="E62" s="162"/>
      <c r="F62" s="169" t="s">
        <v>1055</v>
      </c>
      <c r="G62" s="117"/>
      <c r="H62" s="118" t="s">
        <v>2420</v>
      </c>
      <c r="I62" s="119"/>
      <c r="J62" s="120"/>
      <c r="K62" s="120" t="str">
        <f t="shared" si="40"/>
        <v/>
      </c>
      <c r="L62" s="170" t="s">
        <v>928</v>
      </c>
      <c r="M62" s="122" t="str">
        <f t="shared" si="21"/>
        <v>N</v>
      </c>
      <c r="N62" s="116" t="str">
        <f>IF($L62&lt;&gt;"",VLOOKUP($L62,Categories!$E:$G,2,FALSE),IF($F62&lt;&gt;"","NO CAT",""))</f>
        <v>Not in Rate Base</v>
      </c>
      <c r="O62" s="116" t="str">
        <f>IF($L62&lt;&gt;"",VLOOKUP($L62,Categories!$E:$G,3,FALSE),IF($F62&lt;&gt;"","NO CAT",""))</f>
        <v>Direct Assign Items Not in RB</v>
      </c>
      <c r="P62" s="170" t="s">
        <v>1186</v>
      </c>
      <c r="Q62" s="123" t="s">
        <v>1187</v>
      </c>
      <c r="R62" s="124">
        <v>0</v>
      </c>
      <c r="S62" s="124">
        <v>0</v>
      </c>
      <c r="T62" s="124">
        <v>1</v>
      </c>
      <c r="U62" s="121">
        <f t="shared" si="31"/>
        <v>0</v>
      </c>
      <c r="V62" s="121">
        <f t="shared" si="32"/>
        <v>0</v>
      </c>
      <c r="W62" s="121">
        <f t="shared" si="33"/>
        <v>-357418.75</v>
      </c>
      <c r="X62" s="121">
        <f t="shared" si="34"/>
        <v>-357418.75</v>
      </c>
      <c r="Y62" s="121">
        <f t="shared" si="35"/>
        <v>0</v>
      </c>
      <c r="Z62" s="121">
        <f t="shared" si="36"/>
        <v>0</v>
      </c>
      <c r="AA62" s="121">
        <f t="shared" si="37"/>
        <v>-359125</v>
      </c>
      <c r="AB62" s="121">
        <f t="shared" si="38"/>
        <v>-359125</v>
      </c>
      <c r="AC62" s="121">
        <v>-355975</v>
      </c>
      <c r="AD62" s="121">
        <v>-355975</v>
      </c>
      <c r="AE62" s="121">
        <v>-355975</v>
      </c>
      <c r="AF62" s="121">
        <v>-355975</v>
      </c>
      <c r="AG62" s="121">
        <v>-355975</v>
      </c>
      <c r="AH62" s="121">
        <v>-355975</v>
      </c>
      <c r="AI62" s="121">
        <v>-355975</v>
      </c>
      <c r="AJ62" s="121">
        <v>-359125</v>
      </c>
      <c r="AK62" s="121">
        <v>-359125</v>
      </c>
      <c r="AL62" s="121">
        <v>-359125</v>
      </c>
      <c r="AM62" s="121">
        <v>-359125</v>
      </c>
      <c r="AN62" s="121">
        <v>-359125</v>
      </c>
      <c r="AO62" s="121">
        <v>-359125</v>
      </c>
      <c r="AP62" s="125" t="str">
        <f>CONCATENATE(A62,M62)</f>
        <v>GLN</v>
      </c>
      <c r="AQ62" s="125" t="str">
        <f>CONCATENATE(AP62,L62,H62)</f>
        <v>GLNN2Temporary Cash Investments</v>
      </c>
      <c r="AS62" s="125" t="str">
        <f>CONCATENATE(L62,H62,J62)</f>
        <v>N2Temporary Cash Investments</v>
      </c>
    </row>
    <row r="63" spans="1:45" s="125" customFormat="1" ht="25.5" customHeight="1">
      <c r="A63" s="216" t="s">
        <v>2493</v>
      </c>
      <c r="B63" s="217" t="str">
        <f t="shared" si="39"/>
        <v>GL142010</v>
      </c>
      <c r="C63" s="186">
        <v>142010</v>
      </c>
      <c r="D63" s="201"/>
      <c r="E63" s="162"/>
      <c r="F63" s="169" t="s">
        <v>1313</v>
      </c>
      <c r="G63" s="117"/>
      <c r="H63" s="118" t="s">
        <v>2421</v>
      </c>
      <c r="I63" s="119"/>
      <c r="J63" s="120"/>
      <c r="K63" s="120" t="str">
        <f t="shared" si="40"/>
        <v/>
      </c>
      <c r="L63" s="170" t="s">
        <v>1419</v>
      </c>
      <c r="M63" s="122" t="str">
        <f t="shared" si="21"/>
        <v>A</v>
      </c>
      <c r="N63" s="116" t="str">
        <f>IF($L63&lt;&gt;"",VLOOKUP($L63,Categories!$E:$G,2,FALSE),IF($F63&lt;&gt;"","NO CAT",""))</f>
        <v>All Other</v>
      </c>
      <c r="O63" s="116" t="str">
        <f>IF($L63&lt;&gt;"",VLOOKUP($L63,Categories!$E:$G,3,FALSE),IF($F63&lt;&gt;"","NO CAT",""))</f>
        <v>EB-Cap</v>
      </c>
      <c r="P63" s="170" t="s">
        <v>1557</v>
      </c>
      <c r="Q63" s="123" t="s">
        <v>1891</v>
      </c>
      <c r="R63" s="124">
        <v>0.77544352505021785</v>
      </c>
      <c r="S63" s="124">
        <v>0.22455647494978223</v>
      </c>
      <c r="T63" s="124">
        <v>0</v>
      </c>
      <c r="U63" s="121">
        <f t="shared" si="31"/>
        <v>148863.62597493501</v>
      </c>
      <c r="V63" s="121">
        <f t="shared" si="32"/>
        <v>43108.608192981599</v>
      </c>
      <c r="W63" s="121">
        <f t="shared" si="33"/>
        <v>0</v>
      </c>
      <c r="X63" s="121">
        <f t="shared" si="34"/>
        <v>191972.23416791699</v>
      </c>
      <c r="Y63" s="121">
        <f t="shared" si="35"/>
        <v>120777.30543825599</v>
      </c>
      <c r="Z63" s="121">
        <f t="shared" si="36"/>
        <v>34975.243311744103</v>
      </c>
      <c r="AA63" s="121">
        <f t="shared" si="37"/>
        <v>0</v>
      </c>
      <c r="AB63" s="121">
        <f t="shared" si="38"/>
        <v>155752.54874999999</v>
      </c>
      <c r="AC63" s="121">
        <v>165105.08596</v>
      </c>
      <c r="AD63" s="121">
        <v>199799.75422999999</v>
      </c>
      <c r="AE63" s="121">
        <v>237746.76086000001</v>
      </c>
      <c r="AF63" s="121">
        <v>234758.72411000001</v>
      </c>
      <c r="AG63" s="121">
        <v>217395.51168</v>
      </c>
      <c r="AH63" s="121">
        <v>204070.69996</v>
      </c>
      <c r="AI63" s="121">
        <v>195865.38224000001</v>
      </c>
      <c r="AJ63" s="121">
        <v>188070.12711</v>
      </c>
      <c r="AK63" s="121">
        <v>179373.69466000001</v>
      </c>
      <c r="AL63" s="121">
        <v>169850.94865999999</v>
      </c>
      <c r="AM63" s="121">
        <v>148653.27128000002</v>
      </c>
      <c r="AN63" s="121">
        <v>167653.11787000002</v>
      </c>
      <c r="AO63" s="121">
        <v>155752.54874999999</v>
      </c>
      <c r="AP63" s="125" t="str">
        <f>CONCATENATE(A63,M63)</f>
        <v>GLA</v>
      </c>
      <c r="AQ63" s="125" t="str">
        <f>CONCATENATE(AP63,L63,H63)</f>
        <v>GLAA2Accounts Receivable</v>
      </c>
      <c r="AS63" s="125" t="str">
        <f>CONCATENATE(L63,H63,J63)</f>
        <v>A2Accounts Receivable</v>
      </c>
    </row>
    <row r="64" spans="1:45" s="125" customFormat="1" ht="25.5" customHeight="1">
      <c r="A64" s="216" t="s">
        <v>2493</v>
      </c>
      <c r="B64" s="217" t="str">
        <f t="shared" si="39"/>
        <v>GL142190</v>
      </c>
      <c r="C64" s="186">
        <v>142190</v>
      </c>
      <c r="D64" s="201"/>
      <c r="E64" s="162"/>
      <c r="F64" s="169" t="s">
        <v>1714</v>
      </c>
      <c r="G64" s="117"/>
      <c r="H64" s="118" t="s">
        <v>2421</v>
      </c>
      <c r="I64" s="119"/>
      <c r="J64" s="120"/>
      <c r="K64" s="120" t="str">
        <f t="shared" si="40"/>
        <v/>
      </c>
      <c r="L64" s="170" t="s">
        <v>1419</v>
      </c>
      <c r="M64" s="122" t="str">
        <f t="shared" ref="M64:M100" si="41">LEFT(L64,1)</f>
        <v>A</v>
      </c>
      <c r="N64" s="116" t="str">
        <f>IF($L64&lt;&gt;"",VLOOKUP($L64,Categories!$E:$G,2,FALSE),IF($F64&lt;&gt;"","NO CAT",""))</f>
        <v>All Other</v>
      </c>
      <c r="O64" s="116" t="str">
        <f>IF($L64&lt;&gt;"",VLOOKUP($L64,Categories!$E:$G,3,FALSE),IF($F64&lt;&gt;"","NO CAT",""))</f>
        <v>EB-Cap</v>
      </c>
      <c r="P64" s="170" t="s">
        <v>1557</v>
      </c>
      <c r="Q64" s="123" t="s">
        <v>1891</v>
      </c>
      <c r="R64" s="124">
        <v>0.77544352505021785</v>
      </c>
      <c r="S64" s="124">
        <v>0.22455647494978223</v>
      </c>
      <c r="T64" s="124">
        <v>0</v>
      </c>
      <c r="U64" s="121">
        <f t="shared" si="31"/>
        <v>-28.3891154002701</v>
      </c>
      <c r="V64" s="121">
        <f t="shared" si="32"/>
        <v>-8.2210495997298896</v>
      </c>
      <c r="W64" s="121">
        <f t="shared" si="33"/>
        <v>0</v>
      </c>
      <c r="X64" s="121">
        <f t="shared" si="34"/>
        <v>-36.610165000000002</v>
      </c>
      <c r="Y64" s="121">
        <f t="shared" si="35"/>
        <v>-25.526724593469901</v>
      </c>
      <c r="Z64" s="121">
        <f t="shared" si="36"/>
        <v>-7.3921454065301404</v>
      </c>
      <c r="AA64" s="121">
        <f t="shared" si="37"/>
        <v>0</v>
      </c>
      <c r="AB64" s="121">
        <f t="shared" si="38"/>
        <v>-32.918870000000005</v>
      </c>
      <c r="AC64" s="121">
        <v>-28.26407</v>
      </c>
      <c r="AD64" s="121">
        <v>-120.07144</v>
      </c>
      <c r="AE64" s="121">
        <v>-66.765270000000001</v>
      </c>
      <c r="AF64" s="121">
        <v>-3.1029599999999999</v>
      </c>
      <c r="AG64" s="121">
        <v>8.8142600000000009</v>
      </c>
      <c r="AH64" s="121">
        <v>17.935080000000003</v>
      </c>
      <c r="AI64" s="121">
        <v>28.649740000000001</v>
      </c>
      <c r="AJ64" s="121">
        <v>12.88974</v>
      </c>
      <c r="AK64" s="121">
        <v>51.17651</v>
      </c>
      <c r="AL64" s="121">
        <v>-365.35432000000003</v>
      </c>
      <c r="AM64" s="121">
        <v>10.6936</v>
      </c>
      <c r="AN64" s="121">
        <v>16.40455</v>
      </c>
      <c r="AO64" s="121">
        <v>-32.918870000000005</v>
      </c>
      <c r="AP64" s="125" t="str">
        <f>CONCATENATE(A64,M64)</f>
        <v>GLA</v>
      </c>
      <c r="AQ64" s="125" t="str">
        <f>CONCATENATE(AP64,L64,H64)</f>
        <v>GLAA2Accounts Receivable</v>
      </c>
      <c r="AS64" s="125" t="str">
        <f>CONCATENATE(L64,H64,J64)</f>
        <v>A2Accounts Receivable</v>
      </c>
    </row>
    <row r="65" spans="1:45" s="125" customFormat="1" ht="25.5" customHeight="1">
      <c r="A65" s="216" t="s">
        <v>2493</v>
      </c>
      <c r="B65" s="217" t="str">
        <f t="shared" si="39"/>
        <v>GL142220</v>
      </c>
      <c r="C65" s="186">
        <v>142220</v>
      </c>
      <c r="D65" s="201"/>
      <c r="E65" s="162"/>
      <c r="F65" s="169" t="s">
        <v>2458</v>
      </c>
      <c r="G65" s="117"/>
      <c r="H65" s="118" t="s">
        <v>2421</v>
      </c>
      <c r="I65" s="119"/>
      <c r="J65" s="120"/>
      <c r="K65" s="120" t="str">
        <f t="shared" si="40"/>
        <v/>
      </c>
      <c r="L65" s="170" t="s">
        <v>1419</v>
      </c>
      <c r="M65" s="122" t="str">
        <f t="shared" si="41"/>
        <v>A</v>
      </c>
      <c r="N65" s="116" t="str">
        <f>IF($L65&lt;&gt;"",VLOOKUP($L65,Categories!$E:$G,2,FALSE),IF($F65&lt;&gt;"","NO CAT",""))</f>
        <v>All Other</v>
      </c>
      <c r="O65" s="116" t="str">
        <f>IF($L65&lt;&gt;"",VLOOKUP($L65,Categories!$E:$G,3,FALSE),IF($F65&lt;&gt;"","NO CAT",""))</f>
        <v>EB-Cap</v>
      </c>
      <c r="P65" s="170" t="s">
        <v>1557</v>
      </c>
      <c r="Q65" s="123" t="s">
        <v>1891</v>
      </c>
      <c r="R65" s="124">
        <v>0.77544352505021785</v>
      </c>
      <c r="S65" s="124">
        <v>0.22455647494978223</v>
      </c>
      <c r="T65" s="124">
        <v>0</v>
      </c>
      <c r="U65" s="121">
        <f t="shared" si="31"/>
        <v>24.8393624060242</v>
      </c>
      <c r="V65" s="121">
        <f t="shared" si="32"/>
        <v>7.1930959273091002</v>
      </c>
      <c r="W65" s="121">
        <f t="shared" si="33"/>
        <v>0</v>
      </c>
      <c r="X65" s="121">
        <f t="shared" si="34"/>
        <v>32.032458333333302</v>
      </c>
      <c r="Y65" s="121" t="str">
        <f t="shared" si="35"/>
        <v/>
      </c>
      <c r="Z65" s="121" t="str">
        <f t="shared" si="36"/>
        <v/>
      </c>
      <c r="AA65" s="121" t="str">
        <f t="shared" si="37"/>
        <v/>
      </c>
      <c r="AB65" s="121">
        <f t="shared" si="38"/>
        <v>0</v>
      </c>
      <c r="AC65" s="121">
        <v>60.534999999999997</v>
      </c>
      <c r="AD65" s="121">
        <v>162.35</v>
      </c>
      <c r="AE65" s="121">
        <v>94.597999999999999</v>
      </c>
      <c r="AF65" s="121">
        <v>97.174000000000007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v>0</v>
      </c>
      <c r="AO65" s="121">
        <v>0</v>
      </c>
      <c r="AP65" s="125" t="str">
        <f>CONCATENATE(A65,M65)</f>
        <v>GLA</v>
      </c>
      <c r="AQ65" s="125" t="str">
        <f>CONCATENATE(AP65,L65,H65)</f>
        <v>GLAA2Accounts Receivable</v>
      </c>
      <c r="AS65" s="125" t="str">
        <f>CONCATENATE(L65,H65,J65)</f>
        <v>A2Accounts Receivable</v>
      </c>
    </row>
    <row r="66" spans="1:45" s="125" customFormat="1" ht="25.5" customHeight="1">
      <c r="A66" s="216" t="s">
        <v>2493</v>
      </c>
      <c r="B66" s="217" t="str">
        <f t="shared" si="39"/>
        <v>GL142300</v>
      </c>
      <c r="C66" s="186">
        <v>142300</v>
      </c>
      <c r="D66" s="201"/>
      <c r="E66" s="162"/>
      <c r="F66" s="169" t="s">
        <v>1211</v>
      </c>
      <c r="G66" s="117"/>
      <c r="H66" s="118" t="s">
        <v>2421</v>
      </c>
      <c r="I66" s="119"/>
      <c r="J66" s="120"/>
      <c r="K66" s="120" t="str">
        <f t="shared" si="40"/>
        <v/>
      </c>
      <c r="L66" s="170" t="s">
        <v>1419</v>
      </c>
      <c r="M66" s="122" t="str">
        <f t="shared" si="41"/>
        <v>A</v>
      </c>
      <c r="N66" s="116" t="str">
        <f>IF($L66&lt;&gt;"",VLOOKUP($L66,Categories!$E:$G,2,FALSE),IF($F66&lt;&gt;"","NO CAT",""))</f>
        <v>All Other</v>
      </c>
      <c r="O66" s="116" t="str">
        <f>IF($L66&lt;&gt;"",VLOOKUP($L66,Categories!$E:$G,3,FALSE),IF($F66&lt;&gt;"","NO CAT",""))</f>
        <v>EB-Cap</v>
      </c>
      <c r="P66" s="170" t="s">
        <v>1557</v>
      </c>
      <c r="Q66" s="123" t="s">
        <v>1891</v>
      </c>
      <c r="R66" s="124">
        <v>0.77544352505021785</v>
      </c>
      <c r="S66" s="124">
        <v>0.22455647494978223</v>
      </c>
      <c r="T66" s="124">
        <v>0</v>
      </c>
      <c r="U66" s="121">
        <f t="shared" si="31"/>
        <v>6900.5266377996204</v>
      </c>
      <c r="V66" s="121">
        <f t="shared" si="32"/>
        <v>1998.2859963670501</v>
      </c>
      <c r="W66" s="121">
        <f t="shared" si="33"/>
        <v>0</v>
      </c>
      <c r="X66" s="121">
        <f t="shared" si="34"/>
        <v>8898.8126341666703</v>
      </c>
      <c r="Y66" s="121">
        <f t="shared" si="35"/>
        <v>3447.3765232697701</v>
      </c>
      <c r="Z66" s="121">
        <f t="shared" si="36"/>
        <v>998.30702673023404</v>
      </c>
      <c r="AA66" s="121">
        <f t="shared" si="37"/>
        <v>0</v>
      </c>
      <c r="AB66" s="121">
        <f t="shared" si="38"/>
        <v>4445.6835499999997</v>
      </c>
      <c r="AC66" s="121">
        <v>5449.74899</v>
      </c>
      <c r="AD66" s="121">
        <v>31402.81954</v>
      </c>
      <c r="AE66" s="121">
        <v>18136.341649999998</v>
      </c>
      <c r="AF66" s="121">
        <v>16195.83509</v>
      </c>
      <c r="AG66" s="121">
        <v>7744.1337899999999</v>
      </c>
      <c r="AH66" s="121">
        <v>4704.7358600000007</v>
      </c>
      <c r="AI66" s="121">
        <v>3328.7467700000002</v>
      </c>
      <c r="AJ66" s="121">
        <v>5532.2570599999999</v>
      </c>
      <c r="AK66" s="121">
        <v>3622.1586499999999</v>
      </c>
      <c r="AL66" s="121">
        <v>2625.5941800000001</v>
      </c>
      <c r="AM66" s="121">
        <v>1659.8244299999999</v>
      </c>
      <c r="AN66" s="121">
        <v>6885.5883200000007</v>
      </c>
      <c r="AO66" s="121">
        <v>4445.6835499999997</v>
      </c>
      <c r="AP66" s="125" t="str">
        <f>CONCATENATE(A66,M66)</f>
        <v>GLA</v>
      </c>
      <c r="AQ66" s="125" t="str">
        <f>CONCATENATE(AP66,L66,H66)</f>
        <v>GLAA2Accounts Receivable</v>
      </c>
      <c r="AS66" s="125" t="str">
        <f>CONCATENATE(L66,H66,J66)</f>
        <v>A2Accounts Receivable</v>
      </c>
    </row>
    <row r="67" spans="1:45" s="125" customFormat="1" ht="25.5" customHeight="1">
      <c r="A67" s="216" t="s">
        <v>2493</v>
      </c>
      <c r="B67" s="217" t="str">
        <f t="shared" si="39"/>
        <v>GL142500</v>
      </c>
      <c r="C67" s="186">
        <v>142500</v>
      </c>
      <c r="D67" s="201"/>
      <c r="E67" s="162"/>
      <c r="F67" s="169" t="s">
        <v>2443</v>
      </c>
      <c r="G67" s="117"/>
      <c r="H67" s="118" t="s">
        <v>2421</v>
      </c>
      <c r="I67" s="119"/>
      <c r="J67" s="120"/>
      <c r="K67" s="120" t="str">
        <f t="shared" si="40"/>
        <v/>
      </c>
      <c r="L67" s="170" t="s">
        <v>1419</v>
      </c>
      <c r="M67" s="122" t="str">
        <f t="shared" si="41"/>
        <v>A</v>
      </c>
      <c r="N67" s="116" t="str">
        <f>IF($L67&lt;&gt;"",VLOOKUP($L67,Categories!$E:$G,2,FALSE),IF($F67&lt;&gt;"","NO CAT",""))</f>
        <v>All Other</v>
      </c>
      <c r="O67" s="116" t="str">
        <f>IF($L67&lt;&gt;"",VLOOKUP($L67,Categories!$E:$G,3,FALSE),IF($F67&lt;&gt;"","NO CAT",""))</f>
        <v>EB-Cap</v>
      </c>
      <c r="P67" s="170" t="s">
        <v>1557</v>
      </c>
      <c r="Q67" s="123" t="s">
        <v>1891</v>
      </c>
      <c r="R67" s="124">
        <v>0.77544352505021785</v>
      </c>
      <c r="S67" s="124">
        <v>0.22455647494978223</v>
      </c>
      <c r="T67" s="124">
        <v>0</v>
      </c>
      <c r="U67" s="121">
        <f t="shared" si="31"/>
        <v>21.8048147360246</v>
      </c>
      <c r="V67" s="121">
        <f t="shared" si="32"/>
        <v>6.3143377639753604</v>
      </c>
      <c r="W67" s="121">
        <f t="shared" si="33"/>
        <v>0</v>
      </c>
      <c r="X67" s="121">
        <f t="shared" si="34"/>
        <v>28.119152499999998</v>
      </c>
      <c r="Y67" s="121">
        <f t="shared" si="35"/>
        <v>0.215201087071936</v>
      </c>
      <c r="Z67" s="121">
        <f t="shared" si="36"/>
        <v>6.2318912928063998E-2</v>
      </c>
      <c r="AA67" s="121">
        <f t="shared" si="37"/>
        <v>0</v>
      </c>
      <c r="AB67" s="121">
        <f t="shared" si="38"/>
        <v>0.27751999999999999</v>
      </c>
      <c r="AC67" s="121">
        <v>504.29935999999998</v>
      </c>
      <c r="AD67" s="121">
        <v>0</v>
      </c>
      <c r="AE67" s="121">
        <v>0.26305000000000001</v>
      </c>
      <c r="AF67" s="121">
        <v>11.33107</v>
      </c>
      <c r="AG67" s="121">
        <v>18.18751</v>
      </c>
      <c r="AH67" s="121">
        <v>23.44942</v>
      </c>
      <c r="AI67" s="121">
        <v>23.925849999999997</v>
      </c>
      <c r="AJ67" s="121">
        <v>-5.9999999999999995E-5</v>
      </c>
      <c r="AK67" s="121">
        <v>0.95965999999999996</v>
      </c>
      <c r="AL67" s="121">
        <v>-5.9999999999999995E-5</v>
      </c>
      <c r="AM67" s="121">
        <v>7.02501</v>
      </c>
      <c r="AN67" s="121">
        <v>-5.9999999999999995E-5</v>
      </c>
      <c r="AO67" s="121">
        <v>0.27751999999999999</v>
      </c>
      <c r="AP67" s="125" t="str">
        <f>CONCATENATE(A67,M67)</f>
        <v>GLA</v>
      </c>
      <c r="AQ67" s="125" t="str">
        <f>CONCATENATE(AP67,L67,H67)</f>
        <v>GLAA2Accounts Receivable</v>
      </c>
      <c r="AS67" s="125" t="str">
        <f>CONCATENATE(L67,H67,J67)</f>
        <v>A2Accounts Receivable</v>
      </c>
    </row>
    <row r="68" spans="1:45" s="125" customFormat="1" ht="25.5" customHeight="1">
      <c r="A68" s="216" t="s">
        <v>2493</v>
      </c>
      <c r="B68" s="217" t="str">
        <f t="shared" si="39"/>
        <v>GL142505</v>
      </c>
      <c r="C68" s="186">
        <v>142505</v>
      </c>
      <c r="D68" s="201"/>
      <c r="E68" s="162"/>
      <c r="F68" s="169" t="s">
        <v>2444</v>
      </c>
      <c r="G68" s="117"/>
      <c r="H68" s="118" t="s">
        <v>1180</v>
      </c>
      <c r="I68" s="119"/>
      <c r="J68" s="120"/>
      <c r="K68" s="120" t="str">
        <f t="shared" si="40"/>
        <v/>
      </c>
      <c r="L68" s="170" t="s">
        <v>1419</v>
      </c>
      <c r="M68" s="122" t="str">
        <f t="shared" si="41"/>
        <v>A</v>
      </c>
      <c r="N68" s="116" t="str">
        <f>IF($L68&lt;&gt;"",VLOOKUP($L68,Categories!$E:$G,2,FALSE),IF($F68&lt;&gt;"","NO CAT",""))</f>
        <v>All Other</v>
      </c>
      <c r="O68" s="116" t="str">
        <f>IF($L68&lt;&gt;"",VLOOKUP($L68,Categories!$E:$G,3,FALSE),IF($F68&lt;&gt;"","NO CAT",""))</f>
        <v>EB-Cap</v>
      </c>
      <c r="P68" s="170" t="s">
        <v>1557</v>
      </c>
      <c r="Q68" s="123" t="s">
        <v>1891</v>
      </c>
      <c r="R68" s="124">
        <v>0.77544352505021785</v>
      </c>
      <c r="S68" s="124">
        <v>0.22455647494978223</v>
      </c>
      <c r="T68" s="124">
        <v>0</v>
      </c>
      <c r="U68" s="121">
        <f t="shared" si="31"/>
        <v>-38.514510908702803</v>
      </c>
      <c r="V68" s="121">
        <f t="shared" si="32"/>
        <v>-11.153207841297201</v>
      </c>
      <c r="W68" s="121">
        <f t="shared" si="33"/>
        <v>0</v>
      </c>
      <c r="X68" s="121">
        <f t="shared" si="34"/>
        <v>-49.667718749999999</v>
      </c>
      <c r="Y68" s="121" t="str">
        <f t="shared" si="35"/>
        <v/>
      </c>
      <c r="Z68" s="121" t="str">
        <f t="shared" si="36"/>
        <v/>
      </c>
      <c r="AA68" s="121" t="str">
        <f t="shared" si="37"/>
        <v/>
      </c>
      <c r="AB68" s="121">
        <f t="shared" si="38"/>
        <v>0</v>
      </c>
      <c r="AC68" s="121">
        <v>-79.017630000000011</v>
      </c>
      <c r="AD68" s="121">
        <v>-23.701349999999998</v>
      </c>
      <c r="AE68" s="121">
        <v>28.86581</v>
      </c>
      <c r="AF68" s="121">
        <v>-22.15598</v>
      </c>
      <c r="AG68" s="121">
        <v>-49.599959999999996</v>
      </c>
      <c r="AH68" s="121">
        <v>-66.177960000000013</v>
      </c>
      <c r="AI68" s="121">
        <v>-64.871400000000008</v>
      </c>
      <c r="AJ68" s="121">
        <v>-68.612780000000001</v>
      </c>
      <c r="AK68" s="121">
        <v>-69.829089999999994</v>
      </c>
      <c r="AL68" s="121">
        <v>-65.426169999999999</v>
      </c>
      <c r="AM68" s="121">
        <v>-62.880580000000002</v>
      </c>
      <c r="AN68" s="121">
        <v>-92.114350000000002</v>
      </c>
      <c r="AO68" s="121">
        <v>0</v>
      </c>
      <c r="AP68" s="125" t="str">
        <f>CONCATENATE(A68,M68)</f>
        <v>GLA</v>
      </c>
      <c r="AQ68" s="125" t="str">
        <f>CONCATENATE(AP68,L68,H68)</f>
        <v>GLAA2</v>
      </c>
      <c r="AS68" s="125" t="str">
        <f>CONCATENATE(L68,H68,J68)</f>
        <v>A2</v>
      </c>
    </row>
    <row r="69" spans="1:45" s="125" customFormat="1" ht="25.5" customHeight="1">
      <c r="A69" s="216" t="s">
        <v>2493</v>
      </c>
      <c r="B69" s="217" t="str">
        <f t="shared" si="39"/>
        <v>GL142515</v>
      </c>
      <c r="C69" s="186">
        <v>142515</v>
      </c>
      <c r="D69" s="201"/>
      <c r="E69" s="162"/>
      <c r="F69" s="169" t="s">
        <v>1215</v>
      </c>
      <c r="G69" s="117"/>
      <c r="H69" s="118" t="e">
        <v>#N/A</v>
      </c>
      <c r="I69" s="119"/>
      <c r="J69" s="120"/>
      <c r="K69" s="120" t="str">
        <f t="shared" si="40"/>
        <v/>
      </c>
      <c r="L69" s="170" t="s">
        <v>1419</v>
      </c>
      <c r="M69" s="122" t="str">
        <f t="shared" si="41"/>
        <v>A</v>
      </c>
      <c r="N69" s="116" t="str">
        <f>IF($L69&lt;&gt;"",VLOOKUP($L69,Categories!$E:$G,2,FALSE),IF($F69&lt;&gt;"","NO CAT",""))</f>
        <v>All Other</v>
      </c>
      <c r="O69" s="116" t="str">
        <f>IF($L69&lt;&gt;"",VLOOKUP($L69,Categories!$E:$G,3,FALSE),IF($F69&lt;&gt;"","NO CAT",""))</f>
        <v>EB-Cap</v>
      </c>
      <c r="P69" s="170" t="s">
        <v>1557</v>
      </c>
      <c r="Q69" s="123" t="s">
        <v>1891</v>
      </c>
      <c r="R69" s="124">
        <v>0.77544352505021785</v>
      </c>
      <c r="S69" s="124">
        <v>0.22455647494978223</v>
      </c>
      <c r="T69" s="124">
        <v>0</v>
      </c>
      <c r="U69" s="121">
        <f t="shared" si="31"/>
        <v>535.31689213267998</v>
      </c>
      <c r="V69" s="121">
        <f t="shared" si="32"/>
        <v>155.01950870065301</v>
      </c>
      <c r="W69" s="121">
        <f t="shared" si="33"/>
        <v>0</v>
      </c>
      <c r="X69" s="121">
        <f t="shared" si="34"/>
        <v>690.33640083333296</v>
      </c>
      <c r="Y69" s="121">
        <f t="shared" si="35"/>
        <v>484.36003929945298</v>
      </c>
      <c r="Z69" s="121">
        <f t="shared" si="36"/>
        <v>140.263190700547</v>
      </c>
      <c r="AA69" s="121">
        <f t="shared" si="37"/>
        <v>0</v>
      </c>
      <c r="AB69" s="121">
        <f t="shared" si="38"/>
        <v>624.62323000000004</v>
      </c>
      <c r="AC69" s="121">
        <v>710.80291</v>
      </c>
      <c r="AD69" s="121">
        <v>1381.7513799999999</v>
      </c>
      <c r="AE69" s="121">
        <v>1774.4684299999999</v>
      </c>
      <c r="AF69" s="121">
        <v>1232.2523700000002</v>
      </c>
      <c r="AG69" s="121">
        <v>727.90495999999996</v>
      </c>
      <c r="AH69" s="121">
        <v>571.73103000000003</v>
      </c>
      <c r="AI69" s="121">
        <v>376.59133000000003</v>
      </c>
      <c r="AJ69" s="121">
        <v>269.8913</v>
      </c>
      <c r="AK69" s="121">
        <v>211.77545000000001</v>
      </c>
      <c r="AL69" s="121">
        <v>171.12370000000001</v>
      </c>
      <c r="AM69" s="121">
        <v>141.64209</v>
      </c>
      <c r="AN69" s="121">
        <v>757.19169999999997</v>
      </c>
      <c r="AO69" s="121">
        <v>624.62323000000004</v>
      </c>
      <c r="AP69" s="125" t="str">
        <f>CONCATENATE(A69,M69)</f>
        <v>GLA</v>
      </c>
      <c r="AQ69" s="125" t="e">
        <f>CONCATENATE(AP69,L69,H69)</f>
        <v>#N/A</v>
      </c>
      <c r="AS69" s="125" t="e">
        <f>CONCATENATE(L69,H69,J69)</f>
        <v>#N/A</v>
      </c>
    </row>
    <row r="70" spans="1:45" s="125" customFormat="1" ht="25.5" customHeight="1">
      <c r="A70" s="216" t="s">
        <v>2493</v>
      </c>
      <c r="B70" s="217" t="str">
        <f t="shared" si="39"/>
        <v>GL142520</v>
      </c>
      <c r="C70" s="186">
        <v>142520</v>
      </c>
      <c r="D70" s="201"/>
      <c r="E70" s="162"/>
      <c r="F70" s="169" t="s">
        <v>119</v>
      </c>
      <c r="G70" s="117"/>
      <c r="H70" s="118">
        <v>0</v>
      </c>
      <c r="I70" s="119"/>
      <c r="J70" s="120"/>
      <c r="K70" s="120" t="str">
        <f t="shared" si="40"/>
        <v/>
      </c>
      <c r="L70" s="170" t="s">
        <v>1419</v>
      </c>
      <c r="M70" s="122" t="str">
        <f t="shared" si="41"/>
        <v>A</v>
      </c>
      <c r="N70" s="116" t="str">
        <f>IF($L70&lt;&gt;"",VLOOKUP($L70,Categories!$E:$G,2,FALSE),IF($F70&lt;&gt;"","NO CAT",""))</f>
        <v>All Other</v>
      </c>
      <c r="O70" s="116" t="str">
        <f>IF($L70&lt;&gt;"",VLOOKUP($L70,Categories!$E:$G,3,FALSE),IF($F70&lt;&gt;"","NO CAT",""))</f>
        <v>EB-Cap</v>
      </c>
      <c r="P70" s="170" t="s">
        <v>1557</v>
      </c>
      <c r="Q70" s="123" t="s">
        <v>1891</v>
      </c>
      <c r="R70" s="124">
        <v>0.77544352505021785</v>
      </c>
      <c r="S70" s="124">
        <v>0.22455647494978223</v>
      </c>
      <c r="T70" s="124">
        <v>0</v>
      </c>
      <c r="U70" s="121">
        <f t="shared" si="31"/>
        <v>11.180926326817801</v>
      </c>
      <c r="V70" s="121">
        <f t="shared" si="32"/>
        <v>3.2378236731821701</v>
      </c>
      <c r="W70" s="121">
        <f t="shared" si="33"/>
        <v>0</v>
      </c>
      <c r="X70" s="121">
        <f t="shared" si="34"/>
        <v>14.418749999999999</v>
      </c>
      <c r="Y70" s="121">
        <f t="shared" si="35"/>
        <v>11.321475465733201</v>
      </c>
      <c r="Z70" s="121">
        <f t="shared" si="36"/>
        <v>3.2785245342668201</v>
      </c>
      <c r="AA70" s="121">
        <f t="shared" si="37"/>
        <v>0</v>
      </c>
      <c r="AB70" s="121">
        <f t="shared" si="38"/>
        <v>14.6</v>
      </c>
      <c r="AC70" s="121">
        <v>14.45</v>
      </c>
      <c r="AD70" s="121">
        <v>14.45</v>
      </c>
      <c r="AE70" s="121">
        <v>14.25</v>
      </c>
      <c r="AF70" s="121">
        <v>14.25</v>
      </c>
      <c r="AG70" s="121">
        <v>14.65</v>
      </c>
      <c r="AH70" s="121">
        <v>14.5</v>
      </c>
      <c r="AI70" s="121">
        <v>14.3</v>
      </c>
      <c r="AJ70" s="121">
        <v>14.3</v>
      </c>
      <c r="AK70" s="121">
        <v>14.3</v>
      </c>
      <c r="AL70" s="121">
        <v>14.5</v>
      </c>
      <c r="AM70" s="121">
        <v>14.5</v>
      </c>
      <c r="AN70" s="121">
        <v>14.5</v>
      </c>
      <c r="AO70" s="121">
        <v>14.6</v>
      </c>
      <c r="AP70" s="125" t="str">
        <f>CONCATENATE(A70,M70)</f>
        <v>GLA</v>
      </c>
      <c r="AQ70" s="125" t="str">
        <f>CONCATENATE(AP70,L70,H70)</f>
        <v>GLAA20</v>
      </c>
      <c r="AS70" s="125" t="str">
        <f>CONCATENATE(L70,H70,J70)</f>
        <v>A20</v>
      </c>
    </row>
    <row r="71" spans="1:45" s="125" customFormat="1" ht="25.5" customHeight="1">
      <c r="A71" s="216" t="s">
        <v>2493</v>
      </c>
      <c r="B71" s="217" t="str">
        <f t="shared" si="39"/>
        <v>GL143005</v>
      </c>
      <c r="C71" s="186">
        <v>143005</v>
      </c>
      <c r="D71" s="201"/>
      <c r="E71" s="162"/>
      <c r="F71" s="169" t="s">
        <v>656</v>
      </c>
      <c r="G71" s="117"/>
      <c r="H71" s="118" t="s">
        <v>2421</v>
      </c>
      <c r="I71" s="119"/>
      <c r="J71" s="120"/>
      <c r="K71" s="120" t="str">
        <f t="shared" si="40"/>
        <v/>
      </c>
      <c r="L71" s="170" t="s">
        <v>1419</v>
      </c>
      <c r="M71" s="122" t="str">
        <f t="shared" si="41"/>
        <v>A</v>
      </c>
      <c r="N71" s="116" t="str">
        <f>IF($L71&lt;&gt;"",VLOOKUP($L71,Categories!$E:$G,2,FALSE),IF($F71&lt;&gt;"","NO CAT",""))</f>
        <v>All Other</v>
      </c>
      <c r="O71" s="116" t="str">
        <f>IF($L71&lt;&gt;"",VLOOKUP($L71,Categories!$E:$G,3,FALSE),IF($F71&lt;&gt;"","NO CAT",""))</f>
        <v>EB-Cap</v>
      </c>
      <c r="P71" s="170" t="s">
        <v>1557</v>
      </c>
      <c r="Q71" s="123" t="s">
        <v>1891</v>
      </c>
      <c r="R71" s="124">
        <v>0.77544352505021785</v>
      </c>
      <c r="S71" s="124">
        <v>0.22455647494978223</v>
      </c>
      <c r="T71" s="124">
        <v>0</v>
      </c>
      <c r="U71" s="121">
        <f t="shared" si="31"/>
        <v>12636.129990670601</v>
      </c>
      <c r="V71" s="121">
        <f t="shared" si="32"/>
        <v>3659.2281914127202</v>
      </c>
      <c r="W71" s="121">
        <f t="shared" si="33"/>
        <v>0</v>
      </c>
      <c r="X71" s="121">
        <f t="shared" si="34"/>
        <v>16295.358182083301</v>
      </c>
      <c r="Y71" s="121">
        <f t="shared" si="35"/>
        <v>3611.9179856578298</v>
      </c>
      <c r="Z71" s="121">
        <f t="shared" si="36"/>
        <v>1045.9556943421701</v>
      </c>
      <c r="AA71" s="121">
        <f t="shared" si="37"/>
        <v>0</v>
      </c>
      <c r="AB71" s="121">
        <f t="shared" si="38"/>
        <v>4657.8736799999997</v>
      </c>
      <c r="AC71" s="121">
        <v>24796.374170000003</v>
      </c>
      <c r="AD71" s="121">
        <v>20309.105649999998</v>
      </c>
      <c r="AE71" s="121">
        <v>18200.736789999999</v>
      </c>
      <c r="AF71" s="121">
        <v>17350.960749999998</v>
      </c>
      <c r="AG71" s="121">
        <v>17528.485390000002</v>
      </c>
      <c r="AH71" s="121">
        <v>18495.443350000001</v>
      </c>
      <c r="AI71" s="121">
        <v>18613.599440000002</v>
      </c>
      <c r="AJ71" s="121">
        <v>18049.598269999999</v>
      </c>
      <c r="AK71" s="121">
        <v>18280.380370000003</v>
      </c>
      <c r="AL71" s="121">
        <v>20862.70462</v>
      </c>
      <c r="AM71" s="121">
        <v>6385.6439099999998</v>
      </c>
      <c r="AN71" s="121">
        <v>6740.5157199999994</v>
      </c>
      <c r="AO71" s="121">
        <v>4657.8736799999997</v>
      </c>
      <c r="AP71" s="125" t="str">
        <f>CONCATENATE(A71,M71)</f>
        <v>GLA</v>
      </c>
      <c r="AQ71" s="125" t="str">
        <f>CONCATENATE(AP71,L71,H71)</f>
        <v>GLAA2Accounts Receivable</v>
      </c>
      <c r="AS71" s="125" t="str">
        <f>CONCATENATE(L71,H71,J71)</f>
        <v>A2Accounts Receivable</v>
      </c>
    </row>
    <row r="72" spans="1:45" s="125" customFormat="1" ht="25.5" customHeight="1">
      <c r="A72" s="216" t="s">
        <v>2493</v>
      </c>
      <c r="B72" s="217" t="str">
        <f t="shared" si="39"/>
        <v>GL143006</v>
      </c>
      <c r="C72" s="186">
        <v>143006</v>
      </c>
      <c r="D72" s="201"/>
      <c r="E72" s="162"/>
      <c r="F72" s="169" t="s">
        <v>1633</v>
      </c>
      <c r="G72" s="117"/>
      <c r="H72" s="118" t="s">
        <v>2421</v>
      </c>
      <c r="I72" s="119"/>
      <c r="J72" s="120"/>
      <c r="K72" s="120" t="str">
        <f>IF(L72="N3","SFAS-109","")</f>
        <v/>
      </c>
      <c r="L72" s="170" t="s">
        <v>1419</v>
      </c>
      <c r="M72" s="122" t="str">
        <f t="shared" si="41"/>
        <v>A</v>
      </c>
      <c r="N72" s="116" t="str">
        <f>IF($L72&lt;&gt;"",VLOOKUP($L72,Categories!$E:$G,2,FALSE),IF($F72&lt;&gt;"","NO CAT",""))</f>
        <v>All Other</v>
      </c>
      <c r="O72" s="116" t="str">
        <f>IF($L72&lt;&gt;"",VLOOKUP($L72,Categories!$E:$G,3,FALSE),IF($F72&lt;&gt;"","NO CAT",""))</f>
        <v>EB-Cap</v>
      </c>
      <c r="P72" s="170" t="s">
        <v>1557</v>
      </c>
      <c r="Q72" s="123" t="s">
        <v>1891</v>
      </c>
      <c r="R72" s="124">
        <v>0.77544352505021785</v>
      </c>
      <c r="S72" s="124">
        <v>0.22455647494978223</v>
      </c>
      <c r="T72" s="124">
        <v>0</v>
      </c>
      <c r="U72" s="121">
        <f t="shared" si="31"/>
        <v>10521.621863812399</v>
      </c>
      <c r="V72" s="121">
        <f t="shared" si="32"/>
        <v>3046.8992778542702</v>
      </c>
      <c r="W72" s="121">
        <f t="shared" si="33"/>
        <v>0</v>
      </c>
      <c r="X72" s="121">
        <f t="shared" si="34"/>
        <v>13568.521141666701</v>
      </c>
      <c r="Y72" s="121">
        <f t="shared" si="35"/>
        <v>13109.486259855499</v>
      </c>
      <c r="Z72" s="121">
        <f t="shared" si="36"/>
        <v>3796.3048601445298</v>
      </c>
      <c r="AA72" s="121">
        <f t="shared" si="37"/>
        <v>0</v>
      </c>
      <c r="AB72" s="121">
        <f t="shared" si="38"/>
        <v>16905.791120000002</v>
      </c>
      <c r="AC72" s="121">
        <v>151.61189999999999</v>
      </c>
      <c r="AD72" s="121">
        <v>71003.524579999998</v>
      </c>
      <c r="AE72" s="121">
        <v>1648.18208</v>
      </c>
      <c r="AF72" s="121">
        <v>1648.18208</v>
      </c>
      <c r="AG72" s="121">
        <v>3.68208</v>
      </c>
      <c r="AH72" s="121">
        <v>307.36410999999998</v>
      </c>
      <c r="AI72" s="121">
        <v>1888.30484</v>
      </c>
      <c r="AJ72" s="121">
        <v>458.80710999999997</v>
      </c>
      <c r="AK72" s="121">
        <v>12966.38847</v>
      </c>
      <c r="AL72" s="121">
        <v>12836.725400000001</v>
      </c>
      <c r="AM72" s="121">
        <v>12883.650880000001</v>
      </c>
      <c r="AN72" s="121">
        <v>38648.740560000006</v>
      </c>
      <c r="AO72" s="121">
        <v>16905.791120000002</v>
      </c>
      <c r="AP72" s="125" t="str">
        <f>CONCATENATE(A72,M72)</f>
        <v>GLA</v>
      </c>
      <c r="AQ72" s="125" t="str">
        <f>CONCATENATE(AP72,L72,H72)</f>
        <v>GLAA2Accounts Receivable</v>
      </c>
      <c r="AS72" s="125" t="str">
        <f>CONCATENATE(L72,H72,J72)</f>
        <v>A2Accounts Receivable</v>
      </c>
    </row>
    <row r="73" spans="1:45" s="125" customFormat="1" ht="25.5" customHeight="1">
      <c r="A73" s="216" t="s">
        <v>2493</v>
      </c>
      <c r="B73" s="217" t="str">
        <f t="shared" si="39"/>
        <v>GL143020</v>
      </c>
      <c r="C73" s="186">
        <v>143020</v>
      </c>
      <c r="D73" s="201"/>
      <c r="E73" s="162"/>
      <c r="F73" s="169" t="s">
        <v>796</v>
      </c>
      <c r="G73" s="117"/>
      <c r="H73" s="118" t="s">
        <v>2421</v>
      </c>
      <c r="I73" s="119"/>
      <c r="J73" s="120"/>
      <c r="K73" s="120" t="str">
        <f>IF(L73="N3","SFAS-109","")</f>
        <v/>
      </c>
      <c r="L73" s="170" t="s">
        <v>1419</v>
      </c>
      <c r="M73" s="122" t="str">
        <f t="shared" si="41"/>
        <v>A</v>
      </c>
      <c r="N73" s="116" t="str">
        <f>IF($L73&lt;&gt;"",VLOOKUP($L73,Categories!$E:$G,2,FALSE),IF($F73&lt;&gt;"","NO CAT",""))</f>
        <v>All Other</v>
      </c>
      <c r="O73" s="116" t="str">
        <f>IF($L73&lt;&gt;"",VLOOKUP($L73,Categories!$E:$G,3,FALSE),IF($F73&lt;&gt;"","NO CAT",""))</f>
        <v>EB-Cap</v>
      </c>
      <c r="P73" s="170" t="s">
        <v>1557</v>
      </c>
      <c r="Q73" s="123" t="s">
        <v>1891</v>
      </c>
      <c r="R73" s="124">
        <v>0.77544352505021785</v>
      </c>
      <c r="S73" s="124">
        <v>0.22455647494978223</v>
      </c>
      <c r="T73" s="124">
        <v>0</v>
      </c>
      <c r="U73" s="121">
        <f t="shared" si="31"/>
        <v>8.7015790963763298</v>
      </c>
      <c r="V73" s="121">
        <f t="shared" si="32"/>
        <v>2.5198429869569701</v>
      </c>
      <c r="W73" s="121">
        <f t="shared" si="33"/>
        <v>0</v>
      </c>
      <c r="X73" s="121">
        <f t="shared" si="34"/>
        <v>11.2214220833333</v>
      </c>
      <c r="Y73" s="121" t="str">
        <f t="shared" si="35"/>
        <v/>
      </c>
      <c r="Z73" s="121" t="str">
        <f t="shared" si="36"/>
        <v/>
      </c>
      <c r="AA73" s="121" t="str">
        <f t="shared" si="37"/>
        <v/>
      </c>
      <c r="AB73" s="121">
        <f t="shared" si="38"/>
        <v>0</v>
      </c>
      <c r="AC73" s="121">
        <v>11.70931</v>
      </c>
      <c r="AD73" s="121">
        <v>11.70931</v>
      </c>
      <c r="AE73" s="121">
        <v>11.70931</v>
      </c>
      <c r="AF73" s="121">
        <v>11.70931</v>
      </c>
      <c r="AG73" s="121">
        <v>11.70931</v>
      </c>
      <c r="AH73" s="121">
        <v>11.70931</v>
      </c>
      <c r="AI73" s="121">
        <v>11.70931</v>
      </c>
      <c r="AJ73" s="121">
        <v>11.70931</v>
      </c>
      <c r="AK73" s="121">
        <v>11.70931</v>
      </c>
      <c r="AL73" s="121">
        <v>11.70931</v>
      </c>
      <c r="AM73" s="121">
        <v>11.70931</v>
      </c>
      <c r="AN73" s="121">
        <v>11.70931</v>
      </c>
      <c r="AO73" s="121">
        <v>0</v>
      </c>
      <c r="AP73" s="125" t="str">
        <f>CONCATENATE(A73,M73)</f>
        <v>GLA</v>
      </c>
      <c r="AQ73" s="125" t="str">
        <f>CONCATENATE(AP73,L73,H73)</f>
        <v>GLAA2Accounts Receivable</v>
      </c>
      <c r="AS73" s="125" t="str">
        <f>CONCATENATE(L73,H73,J73)</f>
        <v>A2Accounts Receivable</v>
      </c>
    </row>
    <row r="74" spans="1:45" s="125" customFormat="1" ht="25.5" customHeight="1">
      <c r="A74" s="216" t="s">
        <v>2493</v>
      </c>
      <c r="B74" s="217" t="str">
        <f t="shared" si="39"/>
        <v>GL143030</v>
      </c>
      <c r="C74" s="186">
        <v>143030</v>
      </c>
      <c r="D74" s="201"/>
      <c r="E74" s="162"/>
      <c r="F74" s="169" t="s">
        <v>657</v>
      </c>
      <c r="G74" s="117"/>
      <c r="H74" s="118" t="s">
        <v>2421</v>
      </c>
      <c r="I74" s="119"/>
      <c r="J74" s="120"/>
      <c r="K74" s="120" t="str">
        <f t="shared" si="40"/>
        <v/>
      </c>
      <c r="L74" s="170" t="s">
        <v>1419</v>
      </c>
      <c r="M74" s="122" t="str">
        <f t="shared" si="41"/>
        <v>A</v>
      </c>
      <c r="N74" s="116" t="str">
        <f>IF($L74&lt;&gt;"",VLOOKUP($L74,Categories!$E:$G,2,FALSE),IF($F74&lt;&gt;"","NO CAT",""))</f>
        <v>All Other</v>
      </c>
      <c r="O74" s="116" t="str">
        <f>IF($L74&lt;&gt;"",VLOOKUP($L74,Categories!$E:$G,3,FALSE),IF($F74&lt;&gt;"","NO CAT",""))</f>
        <v>EB-Cap</v>
      </c>
      <c r="P74" s="170" t="s">
        <v>1557</v>
      </c>
      <c r="Q74" s="123" t="s">
        <v>1891</v>
      </c>
      <c r="R74" s="124">
        <v>0.77544352505021785</v>
      </c>
      <c r="S74" s="124">
        <v>0.22455647494978223</v>
      </c>
      <c r="T74" s="124">
        <v>0</v>
      </c>
      <c r="U74" s="121">
        <f t="shared" si="31"/>
        <v>9.0055632974430697</v>
      </c>
      <c r="V74" s="121">
        <f t="shared" si="32"/>
        <v>2.60787211922363</v>
      </c>
      <c r="W74" s="121">
        <f t="shared" si="33"/>
        <v>0</v>
      </c>
      <c r="X74" s="121">
        <f t="shared" si="34"/>
        <v>11.6134354166667</v>
      </c>
      <c r="Y74" s="121">
        <f t="shared" si="35"/>
        <v>8.8575191737566108</v>
      </c>
      <c r="Z74" s="121">
        <f t="shared" si="36"/>
        <v>2.5650008262433901</v>
      </c>
      <c r="AA74" s="121">
        <f t="shared" si="37"/>
        <v>0</v>
      </c>
      <c r="AB74" s="121">
        <f t="shared" si="38"/>
        <v>11.42252</v>
      </c>
      <c r="AC74" s="121">
        <v>22.274249999999999</v>
      </c>
      <c r="AD74" s="121">
        <v>18.43918</v>
      </c>
      <c r="AE74" s="121">
        <v>18.430099999999999</v>
      </c>
      <c r="AF74" s="121">
        <v>18.37715</v>
      </c>
      <c r="AG74" s="121">
        <v>3.28905</v>
      </c>
      <c r="AH74" s="121">
        <v>18.138240000000003</v>
      </c>
      <c r="AI74" s="121">
        <v>2.2610799999999998</v>
      </c>
      <c r="AJ74" s="121">
        <v>2.12615</v>
      </c>
      <c r="AK74" s="121">
        <v>16.623259999999998</v>
      </c>
      <c r="AL74" s="121">
        <v>11.532620000000001</v>
      </c>
      <c r="AM74" s="121">
        <v>11.43577</v>
      </c>
      <c r="AN74" s="121">
        <v>1.8602400000000001</v>
      </c>
      <c r="AO74" s="121">
        <v>11.42252</v>
      </c>
      <c r="AP74" s="125" t="str">
        <f>CONCATENATE(A74,M74)</f>
        <v>GLA</v>
      </c>
      <c r="AQ74" s="125" t="str">
        <f>CONCATENATE(AP74,L74,H74)</f>
        <v>GLAA2Accounts Receivable</v>
      </c>
      <c r="AS74" s="125" t="str">
        <f>CONCATENATE(L74,H74,J74)</f>
        <v>A2Accounts Receivable</v>
      </c>
    </row>
    <row r="75" spans="1:45" s="125" customFormat="1" ht="25.5" customHeight="1">
      <c r="A75" s="216" t="s">
        <v>2493</v>
      </c>
      <c r="B75" s="217" t="str">
        <f t="shared" si="39"/>
        <v>GL143100</v>
      </c>
      <c r="C75" s="186">
        <v>143100</v>
      </c>
      <c r="D75" s="201"/>
      <c r="E75" s="162"/>
      <c r="F75" s="169" t="s">
        <v>658</v>
      </c>
      <c r="G75" s="117"/>
      <c r="H75" s="118" t="s">
        <v>2421</v>
      </c>
      <c r="I75" s="119"/>
      <c r="J75" s="120"/>
      <c r="K75" s="120" t="str">
        <f t="shared" si="40"/>
        <v/>
      </c>
      <c r="L75" s="170" t="s">
        <v>1419</v>
      </c>
      <c r="M75" s="122" t="str">
        <f t="shared" si="41"/>
        <v>A</v>
      </c>
      <c r="N75" s="116" t="str">
        <f>IF($L75&lt;&gt;"",VLOOKUP($L75,Categories!$E:$G,2,FALSE),IF($F75&lt;&gt;"","NO CAT",""))</f>
        <v>All Other</v>
      </c>
      <c r="O75" s="116" t="str">
        <f>IF($L75&lt;&gt;"",VLOOKUP($L75,Categories!$E:$G,3,FALSE),IF($F75&lt;&gt;"","NO CAT",""))</f>
        <v>EB-Cap</v>
      </c>
      <c r="P75" s="170" t="s">
        <v>1557</v>
      </c>
      <c r="Q75" s="123" t="s">
        <v>1891</v>
      </c>
      <c r="R75" s="124">
        <v>0.77544352505021785</v>
      </c>
      <c r="S75" s="124">
        <v>0.22455647494978223</v>
      </c>
      <c r="T75" s="124">
        <v>0</v>
      </c>
      <c r="U75" s="121">
        <f t="shared" si="31"/>
        <v>-1.9386088130000001E-6</v>
      </c>
      <c r="V75" s="121">
        <f t="shared" si="32"/>
        <v>-5.6139118700000004E-7</v>
      </c>
      <c r="W75" s="121">
        <f t="shared" si="33"/>
        <v>0</v>
      </c>
      <c r="X75" s="121">
        <f t="shared" si="34"/>
        <v>-2.5000000000000002E-6</v>
      </c>
      <c r="Y75" s="121" t="str">
        <f t="shared" si="35"/>
        <v/>
      </c>
      <c r="Z75" s="121" t="str">
        <f t="shared" si="36"/>
        <v/>
      </c>
      <c r="AA75" s="121" t="str">
        <f t="shared" si="37"/>
        <v/>
      </c>
      <c r="AB75" s="121">
        <f t="shared" si="38"/>
        <v>0</v>
      </c>
      <c r="AC75" s="121">
        <v>0</v>
      </c>
      <c r="AD75" s="121">
        <v>0</v>
      </c>
      <c r="AE75" s="121">
        <v>0</v>
      </c>
      <c r="AF75" s="121">
        <v>-2.9999999999999997E-5</v>
      </c>
      <c r="AG75" s="121">
        <v>0</v>
      </c>
      <c r="AH75" s="121">
        <v>0</v>
      </c>
      <c r="AI75" s="121">
        <v>0</v>
      </c>
      <c r="AJ75" s="121">
        <v>0</v>
      </c>
      <c r="AK75" s="121">
        <v>0</v>
      </c>
      <c r="AL75" s="121">
        <v>0</v>
      </c>
      <c r="AM75" s="121">
        <v>0</v>
      </c>
      <c r="AN75" s="121">
        <v>0</v>
      </c>
      <c r="AO75" s="121">
        <v>0</v>
      </c>
      <c r="AP75" s="125" t="str">
        <f>CONCATENATE(A75,M75)</f>
        <v>GLA</v>
      </c>
      <c r="AQ75" s="125" t="str">
        <f>CONCATENATE(AP75,L75,H75)</f>
        <v>GLAA2Accounts Receivable</v>
      </c>
      <c r="AS75" s="125" t="str">
        <f>CONCATENATE(L75,H75,J75)</f>
        <v>A2Accounts Receivable</v>
      </c>
    </row>
    <row r="76" spans="1:45" s="125" customFormat="1" ht="25.5" customHeight="1">
      <c r="A76" s="216" t="s">
        <v>2493</v>
      </c>
      <c r="B76" s="217" t="str">
        <f t="shared" si="39"/>
        <v>GL143101</v>
      </c>
      <c r="C76" s="186">
        <v>143101</v>
      </c>
      <c r="D76" s="201"/>
      <c r="E76" s="162"/>
      <c r="F76" s="169" t="s">
        <v>235</v>
      </c>
      <c r="G76" s="117"/>
      <c r="H76" s="118" t="s">
        <v>2421</v>
      </c>
      <c r="I76" s="119"/>
      <c r="J76" s="120"/>
      <c r="K76" s="120" t="str">
        <f t="shared" si="40"/>
        <v/>
      </c>
      <c r="L76" s="170" t="s">
        <v>1419</v>
      </c>
      <c r="M76" s="122" t="str">
        <f t="shared" si="41"/>
        <v>A</v>
      </c>
      <c r="N76" s="116" t="str">
        <f>IF($L76&lt;&gt;"",VLOOKUP($L76,Categories!$E:$G,2,FALSE),IF($F76&lt;&gt;"","NO CAT",""))</f>
        <v>All Other</v>
      </c>
      <c r="O76" s="116" t="str">
        <f>IF($L76&lt;&gt;"",VLOOKUP($L76,Categories!$E:$G,3,FALSE),IF($F76&lt;&gt;"","NO CAT",""))</f>
        <v>EB-Cap</v>
      </c>
      <c r="P76" s="170" t="s">
        <v>1557</v>
      </c>
      <c r="Q76" s="123" t="s">
        <v>1891</v>
      </c>
      <c r="R76" s="124">
        <v>0.77544352505021785</v>
      </c>
      <c r="S76" s="124">
        <v>0.22455647494978223</v>
      </c>
      <c r="T76" s="124">
        <v>0</v>
      </c>
      <c r="U76" s="121">
        <f t="shared" si="31"/>
        <v>75.695423736068307</v>
      </c>
      <c r="V76" s="121">
        <f t="shared" si="32"/>
        <v>21.920226263931699</v>
      </c>
      <c r="W76" s="121">
        <f t="shared" si="33"/>
        <v>0</v>
      </c>
      <c r="X76" s="121">
        <f t="shared" si="34"/>
        <v>97.615650000000002</v>
      </c>
      <c r="Y76" s="121">
        <f t="shared" si="35"/>
        <v>51.2596783924268</v>
      </c>
      <c r="Z76" s="121">
        <f t="shared" si="36"/>
        <v>14.844011607573201</v>
      </c>
      <c r="AA76" s="121">
        <f t="shared" si="37"/>
        <v>0</v>
      </c>
      <c r="AB76" s="121">
        <f t="shared" si="38"/>
        <v>66.10369</v>
      </c>
      <c r="AC76" s="121">
        <v>88.786270000000002</v>
      </c>
      <c r="AD76" s="121">
        <v>96.903630000000007</v>
      </c>
      <c r="AE76" s="121">
        <v>94.285640000000001</v>
      </c>
      <c r="AF76" s="121">
        <v>92.314440000000005</v>
      </c>
      <c r="AG76" s="121">
        <v>92.72847999999999</v>
      </c>
      <c r="AH76" s="121">
        <v>93.651009999999999</v>
      </c>
      <c r="AI76" s="121">
        <v>92.156300000000002</v>
      </c>
      <c r="AJ76" s="121">
        <v>101.37425999999999</v>
      </c>
      <c r="AK76" s="121">
        <v>102.51522</v>
      </c>
      <c r="AL76" s="121">
        <v>106.88883</v>
      </c>
      <c r="AM76" s="121">
        <v>106.96831</v>
      </c>
      <c r="AN76" s="121">
        <v>114.1567</v>
      </c>
      <c r="AO76" s="121">
        <v>66.10369</v>
      </c>
      <c r="AP76" s="125" t="str">
        <f>CONCATENATE(A76,M76)</f>
        <v>GLA</v>
      </c>
      <c r="AQ76" s="125" t="str">
        <f>CONCATENATE(AP76,L76,H76)</f>
        <v>GLAA2Accounts Receivable</v>
      </c>
      <c r="AS76" s="125" t="str">
        <f>CONCATENATE(L76,H76,J76)</f>
        <v>A2Accounts Receivable</v>
      </c>
    </row>
    <row r="77" spans="1:45" s="125" customFormat="1" ht="25.5" customHeight="1">
      <c r="A77" s="216" t="s">
        <v>2493</v>
      </c>
      <c r="B77" s="217" t="str">
        <f t="shared" si="39"/>
        <v>GL143125</v>
      </c>
      <c r="C77" s="186">
        <v>143125</v>
      </c>
      <c r="D77" s="201"/>
      <c r="E77" s="162"/>
      <c r="F77" s="169" t="s">
        <v>1494</v>
      </c>
      <c r="G77" s="117"/>
      <c r="H77" s="118" t="s">
        <v>2421</v>
      </c>
      <c r="I77" s="119"/>
      <c r="J77" s="120"/>
      <c r="K77" s="120" t="str">
        <f t="shared" si="40"/>
        <v/>
      </c>
      <c r="L77" s="170" t="s">
        <v>1419</v>
      </c>
      <c r="M77" s="122" t="str">
        <f t="shared" si="41"/>
        <v>A</v>
      </c>
      <c r="N77" s="116" t="str">
        <f>IF($L77&lt;&gt;"",VLOOKUP($L77,Categories!$E:$G,2,FALSE),IF($F77&lt;&gt;"","NO CAT",""))</f>
        <v>All Other</v>
      </c>
      <c r="O77" s="116" t="str">
        <f>IF($L77&lt;&gt;"",VLOOKUP($L77,Categories!$E:$G,3,FALSE),IF($F77&lt;&gt;"","NO CAT",""))</f>
        <v>EB-Cap</v>
      </c>
      <c r="P77" s="170" t="s">
        <v>1557</v>
      </c>
      <c r="Q77" s="123" t="s">
        <v>1891</v>
      </c>
      <c r="R77" s="124">
        <v>0.77544352505021785</v>
      </c>
      <c r="S77" s="124">
        <v>0.22455647494978223</v>
      </c>
      <c r="T77" s="124">
        <v>0</v>
      </c>
      <c r="U77" s="121" t="str">
        <f t="shared" si="31"/>
        <v/>
      </c>
      <c r="V77" s="121" t="str">
        <f t="shared" si="32"/>
        <v/>
      </c>
      <c r="W77" s="121" t="str">
        <f t="shared" si="33"/>
        <v/>
      </c>
      <c r="X77" s="121">
        <f t="shared" si="34"/>
        <v>0</v>
      </c>
      <c r="Y77" s="121" t="str">
        <f t="shared" si="35"/>
        <v/>
      </c>
      <c r="Z77" s="121" t="str">
        <f t="shared" si="36"/>
        <v/>
      </c>
      <c r="AA77" s="121" t="str">
        <f t="shared" si="37"/>
        <v/>
      </c>
      <c r="AB77" s="121">
        <f t="shared" si="38"/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5" t="str">
        <f>CONCATENATE(A77,M77)</f>
        <v>GLA</v>
      </c>
      <c r="AQ77" s="125" t="str">
        <f>CONCATENATE(AP77,L77,H77)</f>
        <v>GLAA2Accounts Receivable</v>
      </c>
      <c r="AS77" s="125" t="str">
        <f>CONCATENATE(L77,H77,J77)</f>
        <v>A2Accounts Receivable</v>
      </c>
    </row>
    <row r="78" spans="1:45" s="125" customFormat="1" ht="25.5" customHeight="1">
      <c r="A78" s="216" t="s">
        <v>2493</v>
      </c>
      <c r="B78" s="217" t="str">
        <f t="shared" si="39"/>
        <v>GL143140</v>
      </c>
      <c r="C78" s="186">
        <v>143140</v>
      </c>
      <c r="D78" s="201"/>
      <c r="E78" s="162"/>
      <c r="F78" s="169" t="s">
        <v>1495</v>
      </c>
      <c r="G78" s="117"/>
      <c r="H78" s="118" t="s">
        <v>2421</v>
      </c>
      <c r="I78" s="119"/>
      <c r="J78" s="120"/>
      <c r="K78" s="120" t="str">
        <f t="shared" si="40"/>
        <v/>
      </c>
      <c r="L78" s="170" t="s">
        <v>1419</v>
      </c>
      <c r="M78" s="122" t="str">
        <f t="shared" si="41"/>
        <v>A</v>
      </c>
      <c r="N78" s="116" t="str">
        <f>IF($L78&lt;&gt;"",VLOOKUP($L78,Categories!$E:$G,2,FALSE),IF($F78&lt;&gt;"","NO CAT",""))</f>
        <v>All Other</v>
      </c>
      <c r="O78" s="116" t="str">
        <f>IF($L78&lt;&gt;"",VLOOKUP($L78,Categories!$E:$G,3,FALSE),IF($F78&lt;&gt;"","NO CAT",""))</f>
        <v>EB-Cap</v>
      </c>
      <c r="P78" s="170" t="s">
        <v>1557</v>
      </c>
      <c r="Q78" s="123" t="s">
        <v>1891</v>
      </c>
      <c r="R78" s="124">
        <v>0.77544352505021785</v>
      </c>
      <c r="S78" s="124">
        <v>0.22455647494978223</v>
      </c>
      <c r="T78" s="124">
        <v>0</v>
      </c>
      <c r="U78" s="121">
        <f t="shared" si="31"/>
        <v>5.9207090518573002</v>
      </c>
      <c r="V78" s="121">
        <f t="shared" si="32"/>
        <v>1.7145459481426999</v>
      </c>
      <c r="W78" s="121">
        <f t="shared" si="33"/>
        <v>0</v>
      </c>
      <c r="X78" s="121">
        <f t="shared" si="34"/>
        <v>7.6352549999999999</v>
      </c>
      <c r="Y78" s="121" t="str">
        <f t="shared" si="35"/>
        <v/>
      </c>
      <c r="Z78" s="121" t="str">
        <f t="shared" si="36"/>
        <v/>
      </c>
      <c r="AA78" s="121" t="str">
        <f t="shared" si="37"/>
        <v/>
      </c>
      <c r="AB78" s="121">
        <f t="shared" si="38"/>
        <v>0</v>
      </c>
      <c r="AC78" s="121">
        <v>20.360679999999999</v>
      </c>
      <c r="AD78" s="121">
        <v>20.360679999999999</v>
      </c>
      <c r="AE78" s="121">
        <v>20.360679999999999</v>
      </c>
      <c r="AF78" s="121">
        <v>20.360679999999999</v>
      </c>
      <c r="AG78" s="121">
        <v>20.360679999999999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5" t="str">
        <f>CONCATENATE(A78,M78)</f>
        <v>GLA</v>
      </c>
      <c r="AQ78" s="125" t="str">
        <f>CONCATENATE(AP78,L78,H78)</f>
        <v>GLAA2Accounts Receivable</v>
      </c>
      <c r="AS78" s="125" t="str">
        <f>CONCATENATE(L78,H78,J78)</f>
        <v>A2Accounts Receivable</v>
      </c>
    </row>
    <row r="79" spans="1:45" s="125" customFormat="1" ht="25.5" customHeight="1">
      <c r="A79" s="216" t="s">
        <v>2493</v>
      </c>
      <c r="B79" s="217" t="str">
        <f t="shared" si="39"/>
        <v>GL143150</v>
      </c>
      <c r="C79" s="186">
        <v>143150</v>
      </c>
      <c r="D79" s="201"/>
      <c r="E79" s="162"/>
      <c r="F79" s="169" t="s">
        <v>2402</v>
      </c>
      <c r="G79" s="117"/>
      <c r="H79" s="118" t="s">
        <v>2421</v>
      </c>
      <c r="I79" s="119"/>
      <c r="J79" s="120"/>
      <c r="K79" s="120" t="str">
        <f t="shared" si="40"/>
        <v/>
      </c>
      <c r="L79" s="170" t="s">
        <v>1419</v>
      </c>
      <c r="M79" s="122" t="str">
        <f t="shared" si="41"/>
        <v>A</v>
      </c>
      <c r="N79" s="116" t="str">
        <f>IF($L79&lt;&gt;"",VLOOKUP($L79,Categories!$E:$G,2,FALSE),IF($F79&lt;&gt;"","NO CAT",""))</f>
        <v>All Other</v>
      </c>
      <c r="O79" s="116" t="str">
        <f>IF($L79&lt;&gt;"",VLOOKUP($L79,Categories!$E:$G,3,FALSE),IF($F79&lt;&gt;"","NO CAT",""))</f>
        <v>EB-Cap</v>
      </c>
      <c r="P79" s="170" t="s">
        <v>1557</v>
      </c>
      <c r="Q79" s="123" t="s">
        <v>1891</v>
      </c>
      <c r="R79" s="124">
        <v>0.77544352505021785</v>
      </c>
      <c r="S79" s="124">
        <v>0.22455647494978223</v>
      </c>
      <c r="T79" s="124">
        <v>0</v>
      </c>
      <c r="U79" s="121" t="str">
        <f t="shared" si="31"/>
        <v/>
      </c>
      <c r="V79" s="121" t="str">
        <f t="shared" si="32"/>
        <v/>
      </c>
      <c r="W79" s="121" t="str">
        <f t="shared" si="33"/>
        <v/>
      </c>
      <c r="X79" s="121">
        <f t="shared" si="34"/>
        <v>0</v>
      </c>
      <c r="Y79" s="121" t="str">
        <f t="shared" si="35"/>
        <v/>
      </c>
      <c r="Z79" s="121" t="str">
        <f t="shared" si="36"/>
        <v/>
      </c>
      <c r="AA79" s="121" t="str">
        <f t="shared" si="37"/>
        <v/>
      </c>
      <c r="AB79" s="121">
        <f t="shared" si="38"/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121">
        <v>0</v>
      </c>
      <c r="AI79" s="121">
        <v>0</v>
      </c>
      <c r="AJ79" s="121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5" t="str">
        <f>CONCATENATE(A79,M79)</f>
        <v>GLA</v>
      </c>
      <c r="AQ79" s="125" t="str">
        <f>CONCATENATE(AP79,L79,H79)</f>
        <v>GLAA2Accounts Receivable</v>
      </c>
      <c r="AS79" s="125" t="str">
        <f>CONCATENATE(L79,H79,J79)</f>
        <v>A2Accounts Receivable</v>
      </c>
    </row>
    <row r="80" spans="1:45" s="125" customFormat="1" ht="25.5" customHeight="1">
      <c r="A80" s="216" t="s">
        <v>2493</v>
      </c>
      <c r="B80" s="217" t="str">
        <f t="shared" si="39"/>
        <v>GL143333</v>
      </c>
      <c r="C80" s="186">
        <v>143333</v>
      </c>
      <c r="D80" s="201"/>
      <c r="E80" s="162"/>
      <c r="F80" s="169" t="s">
        <v>1255</v>
      </c>
      <c r="G80" s="117"/>
      <c r="H80" s="118" t="s">
        <v>2421</v>
      </c>
      <c r="I80" s="119"/>
      <c r="J80" s="120"/>
      <c r="K80" s="120" t="str">
        <f t="shared" si="40"/>
        <v/>
      </c>
      <c r="L80" s="170" t="s">
        <v>1419</v>
      </c>
      <c r="M80" s="122" t="str">
        <f t="shared" si="41"/>
        <v>A</v>
      </c>
      <c r="N80" s="116" t="str">
        <f>IF($L80&lt;&gt;"",VLOOKUP($L80,Categories!$E:$G,2,FALSE),IF($F80&lt;&gt;"","NO CAT",""))</f>
        <v>All Other</v>
      </c>
      <c r="O80" s="116" t="str">
        <f>IF($L80&lt;&gt;"",VLOOKUP($L80,Categories!$E:$G,3,FALSE),IF($F80&lt;&gt;"","NO CAT",""))</f>
        <v>EB-Cap</v>
      </c>
      <c r="P80" s="170" t="s">
        <v>1557</v>
      </c>
      <c r="Q80" s="123" t="s">
        <v>1891</v>
      </c>
      <c r="R80" s="124">
        <v>0.77544352505021785</v>
      </c>
      <c r="S80" s="124">
        <v>0.22455647494978223</v>
      </c>
      <c r="T80" s="124">
        <v>0</v>
      </c>
      <c r="U80" s="121">
        <f t="shared" si="31"/>
        <v>6027.6578231557096</v>
      </c>
      <c r="V80" s="121">
        <f t="shared" si="32"/>
        <v>1745.51666142762</v>
      </c>
      <c r="W80" s="121">
        <f t="shared" si="33"/>
        <v>0</v>
      </c>
      <c r="X80" s="121">
        <f t="shared" si="34"/>
        <v>7773.17448458333</v>
      </c>
      <c r="Y80" s="121">
        <f t="shared" si="35"/>
        <v>9342.0861324062898</v>
      </c>
      <c r="Z80" s="121">
        <f t="shared" si="36"/>
        <v>2705.3239375937101</v>
      </c>
      <c r="AA80" s="121">
        <f t="shared" si="37"/>
        <v>0</v>
      </c>
      <c r="AB80" s="121">
        <f t="shared" si="38"/>
        <v>12047.41007</v>
      </c>
      <c r="AC80" s="121">
        <v>9462.7616600000001</v>
      </c>
      <c r="AD80" s="121">
        <v>12098.376749999999</v>
      </c>
      <c r="AE80" s="121">
        <v>10031.097529999999</v>
      </c>
      <c r="AF80" s="121">
        <v>8940.731679999999</v>
      </c>
      <c r="AG80" s="121">
        <v>7069.1392500000002</v>
      </c>
      <c r="AH80" s="121">
        <v>7440.7102999999997</v>
      </c>
      <c r="AI80" s="121">
        <v>5972.2027600000001</v>
      </c>
      <c r="AJ80" s="121">
        <v>6970.6182699999999</v>
      </c>
      <c r="AK80" s="121">
        <v>5804.9797099999996</v>
      </c>
      <c r="AL80" s="121">
        <v>5468.61816</v>
      </c>
      <c r="AM80" s="121">
        <v>5222.7251999999999</v>
      </c>
      <c r="AN80" s="121">
        <v>7503.8083399999996</v>
      </c>
      <c r="AO80" s="121">
        <v>12047.41007</v>
      </c>
      <c r="AP80" s="125" t="str">
        <f>CONCATENATE(A80,M80)</f>
        <v>GLA</v>
      </c>
      <c r="AQ80" s="125" t="str">
        <f>CONCATENATE(AP80,L80,H80)</f>
        <v>GLAA2Accounts Receivable</v>
      </c>
      <c r="AS80" s="125" t="str">
        <f>CONCATENATE(L80,H80,J80)</f>
        <v>A2Accounts Receivable</v>
      </c>
    </row>
    <row r="81" spans="1:45" s="125" customFormat="1" ht="25.5" customHeight="1">
      <c r="A81" s="216" t="s">
        <v>2493</v>
      </c>
      <c r="B81" s="217" t="str">
        <f t="shared" si="39"/>
        <v>GL143334</v>
      </c>
      <c r="C81" s="186">
        <v>143334</v>
      </c>
      <c r="D81" s="201"/>
      <c r="E81" s="162"/>
      <c r="F81" s="169" t="s">
        <v>405</v>
      </c>
      <c r="G81" s="117"/>
      <c r="H81" s="118" t="s">
        <v>2421</v>
      </c>
      <c r="I81" s="119"/>
      <c r="J81" s="120"/>
      <c r="K81" s="120" t="str">
        <f t="shared" si="40"/>
        <v/>
      </c>
      <c r="L81" s="170" t="s">
        <v>1419</v>
      </c>
      <c r="M81" s="122" t="str">
        <f t="shared" si="41"/>
        <v>A</v>
      </c>
      <c r="N81" s="116" t="str">
        <f>IF($L81&lt;&gt;"",VLOOKUP($L81,Categories!$E:$G,2,FALSE),IF($F81&lt;&gt;"","NO CAT",""))</f>
        <v>All Other</v>
      </c>
      <c r="O81" s="116" t="str">
        <f>IF($L81&lt;&gt;"",VLOOKUP($L81,Categories!$E:$G,3,FALSE),IF($F81&lt;&gt;"","NO CAT",""))</f>
        <v>EB-Cap</v>
      </c>
      <c r="P81" s="170" t="s">
        <v>1557</v>
      </c>
      <c r="Q81" s="123" t="s">
        <v>1891</v>
      </c>
      <c r="R81" s="124">
        <v>0.77544352505021785</v>
      </c>
      <c r="S81" s="124">
        <v>0.22455647494978223</v>
      </c>
      <c r="T81" s="124">
        <v>0</v>
      </c>
      <c r="U81" s="121">
        <f t="shared" si="31"/>
        <v>112.34506566485599</v>
      </c>
      <c r="V81" s="121">
        <f t="shared" si="32"/>
        <v>32.533396835144202</v>
      </c>
      <c r="W81" s="121">
        <f t="shared" si="33"/>
        <v>0</v>
      </c>
      <c r="X81" s="121">
        <f t="shared" si="34"/>
        <v>144.87846250000001</v>
      </c>
      <c r="Y81" s="121">
        <f t="shared" si="35"/>
        <v>111.905123596745</v>
      </c>
      <c r="Z81" s="121">
        <f t="shared" si="36"/>
        <v>32.405996403255003</v>
      </c>
      <c r="AA81" s="121">
        <f t="shared" si="37"/>
        <v>0</v>
      </c>
      <c r="AB81" s="121">
        <f t="shared" si="38"/>
        <v>144.31111999999999</v>
      </c>
      <c r="AC81" s="121">
        <v>144.77198000000001</v>
      </c>
      <c r="AD81" s="121">
        <v>140.30572000000001</v>
      </c>
      <c r="AE81" s="121">
        <v>150.04060000000001</v>
      </c>
      <c r="AF81" s="121">
        <v>144.34139999999999</v>
      </c>
      <c r="AG81" s="121">
        <v>146.52424999999999</v>
      </c>
      <c r="AH81" s="121">
        <v>146.15701000000001</v>
      </c>
      <c r="AI81" s="121">
        <v>145.57454000000001</v>
      </c>
      <c r="AJ81" s="121">
        <v>142.53718000000001</v>
      </c>
      <c r="AK81" s="121">
        <v>144.06589000000002</v>
      </c>
      <c r="AL81" s="121">
        <v>145.29570999999999</v>
      </c>
      <c r="AM81" s="121">
        <v>139.48694</v>
      </c>
      <c r="AN81" s="121">
        <v>149.67076</v>
      </c>
      <c r="AO81" s="121">
        <v>144.31111999999999</v>
      </c>
      <c r="AP81" s="125" t="str">
        <f>CONCATENATE(A81,M81)</f>
        <v>GLA</v>
      </c>
      <c r="AQ81" s="125" t="str">
        <f>CONCATENATE(AP81,L81,H81)</f>
        <v>GLAA2Accounts Receivable</v>
      </c>
      <c r="AS81" s="125" t="str">
        <f>CONCATENATE(L81,H81,J81)</f>
        <v>A2Accounts Receivable</v>
      </c>
    </row>
    <row r="82" spans="1:45" s="125" customFormat="1" ht="25.5" customHeight="1">
      <c r="A82" s="216" t="s">
        <v>2493</v>
      </c>
      <c r="B82" s="217" t="str">
        <f t="shared" si="39"/>
        <v>GL143375</v>
      </c>
      <c r="C82" s="186">
        <v>143375</v>
      </c>
      <c r="D82" s="201"/>
      <c r="E82" s="162"/>
      <c r="F82" s="169" t="s">
        <v>1634</v>
      </c>
      <c r="G82" s="117"/>
      <c r="H82" s="118" t="s">
        <v>2421</v>
      </c>
      <c r="I82" s="119"/>
      <c r="J82" s="120"/>
      <c r="K82" s="120" t="str">
        <f>IF(L82="N3","SFAS-109","")</f>
        <v/>
      </c>
      <c r="L82" s="170" t="s">
        <v>1419</v>
      </c>
      <c r="M82" s="122" t="str">
        <f t="shared" si="41"/>
        <v>A</v>
      </c>
      <c r="N82" s="116" t="str">
        <f>IF($L82&lt;&gt;"",VLOOKUP($L82,Categories!$E:$G,2,FALSE),IF($F82&lt;&gt;"","NO CAT",""))</f>
        <v>All Other</v>
      </c>
      <c r="O82" s="116" t="str">
        <f>IF($L82&lt;&gt;"",VLOOKUP($L82,Categories!$E:$G,3,FALSE),IF($F82&lt;&gt;"","NO CAT",""))</f>
        <v>EB-Cap</v>
      </c>
      <c r="P82" s="170" t="s">
        <v>1557</v>
      </c>
      <c r="Q82" s="123" t="s">
        <v>1891</v>
      </c>
      <c r="R82" s="124">
        <v>0.77544352505021785</v>
      </c>
      <c r="S82" s="124">
        <v>0.22455647494978223</v>
      </c>
      <c r="T82" s="124">
        <v>0</v>
      </c>
      <c r="U82" s="121">
        <f t="shared" si="31"/>
        <v>79.280955694560205</v>
      </c>
      <c r="V82" s="121">
        <f t="shared" si="32"/>
        <v>22.9585409721067</v>
      </c>
      <c r="W82" s="121">
        <f t="shared" si="33"/>
        <v>0</v>
      </c>
      <c r="X82" s="121">
        <f t="shared" si="34"/>
        <v>102.23949666666699</v>
      </c>
      <c r="Y82" s="121">
        <f t="shared" si="35"/>
        <v>148.626678219437</v>
      </c>
      <c r="Z82" s="121">
        <f t="shared" si="36"/>
        <v>43.039991780563199</v>
      </c>
      <c r="AA82" s="121">
        <f t="shared" si="37"/>
        <v>0</v>
      </c>
      <c r="AB82" s="121">
        <f t="shared" si="38"/>
        <v>191.66667000000001</v>
      </c>
      <c r="AC82" s="121">
        <v>58.260769999999994</v>
      </c>
      <c r="AD82" s="121">
        <v>145.83732000000001</v>
      </c>
      <c r="AE82" s="121">
        <v>531.82424000000003</v>
      </c>
      <c r="AF82" s="121">
        <v>88.363969999999995</v>
      </c>
      <c r="AG82" s="121">
        <v>37.88691</v>
      </c>
      <c r="AH82" s="121">
        <v>11.660299999999999</v>
      </c>
      <c r="AI82" s="121">
        <v>26.465790000000002</v>
      </c>
      <c r="AJ82" s="121">
        <v>24.105779999999999</v>
      </c>
      <c r="AK82" s="121">
        <v>1.3855999999999999</v>
      </c>
      <c r="AL82" s="121">
        <v>18.066779999999998</v>
      </c>
      <c r="AM82" s="121">
        <v>24.646879999999999</v>
      </c>
      <c r="AN82" s="121">
        <v>191.66667000000001</v>
      </c>
      <c r="AO82" s="121">
        <v>191.66667000000001</v>
      </c>
      <c r="AP82" s="125" t="str">
        <f>CONCATENATE(A82,M82)</f>
        <v>GLA</v>
      </c>
      <c r="AQ82" s="125" t="str">
        <f>CONCATENATE(AP82,L82,H82)</f>
        <v>GLAA2Accounts Receivable</v>
      </c>
      <c r="AS82" s="125" t="str">
        <f>CONCATENATE(L82,H82,J82)</f>
        <v>A2Accounts Receivable</v>
      </c>
    </row>
    <row r="83" spans="1:45" s="125" customFormat="1" ht="25.5" customHeight="1">
      <c r="A83" s="216" t="s">
        <v>2493</v>
      </c>
      <c r="B83" s="217" t="str">
        <f t="shared" si="39"/>
        <v>GL144125</v>
      </c>
      <c r="C83" s="186">
        <v>144125</v>
      </c>
      <c r="D83" s="201"/>
      <c r="E83" s="162"/>
      <c r="F83" s="169" t="s">
        <v>907</v>
      </c>
      <c r="G83" s="117"/>
      <c r="H83" s="118" t="s">
        <v>2221</v>
      </c>
      <c r="I83" s="119"/>
      <c r="J83" s="120"/>
      <c r="K83" s="120" t="str">
        <f t="shared" si="40"/>
        <v/>
      </c>
      <c r="L83" s="170" t="s">
        <v>1419</v>
      </c>
      <c r="M83" s="122" t="str">
        <f t="shared" si="41"/>
        <v>A</v>
      </c>
      <c r="N83" s="116" t="str">
        <f>IF($L83&lt;&gt;"",VLOOKUP($L83,Categories!$E:$G,2,FALSE),IF($F83&lt;&gt;"","NO CAT",""))</f>
        <v>All Other</v>
      </c>
      <c r="O83" s="116" t="str">
        <f>IF($L83&lt;&gt;"",VLOOKUP($L83,Categories!$E:$G,3,FALSE),IF($F83&lt;&gt;"","NO CAT",""))</f>
        <v>EB-Cap</v>
      </c>
      <c r="P83" s="170" t="s">
        <v>1557</v>
      </c>
      <c r="Q83" s="123" t="s">
        <v>1891</v>
      </c>
      <c r="R83" s="124">
        <v>0.77544352505021785</v>
      </c>
      <c r="S83" s="124">
        <v>0.22455647494978223</v>
      </c>
      <c r="T83" s="124">
        <v>0</v>
      </c>
      <c r="U83" s="121">
        <f t="shared" si="31"/>
        <v>-583.58425738669905</v>
      </c>
      <c r="V83" s="121">
        <f t="shared" si="32"/>
        <v>-168.99699261330099</v>
      </c>
      <c r="W83" s="121">
        <f t="shared" si="33"/>
        <v>0</v>
      </c>
      <c r="X83" s="121">
        <f t="shared" si="34"/>
        <v>-752.58124999999995</v>
      </c>
      <c r="Y83" s="121">
        <f t="shared" si="35"/>
        <v>-433.44966719732003</v>
      </c>
      <c r="Z83" s="121">
        <f t="shared" si="36"/>
        <v>-125.52033280268</v>
      </c>
      <c r="AA83" s="121">
        <f t="shared" si="37"/>
        <v>0</v>
      </c>
      <c r="AB83" s="121">
        <f t="shared" si="38"/>
        <v>-558.97</v>
      </c>
      <c r="AC83" s="121">
        <v>-860.86</v>
      </c>
      <c r="AD83" s="121">
        <v>-932.2</v>
      </c>
      <c r="AE83" s="121">
        <v>-890.15</v>
      </c>
      <c r="AF83" s="121">
        <v>-842.3</v>
      </c>
      <c r="AG83" s="121">
        <v>-839.98</v>
      </c>
      <c r="AH83" s="121">
        <v>-650.32000000000005</v>
      </c>
      <c r="AI83" s="121">
        <v>-656.7</v>
      </c>
      <c r="AJ83" s="121">
        <v>-680.48</v>
      </c>
      <c r="AK83" s="121">
        <v>-689.18</v>
      </c>
      <c r="AL83" s="121">
        <v>-695.85</v>
      </c>
      <c r="AM83" s="121">
        <v>-714.41</v>
      </c>
      <c r="AN83" s="121">
        <v>-729.49</v>
      </c>
      <c r="AO83" s="121">
        <v>-558.97</v>
      </c>
      <c r="AP83" s="125" t="str">
        <f>CONCATENATE(A83,M83)</f>
        <v>GLA</v>
      </c>
      <c r="AQ83" s="125" t="str">
        <f>CONCATENATE(AP83,L83,H83)</f>
        <v>GLAA2Bad Debts</v>
      </c>
      <c r="AS83" s="125" t="str">
        <f>CONCATENATE(L83,H83,J83)</f>
        <v>A2Bad Debts</v>
      </c>
    </row>
    <row r="84" spans="1:45" s="125" customFormat="1" ht="25.5" customHeight="1">
      <c r="A84" s="216" t="s">
        <v>2493</v>
      </c>
      <c r="B84" s="217" t="str">
        <f t="shared" si="39"/>
        <v>GL144135</v>
      </c>
      <c r="C84" s="186">
        <v>144135</v>
      </c>
      <c r="D84" s="201"/>
      <c r="E84" s="162"/>
      <c r="F84" s="169" t="s">
        <v>801</v>
      </c>
      <c r="G84" s="117"/>
      <c r="H84" s="118" t="s">
        <v>2221</v>
      </c>
      <c r="I84" s="119"/>
      <c r="J84" s="120"/>
      <c r="K84" s="120" t="str">
        <f>IF(L84="N3","SFAS-109","")</f>
        <v/>
      </c>
      <c r="L84" s="170" t="s">
        <v>1419</v>
      </c>
      <c r="M84" s="122" t="str">
        <f t="shared" si="41"/>
        <v>A</v>
      </c>
      <c r="N84" s="116" t="str">
        <f>IF($L84&lt;&gt;"",VLOOKUP($L84,Categories!$E:$G,2,FALSE),IF($F84&lt;&gt;"","NO CAT",""))</f>
        <v>All Other</v>
      </c>
      <c r="O84" s="116" t="str">
        <f>IF($L84&lt;&gt;"",VLOOKUP($L84,Categories!$E:$G,3,FALSE),IF($F84&lt;&gt;"","NO CAT",""))</f>
        <v>EB-Cap</v>
      </c>
      <c r="P84" s="170" t="s">
        <v>1557</v>
      </c>
      <c r="Q84" s="123" t="s">
        <v>1891</v>
      </c>
      <c r="R84" s="124">
        <v>0.77544352505021785</v>
      </c>
      <c r="S84" s="124">
        <v>0.22455647494978223</v>
      </c>
      <c r="T84" s="124">
        <v>0</v>
      </c>
      <c r="U84" s="121">
        <f t="shared" si="31"/>
        <v>-1296.5754995381899</v>
      </c>
      <c r="V84" s="121">
        <f t="shared" si="32"/>
        <v>-375.46825046181499</v>
      </c>
      <c r="W84" s="121">
        <f t="shared" si="33"/>
        <v>0</v>
      </c>
      <c r="X84" s="121">
        <f t="shared" si="34"/>
        <v>-1672.04375</v>
      </c>
      <c r="Y84" s="121">
        <f t="shared" si="35"/>
        <v>-929.00460631591204</v>
      </c>
      <c r="Z84" s="121">
        <f t="shared" si="36"/>
        <v>-269.02539368408799</v>
      </c>
      <c r="AA84" s="121">
        <f t="shared" si="37"/>
        <v>0</v>
      </c>
      <c r="AB84" s="121">
        <f t="shared" si="38"/>
        <v>-1198.03</v>
      </c>
      <c r="AC84" s="121">
        <v>-1937.14</v>
      </c>
      <c r="AD84" s="121">
        <v>-2111.8000000000002</v>
      </c>
      <c r="AE84" s="121">
        <v>-2008.85</v>
      </c>
      <c r="AF84" s="121">
        <v>-1891.7</v>
      </c>
      <c r="AG84" s="121">
        <v>-1886.02</v>
      </c>
      <c r="AH84" s="121">
        <v>-1421.68</v>
      </c>
      <c r="AI84" s="121">
        <v>-1437.3</v>
      </c>
      <c r="AJ84" s="121">
        <v>-1495.52</v>
      </c>
      <c r="AK84" s="121">
        <v>-1516.82</v>
      </c>
      <c r="AL84" s="121">
        <v>-1533.15</v>
      </c>
      <c r="AM84" s="121">
        <v>-1578.59</v>
      </c>
      <c r="AN84" s="121">
        <v>-1615.51</v>
      </c>
      <c r="AO84" s="121">
        <v>-1198.03</v>
      </c>
      <c r="AP84" s="125" t="str">
        <f>CONCATENATE(A84,M84)</f>
        <v>GLA</v>
      </c>
      <c r="AQ84" s="125" t="str">
        <f>CONCATENATE(AP84,L84,H84)</f>
        <v>GLAA2Bad Debts</v>
      </c>
      <c r="AS84" s="125" t="str">
        <f>CONCATENATE(L84,H84,J84)</f>
        <v>A2Bad Debts</v>
      </c>
    </row>
    <row r="85" spans="1:45" s="125" customFormat="1" ht="25.5" customHeight="1">
      <c r="A85" s="216" t="s">
        <v>2493</v>
      </c>
      <c r="B85" s="217" t="str">
        <f t="shared" si="39"/>
        <v>GL144140</v>
      </c>
      <c r="C85" s="186">
        <v>144140</v>
      </c>
      <c r="D85" s="201"/>
      <c r="E85" s="162"/>
      <c r="F85" s="169" t="s">
        <v>1635</v>
      </c>
      <c r="G85" s="117"/>
      <c r="H85" s="118" t="s">
        <v>2221</v>
      </c>
      <c r="I85" s="119"/>
      <c r="J85" s="120"/>
      <c r="K85" s="120" t="str">
        <f>IF(L85="N3","SFAS-109","")</f>
        <v/>
      </c>
      <c r="L85" s="170" t="s">
        <v>1419</v>
      </c>
      <c r="M85" s="122" t="str">
        <f t="shared" si="41"/>
        <v>A</v>
      </c>
      <c r="N85" s="116" t="str">
        <f>IF($L85&lt;&gt;"",VLOOKUP($L85,Categories!$E:$G,2,FALSE),IF($F85&lt;&gt;"","NO CAT",""))</f>
        <v>All Other</v>
      </c>
      <c r="O85" s="116" t="str">
        <f>IF($L85&lt;&gt;"",VLOOKUP($L85,Categories!$E:$G,3,FALSE),IF($F85&lt;&gt;"","NO CAT",""))</f>
        <v>EB-Cap</v>
      </c>
      <c r="P85" s="170" t="s">
        <v>1557</v>
      </c>
      <c r="Q85" s="123" t="s">
        <v>1891</v>
      </c>
      <c r="R85" s="124">
        <v>0.77544352505021785</v>
      </c>
      <c r="S85" s="124">
        <v>0.22455647494978223</v>
      </c>
      <c r="T85" s="124">
        <v>0</v>
      </c>
      <c r="U85" s="121">
        <f t="shared" si="31"/>
        <v>-310.177410020087</v>
      </c>
      <c r="V85" s="121">
        <f t="shared" si="32"/>
        <v>-89.822589979912905</v>
      </c>
      <c r="W85" s="121">
        <f t="shared" si="33"/>
        <v>0</v>
      </c>
      <c r="X85" s="121">
        <f t="shared" si="34"/>
        <v>-400</v>
      </c>
      <c r="Y85" s="121">
        <f t="shared" si="35"/>
        <v>-310.177410020087</v>
      </c>
      <c r="Z85" s="121">
        <f t="shared" si="36"/>
        <v>-89.822589979912905</v>
      </c>
      <c r="AA85" s="121">
        <f t="shared" si="37"/>
        <v>0</v>
      </c>
      <c r="AB85" s="121">
        <f t="shared" si="38"/>
        <v>-400</v>
      </c>
      <c r="AC85" s="121">
        <v>-400</v>
      </c>
      <c r="AD85" s="121">
        <v>-400</v>
      </c>
      <c r="AE85" s="121">
        <v>-400</v>
      </c>
      <c r="AF85" s="121">
        <v>-400</v>
      </c>
      <c r="AG85" s="121">
        <v>-400</v>
      </c>
      <c r="AH85" s="121">
        <v>-400</v>
      </c>
      <c r="AI85" s="121">
        <v>-400</v>
      </c>
      <c r="AJ85" s="121">
        <v>-400</v>
      </c>
      <c r="AK85" s="121">
        <v>-400</v>
      </c>
      <c r="AL85" s="121">
        <v>-400</v>
      </c>
      <c r="AM85" s="121">
        <v>-400</v>
      </c>
      <c r="AN85" s="121">
        <v>-400</v>
      </c>
      <c r="AO85" s="121">
        <v>-400</v>
      </c>
      <c r="AP85" s="125" t="str">
        <f>CONCATENATE(A85,M85)</f>
        <v>GLA</v>
      </c>
      <c r="AQ85" s="125" t="str">
        <f>CONCATENATE(AP85,L85,H85)</f>
        <v>GLAA2Bad Debts</v>
      </c>
      <c r="AS85" s="125" t="str">
        <f>CONCATENATE(L85,H85,J85)</f>
        <v>A2Bad Debts</v>
      </c>
    </row>
    <row r="86" spans="1:45" s="125" customFormat="1" ht="25.5" customHeight="1">
      <c r="A86" s="216" t="s">
        <v>2493</v>
      </c>
      <c r="B86" s="217" t="str">
        <f t="shared" si="39"/>
        <v>GL144170</v>
      </c>
      <c r="C86" s="186">
        <v>144170</v>
      </c>
      <c r="D86" s="201"/>
      <c r="E86" s="162"/>
      <c r="F86" s="169" t="s">
        <v>1256</v>
      </c>
      <c r="G86" s="117"/>
      <c r="H86" s="118" t="s">
        <v>2221</v>
      </c>
      <c r="I86" s="119"/>
      <c r="J86" s="120"/>
      <c r="K86" s="120" t="str">
        <f t="shared" si="40"/>
        <v/>
      </c>
      <c r="L86" s="170" t="s">
        <v>1419</v>
      </c>
      <c r="M86" s="122" t="str">
        <f t="shared" si="41"/>
        <v>A</v>
      </c>
      <c r="N86" s="116" t="str">
        <f>IF($L86&lt;&gt;"",VLOOKUP($L86,Categories!$E:$G,2,FALSE),IF($F86&lt;&gt;"","NO CAT",""))</f>
        <v>All Other</v>
      </c>
      <c r="O86" s="116" t="str">
        <f>IF($L86&lt;&gt;"",VLOOKUP($L86,Categories!$E:$G,3,FALSE),IF($F86&lt;&gt;"","NO CAT",""))</f>
        <v>EB-Cap</v>
      </c>
      <c r="P86" s="170" t="s">
        <v>1557</v>
      </c>
      <c r="Q86" s="123" t="s">
        <v>1891</v>
      </c>
      <c r="R86" s="124">
        <v>0.77544352505021785</v>
      </c>
      <c r="S86" s="124">
        <v>0.22455647494978223</v>
      </c>
      <c r="T86" s="124">
        <v>0</v>
      </c>
      <c r="U86" s="121">
        <f t="shared" si="31"/>
        <v>-21689.801598592101</v>
      </c>
      <c r="V86" s="121">
        <f t="shared" si="32"/>
        <v>-6281.0317347411901</v>
      </c>
      <c r="W86" s="121">
        <f t="shared" si="33"/>
        <v>0</v>
      </c>
      <c r="X86" s="121">
        <f t="shared" si="34"/>
        <v>-27970.833333333299</v>
      </c>
      <c r="Y86" s="121">
        <f t="shared" si="35"/>
        <v>-18300.4671911851</v>
      </c>
      <c r="Z86" s="121">
        <f t="shared" si="36"/>
        <v>-5299.5328088148599</v>
      </c>
      <c r="AA86" s="121">
        <f t="shared" si="37"/>
        <v>0</v>
      </c>
      <c r="AB86" s="121">
        <f t="shared" si="38"/>
        <v>-23600</v>
      </c>
      <c r="AC86" s="121">
        <v>-22500</v>
      </c>
      <c r="AD86" s="121">
        <v>-24300</v>
      </c>
      <c r="AE86" s="121">
        <v>-26000</v>
      </c>
      <c r="AF86" s="121">
        <v>-27400</v>
      </c>
      <c r="AG86" s="121">
        <v>-29800</v>
      </c>
      <c r="AH86" s="121">
        <v>-30600</v>
      </c>
      <c r="AI86" s="121">
        <v>-30400</v>
      </c>
      <c r="AJ86" s="121">
        <v>-30000</v>
      </c>
      <c r="AK86" s="121">
        <v>-29200</v>
      </c>
      <c r="AL86" s="121">
        <v>-28300</v>
      </c>
      <c r="AM86" s="121">
        <v>-28300</v>
      </c>
      <c r="AN86" s="121">
        <v>-28300</v>
      </c>
      <c r="AO86" s="121">
        <v>-23600</v>
      </c>
      <c r="AP86" s="125" t="str">
        <f>CONCATENATE(A86,M86)</f>
        <v>GLA</v>
      </c>
      <c r="AQ86" s="125" t="str">
        <f>CONCATENATE(AP86,L86,H86)</f>
        <v>GLAA2Bad Debts</v>
      </c>
      <c r="AS86" s="125" t="str">
        <f>CONCATENATE(L86,H86,J86)</f>
        <v>A2Bad Debts</v>
      </c>
    </row>
    <row r="87" spans="1:45" s="125" customFormat="1" ht="25.5" customHeight="1">
      <c r="A87" s="216" t="s">
        <v>2493</v>
      </c>
      <c r="B87" s="217" t="str">
        <f t="shared" ref="B87:B126" si="42">CONCATENATE(A87,C87,D87,E87)</f>
        <v>GL146060</v>
      </c>
      <c r="C87" s="186">
        <v>146060</v>
      </c>
      <c r="D87" s="201"/>
      <c r="E87" s="162"/>
      <c r="F87" s="169" t="s">
        <v>1257</v>
      </c>
      <c r="G87" s="117"/>
      <c r="H87" s="118" t="s">
        <v>2421</v>
      </c>
      <c r="I87" s="119"/>
      <c r="J87" s="120"/>
      <c r="K87" s="120" t="str">
        <f t="shared" si="40"/>
        <v/>
      </c>
      <c r="L87" s="170" t="s">
        <v>1419</v>
      </c>
      <c r="M87" s="122" t="str">
        <f t="shared" si="41"/>
        <v>A</v>
      </c>
      <c r="N87" s="116" t="str">
        <f>IF($L87&lt;&gt;"",VLOOKUP($L87,Categories!$E:$G,2,FALSE),IF($F87&lt;&gt;"","NO CAT",""))</f>
        <v>All Other</v>
      </c>
      <c r="O87" s="116" t="str">
        <f>IF($L87&lt;&gt;"",VLOOKUP($L87,Categories!$E:$G,3,FALSE),IF($F87&lt;&gt;"","NO CAT",""))</f>
        <v>EB-Cap</v>
      </c>
      <c r="P87" s="170" t="s">
        <v>1557</v>
      </c>
      <c r="Q87" s="123" t="s">
        <v>1891</v>
      </c>
      <c r="R87" s="124">
        <v>0.77544352505021785</v>
      </c>
      <c r="S87" s="124">
        <v>0.22455647494978223</v>
      </c>
      <c r="T87" s="124">
        <v>0</v>
      </c>
      <c r="U87" s="121">
        <f t="shared" ref="U87:U124" si="43">IF(ABS(X87)=0,"",IF($R87="NO ALLOC","NO ALLOC",ROUND($R87*X87,15)))</f>
        <v>1680.29048107216</v>
      </c>
      <c r="V87" s="121">
        <f t="shared" ref="V87:V124" si="44">IF(ABS(X87)=0,"",IF($S87="NO ALLOC","NO ALLOC",ROUND($S87*X87,15)))</f>
        <v>486.58618601116501</v>
      </c>
      <c r="W87" s="121">
        <f t="shared" ref="W87:W124" si="45">IF(ABS(X87)=0,"",IF($T87="NO ALLOC","NO ALLOC",ROUND($T87*X87,15)))</f>
        <v>0</v>
      </c>
      <c r="X87" s="121">
        <f t="shared" ref="X87:X122" si="46">IF(ISERROR(ROUND((SUM(AC87:AO87)-((AC87+AO87))/2)/12,15)),"",ROUND((SUM(AC87:AO87)-((AC87+AO87))/2)/12,15))</f>
        <v>2166.8766670833302</v>
      </c>
      <c r="Y87" s="121">
        <f t="shared" ref="Y87:Y124" si="47">IF(ABS(AB87)=0,"",IF($R87="NO ALLOC","NO ALLOC",ROUND($R87*AB87,15)))</f>
        <v>5815.87746981502</v>
      </c>
      <c r="Z87" s="121">
        <f t="shared" ref="Z87:Z124" si="48">IF(ABS(AB87)=0,"",IF($S87="NO ALLOC","NO ALLOC",ROUND($S87*AB87,15)))</f>
        <v>1684.18834018498</v>
      </c>
      <c r="AA87" s="121">
        <f t="shared" ref="AA87:AA124" si="49">IF(ABS(AB87)=0,"",IF($T87="NO ALLOC","NO ALLOC",ROUND($T87*AB87,15)))</f>
        <v>0</v>
      </c>
      <c r="AB87" s="121">
        <f t="shared" ref="AB87:AB122" si="50">IF(AO87="",0,+AO87)</f>
        <v>7500.0658099999991</v>
      </c>
      <c r="AC87" s="121">
        <v>4783.2379800000008</v>
      </c>
      <c r="AD87" s="121">
        <v>2381.8226400000003</v>
      </c>
      <c r="AE87" s="121">
        <v>1494.3211399999998</v>
      </c>
      <c r="AF87" s="121">
        <v>1903.1749199999999</v>
      </c>
      <c r="AG87" s="121">
        <v>1896.6368200000002</v>
      </c>
      <c r="AH87" s="121">
        <v>2046.8179</v>
      </c>
      <c r="AI87" s="121">
        <v>3301.54189</v>
      </c>
      <c r="AJ87" s="121">
        <v>2022.89446</v>
      </c>
      <c r="AK87" s="121">
        <v>2548.2871500000001</v>
      </c>
      <c r="AL87" s="121">
        <v>-899.47325999999998</v>
      </c>
      <c r="AM87" s="121">
        <v>1013.03508</v>
      </c>
      <c r="AN87" s="121">
        <v>2151.8093699999999</v>
      </c>
      <c r="AO87" s="121">
        <v>7500.0658099999991</v>
      </c>
      <c r="AP87" s="125" t="str">
        <f>CONCATENATE(A87,M87)</f>
        <v>GLA</v>
      </c>
      <c r="AQ87" s="125" t="str">
        <f>CONCATENATE(AP87,L87,H87)</f>
        <v>GLAA2Accounts Receivable</v>
      </c>
      <c r="AS87" s="125" t="str">
        <f>CONCATENATE(L87,H87,J87)</f>
        <v>A2Accounts Receivable</v>
      </c>
    </row>
    <row r="88" spans="1:45" s="125" customFormat="1" ht="25.5" customHeight="1">
      <c r="A88" s="216" t="s">
        <v>2493</v>
      </c>
      <c r="B88" s="217" t="str">
        <f t="shared" si="42"/>
        <v>GL154210</v>
      </c>
      <c r="C88" s="186">
        <v>154210</v>
      </c>
      <c r="D88" s="201"/>
      <c r="E88" s="162"/>
      <c r="F88" s="169" t="s">
        <v>642</v>
      </c>
      <c r="G88" s="117"/>
      <c r="H88" s="118" t="s">
        <v>1180</v>
      </c>
      <c r="I88" s="119"/>
      <c r="J88" s="120"/>
      <c r="K88" s="120" t="str">
        <f t="shared" si="40"/>
        <v/>
      </c>
      <c r="L88" s="170" t="s">
        <v>213</v>
      </c>
      <c r="M88" s="122" t="str">
        <f t="shared" si="41"/>
        <v>R</v>
      </c>
      <c r="N88" s="116" t="str">
        <f>IF($L88&lt;&gt;"",VLOOKUP($L88,Categories!$E:$G,2,FALSE),IF($F88&lt;&gt;"","NO CAT",""))</f>
        <v>Rate Base</v>
      </c>
      <c r="O88" s="116" t="str">
        <f>IF($L88&lt;&gt;"",VLOOKUP($L88,Categories!$E:$G,3,FALSE),IF($F88&lt;&gt;"","NO CAT",""))</f>
        <v>Working Capital - M &amp; S</v>
      </c>
      <c r="P88" s="170" t="s">
        <v>1188</v>
      </c>
      <c r="Q88" s="123" t="s">
        <v>1843</v>
      </c>
      <c r="R88" s="124">
        <v>0.76071990262269951</v>
      </c>
      <c r="S88" s="124">
        <v>0.23928009737730072</v>
      </c>
      <c r="T88" s="124">
        <v>0</v>
      </c>
      <c r="U88" s="121">
        <f t="shared" si="43"/>
        <v>10589.741104013099</v>
      </c>
      <c r="V88" s="121">
        <f t="shared" si="44"/>
        <v>3330.9425372369001</v>
      </c>
      <c r="W88" s="121">
        <f t="shared" si="45"/>
        <v>0</v>
      </c>
      <c r="X88" s="121">
        <f t="shared" si="46"/>
        <v>13920.68364125</v>
      </c>
      <c r="Y88" s="121">
        <f t="shared" si="47"/>
        <v>10268.9551660546</v>
      </c>
      <c r="Z88" s="121">
        <f t="shared" si="48"/>
        <v>3230.0411539454199</v>
      </c>
      <c r="AA88" s="121">
        <f t="shared" si="49"/>
        <v>0</v>
      </c>
      <c r="AB88" s="121">
        <f t="shared" si="50"/>
        <v>13498.99632</v>
      </c>
      <c r="AC88" s="121">
        <v>13892.855150000001</v>
      </c>
      <c r="AD88" s="121">
        <v>14075.551220000001</v>
      </c>
      <c r="AE88" s="121">
        <v>13989.55078</v>
      </c>
      <c r="AF88" s="121">
        <v>14163.416380000001</v>
      </c>
      <c r="AG88" s="121">
        <v>13879.734380000002</v>
      </c>
      <c r="AH88" s="121">
        <v>13748.178539999999</v>
      </c>
      <c r="AI88" s="121">
        <v>13746.36285</v>
      </c>
      <c r="AJ88" s="121">
        <v>14800.61823</v>
      </c>
      <c r="AK88" s="121">
        <v>13863.898150000001</v>
      </c>
      <c r="AL88" s="121">
        <v>13586.347820000001</v>
      </c>
      <c r="AM88" s="121">
        <v>13860.29614</v>
      </c>
      <c r="AN88" s="121">
        <v>13638.323470000001</v>
      </c>
      <c r="AO88" s="121">
        <v>13498.99632</v>
      </c>
      <c r="AP88" s="125" t="str">
        <f>CONCATENATE(A88,M88)</f>
        <v>GLR</v>
      </c>
      <c r="AQ88" s="125" t="str">
        <f>CONCATENATE(AP88,L88,H88)</f>
        <v>GLRR6</v>
      </c>
      <c r="AS88" s="125" t="str">
        <f>CONCATENATE(L88,H88,J88)</f>
        <v>R6</v>
      </c>
    </row>
    <row r="89" spans="1:45" s="125" customFormat="1" ht="25.5" customHeight="1">
      <c r="A89" s="216" t="s">
        <v>2493</v>
      </c>
      <c r="B89" s="217" t="str">
        <f t="shared" si="42"/>
        <v>GL154212</v>
      </c>
      <c r="C89" s="186">
        <v>154212</v>
      </c>
      <c r="D89" s="201"/>
      <c r="E89" s="162"/>
      <c r="F89" s="169" t="s">
        <v>589</v>
      </c>
      <c r="G89" s="117"/>
      <c r="H89" s="118">
        <v>0</v>
      </c>
      <c r="I89" s="119"/>
      <c r="J89" s="120"/>
      <c r="K89" s="120" t="str">
        <f t="shared" si="40"/>
        <v/>
      </c>
      <c r="L89" s="170" t="s">
        <v>213</v>
      </c>
      <c r="M89" s="122" t="str">
        <f t="shared" si="41"/>
        <v>R</v>
      </c>
      <c r="N89" s="116" t="str">
        <f>IF($L89&lt;&gt;"",VLOOKUP($L89,Categories!$E:$G,2,FALSE),IF($F89&lt;&gt;"","NO CAT",""))</f>
        <v>Rate Base</v>
      </c>
      <c r="O89" s="116" t="str">
        <f>IF($L89&lt;&gt;"",VLOOKUP($L89,Categories!$E:$G,3,FALSE),IF($F89&lt;&gt;"","NO CAT",""))</f>
        <v>Working Capital - M &amp; S</v>
      </c>
      <c r="P89" s="170" t="s">
        <v>1188</v>
      </c>
      <c r="Q89" s="123" t="s">
        <v>1843</v>
      </c>
      <c r="R89" s="124">
        <v>0.76071990262269951</v>
      </c>
      <c r="S89" s="124">
        <v>0.23928009737730072</v>
      </c>
      <c r="T89" s="124">
        <v>0</v>
      </c>
      <c r="U89" s="121">
        <f t="shared" si="43"/>
        <v>101.310078138891</v>
      </c>
      <c r="V89" s="121">
        <f t="shared" si="44"/>
        <v>31.866506027776399</v>
      </c>
      <c r="W89" s="121">
        <f t="shared" si="45"/>
        <v>0</v>
      </c>
      <c r="X89" s="121">
        <f t="shared" si="46"/>
        <v>133.176584166667</v>
      </c>
      <c r="Y89" s="121">
        <f t="shared" si="47"/>
        <v>25.256326770219101</v>
      </c>
      <c r="Z89" s="121">
        <f t="shared" si="48"/>
        <v>7.9442332297809104</v>
      </c>
      <c r="AA89" s="121">
        <f t="shared" si="49"/>
        <v>0</v>
      </c>
      <c r="AB89" s="121">
        <f t="shared" si="50"/>
        <v>33.200559999999996</v>
      </c>
      <c r="AC89" s="121">
        <v>151.42500000000001</v>
      </c>
      <c r="AD89" s="121">
        <v>120.86839000000001</v>
      </c>
      <c r="AE89" s="121">
        <v>131.87562</v>
      </c>
      <c r="AF89" s="121">
        <v>129.18061</v>
      </c>
      <c r="AG89" s="121">
        <v>142.42526000000001</v>
      </c>
      <c r="AH89" s="121">
        <v>88.819600000000008</v>
      </c>
      <c r="AI89" s="121">
        <v>106.75657000000001</v>
      </c>
      <c r="AJ89" s="121">
        <v>124.25936999999999</v>
      </c>
      <c r="AK89" s="121">
        <v>163.57420000000002</v>
      </c>
      <c r="AL89" s="121">
        <v>175.75793999999999</v>
      </c>
      <c r="AM89" s="121">
        <v>172.34717000000001</v>
      </c>
      <c r="AN89" s="121">
        <v>149.94149999999999</v>
      </c>
      <c r="AO89" s="121">
        <v>33.200559999999996</v>
      </c>
      <c r="AP89" s="125" t="str">
        <f>CONCATENATE(A89,M89)</f>
        <v>GLR</v>
      </c>
      <c r="AQ89" s="125" t="str">
        <f>CONCATENATE(AP89,L89,H89)</f>
        <v>GLRR60</v>
      </c>
      <c r="AS89" s="125" t="str">
        <f>CONCATENATE(L89,H89,J89)</f>
        <v>R60</v>
      </c>
    </row>
    <row r="90" spans="1:45" s="125" customFormat="1" ht="25.5" customHeight="1">
      <c r="A90" s="216" t="s">
        <v>2493</v>
      </c>
      <c r="B90" s="217" t="str">
        <f t="shared" si="42"/>
        <v>GL154970</v>
      </c>
      <c r="C90" s="186">
        <v>154970</v>
      </c>
      <c r="D90" s="201"/>
      <c r="E90" s="162"/>
      <c r="F90" s="169" t="s">
        <v>643</v>
      </c>
      <c r="G90" s="117"/>
      <c r="H90" s="118" t="s">
        <v>1180</v>
      </c>
      <c r="I90" s="119"/>
      <c r="J90" s="120"/>
      <c r="K90" s="120" t="str">
        <f t="shared" si="40"/>
        <v/>
      </c>
      <c r="L90" s="170" t="s">
        <v>1419</v>
      </c>
      <c r="M90" s="122" t="str">
        <f t="shared" si="41"/>
        <v>A</v>
      </c>
      <c r="N90" s="116" t="str">
        <f>IF($L90&lt;&gt;"",VLOOKUP($L90,Categories!$E:$G,2,FALSE),IF($F90&lt;&gt;"","NO CAT",""))</f>
        <v>All Other</v>
      </c>
      <c r="O90" s="116" t="str">
        <f>IF($L90&lt;&gt;"",VLOOKUP($L90,Categories!$E:$G,3,FALSE),IF($F90&lt;&gt;"","NO CAT",""))</f>
        <v>EB-Cap</v>
      </c>
      <c r="P90" s="170" t="s">
        <v>1557</v>
      </c>
      <c r="Q90" s="123" t="s">
        <v>1891</v>
      </c>
      <c r="R90" s="124">
        <v>0.77544352505021785</v>
      </c>
      <c r="S90" s="124">
        <v>0.22455647494978223</v>
      </c>
      <c r="T90" s="124">
        <v>0</v>
      </c>
      <c r="U90" s="121">
        <f t="shared" si="43"/>
        <v>-5067.7906514570996</v>
      </c>
      <c r="V90" s="121">
        <f t="shared" si="44"/>
        <v>-1467.55394520957</v>
      </c>
      <c r="W90" s="121">
        <f t="shared" si="45"/>
        <v>0</v>
      </c>
      <c r="X90" s="121">
        <f t="shared" si="46"/>
        <v>-6535.3445966666704</v>
      </c>
      <c r="Y90" s="121" t="str">
        <f t="shared" si="47"/>
        <v/>
      </c>
      <c r="Z90" s="121" t="str">
        <f t="shared" si="48"/>
        <v/>
      </c>
      <c r="AA90" s="121" t="str">
        <f t="shared" si="49"/>
        <v/>
      </c>
      <c r="AB90" s="121">
        <f t="shared" si="50"/>
        <v>0</v>
      </c>
      <c r="AC90" s="121">
        <v>-22406.895760000003</v>
      </c>
      <c r="AD90" s="121">
        <v>-22406.895760000003</v>
      </c>
      <c r="AE90" s="121">
        <v>-22406.895760000003</v>
      </c>
      <c r="AF90" s="121">
        <v>-22406.895760000003</v>
      </c>
      <c r="AG90" s="121">
        <v>0</v>
      </c>
      <c r="AH90" s="121">
        <v>0</v>
      </c>
      <c r="AI90" s="121">
        <v>0</v>
      </c>
      <c r="AJ90" s="121">
        <v>0</v>
      </c>
      <c r="AK90" s="121">
        <v>0</v>
      </c>
      <c r="AL90" s="121">
        <v>0</v>
      </c>
      <c r="AM90" s="121">
        <v>0</v>
      </c>
      <c r="AN90" s="121">
        <v>0</v>
      </c>
      <c r="AO90" s="121">
        <v>0</v>
      </c>
      <c r="AP90" s="125" t="str">
        <f>CONCATENATE(A90,M90)</f>
        <v>GLA</v>
      </c>
      <c r="AQ90" s="125" t="str">
        <f>CONCATENATE(AP90,L90,H90)</f>
        <v>GLAA2</v>
      </c>
      <c r="AS90" s="125" t="str">
        <f>CONCATENATE(L90,H90,J90)</f>
        <v>A2</v>
      </c>
    </row>
    <row r="91" spans="1:45" s="125" customFormat="1" ht="25.5" customHeight="1">
      <c r="A91" s="216" t="s">
        <v>2493</v>
      </c>
      <c r="B91" s="217" t="str">
        <f t="shared" si="42"/>
        <v>GL154975</v>
      </c>
      <c r="C91" s="186">
        <v>154975</v>
      </c>
      <c r="D91" s="201"/>
      <c r="E91" s="162"/>
      <c r="F91" s="169" t="s">
        <v>2757</v>
      </c>
      <c r="G91" s="117"/>
      <c r="H91" s="118" t="s">
        <v>2758</v>
      </c>
      <c r="I91" s="119"/>
      <c r="J91" s="120"/>
      <c r="K91" s="120" t="str">
        <f t="shared" si="40"/>
        <v>SFAS-109</v>
      </c>
      <c r="L91" s="170" t="s">
        <v>930</v>
      </c>
      <c r="M91" s="122" t="str">
        <f t="shared" si="41"/>
        <v>N</v>
      </c>
      <c r="N91" s="116" t="str">
        <f>IF($L91&lt;&gt;"",VLOOKUP($L91,Categories!$E:$G,2,FALSE),IF($F91&lt;&gt;"","NO CAT",""))</f>
        <v>Not in Rate Base</v>
      </c>
      <c r="O91" s="116" t="str">
        <f>IF($L91&lt;&gt;"",VLOOKUP($L91,Categories!$E:$G,3,FALSE),IF($F91&lt;&gt;"","NO CAT",""))</f>
        <v>SFAS-109   (offsetting)</v>
      </c>
      <c r="P91" s="170" t="s">
        <v>1186</v>
      </c>
      <c r="Q91" s="123" t="s">
        <v>1187</v>
      </c>
      <c r="R91" s="124">
        <v>0</v>
      </c>
      <c r="S91" s="124">
        <v>0</v>
      </c>
      <c r="T91" s="124">
        <v>1</v>
      </c>
      <c r="U91" s="121">
        <f t="shared" si="43"/>
        <v>0</v>
      </c>
      <c r="V91" s="121">
        <f t="shared" si="44"/>
        <v>0</v>
      </c>
      <c r="W91" s="121">
        <f t="shared" si="45"/>
        <v>2800.8619699999999</v>
      </c>
      <c r="X91" s="121">
        <f t="shared" si="46"/>
        <v>2800.8619699999999</v>
      </c>
      <c r="Y91" s="121" t="str">
        <f t="shared" si="47"/>
        <v/>
      </c>
      <c r="Z91" s="121" t="str">
        <f t="shared" si="48"/>
        <v/>
      </c>
      <c r="AA91" s="121" t="str">
        <f t="shared" si="49"/>
        <v/>
      </c>
      <c r="AB91" s="121">
        <f t="shared" si="50"/>
        <v>0</v>
      </c>
      <c r="AC91" s="121">
        <v>22406.895760000003</v>
      </c>
      <c r="AD91" s="121">
        <v>0</v>
      </c>
      <c r="AE91" s="121">
        <v>0</v>
      </c>
      <c r="AF91" s="121">
        <v>22406.895760000003</v>
      </c>
      <c r="AG91" s="121">
        <v>0</v>
      </c>
      <c r="AH91" s="121">
        <v>0</v>
      </c>
      <c r="AI91" s="121">
        <v>0</v>
      </c>
      <c r="AJ91" s="121">
        <v>0</v>
      </c>
      <c r="AK91" s="121">
        <v>0</v>
      </c>
      <c r="AL91" s="121">
        <v>0</v>
      </c>
      <c r="AM91" s="121">
        <v>0</v>
      </c>
      <c r="AN91" s="121">
        <v>0</v>
      </c>
      <c r="AO91" s="121">
        <v>0</v>
      </c>
      <c r="AP91" s="125" t="str">
        <f>CONCATENATE(A91,M91)</f>
        <v>GLN</v>
      </c>
      <c r="AQ91" s="125" t="str">
        <f>CONCATENATE(AP91,L91,H91)</f>
        <v>GLNN3Transfer Goods Receipt</v>
      </c>
      <c r="AS91" s="125" t="str">
        <f>CONCATENATE(L91,H91,J91)</f>
        <v>N3Transfer Goods Receipt</v>
      </c>
    </row>
    <row r="92" spans="1:45" s="125" customFormat="1" ht="25.5" customHeight="1">
      <c r="A92" s="216" t="s">
        <v>2493</v>
      </c>
      <c r="B92" s="217" t="str">
        <f t="shared" si="42"/>
        <v>GL164103</v>
      </c>
      <c r="C92" s="186">
        <v>164103</v>
      </c>
      <c r="D92" s="201"/>
      <c r="E92" s="162"/>
      <c r="F92" s="169" t="s">
        <v>1680</v>
      </c>
      <c r="G92" s="117"/>
      <c r="H92" s="118" t="s">
        <v>3012</v>
      </c>
      <c r="I92" s="119"/>
      <c r="J92" s="120"/>
      <c r="K92" s="120" t="str">
        <f t="shared" ref="K92:K137" si="51">IF(L92="N3","SFAS-109","")</f>
        <v/>
      </c>
      <c r="L92" s="170" t="s">
        <v>1823</v>
      </c>
      <c r="M92" s="122" t="str">
        <f t="shared" si="41"/>
        <v>R</v>
      </c>
      <c r="N92" s="116" t="str">
        <f>IF($L92&lt;&gt;"",VLOOKUP($L92,Categories!$E:$G,2,FALSE),IF($F92&lt;&gt;"","NO CAT",""))</f>
        <v>Rate Base</v>
      </c>
      <c r="O92" s="116" t="str">
        <f>IF($L92&lt;&gt;"",VLOOKUP($L92,Categories!$E:$G,3,FALSE),IF($F92&lt;&gt;"","NO CAT",""))</f>
        <v>Storage Gas Inventory</v>
      </c>
      <c r="P92" s="170" t="s">
        <v>1184</v>
      </c>
      <c r="Q92" s="123" t="s">
        <v>1178</v>
      </c>
      <c r="R92" s="124">
        <v>0</v>
      </c>
      <c r="S92" s="124">
        <v>1</v>
      </c>
      <c r="T92" s="124">
        <v>0</v>
      </c>
      <c r="U92" s="121">
        <f t="shared" si="43"/>
        <v>0</v>
      </c>
      <c r="V92" s="121">
        <f t="shared" si="44"/>
        <v>6999.1782212500002</v>
      </c>
      <c r="W92" s="121">
        <f t="shared" si="45"/>
        <v>0</v>
      </c>
      <c r="X92" s="121">
        <f t="shared" si="46"/>
        <v>6999.1782212500002</v>
      </c>
      <c r="Y92" s="121">
        <f t="shared" si="47"/>
        <v>0</v>
      </c>
      <c r="Z92" s="121">
        <f t="shared" si="48"/>
        <v>8939.1597600000005</v>
      </c>
      <c r="AA92" s="121">
        <f t="shared" si="49"/>
        <v>0</v>
      </c>
      <c r="AB92" s="121">
        <f t="shared" si="50"/>
        <v>8939.1597600000005</v>
      </c>
      <c r="AC92" s="121">
        <v>7201.29835</v>
      </c>
      <c r="AD92" s="121">
        <v>5238.66111</v>
      </c>
      <c r="AE92" s="121">
        <v>2928.7052200000003</v>
      </c>
      <c r="AF92" s="121">
        <v>1063.6523099999999</v>
      </c>
      <c r="AG92" s="121">
        <v>1817.57043</v>
      </c>
      <c r="AH92" s="121">
        <v>3908.0533700000001</v>
      </c>
      <c r="AI92" s="121">
        <v>6247.7281700000003</v>
      </c>
      <c r="AJ92" s="121">
        <v>8570.7905300000002</v>
      </c>
      <c r="AK92" s="121">
        <v>10591.938619999999</v>
      </c>
      <c r="AL92" s="121">
        <v>11803.508699999998</v>
      </c>
      <c r="AM92" s="121">
        <v>12358.838250000001</v>
      </c>
      <c r="AN92" s="121">
        <v>11390.462890000001</v>
      </c>
      <c r="AO92" s="121">
        <v>8939.1597600000005</v>
      </c>
      <c r="AP92" s="125" t="str">
        <f>CONCATENATE(A92,M92)</f>
        <v>GLR</v>
      </c>
      <c r="AQ92" s="125" t="str">
        <f>CONCATENATE(AP92,L92,H92)</f>
        <v>GLRR5Storage Gas</v>
      </c>
      <c r="AS92" s="125" t="str">
        <f>CONCATENATE(L92,H92,J92)</f>
        <v>R5Storage Gas</v>
      </c>
    </row>
    <row r="93" spans="1:45" s="125" customFormat="1" ht="25.5" customHeight="1">
      <c r="A93" s="216" t="s">
        <v>2493</v>
      </c>
      <c r="B93" s="217" t="str">
        <f t="shared" si="42"/>
        <v>GL164140</v>
      </c>
      <c r="C93" s="186">
        <v>164140</v>
      </c>
      <c r="D93" s="201"/>
      <c r="E93" s="162"/>
      <c r="F93" s="169" t="s">
        <v>2917</v>
      </c>
      <c r="G93" s="117"/>
      <c r="H93" s="118" t="s">
        <v>3012</v>
      </c>
      <c r="I93" s="119"/>
      <c r="J93" s="120"/>
      <c r="K93" s="120" t="str">
        <f t="shared" si="51"/>
        <v/>
      </c>
      <c r="L93" s="170" t="s">
        <v>1823</v>
      </c>
      <c r="M93" s="122" t="str">
        <f t="shared" si="41"/>
        <v>R</v>
      </c>
      <c r="N93" s="116" t="str">
        <f>IF($L93&lt;&gt;"",VLOOKUP($L93,Categories!$E:$G,2,FALSE),IF($F93&lt;&gt;"","NO CAT",""))</f>
        <v>Rate Base</v>
      </c>
      <c r="O93" s="116" t="str">
        <f>IF($L93&lt;&gt;"",VLOOKUP($L93,Categories!$E:$G,3,FALSE),IF($F93&lt;&gt;"","NO CAT",""))</f>
        <v>Storage Gas Inventory</v>
      </c>
      <c r="P93" s="170" t="s">
        <v>1184</v>
      </c>
      <c r="Q93" s="123" t="s">
        <v>1178</v>
      </c>
      <c r="R93" s="124">
        <v>0</v>
      </c>
      <c r="S93" s="124">
        <v>1</v>
      </c>
      <c r="T93" s="124">
        <v>0</v>
      </c>
      <c r="U93" s="121">
        <f t="shared" si="43"/>
        <v>0</v>
      </c>
      <c r="V93" s="121">
        <f t="shared" si="44"/>
        <v>1066.8036762500001</v>
      </c>
      <c r="W93" s="121">
        <f t="shared" si="45"/>
        <v>0</v>
      </c>
      <c r="X93" s="121">
        <f t="shared" si="46"/>
        <v>1066.8036762500001</v>
      </c>
      <c r="Y93" s="121">
        <f t="shared" si="47"/>
        <v>0</v>
      </c>
      <c r="Z93" s="121">
        <f t="shared" si="48"/>
        <v>1249.84032</v>
      </c>
      <c r="AA93" s="121">
        <f t="shared" si="49"/>
        <v>0</v>
      </c>
      <c r="AB93" s="121">
        <f t="shared" si="50"/>
        <v>1249.84032</v>
      </c>
      <c r="AC93" s="121">
        <v>1550.62571</v>
      </c>
      <c r="AD93" s="121">
        <v>1359.17506</v>
      </c>
      <c r="AE93" s="121">
        <v>953.57535999999993</v>
      </c>
      <c r="AF93" s="121">
        <v>315.61032</v>
      </c>
      <c r="AG93" s="121">
        <v>809.55680000000007</v>
      </c>
      <c r="AH93" s="121">
        <v>878.04707999999994</v>
      </c>
      <c r="AI93" s="121">
        <v>1130.3101999999999</v>
      </c>
      <c r="AJ93" s="121">
        <v>1177.79828</v>
      </c>
      <c r="AK93" s="121">
        <v>1236.4758100000001</v>
      </c>
      <c r="AL93" s="121">
        <v>1263.7826100000002</v>
      </c>
      <c r="AM93" s="121">
        <v>1116.7745500000001</v>
      </c>
      <c r="AN93" s="121">
        <v>1160.30503</v>
      </c>
      <c r="AO93" s="121">
        <v>1249.84032</v>
      </c>
      <c r="AP93" s="125" t="str">
        <f>CONCATENATE(A93,M93)</f>
        <v>GLR</v>
      </c>
      <c r="AQ93" s="125" t="str">
        <f>CONCATENATE(AP93,L93,H93)</f>
        <v>GLRR5Storage Gas</v>
      </c>
      <c r="AS93" s="125" t="str">
        <f>CONCATENATE(L93,H93,J93)</f>
        <v>R5Storage Gas</v>
      </c>
    </row>
    <row r="94" spans="1:45" s="125" customFormat="1" ht="25.5" customHeight="1">
      <c r="A94" s="216" t="s">
        <v>2493</v>
      </c>
      <c r="B94" s="217" t="str">
        <f t="shared" si="42"/>
        <v>GL164160</v>
      </c>
      <c r="C94" s="186">
        <v>164160</v>
      </c>
      <c r="D94" s="201"/>
      <c r="E94" s="162"/>
      <c r="F94" s="169" t="s">
        <v>641</v>
      </c>
      <c r="G94" s="117"/>
      <c r="H94" s="118" t="s">
        <v>3012</v>
      </c>
      <c r="I94" s="119"/>
      <c r="J94" s="120"/>
      <c r="K94" s="120" t="str">
        <f t="shared" si="51"/>
        <v/>
      </c>
      <c r="L94" s="170" t="s">
        <v>1823</v>
      </c>
      <c r="M94" s="122" t="str">
        <f t="shared" si="41"/>
        <v>R</v>
      </c>
      <c r="N94" s="116" t="str">
        <f>IF($L94&lt;&gt;"",VLOOKUP($L94,Categories!$E:$G,2,FALSE),IF($F94&lt;&gt;"","NO CAT",""))</f>
        <v>Rate Base</v>
      </c>
      <c r="O94" s="116" t="str">
        <f>IF($L94&lt;&gt;"",VLOOKUP($L94,Categories!$E:$G,3,FALSE),IF($F94&lt;&gt;"","NO CAT",""))</f>
        <v>Storage Gas Inventory</v>
      </c>
      <c r="P94" s="170" t="s">
        <v>1184</v>
      </c>
      <c r="Q94" s="123" t="s">
        <v>1178</v>
      </c>
      <c r="R94" s="124">
        <v>0</v>
      </c>
      <c r="S94" s="124">
        <v>1</v>
      </c>
      <c r="T94" s="124">
        <v>0</v>
      </c>
      <c r="U94" s="121">
        <f t="shared" si="43"/>
        <v>0</v>
      </c>
      <c r="V94" s="121">
        <f t="shared" si="44"/>
        <v>8750.3492937499996</v>
      </c>
      <c r="W94" s="121">
        <f t="shared" si="45"/>
        <v>0</v>
      </c>
      <c r="X94" s="121">
        <f t="shared" si="46"/>
        <v>8750.3492937499996</v>
      </c>
      <c r="Y94" s="121">
        <f t="shared" si="47"/>
        <v>0</v>
      </c>
      <c r="Z94" s="121">
        <f t="shared" si="48"/>
        <v>11140.169239999999</v>
      </c>
      <c r="AA94" s="121">
        <f t="shared" si="49"/>
        <v>0</v>
      </c>
      <c r="AB94" s="121">
        <f t="shared" si="50"/>
        <v>11140.169240000001</v>
      </c>
      <c r="AC94" s="121">
        <v>12892.63089</v>
      </c>
      <c r="AD94" s="121">
        <v>7980.30134</v>
      </c>
      <c r="AE94" s="121">
        <v>3413.0887499999999</v>
      </c>
      <c r="AF94" s="121">
        <v>736.73054999999999</v>
      </c>
      <c r="AG94" s="121">
        <v>2648.13859</v>
      </c>
      <c r="AH94" s="121">
        <v>5680.0487499999999</v>
      </c>
      <c r="AI94" s="121">
        <v>8345.4670700000006</v>
      </c>
      <c r="AJ94" s="121">
        <v>10524.74775</v>
      </c>
      <c r="AK94" s="121">
        <v>12233.958869999999</v>
      </c>
      <c r="AL94" s="121">
        <v>13346.581789999998</v>
      </c>
      <c r="AM94" s="121">
        <v>14514.78938</v>
      </c>
      <c r="AN94" s="121">
        <v>13563.938619999999</v>
      </c>
      <c r="AO94" s="121">
        <v>11140.169240000001</v>
      </c>
      <c r="AP94" s="125" t="str">
        <f>CONCATENATE(A94,M94)</f>
        <v>GLR</v>
      </c>
      <c r="AQ94" s="125" t="str">
        <f>CONCATENATE(AP94,L94,H94)</f>
        <v>GLRR5Storage Gas</v>
      </c>
      <c r="AS94" s="125" t="str">
        <f>CONCATENATE(L94,H94,J94)</f>
        <v>R5Storage Gas</v>
      </c>
    </row>
    <row r="95" spans="1:45" s="125" customFormat="1" ht="25.5" customHeight="1">
      <c r="A95" s="216" t="s">
        <v>2493</v>
      </c>
      <c r="B95" s="217" t="str">
        <f t="shared" si="42"/>
        <v>GL164180</v>
      </c>
      <c r="C95" s="186">
        <v>164180</v>
      </c>
      <c r="D95" s="201"/>
      <c r="E95" s="162"/>
      <c r="F95" s="169" t="s">
        <v>1030</v>
      </c>
      <c r="G95" s="117"/>
      <c r="H95" s="118" t="s">
        <v>3012</v>
      </c>
      <c r="I95" s="119"/>
      <c r="J95" s="120"/>
      <c r="K95" s="120" t="str">
        <f t="shared" si="51"/>
        <v/>
      </c>
      <c r="L95" s="170" t="s">
        <v>1823</v>
      </c>
      <c r="M95" s="122" t="str">
        <f t="shared" si="41"/>
        <v>R</v>
      </c>
      <c r="N95" s="116" t="str">
        <f>IF($L95&lt;&gt;"",VLOOKUP($L95,Categories!$E:$G,2,FALSE),IF($F95&lt;&gt;"","NO CAT",""))</f>
        <v>Rate Base</v>
      </c>
      <c r="O95" s="116" t="str">
        <f>IF($L95&lt;&gt;"",VLOOKUP($L95,Categories!$E:$G,3,FALSE),IF($F95&lt;&gt;"","NO CAT",""))</f>
        <v>Storage Gas Inventory</v>
      </c>
      <c r="P95" s="170" t="s">
        <v>1184</v>
      </c>
      <c r="Q95" s="123" t="s">
        <v>1178</v>
      </c>
      <c r="R95" s="124">
        <v>0</v>
      </c>
      <c r="S95" s="124">
        <v>1</v>
      </c>
      <c r="T95" s="124">
        <v>0</v>
      </c>
      <c r="U95" s="121">
        <f t="shared" si="43"/>
        <v>0</v>
      </c>
      <c r="V95" s="121">
        <f t="shared" si="44"/>
        <v>1443.56639833333</v>
      </c>
      <c r="W95" s="121">
        <f t="shared" si="45"/>
        <v>0</v>
      </c>
      <c r="X95" s="121">
        <f t="shared" si="46"/>
        <v>1443.56639833333</v>
      </c>
      <c r="Y95" s="121">
        <f t="shared" si="47"/>
        <v>0</v>
      </c>
      <c r="Z95" s="121">
        <f t="shared" si="48"/>
        <v>1795.00892</v>
      </c>
      <c r="AA95" s="121">
        <f t="shared" si="49"/>
        <v>0</v>
      </c>
      <c r="AB95" s="121">
        <f t="shared" si="50"/>
        <v>1795.00892</v>
      </c>
      <c r="AC95" s="121">
        <v>1863.4529199999999</v>
      </c>
      <c r="AD95" s="121">
        <v>1192.9427800000001</v>
      </c>
      <c r="AE95" s="121">
        <v>516.58518000000004</v>
      </c>
      <c r="AF95" s="121">
        <v>118.95707</v>
      </c>
      <c r="AG95" s="121">
        <v>550.54174999999998</v>
      </c>
      <c r="AH95" s="121">
        <v>963.29365000000007</v>
      </c>
      <c r="AI95" s="121">
        <v>1357.36977</v>
      </c>
      <c r="AJ95" s="121">
        <v>1688.6377600000001</v>
      </c>
      <c r="AK95" s="121">
        <v>2001.8466699999999</v>
      </c>
      <c r="AL95" s="121">
        <v>2309.94679</v>
      </c>
      <c r="AM95" s="121">
        <v>2496.7244500000002</v>
      </c>
      <c r="AN95" s="121">
        <v>2296.7199900000001</v>
      </c>
      <c r="AO95" s="121">
        <v>1795.00892</v>
      </c>
      <c r="AP95" s="125" t="str">
        <f>CONCATENATE(A95,M95)</f>
        <v>GLR</v>
      </c>
      <c r="AQ95" s="125" t="str">
        <f>CONCATENATE(AP95,L95,H95)</f>
        <v>GLRR5Storage Gas</v>
      </c>
      <c r="AS95" s="125" t="str">
        <f>CONCATENATE(L95,H95,J95)</f>
        <v>R5Storage Gas</v>
      </c>
    </row>
    <row r="96" spans="1:45" s="125" customFormat="1" ht="25.5" customHeight="1">
      <c r="A96" s="216" t="s">
        <v>2493</v>
      </c>
      <c r="B96" s="217" t="str">
        <f t="shared" si="42"/>
        <v>GL165020</v>
      </c>
      <c r="C96" s="186">
        <v>165020</v>
      </c>
      <c r="D96" s="201"/>
      <c r="E96" s="162"/>
      <c r="F96" s="169" t="s">
        <v>2918</v>
      </c>
      <c r="G96" s="117"/>
      <c r="H96" s="118" t="s">
        <v>969</v>
      </c>
      <c r="I96" s="119"/>
      <c r="J96" s="120"/>
      <c r="K96" s="120" t="str">
        <f t="shared" si="51"/>
        <v/>
      </c>
      <c r="L96" s="170" t="s">
        <v>733</v>
      </c>
      <c r="M96" s="122" t="str">
        <f t="shared" si="41"/>
        <v>R</v>
      </c>
      <c r="N96" s="116" t="str">
        <f>IF($L96&lt;&gt;"",VLOOKUP($L96,Categories!$E:$G,2,FALSE),IF($F96&lt;&gt;"","NO CAT",""))</f>
        <v>Rate Base</v>
      </c>
      <c r="O96" s="116" t="str">
        <f>IF($L96&lt;&gt;"",VLOOKUP($L96,Categories!$E:$G,3,FALSE),IF($F96&lt;&gt;"","NO CAT",""))</f>
        <v>Working Capital - Prepayment</v>
      </c>
      <c r="P96" s="170" t="s">
        <v>1188</v>
      </c>
      <c r="Q96" s="123" t="s">
        <v>1843</v>
      </c>
      <c r="R96" s="124">
        <v>0.76071990262269951</v>
      </c>
      <c r="S96" s="124">
        <v>0.23928009737730072</v>
      </c>
      <c r="T96" s="124">
        <v>0</v>
      </c>
      <c r="U96" s="121">
        <f t="shared" si="43"/>
        <v>1046.97892084211</v>
      </c>
      <c r="V96" s="121">
        <f t="shared" si="44"/>
        <v>329.32123540789399</v>
      </c>
      <c r="W96" s="121">
        <f t="shared" si="45"/>
        <v>0</v>
      </c>
      <c r="X96" s="121">
        <f t="shared" si="46"/>
        <v>1376.3001562500001</v>
      </c>
      <c r="Y96" s="121">
        <f t="shared" si="47"/>
        <v>1430.0700572437499</v>
      </c>
      <c r="Z96" s="121">
        <f t="shared" si="48"/>
        <v>449.82036275625501</v>
      </c>
      <c r="AA96" s="121">
        <f t="shared" si="49"/>
        <v>0</v>
      </c>
      <c r="AB96" s="121">
        <f t="shared" si="50"/>
        <v>1879.8904199999999</v>
      </c>
      <c r="AC96" s="121">
        <v>995.74572999999998</v>
      </c>
      <c r="AD96" s="121">
        <v>710.42277000000001</v>
      </c>
      <c r="AE96" s="121">
        <v>572.30327</v>
      </c>
      <c r="AF96" s="121">
        <v>201.14020000000002</v>
      </c>
      <c r="AG96" s="121">
        <v>494.18248</v>
      </c>
      <c r="AH96" s="121">
        <v>126.30892</v>
      </c>
      <c r="AI96" s="121">
        <v>244.84476999999998</v>
      </c>
      <c r="AJ96" s="121">
        <v>1773.3363300000001</v>
      </c>
      <c r="AK96" s="121">
        <v>3093.8735899999997</v>
      </c>
      <c r="AL96" s="121">
        <v>2903.96902</v>
      </c>
      <c r="AM96" s="121">
        <v>2529.96182</v>
      </c>
      <c r="AN96" s="121">
        <v>2427.4406300000001</v>
      </c>
      <c r="AO96" s="121">
        <v>1879.8904199999999</v>
      </c>
      <c r="AP96" s="125" t="str">
        <f>CONCATENATE(A96,M96)</f>
        <v>GLR</v>
      </c>
      <c r="AQ96" s="125" t="str">
        <f>CONCATENATE(AP96,L96,H96)</f>
        <v>GLRR7Prepaid Insurance</v>
      </c>
      <c r="AS96" s="125" t="str">
        <f>CONCATENATE(L96,H96,J96)</f>
        <v>R7Prepaid Insurance</v>
      </c>
    </row>
    <row r="97" spans="1:45" s="125" customFormat="1" ht="25.5" customHeight="1">
      <c r="A97" s="216" t="s">
        <v>2493</v>
      </c>
      <c r="B97" s="217" t="str">
        <f t="shared" si="42"/>
        <v>GL165030</v>
      </c>
      <c r="C97" s="186">
        <v>165030</v>
      </c>
      <c r="D97" s="201"/>
      <c r="E97" s="162"/>
      <c r="F97" s="169" t="s">
        <v>2919</v>
      </c>
      <c r="G97" s="117"/>
      <c r="H97" s="118" t="s">
        <v>1180</v>
      </c>
      <c r="I97" s="119"/>
      <c r="J97" s="120"/>
      <c r="K97" s="120" t="str">
        <f t="shared" si="51"/>
        <v/>
      </c>
      <c r="L97" s="170" t="s">
        <v>733</v>
      </c>
      <c r="M97" s="122" t="str">
        <f t="shared" si="41"/>
        <v>R</v>
      </c>
      <c r="N97" s="116" t="str">
        <f>IF($L97&lt;&gt;"",VLOOKUP($L97,Categories!$E:$G,2,FALSE),IF($F97&lt;&gt;"","NO CAT",""))</f>
        <v>Rate Base</v>
      </c>
      <c r="O97" s="116" t="str">
        <f>IF($L97&lt;&gt;"",VLOOKUP($L97,Categories!$E:$G,3,FALSE),IF($F97&lt;&gt;"","NO CAT",""))</f>
        <v>Working Capital - Prepayment</v>
      </c>
      <c r="P97" s="170" t="s">
        <v>1188</v>
      </c>
      <c r="Q97" s="123" t="s">
        <v>1843</v>
      </c>
      <c r="R97" s="124">
        <v>0.76071990262269951</v>
      </c>
      <c r="S97" s="124">
        <v>0.23928009737730072</v>
      </c>
      <c r="T97" s="124">
        <v>0</v>
      </c>
      <c r="U97" s="121">
        <f t="shared" si="43"/>
        <v>334.60148558410998</v>
      </c>
      <c r="V97" s="121">
        <f t="shared" si="44"/>
        <v>105.246984832557</v>
      </c>
      <c r="W97" s="121">
        <f t="shared" si="45"/>
        <v>0</v>
      </c>
      <c r="X97" s="121">
        <f t="shared" si="46"/>
        <v>439.848470416667</v>
      </c>
      <c r="Y97" s="121">
        <f t="shared" si="47"/>
        <v>325.10480253958298</v>
      </c>
      <c r="Z97" s="121">
        <f t="shared" si="48"/>
        <v>102.259857460417</v>
      </c>
      <c r="AA97" s="121">
        <f t="shared" si="49"/>
        <v>0</v>
      </c>
      <c r="AB97" s="121">
        <f t="shared" si="50"/>
        <v>427.36465999999996</v>
      </c>
      <c r="AC97" s="121">
        <v>490.85434999999995</v>
      </c>
      <c r="AD97" s="121">
        <v>475.29032000000001</v>
      </c>
      <c r="AE97" s="121">
        <v>498.46566999999999</v>
      </c>
      <c r="AF97" s="121">
        <v>475.77100000000002</v>
      </c>
      <c r="AG97" s="121">
        <v>457.46871999999996</v>
      </c>
      <c r="AH97" s="121">
        <v>425.43049999999999</v>
      </c>
      <c r="AI97" s="121">
        <v>434.76551000000001</v>
      </c>
      <c r="AJ97" s="121">
        <v>416.27715000000001</v>
      </c>
      <c r="AK97" s="121">
        <v>399.43927000000002</v>
      </c>
      <c r="AL97" s="121">
        <v>409.87043</v>
      </c>
      <c r="AM97" s="121">
        <v>393.26015000000001</v>
      </c>
      <c r="AN97" s="121">
        <v>433.03341999999998</v>
      </c>
      <c r="AO97" s="121">
        <v>427.36465999999996</v>
      </c>
      <c r="AP97" s="125" t="str">
        <f>CONCATENATE(A97,M97)</f>
        <v>GLR</v>
      </c>
      <c r="AQ97" s="125" t="str">
        <f>CONCATENATE(AP97,L97,H97)</f>
        <v>GLRR7</v>
      </c>
      <c r="AS97" s="125" t="str">
        <f>CONCATENATE(L97,H97,J97)</f>
        <v>R7</v>
      </c>
    </row>
    <row r="98" spans="1:45" s="125" customFormat="1" ht="25.5" customHeight="1">
      <c r="A98" s="216" t="s">
        <v>2493</v>
      </c>
      <c r="B98" s="217" t="str">
        <f t="shared" si="42"/>
        <v>GL165040</v>
      </c>
      <c r="C98" s="186">
        <v>165040</v>
      </c>
      <c r="D98" s="201"/>
      <c r="E98" s="162"/>
      <c r="F98" s="169" t="s">
        <v>2920</v>
      </c>
      <c r="G98" s="117"/>
      <c r="H98" s="118" t="s">
        <v>1180</v>
      </c>
      <c r="I98" s="119"/>
      <c r="J98" s="120"/>
      <c r="K98" s="120" t="str">
        <f t="shared" si="51"/>
        <v/>
      </c>
      <c r="L98" s="170" t="s">
        <v>733</v>
      </c>
      <c r="M98" s="122" t="str">
        <f t="shared" si="41"/>
        <v>R</v>
      </c>
      <c r="N98" s="116" t="str">
        <f>IF($L98&lt;&gt;"",VLOOKUP($L98,Categories!$E:$G,2,FALSE),IF($F98&lt;&gt;"","NO CAT",""))</f>
        <v>Rate Base</v>
      </c>
      <c r="O98" s="116" t="str">
        <f>IF($L98&lt;&gt;"",VLOOKUP($L98,Categories!$E:$G,3,FALSE),IF($F98&lt;&gt;"","NO CAT",""))</f>
        <v>Working Capital - Prepayment</v>
      </c>
      <c r="P98" s="170" t="s">
        <v>1188</v>
      </c>
      <c r="Q98" s="123" t="s">
        <v>1843</v>
      </c>
      <c r="R98" s="124">
        <v>0.76071990262269951</v>
      </c>
      <c r="S98" s="124">
        <v>0.23928009737730072</v>
      </c>
      <c r="T98" s="124">
        <v>0</v>
      </c>
      <c r="U98" s="121">
        <f t="shared" si="43"/>
        <v>201.310115145042</v>
      </c>
      <c r="V98" s="121">
        <f t="shared" si="44"/>
        <v>63.320946104958402</v>
      </c>
      <c r="W98" s="121">
        <f t="shared" si="45"/>
        <v>0</v>
      </c>
      <c r="X98" s="121">
        <f t="shared" si="46"/>
        <v>264.63106125000002</v>
      </c>
      <c r="Y98" s="121">
        <f t="shared" si="47"/>
        <v>255.047413758603</v>
      </c>
      <c r="Z98" s="121">
        <f t="shared" si="48"/>
        <v>80.223706241396698</v>
      </c>
      <c r="AA98" s="121">
        <f t="shared" si="49"/>
        <v>0</v>
      </c>
      <c r="AB98" s="121">
        <f t="shared" si="50"/>
        <v>335.27112</v>
      </c>
      <c r="AC98" s="121">
        <v>93.887190000000004</v>
      </c>
      <c r="AD98" s="121">
        <v>93.887190000000004</v>
      </c>
      <c r="AE98" s="121">
        <v>281.41219000000001</v>
      </c>
      <c r="AF98" s="121">
        <v>295.95272999999997</v>
      </c>
      <c r="AG98" s="121">
        <v>253.09609</v>
      </c>
      <c r="AH98" s="121">
        <v>253.09609</v>
      </c>
      <c r="AI98" s="121">
        <v>280.24442999999997</v>
      </c>
      <c r="AJ98" s="121">
        <v>327.96668</v>
      </c>
      <c r="AK98" s="121">
        <v>397.75167999999996</v>
      </c>
      <c r="AL98" s="121">
        <v>296.60334</v>
      </c>
      <c r="AM98" s="121">
        <v>247.76185000000001</v>
      </c>
      <c r="AN98" s="121">
        <v>233.22130999999999</v>
      </c>
      <c r="AO98" s="121">
        <v>335.27112</v>
      </c>
      <c r="AP98" s="125" t="str">
        <f>CONCATENATE(A98,M98)</f>
        <v>GLR</v>
      </c>
      <c r="AQ98" s="125" t="str">
        <f>CONCATENATE(AP98,L98,H98)</f>
        <v>GLRR7</v>
      </c>
      <c r="AS98" s="125" t="str">
        <f>CONCATENATE(L98,H98,J98)</f>
        <v>R7</v>
      </c>
    </row>
    <row r="99" spans="1:45" s="125" customFormat="1" ht="25.5" customHeight="1">
      <c r="A99" s="216" t="s">
        <v>2493</v>
      </c>
      <c r="B99" s="217" t="str">
        <f t="shared" si="42"/>
        <v>GL165110</v>
      </c>
      <c r="C99" s="186">
        <v>165110</v>
      </c>
      <c r="D99" s="201"/>
      <c r="E99" s="162"/>
      <c r="F99" s="169" t="s">
        <v>1490</v>
      </c>
      <c r="G99" s="117"/>
      <c r="H99" s="118" t="s">
        <v>1085</v>
      </c>
      <c r="I99" s="119"/>
      <c r="J99" s="120"/>
      <c r="K99" s="120" t="str">
        <f t="shared" si="51"/>
        <v/>
      </c>
      <c r="L99" s="170" t="s">
        <v>733</v>
      </c>
      <c r="M99" s="122" t="str">
        <f t="shared" si="41"/>
        <v>R</v>
      </c>
      <c r="N99" s="116" t="str">
        <f>IF($L99&lt;&gt;"",VLOOKUP($L99,Categories!$E:$G,2,FALSE),IF($F99&lt;&gt;"","NO CAT",""))</f>
        <v>Rate Base</v>
      </c>
      <c r="O99" s="116" t="str">
        <f>IF($L99&lt;&gt;"",VLOOKUP($L99,Categories!$E:$G,3,FALSE),IF($F99&lt;&gt;"","NO CAT",""))</f>
        <v>Working Capital - Prepayment</v>
      </c>
      <c r="P99" s="170" t="s">
        <v>1554</v>
      </c>
      <c r="Q99" s="123" t="s">
        <v>1555</v>
      </c>
      <c r="R99" s="124">
        <v>0.80958645835662735</v>
      </c>
      <c r="S99" s="124">
        <v>0.19041354164337276</v>
      </c>
      <c r="T99" s="124">
        <v>0</v>
      </c>
      <c r="U99" s="121">
        <f t="shared" si="43"/>
        <v>30391.348041236801</v>
      </c>
      <c r="V99" s="121">
        <f t="shared" si="44"/>
        <v>7148.0002612631597</v>
      </c>
      <c r="W99" s="121">
        <f t="shared" si="45"/>
        <v>0</v>
      </c>
      <c r="X99" s="121">
        <f t="shared" si="46"/>
        <v>37539.348302500002</v>
      </c>
      <c r="Y99" s="121">
        <f t="shared" si="47"/>
        <v>26430.163438386298</v>
      </c>
      <c r="Z99" s="121">
        <f t="shared" si="48"/>
        <v>6216.3354816137398</v>
      </c>
      <c r="AA99" s="121">
        <f t="shared" si="49"/>
        <v>0</v>
      </c>
      <c r="AB99" s="121">
        <f t="shared" si="50"/>
        <v>32646.498920000002</v>
      </c>
      <c r="AC99" s="121">
        <v>31744.90652</v>
      </c>
      <c r="AD99" s="121">
        <v>56571.429240000005</v>
      </c>
      <c r="AE99" s="121">
        <v>51874.332130000003</v>
      </c>
      <c r="AF99" s="121">
        <v>43995.915070000003</v>
      </c>
      <c r="AG99" s="121">
        <v>36007.756380000006</v>
      </c>
      <c r="AH99" s="121">
        <v>28155.151989999998</v>
      </c>
      <c r="AI99" s="121">
        <v>22841.325339999999</v>
      </c>
      <c r="AJ99" s="121">
        <v>19954.0779</v>
      </c>
      <c r="AK99" s="121">
        <v>16752.47236</v>
      </c>
      <c r="AL99" s="121">
        <v>50703.874929999998</v>
      </c>
      <c r="AM99" s="121">
        <v>50000.056229999995</v>
      </c>
      <c r="AN99" s="121">
        <v>41420.085340000005</v>
      </c>
      <c r="AO99" s="121">
        <v>32646.498920000002</v>
      </c>
      <c r="AP99" s="125" t="str">
        <f>CONCATENATE(A99,M99)</f>
        <v>GLR</v>
      </c>
      <c r="AQ99" s="125" t="str">
        <f>CONCATENATE(AP99,L99,H99)</f>
        <v>GLRR7Prepaid Property Taxes</v>
      </c>
      <c r="AS99" s="125" t="str">
        <f>CONCATENATE(L99,H99,J99)</f>
        <v>R7Prepaid Property Taxes</v>
      </c>
    </row>
    <row r="100" spans="1:45" s="125" customFormat="1" ht="25.5" customHeight="1">
      <c r="A100" s="216" t="s">
        <v>2493</v>
      </c>
      <c r="B100" s="217" t="str">
        <f t="shared" si="42"/>
        <v>GL165290</v>
      </c>
      <c r="C100" s="186">
        <v>165290</v>
      </c>
      <c r="D100" s="201"/>
      <c r="E100" s="162"/>
      <c r="F100" s="169" t="s">
        <v>2445</v>
      </c>
      <c r="G100" s="117"/>
      <c r="H100" s="118" t="s">
        <v>1844</v>
      </c>
      <c r="I100" s="119"/>
      <c r="J100" s="120"/>
      <c r="K100" s="120" t="str">
        <f t="shared" si="51"/>
        <v/>
      </c>
      <c r="L100" s="170" t="s">
        <v>733</v>
      </c>
      <c r="M100" s="122" t="str">
        <f t="shared" si="41"/>
        <v>R</v>
      </c>
      <c r="N100" s="116" t="str">
        <f>IF($L100&lt;&gt;"",VLOOKUP($L100,Categories!$E:$G,2,FALSE),IF($F100&lt;&gt;"","NO CAT",""))</f>
        <v>Rate Base</v>
      </c>
      <c r="O100" s="116" t="str">
        <f>IF($L100&lt;&gt;"",VLOOKUP($L100,Categories!$E:$G,3,FALSE),IF($F100&lt;&gt;"","NO CAT",""))</f>
        <v>Working Capital - Prepayment</v>
      </c>
      <c r="P100" s="170" t="s">
        <v>1556</v>
      </c>
      <c r="Q100" s="123" t="s">
        <v>1844</v>
      </c>
      <c r="R100" s="124">
        <v>0.73949302143550677</v>
      </c>
      <c r="S100" s="124">
        <v>0.26050697856449312</v>
      </c>
      <c r="T100" s="124">
        <v>0</v>
      </c>
      <c r="U100" s="121">
        <f t="shared" si="43"/>
        <v>8136.2353036639397</v>
      </c>
      <c r="V100" s="121">
        <f t="shared" si="44"/>
        <v>2866.21511550276</v>
      </c>
      <c r="W100" s="121">
        <f t="shared" si="45"/>
        <v>0</v>
      </c>
      <c r="X100" s="121">
        <f t="shared" si="46"/>
        <v>11002.4504191667</v>
      </c>
      <c r="Y100" s="121">
        <f t="shared" si="47"/>
        <v>6457.66369625472</v>
      </c>
      <c r="Z100" s="121">
        <f t="shared" si="48"/>
        <v>2274.8915937452798</v>
      </c>
      <c r="AA100" s="121">
        <f t="shared" si="49"/>
        <v>0</v>
      </c>
      <c r="AB100" s="121">
        <f t="shared" si="50"/>
        <v>8732.5552899999984</v>
      </c>
      <c r="AC100" s="121">
        <v>9837.2613900000015</v>
      </c>
      <c r="AD100" s="121">
        <v>6558.17407</v>
      </c>
      <c r="AE100" s="121">
        <v>3279.0867499999999</v>
      </c>
      <c r="AF100" s="121">
        <v>19784.131450000001</v>
      </c>
      <c r="AG100" s="121">
        <v>16486.776030000001</v>
      </c>
      <c r="AH100" s="121">
        <v>13189.420609999999</v>
      </c>
      <c r="AI100" s="121">
        <v>9892.0651899999993</v>
      </c>
      <c r="AJ100" s="121">
        <v>6594.7097699999995</v>
      </c>
      <c r="AK100" s="121">
        <v>3297.3543500000001</v>
      </c>
      <c r="AL100" s="121">
        <v>17465.11159</v>
      </c>
      <c r="AM100" s="121">
        <v>14554.25949</v>
      </c>
      <c r="AN100" s="121">
        <v>11643.40739</v>
      </c>
      <c r="AO100" s="121">
        <v>8732.5552899999984</v>
      </c>
      <c r="AP100" s="125" t="str">
        <f>CONCATENATE(A100,M100)</f>
        <v>GLR</v>
      </c>
      <c r="AQ100" s="125" t="str">
        <f>CONCATENATE(AP100,L100,H100)</f>
        <v>GLRR7PSC Assessment</v>
      </c>
      <c r="AS100" s="125" t="str">
        <f>CONCATENATE(L100,H100,J100)</f>
        <v>R7PSC Assessment</v>
      </c>
    </row>
    <row r="101" spans="1:45" s="125" customFormat="1" ht="25.5" customHeight="1">
      <c r="A101" s="216" t="s">
        <v>2493</v>
      </c>
      <c r="B101" s="217" t="str">
        <f t="shared" si="42"/>
        <v>GL171000</v>
      </c>
      <c r="C101" s="186">
        <v>171000</v>
      </c>
      <c r="D101" s="201"/>
      <c r="E101" s="162"/>
      <c r="F101" s="169" t="s">
        <v>1840</v>
      </c>
      <c r="G101" s="117"/>
      <c r="H101" s="118" t="s">
        <v>1180</v>
      </c>
      <c r="I101" s="119"/>
      <c r="J101" s="120"/>
      <c r="K101" s="120" t="str">
        <f t="shared" si="51"/>
        <v/>
      </c>
      <c r="L101" s="170" t="s">
        <v>1419</v>
      </c>
      <c r="M101" s="122" t="str">
        <f t="shared" ref="M101:M193" si="52">LEFT(L101,1)</f>
        <v>A</v>
      </c>
      <c r="N101" s="116" t="str">
        <f>IF($L101&lt;&gt;"",VLOOKUP($L101,Categories!$E:$G,2,FALSE),IF($F101&lt;&gt;"","NO CAT",""))</f>
        <v>All Other</v>
      </c>
      <c r="O101" s="116" t="str">
        <f>IF($L101&lt;&gt;"",VLOOKUP($L101,Categories!$E:$G,3,FALSE),IF($F101&lt;&gt;"","NO CAT",""))</f>
        <v>EB-Cap</v>
      </c>
      <c r="P101" s="170" t="s">
        <v>1557</v>
      </c>
      <c r="Q101" s="123" t="s">
        <v>1891</v>
      </c>
      <c r="R101" s="124">
        <v>0.77544352505021785</v>
      </c>
      <c r="S101" s="124">
        <v>0.22455647494978223</v>
      </c>
      <c r="T101" s="124">
        <v>0</v>
      </c>
      <c r="U101" s="121">
        <f t="shared" si="43"/>
        <v>8.0226094695800003E-4</v>
      </c>
      <c r="V101" s="121">
        <f t="shared" si="44"/>
        <v>2.32322386375E-4</v>
      </c>
      <c r="W101" s="121">
        <f t="shared" si="45"/>
        <v>0</v>
      </c>
      <c r="X101" s="121">
        <f t="shared" si="46"/>
        <v>1.034583333333E-3</v>
      </c>
      <c r="Y101" s="121" t="str">
        <f t="shared" si="47"/>
        <v/>
      </c>
      <c r="Z101" s="121" t="str">
        <f t="shared" si="48"/>
        <v/>
      </c>
      <c r="AA101" s="121" t="str">
        <f t="shared" si="49"/>
        <v/>
      </c>
      <c r="AB101" s="121">
        <f t="shared" si="50"/>
        <v>0</v>
      </c>
      <c r="AC101" s="121">
        <v>1.91E-3</v>
      </c>
      <c r="AD101" s="121">
        <v>1.91E-3</v>
      </c>
      <c r="AE101" s="121">
        <v>1.91E-3</v>
      </c>
      <c r="AF101" s="121">
        <v>1.91E-3</v>
      </c>
      <c r="AG101" s="121">
        <v>1.91E-3</v>
      </c>
      <c r="AH101" s="121">
        <v>1.91E-3</v>
      </c>
      <c r="AI101" s="121">
        <v>1.91E-3</v>
      </c>
      <c r="AJ101" s="121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5" t="str">
        <f>CONCATENATE(A101,M101)</f>
        <v>GLA</v>
      </c>
      <c r="AQ101" s="125" t="str">
        <f>CONCATENATE(AP101,L101,H101)</f>
        <v>GLAA2</v>
      </c>
      <c r="AS101" s="125" t="str">
        <f>CONCATENATE(L101,H101,J101)</f>
        <v>A2</v>
      </c>
    </row>
    <row r="102" spans="1:45" s="125" customFormat="1" ht="25.5" customHeight="1">
      <c r="A102" s="216" t="s">
        <v>2493</v>
      </c>
      <c r="B102" s="217" t="str">
        <f t="shared" si="42"/>
        <v>GL173100</v>
      </c>
      <c r="C102" s="186">
        <v>173100</v>
      </c>
      <c r="D102" s="201"/>
      <c r="E102" s="162"/>
      <c r="F102" s="169" t="s">
        <v>450</v>
      </c>
      <c r="G102" s="117"/>
      <c r="H102" s="118" t="s">
        <v>451</v>
      </c>
      <c r="I102" s="119"/>
      <c r="J102" s="120"/>
      <c r="K102" s="120" t="str">
        <f t="shared" si="51"/>
        <v/>
      </c>
      <c r="L102" s="170" t="s">
        <v>1419</v>
      </c>
      <c r="M102" s="122" t="str">
        <f t="shared" si="52"/>
        <v>A</v>
      </c>
      <c r="N102" s="116" t="str">
        <f>IF($L102&lt;&gt;"",VLOOKUP($L102,Categories!$E:$G,2,FALSE),IF($F102&lt;&gt;"","NO CAT",""))</f>
        <v>All Other</v>
      </c>
      <c r="O102" s="116" t="str">
        <f>IF($L102&lt;&gt;"",VLOOKUP($L102,Categories!$E:$G,3,FALSE),IF($F102&lt;&gt;"","NO CAT",""))</f>
        <v>EB-Cap</v>
      </c>
      <c r="P102" s="170" t="s">
        <v>1557</v>
      </c>
      <c r="Q102" s="123" t="s">
        <v>1891</v>
      </c>
      <c r="R102" s="124">
        <v>0.77544352505021785</v>
      </c>
      <c r="S102" s="124">
        <v>0.22455647494978223</v>
      </c>
      <c r="T102" s="124">
        <v>0</v>
      </c>
      <c r="U102" s="121">
        <f t="shared" si="43"/>
        <v>34954.064945661303</v>
      </c>
      <c r="V102" s="121">
        <f t="shared" si="44"/>
        <v>10122.157650171999</v>
      </c>
      <c r="W102" s="121">
        <f t="shared" si="45"/>
        <v>0</v>
      </c>
      <c r="X102" s="121">
        <f t="shared" si="46"/>
        <v>45076.2225958333</v>
      </c>
      <c r="Y102" s="121">
        <f t="shared" si="47"/>
        <v>36104.006287857497</v>
      </c>
      <c r="Z102" s="121">
        <f t="shared" si="48"/>
        <v>10455.162912142499</v>
      </c>
      <c r="AA102" s="121">
        <f t="shared" si="49"/>
        <v>0</v>
      </c>
      <c r="AB102" s="121">
        <f t="shared" si="50"/>
        <v>46559.169200000004</v>
      </c>
      <c r="AC102" s="121">
        <v>44263.954880000005</v>
      </c>
      <c r="AD102" s="121">
        <v>53780.255859999997</v>
      </c>
      <c r="AE102" s="121">
        <v>48151.984909999999</v>
      </c>
      <c r="AF102" s="121">
        <v>52808.968679999998</v>
      </c>
      <c r="AG102" s="121">
        <v>46344.944060000002</v>
      </c>
      <c r="AH102" s="121">
        <v>40721.043899999997</v>
      </c>
      <c r="AI102" s="121">
        <v>40524.837899999999</v>
      </c>
      <c r="AJ102" s="121">
        <v>42576.363170000004</v>
      </c>
      <c r="AK102" s="121">
        <v>45095.505189999996</v>
      </c>
      <c r="AL102" s="121">
        <v>43443.916060000003</v>
      </c>
      <c r="AM102" s="121">
        <v>41975.118009999998</v>
      </c>
      <c r="AN102" s="121">
        <v>40080.171369999996</v>
      </c>
      <c r="AO102" s="121">
        <v>46559.169200000004</v>
      </c>
      <c r="AP102" s="125" t="str">
        <f>CONCATENATE(A102,M102)</f>
        <v>GLA</v>
      </c>
      <c r="AQ102" s="125" t="str">
        <f>CONCATENATE(AP102,L102,H102)</f>
        <v>GLAA2Unbilled Revenue</v>
      </c>
      <c r="AS102" s="125" t="str">
        <f>CONCATENATE(L102,H102,J102)</f>
        <v>A2Unbilled Revenue</v>
      </c>
    </row>
    <row r="103" spans="1:45" s="125" customFormat="1" ht="25.5" customHeight="1">
      <c r="A103" s="216" t="s">
        <v>2493</v>
      </c>
      <c r="B103" s="217" t="str">
        <f t="shared" si="42"/>
        <v>GL173200</v>
      </c>
      <c r="C103" s="186">
        <v>173200</v>
      </c>
      <c r="D103" s="201"/>
      <c r="E103" s="162"/>
      <c r="F103" s="169" t="s">
        <v>81</v>
      </c>
      <c r="G103" s="117"/>
      <c r="H103" s="118" t="s">
        <v>451</v>
      </c>
      <c r="I103" s="119"/>
      <c r="J103" s="120"/>
      <c r="K103" s="120" t="str">
        <f t="shared" si="51"/>
        <v/>
      </c>
      <c r="L103" s="170" t="s">
        <v>1419</v>
      </c>
      <c r="M103" s="122" t="str">
        <f t="shared" si="52"/>
        <v>A</v>
      </c>
      <c r="N103" s="116" t="str">
        <f>IF($L103&lt;&gt;"",VLOOKUP($L103,Categories!$E:$G,2,FALSE),IF($F103&lt;&gt;"","NO CAT",""))</f>
        <v>All Other</v>
      </c>
      <c r="O103" s="116" t="str">
        <f>IF($L103&lt;&gt;"",VLOOKUP($L103,Categories!$E:$G,3,FALSE),IF($F103&lt;&gt;"","NO CAT",""))</f>
        <v>EB-Cap</v>
      </c>
      <c r="P103" s="170" t="s">
        <v>1557</v>
      </c>
      <c r="Q103" s="123" t="s">
        <v>1891</v>
      </c>
      <c r="R103" s="124">
        <v>0.77544352505021785</v>
      </c>
      <c r="S103" s="124">
        <v>0.22455647494978223</v>
      </c>
      <c r="T103" s="124">
        <v>0</v>
      </c>
      <c r="U103" s="121">
        <f t="shared" si="43"/>
        <v>9638.4517397729905</v>
      </c>
      <c r="V103" s="121">
        <f t="shared" si="44"/>
        <v>2791.1468427270102</v>
      </c>
      <c r="W103" s="121">
        <f t="shared" si="45"/>
        <v>0</v>
      </c>
      <c r="X103" s="121">
        <f t="shared" si="46"/>
        <v>12429.598582500001</v>
      </c>
      <c r="Y103" s="121">
        <f t="shared" si="47"/>
        <v>17078.224126053501</v>
      </c>
      <c r="Z103" s="121">
        <f t="shared" si="48"/>
        <v>4945.5900839465203</v>
      </c>
      <c r="AA103" s="121">
        <f t="shared" si="49"/>
        <v>0</v>
      </c>
      <c r="AB103" s="121">
        <f t="shared" si="50"/>
        <v>22023.81421</v>
      </c>
      <c r="AC103" s="121">
        <v>21197.95593</v>
      </c>
      <c r="AD103" s="121">
        <v>26986.699129999997</v>
      </c>
      <c r="AE103" s="121">
        <v>23100.323100000001</v>
      </c>
      <c r="AF103" s="121">
        <v>22601.612140000001</v>
      </c>
      <c r="AG103" s="121">
        <v>13521.13651</v>
      </c>
      <c r="AH103" s="121">
        <v>5661.2659199999998</v>
      </c>
      <c r="AI103" s="121">
        <v>2175.8883100000003</v>
      </c>
      <c r="AJ103" s="121">
        <v>690.54059999999993</v>
      </c>
      <c r="AK103" s="121">
        <v>4808.8436900000006</v>
      </c>
      <c r="AL103" s="121">
        <v>4734.6184499999999</v>
      </c>
      <c r="AM103" s="121">
        <v>7821.4107599999998</v>
      </c>
      <c r="AN103" s="121">
        <v>15441.95931</v>
      </c>
      <c r="AO103" s="121">
        <v>22023.81421</v>
      </c>
      <c r="AP103" s="125" t="str">
        <f>CONCATENATE(A103,M103)</f>
        <v>GLA</v>
      </c>
      <c r="AQ103" s="125" t="str">
        <f>CONCATENATE(AP103,L103,H103)</f>
        <v>GLAA2Unbilled Revenue</v>
      </c>
      <c r="AS103" s="125" t="str">
        <f>CONCATENATE(L103,H103,J103)</f>
        <v>A2Unbilled Revenue</v>
      </c>
    </row>
    <row r="104" spans="1:45" s="125" customFormat="1" ht="25.5" customHeight="1">
      <c r="A104" s="216" t="s">
        <v>2493</v>
      </c>
      <c r="B104" s="217" t="str">
        <f t="shared" si="42"/>
        <v>GL174110</v>
      </c>
      <c r="C104" s="186">
        <v>174110</v>
      </c>
      <c r="D104" s="201"/>
      <c r="E104" s="162"/>
      <c r="F104" s="169" t="s">
        <v>634</v>
      </c>
      <c r="G104" s="117"/>
      <c r="H104" s="118" t="s">
        <v>635</v>
      </c>
      <c r="I104" s="119"/>
      <c r="J104" s="120"/>
      <c r="K104" s="120" t="str">
        <f t="shared" si="51"/>
        <v/>
      </c>
      <c r="L104" s="170" t="s">
        <v>1893</v>
      </c>
      <c r="M104" s="122" t="str">
        <f t="shared" si="52"/>
        <v>R</v>
      </c>
      <c r="N104" s="116" t="str">
        <f>IF($L104&lt;&gt;"",VLOOKUP($L104,Categories!$E:$G,2,FALSE),IF($F104&lt;&gt;"","NO CAT",""))</f>
        <v>Rate Base</v>
      </c>
      <c r="O104" s="116" t="str">
        <f>IF($L104&lt;&gt;"",VLOOKUP($L104,Categories!$E:$G,3,FALSE),IF($F104&lt;&gt;"","NO CAT",""))</f>
        <v>Deferred Debits &amp; Credits</v>
      </c>
      <c r="P104" s="170" t="s">
        <v>1183</v>
      </c>
      <c r="Q104" s="123" t="s">
        <v>1177</v>
      </c>
      <c r="R104" s="124">
        <v>1</v>
      </c>
      <c r="S104" s="124">
        <v>0</v>
      </c>
      <c r="T104" s="124">
        <v>0</v>
      </c>
      <c r="U104" s="121">
        <f t="shared" si="43"/>
        <v>546.56334541666695</v>
      </c>
      <c r="V104" s="121">
        <f t="shared" si="44"/>
        <v>0</v>
      </c>
      <c r="W104" s="121">
        <f t="shared" si="45"/>
        <v>0</v>
      </c>
      <c r="X104" s="121">
        <f t="shared" si="46"/>
        <v>546.56334541666695</v>
      </c>
      <c r="Y104" s="121">
        <f t="shared" si="47"/>
        <v>130.52194</v>
      </c>
      <c r="Z104" s="121">
        <f t="shared" si="48"/>
        <v>0</v>
      </c>
      <c r="AA104" s="121">
        <f t="shared" si="49"/>
        <v>0</v>
      </c>
      <c r="AB104" s="121">
        <f t="shared" si="50"/>
        <v>130.52194</v>
      </c>
      <c r="AC104" s="121">
        <v>467.92667</v>
      </c>
      <c r="AD104" s="121">
        <v>484.59062</v>
      </c>
      <c r="AE104" s="121">
        <v>511.43432000000001</v>
      </c>
      <c r="AF104" s="121">
        <v>529.37191000000007</v>
      </c>
      <c r="AG104" s="121">
        <v>545.23536999999999</v>
      </c>
      <c r="AH104" s="121">
        <v>578.38004000000001</v>
      </c>
      <c r="AI104" s="121">
        <v>601.75393000000008</v>
      </c>
      <c r="AJ104" s="121">
        <v>601.75393000000008</v>
      </c>
      <c r="AK104" s="121">
        <v>601.75393000000008</v>
      </c>
      <c r="AL104" s="121">
        <v>601.75393000000008</v>
      </c>
      <c r="AM104" s="121">
        <v>601.75393000000008</v>
      </c>
      <c r="AN104" s="121">
        <v>601.75393000000008</v>
      </c>
      <c r="AO104" s="121">
        <v>130.52194</v>
      </c>
      <c r="AP104" s="125" t="str">
        <f>CONCATENATE(A104,M104)</f>
        <v>GLR</v>
      </c>
      <c r="AQ104" s="125" t="str">
        <f>CONCATENATE(AP104,L104,H104)</f>
        <v>GLRR10NBWC True-up</v>
      </c>
      <c r="AS104" s="125" t="str">
        <f>CONCATENATE(L104,H104,J104)</f>
        <v>R10NBWC True-up</v>
      </c>
    </row>
    <row r="105" spans="1:45" s="125" customFormat="1" ht="25.5" customHeight="1">
      <c r="A105" s="216" t="s">
        <v>2493</v>
      </c>
      <c r="B105" s="217" t="str">
        <f t="shared" si="42"/>
        <v>GL174130</v>
      </c>
      <c r="C105" s="186">
        <v>174130</v>
      </c>
      <c r="D105" s="201"/>
      <c r="E105" s="162"/>
      <c r="F105" s="169" t="s">
        <v>1031</v>
      </c>
      <c r="G105" s="117"/>
      <c r="H105" s="118">
        <v>0</v>
      </c>
      <c r="I105" s="119"/>
      <c r="J105" s="120"/>
      <c r="K105" s="120" t="str">
        <f t="shared" si="51"/>
        <v/>
      </c>
      <c r="L105" s="170" t="s">
        <v>1419</v>
      </c>
      <c r="M105" s="122" t="str">
        <f t="shared" si="52"/>
        <v>A</v>
      </c>
      <c r="N105" s="116" t="str">
        <f>IF($L105&lt;&gt;"",VLOOKUP($L105,Categories!$E:$G,2,FALSE),IF($F105&lt;&gt;"","NO CAT",""))</f>
        <v>All Other</v>
      </c>
      <c r="O105" s="116" t="str">
        <f>IF($L105&lt;&gt;"",VLOOKUP($L105,Categories!$E:$G,3,FALSE),IF($F105&lt;&gt;"","NO CAT",""))</f>
        <v>EB-Cap</v>
      </c>
      <c r="P105" s="170" t="s">
        <v>1557</v>
      </c>
      <c r="Q105" s="123" t="s">
        <v>1891</v>
      </c>
      <c r="R105" s="124">
        <v>0.77544352505021785</v>
      </c>
      <c r="S105" s="124">
        <v>0.22455647494978223</v>
      </c>
      <c r="T105" s="124">
        <v>0</v>
      </c>
      <c r="U105" s="121" t="str">
        <f t="shared" si="43"/>
        <v/>
      </c>
      <c r="V105" s="121" t="str">
        <f t="shared" si="44"/>
        <v/>
      </c>
      <c r="W105" s="121" t="str">
        <f t="shared" si="45"/>
        <v/>
      </c>
      <c r="X105" s="121">
        <f t="shared" si="46"/>
        <v>0</v>
      </c>
      <c r="Y105" s="121" t="str">
        <f t="shared" si="47"/>
        <v/>
      </c>
      <c r="Z105" s="121" t="str">
        <f t="shared" si="48"/>
        <v/>
      </c>
      <c r="AA105" s="121" t="str">
        <f t="shared" si="49"/>
        <v/>
      </c>
      <c r="AB105" s="121">
        <f t="shared" si="50"/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121">
        <v>0</v>
      </c>
      <c r="AI105" s="121">
        <v>0</v>
      </c>
      <c r="AJ105" s="121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5" t="str">
        <f>CONCATENATE(A105,M105)</f>
        <v>GLA</v>
      </c>
      <c r="AQ105" s="125" t="str">
        <f>CONCATENATE(AP105,L105,H105)</f>
        <v>GLAA20</v>
      </c>
      <c r="AS105" s="125" t="str">
        <f>CONCATENATE(L105,H105,J105)</f>
        <v>A20</v>
      </c>
    </row>
    <row r="106" spans="1:45" s="125" customFormat="1" ht="25.5" customHeight="1">
      <c r="A106" s="216" t="s">
        <v>2493</v>
      </c>
      <c r="B106" s="217" t="str">
        <f t="shared" si="42"/>
        <v>GL174140</v>
      </c>
      <c r="C106" s="186">
        <v>174140</v>
      </c>
      <c r="D106" s="201"/>
      <c r="E106" s="162"/>
      <c r="F106" s="169" t="s">
        <v>908</v>
      </c>
      <c r="G106" s="117"/>
      <c r="H106" s="118">
        <v>0</v>
      </c>
      <c r="I106" s="119"/>
      <c r="J106" s="120"/>
      <c r="K106" s="120" t="str">
        <f t="shared" si="51"/>
        <v/>
      </c>
      <c r="L106" s="170" t="s">
        <v>1419</v>
      </c>
      <c r="M106" s="122" t="str">
        <f t="shared" si="52"/>
        <v>A</v>
      </c>
      <c r="N106" s="116" t="str">
        <f>IF($L106&lt;&gt;"",VLOOKUP($L106,Categories!$E:$G,2,FALSE),IF($F106&lt;&gt;"","NO CAT",""))</f>
        <v>All Other</v>
      </c>
      <c r="O106" s="116" t="str">
        <f>IF($L106&lt;&gt;"",VLOOKUP($L106,Categories!$E:$G,3,FALSE),IF($F106&lt;&gt;"","NO CAT",""))</f>
        <v>EB-Cap</v>
      </c>
      <c r="P106" s="170" t="s">
        <v>1557</v>
      </c>
      <c r="Q106" s="123" t="s">
        <v>1891</v>
      </c>
      <c r="R106" s="124">
        <v>0.77544352505021785</v>
      </c>
      <c r="S106" s="124">
        <v>0.22455647494978223</v>
      </c>
      <c r="T106" s="124">
        <v>0</v>
      </c>
      <c r="U106" s="121">
        <f t="shared" si="43"/>
        <v>8454.3394466593109</v>
      </c>
      <c r="V106" s="121">
        <f t="shared" si="44"/>
        <v>2448.2462008406901</v>
      </c>
      <c r="W106" s="121">
        <f t="shared" si="45"/>
        <v>0</v>
      </c>
      <c r="X106" s="121">
        <f t="shared" si="46"/>
        <v>10902.5856475</v>
      </c>
      <c r="Y106" s="121">
        <f t="shared" si="47"/>
        <v>8258.1428926657409</v>
      </c>
      <c r="Z106" s="121">
        <f t="shared" si="48"/>
        <v>2391.4307073342602</v>
      </c>
      <c r="AA106" s="121">
        <f t="shared" si="49"/>
        <v>0</v>
      </c>
      <c r="AB106" s="121">
        <f t="shared" si="50"/>
        <v>10649.5736</v>
      </c>
      <c r="AC106" s="121">
        <v>10261.91778</v>
      </c>
      <c r="AD106" s="121">
        <v>19266.242440000002</v>
      </c>
      <c r="AE106" s="121">
        <v>15609.005730000001</v>
      </c>
      <c r="AF106" s="121">
        <v>17258.487420000001</v>
      </c>
      <c r="AG106" s="121">
        <v>16326.34476</v>
      </c>
      <c r="AH106" s="121">
        <v>9904.45759</v>
      </c>
      <c r="AI106" s="121">
        <v>8221.2757500000007</v>
      </c>
      <c r="AJ106" s="121">
        <v>6082.9774500000003</v>
      </c>
      <c r="AK106" s="121">
        <v>6922.7456700000002</v>
      </c>
      <c r="AL106" s="121">
        <v>6447.3770300000006</v>
      </c>
      <c r="AM106" s="121">
        <v>6173.2163799999998</v>
      </c>
      <c r="AN106" s="121">
        <v>8163.1518599999999</v>
      </c>
      <c r="AO106" s="121">
        <v>10649.5736</v>
      </c>
      <c r="AP106" s="125" t="str">
        <f>CONCATENATE(A106,M106)</f>
        <v>GLA</v>
      </c>
      <c r="AQ106" s="125" t="str">
        <f>CONCATENATE(AP106,L106,H106)</f>
        <v>GLAA20</v>
      </c>
      <c r="AS106" s="125" t="str">
        <f>CONCATENATE(L106,H106,J106)</f>
        <v>A20</v>
      </c>
    </row>
    <row r="107" spans="1:45" s="125" customFormat="1" ht="25.5" customHeight="1">
      <c r="A107" s="216" t="s">
        <v>2493</v>
      </c>
      <c r="B107" s="217" t="str">
        <f t="shared" si="42"/>
        <v>GL174176</v>
      </c>
      <c r="C107" s="186">
        <v>174176</v>
      </c>
      <c r="D107" s="201"/>
      <c r="E107" s="162"/>
      <c r="F107" s="169" t="s">
        <v>1409</v>
      </c>
      <c r="G107" s="117"/>
      <c r="H107" s="118" t="s">
        <v>1115</v>
      </c>
      <c r="I107" s="119"/>
      <c r="J107" s="120"/>
      <c r="K107" s="120" t="str">
        <f>IF(L107="N3","SFAS-109","")</f>
        <v/>
      </c>
      <c r="L107" s="170" t="s">
        <v>1893</v>
      </c>
      <c r="M107" s="122" t="str">
        <f t="shared" si="52"/>
        <v>R</v>
      </c>
      <c r="N107" s="116" t="str">
        <f>IF($L107&lt;&gt;"",VLOOKUP($L107,Categories!$E:$G,2,FALSE),IF($F107&lt;&gt;"","NO CAT",""))</f>
        <v>Rate Base</v>
      </c>
      <c r="O107" s="116" t="str">
        <f>IF($L107&lt;&gt;"",VLOOKUP($L107,Categories!$E:$G,3,FALSE),IF($F107&lt;&gt;"","NO CAT",""))</f>
        <v>Deferred Debits &amp; Credits</v>
      </c>
      <c r="P107" s="170" t="s">
        <v>1184</v>
      </c>
      <c r="Q107" s="123" t="s">
        <v>1178</v>
      </c>
      <c r="R107" s="124">
        <v>0</v>
      </c>
      <c r="S107" s="124">
        <v>1</v>
      </c>
      <c r="T107" s="124">
        <v>0</v>
      </c>
      <c r="U107" s="121">
        <f t="shared" si="43"/>
        <v>0</v>
      </c>
      <c r="V107" s="121">
        <f t="shared" si="44"/>
        <v>5008.1785808333298</v>
      </c>
      <c r="W107" s="121">
        <f t="shared" si="45"/>
        <v>0</v>
      </c>
      <c r="X107" s="121">
        <f t="shared" si="46"/>
        <v>5008.1785808333298</v>
      </c>
      <c r="Y107" s="121">
        <f t="shared" si="47"/>
        <v>0</v>
      </c>
      <c r="Z107" s="121">
        <f t="shared" si="48"/>
        <v>40879.388079999997</v>
      </c>
      <c r="AA107" s="121">
        <f t="shared" si="49"/>
        <v>0</v>
      </c>
      <c r="AB107" s="121">
        <f t="shared" si="50"/>
        <v>40879.388079999997</v>
      </c>
      <c r="AC107" s="121">
        <v>5533.7629999999999</v>
      </c>
      <c r="AD107" s="121">
        <v>0</v>
      </c>
      <c r="AE107" s="121">
        <v>3344.4773500000001</v>
      </c>
      <c r="AF107" s="121">
        <v>0</v>
      </c>
      <c r="AG107" s="121">
        <v>0</v>
      </c>
      <c r="AH107" s="121">
        <v>0</v>
      </c>
      <c r="AI107" s="121">
        <v>0</v>
      </c>
      <c r="AJ107" s="121">
        <v>14818.891</v>
      </c>
      <c r="AK107" s="121">
        <v>6638.1229999999996</v>
      </c>
      <c r="AL107" s="121">
        <v>731.30799999999999</v>
      </c>
      <c r="AM107" s="121">
        <v>5351.0919999999996</v>
      </c>
      <c r="AN107" s="121">
        <v>6007.6760800000002</v>
      </c>
      <c r="AO107" s="121">
        <v>40879.388079999997</v>
      </c>
      <c r="AP107" s="125" t="str">
        <f>CONCATENATE(A107,M107)</f>
        <v>GLR</v>
      </c>
      <c r="AQ107" s="125" t="str">
        <f>CONCATENATE(AP107,L107,H107)</f>
        <v>GLRR10Commodity Hedge Margin Account</v>
      </c>
      <c r="AS107" s="125" t="str">
        <f>CONCATENATE(L107,H107,J107)</f>
        <v>R10Commodity Hedge Margin Account</v>
      </c>
    </row>
    <row r="108" spans="1:45" s="125" customFormat="1" ht="25.5" customHeight="1">
      <c r="A108" s="216" t="s">
        <v>2493</v>
      </c>
      <c r="B108" s="217" t="str">
        <f>CONCATENATE(A108,C108,D108,E108)</f>
        <v>GL174210</v>
      </c>
      <c r="C108" s="186">
        <v>174210</v>
      </c>
      <c r="D108" s="201"/>
      <c r="E108" s="162"/>
      <c r="F108" s="169" t="s">
        <v>4605</v>
      </c>
      <c r="G108" s="117"/>
      <c r="H108" s="118" t="s">
        <v>1844</v>
      </c>
      <c r="I108" s="119"/>
      <c r="J108" s="120" t="s">
        <v>105</v>
      </c>
      <c r="K108" s="120" t="str">
        <f>IF(L108="N3","SFAS-109","")</f>
        <v/>
      </c>
      <c r="L108" s="170" t="s">
        <v>2821</v>
      </c>
      <c r="M108" s="122" t="str">
        <f t="shared" si="52"/>
        <v>N</v>
      </c>
      <c r="N108" s="116" t="str">
        <f>IF($L108&lt;&gt;"",VLOOKUP($L108,Categories!$E:$G,2,FALSE),IF($F108&lt;&gt;"","NO CAT",""))</f>
        <v>Not in Rate Base</v>
      </c>
      <c r="O108" s="116" t="str">
        <f>IF($L108&lt;&gt;"",VLOOKUP($L108,Categories!$E:$G,3,FALSE),IF($F108&lt;&gt;"","NO CAT",""))</f>
        <v>Deferrals Accruing Non-Cash Return   (other than ASGA)</v>
      </c>
      <c r="P108" s="170" t="s">
        <v>1186</v>
      </c>
      <c r="Q108" s="123" t="s">
        <v>1187</v>
      </c>
      <c r="R108" s="124">
        <v>0</v>
      </c>
      <c r="S108" s="124">
        <v>0</v>
      </c>
      <c r="T108" s="124">
        <v>1</v>
      </c>
      <c r="U108" s="121">
        <f>IF(ABS(X108)=0,"",IF($R108="NO ALLOC","NO ALLOC",ROUND($R108*X108,15)))</f>
        <v>0</v>
      </c>
      <c r="V108" s="121">
        <f>IF(ABS(X108)=0,"",IF($S108="NO ALLOC","NO ALLOC",ROUND($S108*X108,15)))</f>
        <v>0</v>
      </c>
      <c r="W108" s="121">
        <f>IF(ABS(X108)=0,"",IF($T108="NO ALLOC","NO ALLOC",ROUND($T108*X108,15)))</f>
        <v>1951.89104875</v>
      </c>
      <c r="X108" s="121">
        <f t="shared" si="46"/>
        <v>1951.89104875</v>
      </c>
      <c r="Y108" s="121" t="str">
        <f>IF(ABS(AB108)=0,"",IF($R108="NO ALLOC","NO ALLOC",ROUND($R108*AB108,15)))</f>
        <v/>
      </c>
      <c r="Z108" s="121" t="str">
        <f>IF(ABS(AB108)=0,"",IF($S108="NO ALLOC","NO ALLOC",ROUND($S108*AB108,15)))</f>
        <v/>
      </c>
      <c r="AA108" s="121" t="str">
        <f>IF(ABS(AB108)=0,"",IF($T108="NO ALLOC","NO ALLOC",ROUND($T108*AB108,15)))</f>
        <v/>
      </c>
      <c r="AB108" s="121">
        <f t="shared" si="50"/>
        <v>0</v>
      </c>
      <c r="AC108" s="121">
        <v>2068.6655099999998</v>
      </c>
      <c r="AD108" s="121">
        <v>2325.1463199999998</v>
      </c>
      <c r="AE108" s="121">
        <v>2747.38067</v>
      </c>
      <c r="AF108" s="121">
        <v>3187.3154100000002</v>
      </c>
      <c r="AG108" s="121">
        <v>3919.7399</v>
      </c>
      <c r="AH108" s="121">
        <v>4722.5080199999993</v>
      </c>
      <c r="AI108" s="121">
        <v>5486.2695100000001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5" t="str">
        <f>CONCATENATE(A108,M108)</f>
        <v>GLN</v>
      </c>
      <c r="AQ108" s="125" t="str">
        <f>CONCATENATE(AP108,L108,H108)</f>
        <v>GLNN10PSC Assessment</v>
      </c>
      <c r="AS108" s="125" t="str">
        <f>CONCATENATE(L108,H108,J108)</f>
        <v>N10PSC AssessmentNCR</v>
      </c>
    </row>
    <row r="109" spans="1:45" s="125" customFormat="1" ht="25.5" customHeight="1">
      <c r="A109" s="216" t="s">
        <v>2493</v>
      </c>
      <c r="B109" s="217" t="str">
        <f>CONCATENATE(A109,C109,D109,E109)</f>
        <v>GL174220</v>
      </c>
      <c r="C109" s="186">
        <v>174220</v>
      </c>
      <c r="D109" s="201"/>
      <c r="E109" s="162"/>
      <c r="F109" s="169" t="s">
        <v>4606</v>
      </c>
      <c r="G109" s="117"/>
      <c r="H109" s="118" t="s">
        <v>1844</v>
      </c>
      <c r="I109" s="119"/>
      <c r="J109" s="120" t="s">
        <v>105</v>
      </c>
      <c r="K109" s="120" t="str">
        <f>IF(L109="N3","SFAS-109","")</f>
        <v/>
      </c>
      <c r="L109" s="170" t="s">
        <v>2821</v>
      </c>
      <c r="M109" s="122" t="str">
        <f t="shared" si="52"/>
        <v>N</v>
      </c>
      <c r="N109" s="116" t="str">
        <f>IF($L109&lt;&gt;"",VLOOKUP($L109,Categories!$E:$G,2,FALSE),IF($F109&lt;&gt;"","NO CAT",""))</f>
        <v>Not in Rate Base</v>
      </c>
      <c r="O109" s="116" t="str">
        <f>IF($L109&lt;&gt;"",VLOOKUP($L109,Categories!$E:$G,3,FALSE),IF($F109&lt;&gt;"","NO CAT",""))</f>
        <v>Deferrals Accruing Non-Cash Return   (other than ASGA)</v>
      </c>
      <c r="P109" s="170" t="s">
        <v>1186</v>
      </c>
      <c r="Q109" s="123" t="s">
        <v>1187</v>
      </c>
      <c r="R109" s="124">
        <v>0</v>
      </c>
      <c r="S109" s="124">
        <v>0</v>
      </c>
      <c r="T109" s="124">
        <v>1</v>
      </c>
      <c r="U109" s="121">
        <f>IF(ABS(X109)=0,"",IF($R109="NO ALLOC","NO ALLOC",ROUND($R109*X109,15)))</f>
        <v>0</v>
      </c>
      <c r="V109" s="121">
        <f>IF(ABS(X109)=0,"",IF($S109="NO ALLOC","NO ALLOC",ROUND($S109*X109,15)))</f>
        <v>0</v>
      </c>
      <c r="W109" s="121">
        <f>IF(ABS(X109)=0,"",IF($T109="NO ALLOC","NO ALLOC",ROUND($T109*X109,15)))</f>
        <v>391.72259416666702</v>
      </c>
      <c r="X109" s="121">
        <f t="shared" si="46"/>
        <v>391.72259416666702</v>
      </c>
      <c r="Y109" s="121" t="str">
        <f>IF(ABS(AB109)=0,"",IF($R109="NO ALLOC","NO ALLOC",ROUND($R109*AB109,15)))</f>
        <v/>
      </c>
      <c r="Z109" s="121" t="str">
        <f>IF(ABS(AB109)=0,"",IF($S109="NO ALLOC","NO ALLOC",ROUND($S109*AB109,15)))</f>
        <v/>
      </c>
      <c r="AA109" s="121" t="str">
        <f>IF(ABS(AB109)=0,"",IF($T109="NO ALLOC","NO ALLOC",ROUND($T109*AB109,15)))</f>
        <v/>
      </c>
      <c r="AB109" s="121">
        <f t="shared" si="50"/>
        <v>0</v>
      </c>
      <c r="AC109" s="121">
        <v>1601.4751999999999</v>
      </c>
      <c r="AD109" s="121">
        <v>987.36932999999999</v>
      </c>
      <c r="AE109" s="121">
        <v>539.92537000000004</v>
      </c>
      <c r="AF109" s="121">
        <v>110.39366</v>
      </c>
      <c r="AG109" s="121">
        <v>205.68091000000001</v>
      </c>
      <c r="AH109" s="121">
        <v>574.39747</v>
      </c>
      <c r="AI109" s="121">
        <v>1482.16679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5" t="str">
        <f>CONCATENATE(A109,M109)</f>
        <v>GLN</v>
      </c>
      <c r="AQ109" s="125" t="str">
        <f>CONCATENATE(AP109,L109,H109)</f>
        <v>GLNN10PSC Assessment</v>
      </c>
      <c r="AS109" s="125" t="str">
        <f>CONCATENATE(L109,H109,J109)</f>
        <v>N10PSC AssessmentNCR</v>
      </c>
    </row>
    <row r="110" spans="1:45" s="125" customFormat="1" ht="25.5" customHeight="1">
      <c r="A110" s="216" t="s">
        <v>2493</v>
      </c>
      <c r="B110" s="217" t="str">
        <f t="shared" si="42"/>
        <v>GL176401</v>
      </c>
      <c r="C110" s="186">
        <v>176401</v>
      </c>
      <c r="D110" s="201"/>
      <c r="E110" s="162"/>
      <c r="F110" s="169" t="s">
        <v>1829</v>
      </c>
      <c r="G110" s="117"/>
      <c r="H110" s="118" t="s">
        <v>2860</v>
      </c>
      <c r="I110" s="119"/>
      <c r="J110" s="120"/>
      <c r="K110" s="120" t="str">
        <f t="shared" si="51"/>
        <v/>
      </c>
      <c r="L110" s="170" t="s">
        <v>2811</v>
      </c>
      <c r="M110" s="122" t="str">
        <f t="shared" si="52"/>
        <v>N</v>
      </c>
      <c r="N110" s="116" t="str">
        <f>IF($L110&lt;&gt;"",VLOOKUP($L110,Categories!$E:$G,2,FALSE),IF($F110&lt;&gt;"","NO CAT",""))</f>
        <v>Not in Rate Base</v>
      </c>
      <c r="O110" s="116" t="str">
        <f>IF($L110&lt;&gt;"",VLOOKUP($L110,Categories!$E:$G,3,FALSE),IF($F110&lt;&gt;"","NO CAT",""))</f>
        <v>Hedges &amp; OCI</v>
      </c>
      <c r="P110" s="170" t="s">
        <v>1186</v>
      </c>
      <c r="Q110" s="123" t="s">
        <v>1187</v>
      </c>
      <c r="R110" s="124">
        <v>0</v>
      </c>
      <c r="S110" s="124">
        <v>0</v>
      </c>
      <c r="T110" s="124">
        <v>1</v>
      </c>
      <c r="U110" s="121">
        <f t="shared" si="43"/>
        <v>0</v>
      </c>
      <c r="V110" s="121">
        <f t="shared" si="44"/>
        <v>0</v>
      </c>
      <c r="W110" s="121">
        <f t="shared" si="45"/>
        <v>16775.8455208333</v>
      </c>
      <c r="X110" s="121">
        <f t="shared" si="46"/>
        <v>16775.8455208333</v>
      </c>
      <c r="Y110" s="121" t="str">
        <f t="shared" si="47"/>
        <v/>
      </c>
      <c r="Z110" s="121" t="str">
        <f t="shared" si="48"/>
        <v/>
      </c>
      <c r="AA110" s="121" t="str">
        <f t="shared" si="49"/>
        <v/>
      </c>
      <c r="AB110" s="121">
        <f t="shared" si="50"/>
        <v>0</v>
      </c>
      <c r="AC110" s="121">
        <v>7199.1175000000003</v>
      </c>
      <c r="AD110" s="121">
        <v>21816.428500000002</v>
      </c>
      <c r="AE110" s="121">
        <v>26963.931499999999</v>
      </c>
      <c r="AF110" s="121">
        <v>20299.605500000001</v>
      </c>
      <c r="AG110" s="121">
        <v>27468.7435</v>
      </c>
      <c r="AH110" s="121">
        <v>23240.342000000001</v>
      </c>
      <c r="AI110" s="121">
        <v>16959.804</v>
      </c>
      <c r="AJ110" s="121">
        <v>3421.567</v>
      </c>
      <c r="AK110" s="121">
        <v>9636.15</v>
      </c>
      <c r="AL110" s="121">
        <v>17171.799500000001</v>
      </c>
      <c r="AM110" s="121">
        <v>14717.4385</v>
      </c>
      <c r="AN110" s="121">
        <v>16014.7775</v>
      </c>
      <c r="AO110" s="121">
        <v>0</v>
      </c>
      <c r="AP110" s="125" t="str">
        <f>CONCATENATE(A110,M110)</f>
        <v>GLN</v>
      </c>
      <c r="AQ110" s="125" t="str">
        <f>CONCATENATE(AP110,L110,H110)</f>
        <v>GLNN5Hedges &amp; OCI</v>
      </c>
      <c r="AS110" s="125" t="str">
        <f>CONCATENATE(L110,H110,J110)</f>
        <v>N5Hedges &amp; OCI</v>
      </c>
    </row>
    <row r="111" spans="1:45" s="125" customFormat="1" ht="25.5" customHeight="1">
      <c r="A111" s="216" t="s">
        <v>2493</v>
      </c>
      <c r="B111" s="217" t="str">
        <f t="shared" si="42"/>
        <v>GL176992</v>
      </c>
      <c r="C111" s="186">
        <v>176992</v>
      </c>
      <c r="D111" s="201"/>
      <c r="E111" s="162"/>
      <c r="F111" s="169" t="s">
        <v>1932</v>
      </c>
      <c r="G111" s="117"/>
      <c r="H111" s="118" t="s">
        <v>2860</v>
      </c>
      <c r="I111" s="119"/>
      <c r="J111" s="120"/>
      <c r="K111" s="120" t="str">
        <f t="shared" si="51"/>
        <v/>
      </c>
      <c r="L111" s="170" t="s">
        <v>2811</v>
      </c>
      <c r="M111" s="122" t="str">
        <f t="shared" si="52"/>
        <v>N</v>
      </c>
      <c r="N111" s="116" t="str">
        <f>IF($L111&lt;&gt;"",VLOOKUP($L111,Categories!$E:$G,2,FALSE),IF($F111&lt;&gt;"","NO CAT",""))</f>
        <v>Not in Rate Base</v>
      </c>
      <c r="O111" s="116" t="str">
        <f>IF($L111&lt;&gt;"",VLOOKUP($L111,Categories!$E:$G,3,FALSE),IF($F111&lt;&gt;"","NO CAT",""))</f>
        <v>Hedges &amp; OCI</v>
      </c>
      <c r="P111" s="170" t="s">
        <v>1186</v>
      </c>
      <c r="Q111" s="123" t="s">
        <v>1187</v>
      </c>
      <c r="R111" s="124">
        <v>0</v>
      </c>
      <c r="S111" s="124">
        <v>0</v>
      </c>
      <c r="T111" s="124">
        <v>1</v>
      </c>
      <c r="U111" s="121">
        <f t="shared" si="43"/>
        <v>0</v>
      </c>
      <c r="V111" s="121">
        <f t="shared" si="44"/>
        <v>0</v>
      </c>
      <c r="W111" s="121">
        <f t="shared" si="45"/>
        <v>1075.1676666666699</v>
      </c>
      <c r="X111" s="121">
        <f t="shared" si="46"/>
        <v>1075.1676666666699</v>
      </c>
      <c r="Y111" s="121" t="str">
        <f t="shared" si="47"/>
        <v/>
      </c>
      <c r="Z111" s="121" t="str">
        <f t="shared" si="48"/>
        <v/>
      </c>
      <c r="AA111" s="121" t="str">
        <f t="shared" si="49"/>
        <v/>
      </c>
      <c r="AB111" s="121">
        <f t="shared" si="50"/>
        <v>0</v>
      </c>
      <c r="AC111" s="121">
        <v>50.37</v>
      </c>
      <c r="AD111" s="121">
        <v>83.52</v>
      </c>
      <c r="AE111" s="121">
        <v>60.34</v>
      </c>
      <c r="AF111" s="121">
        <v>1126.0350000000001</v>
      </c>
      <c r="AG111" s="121">
        <v>6660.6540000000005</v>
      </c>
      <c r="AH111" s="121">
        <v>3911.1019999999999</v>
      </c>
      <c r="AI111" s="121">
        <v>0</v>
      </c>
      <c r="AJ111" s="121">
        <v>0</v>
      </c>
      <c r="AK111" s="121">
        <v>11.97</v>
      </c>
      <c r="AL111" s="121">
        <v>9.0299999999999994</v>
      </c>
      <c r="AM111" s="121">
        <v>0</v>
      </c>
      <c r="AN111" s="121">
        <v>1014.176</v>
      </c>
      <c r="AO111" s="121">
        <v>0</v>
      </c>
      <c r="AP111" s="125" t="str">
        <f>CONCATENATE(A111,M111)</f>
        <v>GLN</v>
      </c>
      <c r="AQ111" s="125" t="str">
        <f>CONCATENATE(AP111,L111,H111)</f>
        <v>GLNN5Hedges &amp; OCI</v>
      </c>
      <c r="AS111" s="125" t="str">
        <f>CONCATENATE(L111,H111,J111)</f>
        <v>N5Hedges &amp; OCI</v>
      </c>
    </row>
    <row r="112" spans="1:45" s="125" customFormat="1" ht="25.5" customHeight="1">
      <c r="A112" s="216" t="s">
        <v>2493</v>
      </c>
      <c r="B112" s="217" t="str">
        <f t="shared" si="42"/>
        <v>GL181000</v>
      </c>
      <c r="C112" s="186">
        <v>181000</v>
      </c>
      <c r="D112" s="201"/>
      <c r="E112" s="162"/>
      <c r="F112" s="169" t="s">
        <v>88</v>
      </c>
      <c r="G112" s="117"/>
      <c r="H112" s="118" t="s">
        <v>1180</v>
      </c>
      <c r="I112" s="119"/>
      <c r="J112" s="120"/>
      <c r="K112" s="120" t="str">
        <f t="shared" si="51"/>
        <v/>
      </c>
      <c r="L112" s="170" t="s">
        <v>1732</v>
      </c>
      <c r="M112" s="122" t="str">
        <f t="shared" si="52"/>
        <v>C</v>
      </c>
      <c r="N112" s="116" t="str">
        <f>IF($L112&lt;&gt;"",VLOOKUP($L112,Categories!$E:$G,2,FALSE),IF($F112&lt;&gt;"","NO CAT",""))</f>
        <v>Capitalization</v>
      </c>
      <c r="O112" s="116" t="str">
        <f>IF($L112&lt;&gt;"",VLOOKUP($L112,Categories!$E:$G,3,FALSE),IF($F112&lt;&gt;"","NO CAT",""))</f>
        <v>Unamortized Debt Expense</v>
      </c>
      <c r="P112" s="170" t="s">
        <v>1186</v>
      </c>
      <c r="Q112" s="123" t="s">
        <v>1187</v>
      </c>
      <c r="R112" s="124">
        <v>0</v>
      </c>
      <c r="S112" s="124">
        <v>0</v>
      </c>
      <c r="T112" s="124">
        <v>1</v>
      </c>
      <c r="U112" s="121">
        <f t="shared" si="43"/>
        <v>0</v>
      </c>
      <c r="V112" s="121">
        <f t="shared" si="44"/>
        <v>0</v>
      </c>
      <c r="W112" s="121">
        <f t="shared" si="45"/>
        <v>118.511124166667</v>
      </c>
      <c r="X112" s="121">
        <f t="shared" si="46"/>
        <v>118.511124166667</v>
      </c>
      <c r="Y112" s="121">
        <f t="shared" si="47"/>
        <v>0</v>
      </c>
      <c r="Z112" s="121">
        <f t="shared" si="48"/>
        <v>0</v>
      </c>
      <c r="AA112" s="121">
        <f t="shared" si="49"/>
        <v>185.00654</v>
      </c>
      <c r="AB112" s="121">
        <f t="shared" si="50"/>
        <v>185.00654</v>
      </c>
      <c r="AC112" s="121">
        <v>256.04570000000001</v>
      </c>
      <c r="AD112" s="121">
        <v>82.725970000000004</v>
      </c>
      <c r="AE112" s="121">
        <v>81.980689999999996</v>
      </c>
      <c r="AF112" s="121">
        <v>81.235410000000002</v>
      </c>
      <c r="AG112" s="121">
        <v>80.490130000000008</v>
      </c>
      <c r="AH112" s="121">
        <v>79.74485</v>
      </c>
      <c r="AI112" s="121">
        <v>78.999570000000006</v>
      </c>
      <c r="AJ112" s="121">
        <v>209.27829</v>
      </c>
      <c r="AK112" s="121">
        <v>208.53301000000002</v>
      </c>
      <c r="AL112" s="121">
        <v>76.763729999999995</v>
      </c>
      <c r="AM112" s="121">
        <v>76.018450000000001</v>
      </c>
      <c r="AN112" s="121">
        <v>145.83726999999999</v>
      </c>
      <c r="AO112" s="121">
        <v>185.00654</v>
      </c>
      <c r="AP112" s="125" t="str">
        <f>CONCATENATE(A112,M112)</f>
        <v>GLC</v>
      </c>
      <c r="AQ112" s="125" t="str">
        <f>CONCATENATE(AP112,L112,H112)</f>
        <v>GLCC9</v>
      </c>
      <c r="AS112" s="125" t="str">
        <f>CONCATENATE(L112,H112,J112)</f>
        <v>C9</v>
      </c>
    </row>
    <row r="113" spans="1:45" s="125" customFormat="1" ht="25.5" customHeight="1">
      <c r="A113" s="216" t="s">
        <v>2493</v>
      </c>
      <c r="B113" s="217" t="str">
        <f t="shared" si="42"/>
        <v>GL181200</v>
      </c>
      <c r="C113" s="186">
        <v>181200</v>
      </c>
      <c r="D113" s="201"/>
      <c r="E113" s="162"/>
      <c r="F113" s="169" t="s">
        <v>515</v>
      </c>
      <c r="G113" s="117"/>
      <c r="H113" s="118" t="s">
        <v>1180</v>
      </c>
      <c r="I113" s="119"/>
      <c r="J113" s="120"/>
      <c r="K113" s="120" t="str">
        <f t="shared" si="51"/>
        <v/>
      </c>
      <c r="L113" s="170" t="s">
        <v>1732</v>
      </c>
      <c r="M113" s="122" t="str">
        <f t="shared" si="52"/>
        <v>C</v>
      </c>
      <c r="N113" s="116" t="str">
        <f>IF($L113&lt;&gt;"",VLOOKUP($L113,Categories!$E:$G,2,FALSE),IF($F113&lt;&gt;"","NO CAT",""))</f>
        <v>Capitalization</v>
      </c>
      <c r="O113" s="116" t="str">
        <f>IF($L113&lt;&gt;"",VLOOKUP($L113,Categories!$E:$G,3,FALSE),IF($F113&lt;&gt;"","NO CAT",""))</f>
        <v>Unamortized Debt Expense</v>
      </c>
      <c r="P113" s="170" t="s">
        <v>1186</v>
      </c>
      <c r="Q113" s="123" t="s">
        <v>1187</v>
      </c>
      <c r="R113" s="124">
        <v>0</v>
      </c>
      <c r="S113" s="124">
        <v>0</v>
      </c>
      <c r="T113" s="124">
        <v>1</v>
      </c>
      <c r="U113" s="121">
        <f t="shared" si="43"/>
        <v>0</v>
      </c>
      <c r="V113" s="121">
        <f t="shared" si="44"/>
        <v>0</v>
      </c>
      <c r="W113" s="121">
        <f t="shared" si="45"/>
        <v>1611.7498900000001</v>
      </c>
      <c r="X113" s="121">
        <f t="shared" si="46"/>
        <v>1611.7498900000001</v>
      </c>
      <c r="Y113" s="121">
        <f t="shared" si="47"/>
        <v>0</v>
      </c>
      <c r="Z113" s="121">
        <f t="shared" si="48"/>
        <v>0</v>
      </c>
      <c r="AA113" s="121">
        <f t="shared" si="49"/>
        <v>1467.8286700000001</v>
      </c>
      <c r="AB113" s="121">
        <f t="shared" si="50"/>
        <v>1467.8286699999999</v>
      </c>
      <c r="AC113" s="121">
        <v>1755.67111</v>
      </c>
      <c r="AD113" s="121">
        <v>1731.68424</v>
      </c>
      <c r="AE113" s="121">
        <v>1707.6973700000001</v>
      </c>
      <c r="AF113" s="121">
        <v>1683.7104999999999</v>
      </c>
      <c r="AG113" s="121">
        <v>1659.72363</v>
      </c>
      <c r="AH113" s="121">
        <v>1635.73676</v>
      </c>
      <c r="AI113" s="121">
        <v>1611.7498899999998</v>
      </c>
      <c r="AJ113" s="121">
        <v>1587.7630200000001</v>
      </c>
      <c r="AK113" s="121">
        <v>1563.7761499999999</v>
      </c>
      <c r="AL113" s="121">
        <v>1539.78928</v>
      </c>
      <c r="AM113" s="121">
        <v>1515.80241</v>
      </c>
      <c r="AN113" s="121">
        <v>1491.8155400000001</v>
      </c>
      <c r="AO113" s="121">
        <v>1467.8286699999999</v>
      </c>
      <c r="AP113" s="125" t="str">
        <f>CONCATENATE(A113,M113)</f>
        <v>GLC</v>
      </c>
      <c r="AQ113" s="125" t="str">
        <f>CONCATENATE(AP113,L113,H113)</f>
        <v>GLCC9</v>
      </c>
      <c r="AS113" s="125" t="str">
        <f>CONCATENATE(L113,H113,J113)</f>
        <v>C9</v>
      </c>
    </row>
    <row r="114" spans="1:45" s="125" customFormat="1" ht="25.5" customHeight="1">
      <c r="A114" s="216" t="s">
        <v>2493</v>
      </c>
      <c r="B114" s="217" t="str">
        <f t="shared" si="42"/>
        <v>GL181400</v>
      </c>
      <c r="C114" s="186">
        <v>181400</v>
      </c>
      <c r="D114" s="201"/>
      <c r="E114" s="162"/>
      <c r="F114" s="169" t="s">
        <v>517</v>
      </c>
      <c r="G114" s="117"/>
      <c r="H114" s="118" t="s">
        <v>1180</v>
      </c>
      <c r="I114" s="119"/>
      <c r="J114" s="120"/>
      <c r="K114" s="120" t="str">
        <f t="shared" si="51"/>
        <v/>
      </c>
      <c r="L114" s="170" t="s">
        <v>1732</v>
      </c>
      <c r="M114" s="122" t="str">
        <f t="shared" si="52"/>
        <v>C</v>
      </c>
      <c r="N114" s="116" t="str">
        <f>IF($L114&lt;&gt;"",VLOOKUP($L114,Categories!$E:$G,2,FALSE),IF($F114&lt;&gt;"","NO CAT",""))</f>
        <v>Capitalization</v>
      </c>
      <c r="O114" s="116" t="str">
        <f>IF($L114&lt;&gt;"",VLOOKUP($L114,Categories!$E:$G,3,FALSE),IF($F114&lt;&gt;"","NO CAT",""))</f>
        <v>Unamortized Debt Expense</v>
      </c>
      <c r="P114" s="170" t="s">
        <v>1186</v>
      </c>
      <c r="Q114" s="123" t="s">
        <v>1187</v>
      </c>
      <c r="R114" s="124">
        <v>0</v>
      </c>
      <c r="S114" s="124">
        <v>0</v>
      </c>
      <c r="T114" s="124">
        <v>1</v>
      </c>
      <c r="U114" s="121">
        <f t="shared" si="43"/>
        <v>0</v>
      </c>
      <c r="V114" s="121">
        <f t="shared" si="44"/>
        <v>0</v>
      </c>
      <c r="W114" s="121">
        <f t="shared" si="45"/>
        <v>5068.2678166666701</v>
      </c>
      <c r="X114" s="121">
        <f t="shared" si="46"/>
        <v>5068.2678166666701</v>
      </c>
      <c r="Y114" s="121">
        <f t="shared" si="47"/>
        <v>0</v>
      </c>
      <c r="Z114" s="121">
        <f t="shared" si="48"/>
        <v>0</v>
      </c>
      <c r="AA114" s="121">
        <f t="shared" si="49"/>
        <v>4712.0624699999998</v>
      </c>
      <c r="AB114" s="121">
        <f t="shared" si="50"/>
        <v>4712.0624699999998</v>
      </c>
      <c r="AC114" s="121">
        <v>5377.0214299999998</v>
      </c>
      <c r="AD114" s="121">
        <v>5333.1730099999995</v>
      </c>
      <c r="AE114" s="121">
        <v>5289.3245900000002</v>
      </c>
      <c r="AF114" s="121">
        <v>5245.4761699999999</v>
      </c>
      <c r="AG114" s="121">
        <v>5201.6277499999997</v>
      </c>
      <c r="AH114" s="121">
        <v>5157.7793300000003</v>
      </c>
      <c r="AI114" s="121">
        <v>5135.2359100000003</v>
      </c>
      <c r="AJ114" s="121">
        <v>5091.3874900000001</v>
      </c>
      <c r="AK114" s="121">
        <v>4885.0530699999999</v>
      </c>
      <c r="AL114" s="121">
        <v>4841.8054199999997</v>
      </c>
      <c r="AM114" s="121">
        <v>4818.5283799999997</v>
      </c>
      <c r="AN114" s="121">
        <v>4775.2807300000004</v>
      </c>
      <c r="AO114" s="121">
        <v>4712.0624699999998</v>
      </c>
      <c r="AP114" s="125" t="str">
        <f>CONCATENATE(A114,M114)</f>
        <v>GLC</v>
      </c>
      <c r="AQ114" s="125" t="str">
        <f>CONCATENATE(AP114,L114,H114)</f>
        <v>GLCC9</v>
      </c>
      <c r="AS114" s="125" t="str">
        <f>CONCATENATE(L114,H114,J114)</f>
        <v>C9</v>
      </c>
    </row>
    <row r="115" spans="1:45" s="125" customFormat="1" ht="25.5" customHeight="1">
      <c r="A115" s="216" t="s">
        <v>2493</v>
      </c>
      <c r="B115" s="217" t="str">
        <f t="shared" si="42"/>
        <v>GL181450</v>
      </c>
      <c r="C115" s="186" t="s">
        <v>1604</v>
      </c>
      <c r="D115" s="201"/>
      <c r="E115" s="162"/>
      <c r="F115" s="169" t="s">
        <v>1605</v>
      </c>
      <c r="G115" s="117"/>
      <c r="H115" s="118" t="e">
        <v>#N/A</v>
      </c>
      <c r="I115" s="119"/>
      <c r="J115" s="120"/>
      <c r="K115" s="120" t="str">
        <f t="shared" si="51"/>
        <v/>
      </c>
      <c r="L115" s="170" t="s">
        <v>1732</v>
      </c>
      <c r="M115" s="122" t="str">
        <f t="shared" si="52"/>
        <v>C</v>
      </c>
      <c r="N115" s="116" t="str">
        <f>IF($L115&lt;&gt;"",VLOOKUP($L115,Categories!$E:$G,2,FALSE),IF($F115&lt;&gt;"","NO CAT",""))</f>
        <v>Capitalization</v>
      </c>
      <c r="O115" s="116" t="str">
        <f>IF($L115&lt;&gt;"",VLOOKUP($L115,Categories!$E:$G,3,FALSE),IF($F115&lt;&gt;"","NO CAT",""))</f>
        <v>Unamortized Debt Expense</v>
      </c>
      <c r="P115" s="170" t="s">
        <v>1186</v>
      </c>
      <c r="Q115" s="123" t="s">
        <v>1187</v>
      </c>
      <c r="R115" s="124">
        <v>0</v>
      </c>
      <c r="S115" s="124">
        <v>0</v>
      </c>
      <c r="T115" s="124">
        <v>1</v>
      </c>
      <c r="U115" s="121">
        <f t="shared" si="43"/>
        <v>0</v>
      </c>
      <c r="V115" s="121">
        <f t="shared" si="44"/>
        <v>0</v>
      </c>
      <c r="W115" s="121">
        <f t="shared" si="45"/>
        <v>2163.9444899999999</v>
      </c>
      <c r="X115" s="121">
        <f t="shared" si="46"/>
        <v>2163.9444899999999</v>
      </c>
      <c r="Y115" s="121">
        <f t="shared" si="47"/>
        <v>0</v>
      </c>
      <c r="Z115" s="121">
        <f t="shared" si="48"/>
        <v>0</v>
      </c>
      <c r="AA115" s="121">
        <f t="shared" si="49"/>
        <v>2090.7998699999998</v>
      </c>
      <c r="AB115" s="121">
        <f t="shared" si="50"/>
        <v>2090.7998700000003</v>
      </c>
      <c r="AC115" s="121">
        <v>2237.0891099999999</v>
      </c>
      <c r="AD115" s="121">
        <v>2224.8983399999997</v>
      </c>
      <c r="AE115" s="121">
        <v>2212.70757</v>
      </c>
      <c r="AF115" s="121">
        <v>2200.5167999999999</v>
      </c>
      <c r="AG115" s="121">
        <v>2188.3260299999997</v>
      </c>
      <c r="AH115" s="121">
        <v>2176.1352599999996</v>
      </c>
      <c r="AI115" s="121">
        <v>2163.9444900000003</v>
      </c>
      <c r="AJ115" s="121">
        <v>2151.7537200000002</v>
      </c>
      <c r="AK115" s="121">
        <v>2139.56295</v>
      </c>
      <c r="AL115" s="121">
        <v>2127.3721800000003</v>
      </c>
      <c r="AM115" s="121">
        <v>2115.1814100000001</v>
      </c>
      <c r="AN115" s="121">
        <v>2102.99064</v>
      </c>
      <c r="AO115" s="121">
        <v>2090.7998700000003</v>
      </c>
      <c r="AP115" s="125" t="str">
        <f>CONCATENATE(A115,M115)</f>
        <v>GLC</v>
      </c>
      <c r="AQ115" s="125" t="e">
        <f>CONCATENATE(AP115,L115,H115)</f>
        <v>#N/A</v>
      </c>
      <c r="AS115" s="125" t="e">
        <f>CONCATENATE(L115,H115,J115)</f>
        <v>#N/A</v>
      </c>
    </row>
    <row r="116" spans="1:45" s="125" customFormat="1" ht="25.5" customHeight="1">
      <c r="A116" s="216" t="s">
        <v>2493</v>
      </c>
      <c r="B116" s="217" t="str">
        <f t="shared" si="42"/>
        <v>GL182300</v>
      </c>
      <c r="C116" s="186">
        <v>182300</v>
      </c>
      <c r="D116" s="201"/>
      <c r="E116" s="162"/>
      <c r="F116" s="169" t="s">
        <v>242</v>
      </c>
      <c r="G116" s="117"/>
      <c r="H116" s="118" t="s">
        <v>1180</v>
      </c>
      <c r="I116" s="119"/>
      <c r="J116" s="120"/>
      <c r="K116" s="120" t="str">
        <f t="shared" si="51"/>
        <v/>
      </c>
      <c r="L116" s="170" t="s">
        <v>1171</v>
      </c>
      <c r="M116" s="122" t="str">
        <f t="shared" si="52"/>
        <v>S</v>
      </c>
      <c r="N116" s="116" t="str">
        <f>IF($L116&lt;&gt;"",VLOOKUP($L116,Categories!$E:$G,2,FALSE),IF($F116&lt;&gt;"","NO CAT",""))</f>
        <v>Asset &amp; Liability Side Sched</v>
      </c>
      <c r="O116" s="116" t="str">
        <f>IF($L116&lt;&gt;"",VLOOKUP($L116,Categories!$E:$G,3,FALSE),IF($F116&lt;&gt;"","NO CAT",""))</f>
        <v>Reg Asset &amp; Liabilities</v>
      </c>
      <c r="P116" s="170" t="s">
        <v>1186</v>
      </c>
      <c r="Q116" s="123" t="s">
        <v>1187</v>
      </c>
      <c r="R116" s="124">
        <v>0</v>
      </c>
      <c r="S116" s="124">
        <v>0</v>
      </c>
      <c r="T116" s="124">
        <v>1</v>
      </c>
      <c r="U116" s="121">
        <f t="shared" si="43"/>
        <v>0</v>
      </c>
      <c r="V116" s="121">
        <f t="shared" si="44"/>
        <v>0</v>
      </c>
      <c r="W116" s="121">
        <f t="shared" si="45"/>
        <v>761.78249958333299</v>
      </c>
      <c r="X116" s="121">
        <f t="shared" si="46"/>
        <v>761.78249958333299</v>
      </c>
      <c r="Y116" s="121">
        <f t="shared" si="47"/>
        <v>0</v>
      </c>
      <c r="Z116" s="121">
        <f t="shared" si="48"/>
        <v>0</v>
      </c>
      <c r="AA116" s="121">
        <f t="shared" si="49"/>
        <v>1091.15247</v>
      </c>
      <c r="AB116" s="121">
        <f t="shared" si="50"/>
        <v>1091.15247</v>
      </c>
      <c r="AC116" s="121">
        <v>659.32695999999999</v>
      </c>
      <c r="AD116" s="121">
        <v>644.72875999999997</v>
      </c>
      <c r="AE116" s="121">
        <v>610.46370999999999</v>
      </c>
      <c r="AF116" s="121">
        <v>660.05745999999999</v>
      </c>
      <c r="AG116" s="121">
        <v>678.44465000000002</v>
      </c>
      <c r="AH116" s="121">
        <v>666.39443000000006</v>
      </c>
      <c r="AI116" s="121">
        <v>688.86579000000006</v>
      </c>
      <c r="AJ116" s="121">
        <v>695.54068999999993</v>
      </c>
      <c r="AK116" s="121">
        <v>696.73541</v>
      </c>
      <c r="AL116" s="121">
        <v>824.06596000000002</v>
      </c>
      <c r="AM116" s="121">
        <v>1035.5011500000001</v>
      </c>
      <c r="AN116" s="121">
        <v>1065.3522700000001</v>
      </c>
      <c r="AO116" s="121">
        <v>1091.15247</v>
      </c>
      <c r="AP116" s="125" t="str">
        <f>CONCATENATE(A116,M116)</f>
        <v>GLS</v>
      </c>
      <c r="AQ116" s="125" t="str">
        <f>CONCATENATE(AP116,L116,H116)</f>
        <v>GLSS</v>
      </c>
      <c r="AS116" s="125" t="str">
        <f>CONCATENATE(L116,H116,J116)</f>
        <v>S</v>
      </c>
    </row>
    <row r="117" spans="1:45" s="125" customFormat="1" ht="25.5" customHeight="1">
      <c r="A117" s="216" t="s">
        <v>2493</v>
      </c>
      <c r="B117" s="217" t="str">
        <f t="shared" si="42"/>
        <v>GL182301</v>
      </c>
      <c r="C117" s="186">
        <v>182301</v>
      </c>
      <c r="D117" s="201"/>
      <c r="E117" s="162"/>
      <c r="F117" s="169" t="s">
        <v>1032</v>
      </c>
      <c r="G117" s="117"/>
      <c r="H117" s="118">
        <v>0</v>
      </c>
      <c r="I117" s="119"/>
      <c r="J117" s="120"/>
      <c r="K117" s="120" t="str">
        <f t="shared" si="51"/>
        <v/>
      </c>
      <c r="L117" s="170" t="s">
        <v>1171</v>
      </c>
      <c r="M117" s="122" t="str">
        <f t="shared" si="52"/>
        <v>S</v>
      </c>
      <c r="N117" s="116" t="str">
        <f>IF($L117&lt;&gt;"",VLOOKUP($L117,Categories!$E:$G,2,FALSE),IF($F117&lt;&gt;"","NO CAT",""))</f>
        <v>Asset &amp; Liability Side Sched</v>
      </c>
      <c r="O117" s="116" t="str">
        <f>IF($L117&lt;&gt;"",VLOOKUP($L117,Categories!$E:$G,3,FALSE),IF($F117&lt;&gt;"","NO CAT",""))</f>
        <v>Reg Asset &amp; Liabilities</v>
      </c>
      <c r="P117" s="170" t="s">
        <v>1186</v>
      </c>
      <c r="Q117" s="123" t="s">
        <v>1187</v>
      </c>
      <c r="R117" s="124">
        <v>0</v>
      </c>
      <c r="S117" s="124">
        <v>0</v>
      </c>
      <c r="T117" s="124">
        <v>1</v>
      </c>
      <c r="U117" s="121">
        <f t="shared" si="43"/>
        <v>0</v>
      </c>
      <c r="V117" s="121">
        <f t="shared" si="44"/>
        <v>0</v>
      </c>
      <c r="W117" s="121">
        <f t="shared" si="45"/>
        <v>95494.441919999997</v>
      </c>
      <c r="X117" s="121">
        <f t="shared" si="46"/>
        <v>95494.441919999997</v>
      </c>
      <c r="Y117" s="121">
        <f t="shared" si="47"/>
        <v>0</v>
      </c>
      <c r="Z117" s="121">
        <f t="shared" si="48"/>
        <v>0</v>
      </c>
      <c r="AA117" s="121">
        <f t="shared" si="49"/>
        <v>94218.38609</v>
      </c>
      <c r="AB117" s="121">
        <f t="shared" si="50"/>
        <v>94218.38609</v>
      </c>
      <c r="AC117" s="121">
        <v>70931.225030000001</v>
      </c>
      <c r="AD117" s="121">
        <v>125278.71851000001</v>
      </c>
      <c r="AE117" s="121">
        <v>137624.41618</v>
      </c>
      <c r="AF117" s="121">
        <v>140562.40328999999</v>
      </c>
      <c r="AG117" s="121">
        <v>91281.333809999996</v>
      </c>
      <c r="AH117" s="121">
        <v>70083.33279</v>
      </c>
      <c r="AI117" s="121">
        <v>70825.046770000001</v>
      </c>
      <c r="AJ117" s="121">
        <v>78963.254090000002</v>
      </c>
      <c r="AK117" s="121">
        <v>82072.189910000001</v>
      </c>
      <c r="AL117" s="121">
        <v>84047.31912</v>
      </c>
      <c r="AM117" s="121">
        <v>89908.205879999994</v>
      </c>
      <c r="AN117" s="121">
        <v>92712.277130000002</v>
      </c>
      <c r="AO117" s="121">
        <v>94218.38609</v>
      </c>
      <c r="AP117" s="125" t="str">
        <f>CONCATENATE(A117,M117)</f>
        <v>GLS</v>
      </c>
      <c r="AQ117" s="125" t="str">
        <f>CONCATENATE(AP117,L117,H117)</f>
        <v>GLSS0</v>
      </c>
      <c r="AS117" s="125" t="str">
        <f>CONCATENATE(L117,H117,J117)</f>
        <v>S0</v>
      </c>
    </row>
    <row r="118" spans="1:45" s="125" customFormat="1" ht="25.5" customHeight="1">
      <c r="A118" s="216" t="s">
        <v>2493</v>
      </c>
      <c r="B118" s="217" t="str">
        <f t="shared" si="42"/>
        <v>GL182303</v>
      </c>
      <c r="C118" s="186">
        <v>182303</v>
      </c>
      <c r="D118" s="201"/>
      <c r="E118" s="162"/>
      <c r="F118" s="169" t="s">
        <v>1033</v>
      </c>
      <c r="G118" s="117"/>
      <c r="H118" s="118">
        <v>0</v>
      </c>
      <c r="I118" s="119"/>
      <c r="J118" s="120"/>
      <c r="K118" s="120" t="str">
        <f t="shared" si="51"/>
        <v/>
      </c>
      <c r="L118" s="170" t="s">
        <v>1171</v>
      </c>
      <c r="M118" s="122" t="str">
        <f t="shared" si="52"/>
        <v>S</v>
      </c>
      <c r="N118" s="116" t="str">
        <f>IF($L118&lt;&gt;"",VLOOKUP($L118,Categories!$E:$G,2,FALSE),IF($F118&lt;&gt;"","NO CAT",""))</f>
        <v>Asset &amp; Liability Side Sched</v>
      </c>
      <c r="O118" s="116" t="str">
        <f>IF($L118&lt;&gt;"",VLOOKUP($L118,Categories!$E:$G,3,FALSE),IF($F118&lt;&gt;"","NO CAT",""))</f>
        <v>Reg Asset &amp; Liabilities</v>
      </c>
      <c r="P118" s="170" t="s">
        <v>1186</v>
      </c>
      <c r="Q118" s="123" t="s">
        <v>1187</v>
      </c>
      <c r="R118" s="124">
        <v>0</v>
      </c>
      <c r="S118" s="124">
        <v>0</v>
      </c>
      <c r="T118" s="124">
        <v>1</v>
      </c>
      <c r="U118" s="121">
        <f t="shared" si="43"/>
        <v>0</v>
      </c>
      <c r="V118" s="121">
        <f t="shared" si="44"/>
        <v>0</v>
      </c>
      <c r="W118" s="121">
        <f t="shared" si="45"/>
        <v>52755.667977916703</v>
      </c>
      <c r="X118" s="121">
        <f t="shared" si="46"/>
        <v>52755.667977916703</v>
      </c>
      <c r="Y118" s="121">
        <f t="shared" si="47"/>
        <v>0</v>
      </c>
      <c r="Z118" s="121">
        <f t="shared" si="48"/>
        <v>0</v>
      </c>
      <c r="AA118" s="121">
        <f t="shared" si="49"/>
        <v>53859.698360000002</v>
      </c>
      <c r="AB118" s="121">
        <f t="shared" si="50"/>
        <v>53859.698360000002</v>
      </c>
      <c r="AC118" s="121">
        <v>53453.58049</v>
      </c>
      <c r="AD118" s="121">
        <v>52751.980990000004</v>
      </c>
      <c r="AE118" s="121">
        <v>52500.96228</v>
      </c>
      <c r="AF118" s="121">
        <v>52752.124920000002</v>
      </c>
      <c r="AG118" s="121">
        <v>49269.00819</v>
      </c>
      <c r="AH118" s="121">
        <v>49541.74192</v>
      </c>
      <c r="AI118" s="121">
        <v>50286.485549999998</v>
      </c>
      <c r="AJ118" s="121">
        <v>53101.627759999996</v>
      </c>
      <c r="AK118" s="121">
        <v>54318.908320000002</v>
      </c>
      <c r="AL118" s="121">
        <v>54648.22855</v>
      </c>
      <c r="AM118" s="121">
        <v>55406.973109999999</v>
      </c>
      <c r="AN118" s="121">
        <v>54833.334719999999</v>
      </c>
      <c r="AO118" s="121">
        <v>53859.698360000002</v>
      </c>
      <c r="AP118" s="125" t="str">
        <f>CONCATENATE(A118,M118)</f>
        <v>GLS</v>
      </c>
      <c r="AQ118" s="125" t="str">
        <f>CONCATENATE(AP118,L118,H118)</f>
        <v>GLSS0</v>
      </c>
      <c r="AS118" s="125" t="str">
        <f>CONCATENATE(L118,H118,J118)</f>
        <v>S0</v>
      </c>
    </row>
    <row r="119" spans="1:45" s="125" customFormat="1" ht="25.5" customHeight="1">
      <c r="A119" s="216" t="s">
        <v>2493</v>
      </c>
      <c r="B119" s="217" t="str">
        <f>CONCATENATE(A119,C119,D119,E119)</f>
        <v>GL182304</v>
      </c>
      <c r="C119" s="186">
        <v>182304</v>
      </c>
      <c r="D119" s="201"/>
      <c r="E119" s="162"/>
      <c r="F119" s="169" t="s">
        <v>4654</v>
      </c>
      <c r="G119" s="117"/>
      <c r="H119" s="118">
        <v>0</v>
      </c>
      <c r="I119" s="119"/>
      <c r="J119" s="120"/>
      <c r="K119" s="120" t="str">
        <f>IF(L119="N3","SFAS-109","")</f>
        <v/>
      </c>
      <c r="L119" s="170" t="s">
        <v>1171</v>
      </c>
      <c r="M119" s="122" t="str">
        <f>LEFT(L119,1)</f>
        <v>S</v>
      </c>
      <c r="N119" s="116" t="str">
        <f>IF($L119&lt;&gt;"",VLOOKUP($L119,Categories!$E:$G,2,FALSE),IF($F119&lt;&gt;"","NO CAT",""))</f>
        <v>Asset &amp; Liability Side Sched</v>
      </c>
      <c r="O119" s="116" t="str">
        <f>IF($L119&lt;&gt;"",VLOOKUP($L119,Categories!$E:$G,3,FALSE),IF($F119&lt;&gt;"","NO CAT",""))</f>
        <v>Reg Asset &amp; Liabilities</v>
      </c>
      <c r="P119" s="170" t="s">
        <v>1186</v>
      </c>
      <c r="Q119" s="123" t="s">
        <v>1187</v>
      </c>
      <c r="R119" s="124">
        <v>0</v>
      </c>
      <c r="S119" s="124">
        <v>0</v>
      </c>
      <c r="T119" s="124">
        <v>1</v>
      </c>
      <c r="U119" s="121">
        <f>IF(ABS(X119)=0,"",IF($R119="NO ALLOC","NO ALLOC",ROUND($R119*X119,15)))</f>
        <v>0</v>
      </c>
      <c r="V119" s="121">
        <f>IF(ABS(X119)=0,"",IF($S119="NO ALLOC","NO ALLOC",ROUND($S119*X119,15)))</f>
        <v>0</v>
      </c>
      <c r="W119" s="121">
        <f>IF(ABS(X119)=0,"",IF($T119="NO ALLOC","NO ALLOC",ROUND($T119*X119,15)))</f>
        <v>55218.4687745833</v>
      </c>
      <c r="X119" s="121">
        <f t="shared" si="46"/>
        <v>55218.4687745833</v>
      </c>
      <c r="Y119" s="121">
        <f>IF(ABS(AB119)=0,"",IF($R119="NO ALLOC","NO ALLOC",ROUND($R119*AB119,15)))</f>
        <v>0</v>
      </c>
      <c r="Z119" s="121">
        <f>IF(ABS(AB119)=0,"",IF($S119="NO ALLOC","NO ALLOC",ROUND($S119*AB119,15)))</f>
        <v>0</v>
      </c>
      <c r="AA119" s="121">
        <f>IF(ABS(AB119)=0,"",IF($T119="NO ALLOC","NO ALLOC",ROUND($T119*AB119,15)))</f>
        <v>58361.143779999999</v>
      </c>
      <c r="AB119" s="121">
        <f t="shared" si="50"/>
        <v>58361.143779999999</v>
      </c>
      <c r="AC119" s="121">
        <v>47508.080170000001</v>
      </c>
      <c r="AD119" s="121">
        <v>48827.747819999997</v>
      </c>
      <c r="AE119" s="121">
        <v>50147.416680000002</v>
      </c>
      <c r="AF119" s="121">
        <v>51467.08554</v>
      </c>
      <c r="AG119" s="121">
        <v>52786.754399999998</v>
      </c>
      <c r="AH119" s="121">
        <v>54106.423259999996</v>
      </c>
      <c r="AI119" s="121">
        <v>55426.092119999994</v>
      </c>
      <c r="AJ119" s="121">
        <v>56745.760979999999</v>
      </c>
      <c r="AK119" s="121">
        <v>58065.429840000004</v>
      </c>
      <c r="AL119" s="121">
        <v>59385.098700000002</v>
      </c>
      <c r="AM119" s="121">
        <v>60704.76756</v>
      </c>
      <c r="AN119" s="121">
        <v>62024.436419999998</v>
      </c>
      <c r="AO119" s="121">
        <v>58361.143779999999</v>
      </c>
      <c r="AP119" s="125" t="str">
        <f>CONCATENATE(A119,M119)</f>
        <v>GLS</v>
      </c>
      <c r="AQ119" s="125" t="str">
        <f>CONCATENATE(AP119,L119,H119)</f>
        <v>GLSS0</v>
      </c>
      <c r="AS119" s="125" t="str">
        <f>CONCATENATE(L119,H119,J119)</f>
        <v>S0</v>
      </c>
    </row>
    <row r="120" spans="1:45" s="125" customFormat="1" ht="25.5" customHeight="1">
      <c r="A120" s="216" t="s">
        <v>2493</v>
      </c>
      <c r="B120" s="217" t="str">
        <f t="shared" si="42"/>
        <v>GL182305</v>
      </c>
      <c r="C120" s="186">
        <v>182305</v>
      </c>
      <c r="D120" s="201"/>
      <c r="E120" s="162"/>
      <c r="F120" s="169" t="s">
        <v>837</v>
      </c>
      <c r="G120" s="117"/>
      <c r="H120" s="118">
        <v>0</v>
      </c>
      <c r="I120" s="119"/>
      <c r="J120" s="120"/>
      <c r="K120" s="120" t="str">
        <f>IF(L120="N3","SFAS-109","")</f>
        <v/>
      </c>
      <c r="L120" s="170" t="s">
        <v>1171</v>
      </c>
      <c r="M120" s="122" t="str">
        <f t="shared" si="52"/>
        <v>S</v>
      </c>
      <c r="N120" s="116" t="str">
        <f>IF($L120&lt;&gt;"",VLOOKUP($L120,Categories!$E:$G,2,FALSE),IF($F120&lt;&gt;"","NO CAT",""))</f>
        <v>Asset &amp; Liability Side Sched</v>
      </c>
      <c r="O120" s="116" t="str">
        <f>IF($L120&lt;&gt;"",VLOOKUP($L120,Categories!$E:$G,3,FALSE),IF($F120&lt;&gt;"","NO CAT",""))</f>
        <v>Reg Asset &amp; Liabilities</v>
      </c>
      <c r="P120" s="170" t="s">
        <v>1186</v>
      </c>
      <c r="Q120" s="123" t="s">
        <v>1187</v>
      </c>
      <c r="R120" s="124">
        <v>0</v>
      </c>
      <c r="S120" s="124">
        <v>0</v>
      </c>
      <c r="T120" s="124">
        <v>1</v>
      </c>
      <c r="U120" s="121">
        <f t="shared" si="43"/>
        <v>0</v>
      </c>
      <c r="V120" s="121">
        <f t="shared" si="44"/>
        <v>0</v>
      </c>
      <c r="W120" s="121">
        <f t="shared" si="45"/>
        <v>87.788757916666697</v>
      </c>
      <c r="X120" s="121">
        <f t="shared" si="46"/>
        <v>87.788757916666697</v>
      </c>
      <c r="Y120" s="121">
        <f t="shared" si="47"/>
        <v>0</v>
      </c>
      <c r="Z120" s="121">
        <f t="shared" si="48"/>
        <v>0</v>
      </c>
      <c r="AA120" s="121">
        <f t="shared" si="49"/>
        <v>90.550219999999996</v>
      </c>
      <c r="AB120" s="121">
        <f t="shared" si="50"/>
        <v>90.550219999999996</v>
      </c>
      <c r="AC120" s="121">
        <v>85.083629999999999</v>
      </c>
      <c r="AD120" s="121">
        <v>85.526289999999989</v>
      </c>
      <c r="AE120" s="121">
        <v>85.971249999999998</v>
      </c>
      <c r="AF120" s="121">
        <v>86.418530000000004</v>
      </c>
      <c r="AG120" s="121">
        <v>86.868139999999997</v>
      </c>
      <c r="AH120" s="121">
        <v>87.320080000000004</v>
      </c>
      <c r="AI120" s="121">
        <v>87.774380000000008</v>
      </c>
      <c r="AJ120" s="121">
        <v>88.231039999999993</v>
      </c>
      <c r="AK120" s="121">
        <v>88.690079999999995</v>
      </c>
      <c r="AL120" s="121">
        <v>89.151499999999999</v>
      </c>
      <c r="AM120" s="121">
        <v>89.615320000000011</v>
      </c>
      <c r="AN120" s="121">
        <v>90.081559999999996</v>
      </c>
      <c r="AO120" s="121">
        <v>90.550219999999996</v>
      </c>
      <c r="AP120" s="125" t="str">
        <f>CONCATENATE(A120,M120)</f>
        <v>GLS</v>
      </c>
      <c r="AQ120" s="125" t="str">
        <f>CONCATENATE(AP120,L120,H120)</f>
        <v>GLSS0</v>
      </c>
      <c r="AS120" s="125" t="str">
        <f>CONCATENATE(L120,H120,J120)</f>
        <v>S0</v>
      </c>
    </row>
    <row r="121" spans="1:45" s="125" customFormat="1" ht="25.5" customHeight="1">
      <c r="A121" s="216" t="s">
        <v>2493</v>
      </c>
      <c r="B121" s="217" t="str">
        <f t="shared" si="42"/>
        <v>GL182306</v>
      </c>
      <c r="C121" s="186">
        <v>182306</v>
      </c>
      <c r="D121" s="201"/>
      <c r="E121" s="162"/>
      <c r="F121" s="169" t="s">
        <v>1034</v>
      </c>
      <c r="G121" s="117"/>
      <c r="H121" s="118">
        <v>0</v>
      </c>
      <c r="I121" s="119"/>
      <c r="J121" s="120"/>
      <c r="K121" s="120" t="str">
        <f t="shared" si="51"/>
        <v/>
      </c>
      <c r="L121" s="170" t="s">
        <v>1171</v>
      </c>
      <c r="M121" s="122" t="str">
        <f t="shared" si="52"/>
        <v>S</v>
      </c>
      <c r="N121" s="116" t="str">
        <f>IF($L121&lt;&gt;"",VLOOKUP($L121,Categories!$E:$G,2,FALSE),IF($F121&lt;&gt;"","NO CAT",""))</f>
        <v>Asset &amp; Liability Side Sched</v>
      </c>
      <c r="O121" s="116" t="str">
        <f>IF($L121&lt;&gt;"",VLOOKUP($L121,Categories!$E:$G,3,FALSE),IF($F121&lt;&gt;"","NO CAT",""))</f>
        <v>Reg Asset &amp; Liabilities</v>
      </c>
      <c r="P121" s="170" t="s">
        <v>1186</v>
      </c>
      <c r="Q121" s="123" t="s">
        <v>1187</v>
      </c>
      <c r="R121" s="124">
        <v>0</v>
      </c>
      <c r="S121" s="124">
        <v>0</v>
      </c>
      <c r="T121" s="124">
        <v>1</v>
      </c>
      <c r="U121" s="121">
        <f t="shared" si="43"/>
        <v>0</v>
      </c>
      <c r="V121" s="121">
        <f t="shared" si="44"/>
        <v>0</v>
      </c>
      <c r="W121" s="121">
        <f t="shared" si="45"/>
        <v>2446.39987916667</v>
      </c>
      <c r="X121" s="121">
        <f t="shared" si="46"/>
        <v>2446.39987916667</v>
      </c>
      <c r="Y121" s="121">
        <f t="shared" si="47"/>
        <v>0</v>
      </c>
      <c r="Z121" s="121">
        <f t="shared" si="48"/>
        <v>0</v>
      </c>
      <c r="AA121" s="121">
        <f t="shared" si="49"/>
        <v>2514.8968199999999</v>
      </c>
      <c r="AB121" s="121">
        <f t="shared" si="50"/>
        <v>2514.8968199999999</v>
      </c>
      <c r="AC121" s="121">
        <v>2649.3521600000004</v>
      </c>
      <c r="AD121" s="121">
        <v>2528.4838399999999</v>
      </c>
      <c r="AE121" s="121">
        <v>2425.6471299999998</v>
      </c>
      <c r="AF121" s="121">
        <v>2367.1093300000002</v>
      </c>
      <c r="AG121" s="121">
        <v>2392.3870499999998</v>
      </c>
      <c r="AH121" s="121">
        <v>2357.5360000000001</v>
      </c>
      <c r="AI121" s="121">
        <v>2385.598</v>
      </c>
      <c r="AJ121" s="121">
        <v>2414.33086</v>
      </c>
      <c r="AK121" s="121">
        <v>2440.3244199999999</v>
      </c>
      <c r="AL121" s="121">
        <v>2467.2913100000001</v>
      </c>
      <c r="AM121" s="121">
        <v>2491.2837100000002</v>
      </c>
      <c r="AN121" s="121">
        <v>2504.6824100000003</v>
      </c>
      <c r="AO121" s="121">
        <v>2514.8968199999999</v>
      </c>
      <c r="AP121" s="125" t="str">
        <f>CONCATENATE(A121,M121)</f>
        <v>GLS</v>
      </c>
      <c r="AQ121" s="125" t="str">
        <f>CONCATENATE(AP121,L121,H121)</f>
        <v>GLSS0</v>
      </c>
      <c r="AS121" s="125" t="str">
        <f>CONCATENATE(L121,H121,J121)</f>
        <v>S0</v>
      </c>
    </row>
    <row r="122" spans="1:45" s="125" customFormat="1" ht="25.5" customHeight="1">
      <c r="A122" s="216" t="s">
        <v>2493</v>
      </c>
      <c r="B122" s="217" t="str">
        <f>CONCATENATE(A122,C122,D122,E122)</f>
        <v>GL182307</v>
      </c>
      <c r="C122" s="186">
        <v>182307</v>
      </c>
      <c r="D122" s="201"/>
      <c r="E122" s="162"/>
      <c r="F122" s="169" t="s">
        <v>4746</v>
      </c>
      <c r="G122" s="117"/>
      <c r="H122" s="118">
        <v>0</v>
      </c>
      <c r="I122" s="119"/>
      <c r="J122" s="120"/>
      <c r="K122" s="120" t="str">
        <f>IF(L122="N3","SFAS-109","")</f>
        <v/>
      </c>
      <c r="L122" s="170" t="s">
        <v>1171</v>
      </c>
      <c r="M122" s="122" t="str">
        <f>LEFT(L122,1)</f>
        <v>S</v>
      </c>
      <c r="N122" s="116" t="str">
        <f>IF($L122&lt;&gt;"",VLOOKUP($L122,Categories!$E:$G,2,FALSE),IF($F122&lt;&gt;"","NO CAT",""))</f>
        <v>Asset &amp; Liability Side Sched</v>
      </c>
      <c r="O122" s="116" t="str">
        <f>IF($L122&lt;&gt;"",VLOOKUP($L122,Categories!$E:$G,3,FALSE),IF($F122&lt;&gt;"","NO CAT",""))</f>
        <v>Reg Asset &amp; Liabilities</v>
      </c>
      <c r="P122" s="170" t="s">
        <v>1186</v>
      </c>
      <c r="Q122" s="123" t="s">
        <v>1187</v>
      </c>
      <c r="R122" s="124">
        <v>0</v>
      </c>
      <c r="S122" s="124">
        <v>0</v>
      </c>
      <c r="T122" s="124">
        <v>1</v>
      </c>
      <c r="U122" s="121">
        <f>IF(ABS(X122)=0,"",IF($R122="NO ALLOC","NO ALLOC",ROUND($R122*X122,15)))</f>
        <v>0</v>
      </c>
      <c r="V122" s="121">
        <f>IF(ABS(X122)=0,"",IF($S122="NO ALLOC","NO ALLOC",ROUND($S122*X122,15)))</f>
        <v>0</v>
      </c>
      <c r="W122" s="121">
        <f>IF(ABS(X122)=0,"",IF($T122="NO ALLOC","NO ALLOC",ROUND($T122*X122,15)))</f>
        <v>18527.658807916701</v>
      </c>
      <c r="X122" s="121">
        <f t="shared" si="46"/>
        <v>18527.658807916701</v>
      </c>
      <c r="Y122" s="121">
        <f>IF(ABS(AB122)=0,"",IF($R122="NO ALLOC","NO ALLOC",ROUND($R122*AB122,15)))</f>
        <v>0</v>
      </c>
      <c r="Z122" s="121">
        <f>IF(ABS(AB122)=0,"",IF($S122="NO ALLOC","NO ALLOC",ROUND($S122*AB122,15)))</f>
        <v>0</v>
      </c>
      <c r="AA122" s="121">
        <f>IF(ABS(AB122)=0,"",IF($T122="NO ALLOC","NO ALLOC",ROUND($T122*AB122,15)))</f>
        <v>30163.22623</v>
      </c>
      <c r="AB122" s="121">
        <f t="shared" si="50"/>
        <v>30163.22623</v>
      </c>
      <c r="AC122" s="121"/>
      <c r="AD122" s="121"/>
      <c r="AE122" s="121"/>
      <c r="AF122" s="121"/>
      <c r="AG122" s="121">
        <v>23674.7402</v>
      </c>
      <c r="AH122" s="121">
        <v>23486.011420000003</v>
      </c>
      <c r="AI122" s="121">
        <v>24357.917260000002</v>
      </c>
      <c r="AJ122" s="121">
        <v>25224.853370000001</v>
      </c>
      <c r="AK122" s="121">
        <v>26109.166280000001</v>
      </c>
      <c r="AL122" s="121">
        <v>27192.137320000002</v>
      </c>
      <c r="AM122" s="121">
        <v>28059.158079999997</v>
      </c>
      <c r="AN122" s="121">
        <v>29146.308649999999</v>
      </c>
      <c r="AO122" s="121">
        <v>30163.22623</v>
      </c>
      <c r="AP122" s="125" t="str">
        <f>CONCATENATE(A122,M122)</f>
        <v>GLS</v>
      </c>
      <c r="AQ122" s="125" t="str">
        <f>CONCATENATE(AP122,L122,H122)</f>
        <v>GLSS0</v>
      </c>
      <c r="AS122" s="125" t="str">
        <f>CONCATENATE(L122,H122,J122)</f>
        <v>S0</v>
      </c>
    </row>
    <row r="123" spans="1:45" s="125" customFormat="1" ht="25.5" customHeight="1">
      <c r="A123" s="216" t="s">
        <v>2493</v>
      </c>
      <c r="B123" s="217" t="str">
        <f t="shared" si="42"/>
        <v>GL182320</v>
      </c>
      <c r="C123" s="186">
        <v>182320</v>
      </c>
      <c r="D123" s="201"/>
      <c r="E123" s="162"/>
      <c r="F123" s="169" t="s">
        <v>1950</v>
      </c>
      <c r="G123" s="117"/>
      <c r="H123" s="118" t="s">
        <v>1180</v>
      </c>
      <c r="I123" s="119"/>
      <c r="J123" s="120"/>
      <c r="K123" s="120" t="str">
        <f t="shared" si="51"/>
        <v/>
      </c>
      <c r="L123" s="170" t="s">
        <v>1171</v>
      </c>
      <c r="M123" s="122" t="str">
        <f>LEFT(L123,1)</f>
        <v>S</v>
      </c>
      <c r="N123" s="116" t="str">
        <f>IF($L123&lt;&gt;"",VLOOKUP($L123,Categories!$E:$G,2,FALSE),IF($F123&lt;&gt;"","NO CAT",""))</f>
        <v>Asset &amp; Liability Side Sched</v>
      </c>
      <c r="O123" s="116" t="str">
        <f>IF($L123&lt;&gt;"",VLOOKUP($L123,Categories!$E:$G,3,FALSE),IF($F123&lt;&gt;"","NO CAT",""))</f>
        <v>Reg Asset &amp; Liabilities</v>
      </c>
      <c r="P123" s="170" t="s">
        <v>1186</v>
      </c>
      <c r="Q123" s="123" t="s">
        <v>1187</v>
      </c>
      <c r="R123" s="124">
        <v>0</v>
      </c>
      <c r="S123" s="124">
        <v>0</v>
      </c>
      <c r="T123" s="124">
        <v>1</v>
      </c>
      <c r="U123" s="121">
        <f t="shared" si="43"/>
        <v>0</v>
      </c>
      <c r="V123" s="121">
        <f t="shared" si="44"/>
        <v>0</v>
      </c>
      <c r="W123" s="121">
        <f t="shared" si="45"/>
        <v>124156.324345</v>
      </c>
      <c r="X123" s="121">
        <f t="shared" ref="X123:X163" si="53">IF(ISERROR(ROUND((SUM(AC123:AO123)-((AC123+AO123))/2)/12,15)),"",ROUND((SUM(AC123:AO123)-((AC123+AO123))/2)/12,15))</f>
        <v>124156.324345</v>
      </c>
      <c r="Y123" s="121">
        <f t="shared" si="47"/>
        <v>0</v>
      </c>
      <c r="Z123" s="121">
        <f t="shared" si="48"/>
        <v>0</v>
      </c>
      <c r="AA123" s="121">
        <f t="shared" si="49"/>
        <v>117865.62986</v>
      </c>
      <c r="AB123" s="121">
        <f t="shared" ref="AB123:AB163" si="54">IF(AO123="",0,+AO123)</f>
        <v>117865.62986</v>
      </c>
      <c r="AC123" s="121">
        <v>128265.47473999999</v>
      </c>
      <c r="AD123" s="121">
        <v>127317.57421999999</v>
      </c>
      <c r="AE123" s="121">
        <v>125190.88131999999</v>
      </c>
      <c r="AF123" s="121">
        <v>124674.24496</v>
      </c>
      <c r="AG123" s="121">
        <v>124058.67829000001</v>
      </c>
      <c r="AH123" s="121">
        <v>124788.77334999999</v>
      </c>
      <c r="AI123" s="121">
        <v>124539.45333</v>
      </c>
      <c r="AJ123" s="121">
        <v>124551.27181999999</v>
      </c>
      <c r="AK123" s="121">
        <v>124287.53051000001</v>
      </c>
      <c r="AL123" s="121">
        <v>124644.00698999999</v>
      </c>
      <c r="AM123" s="121">
        <v>125227.65802</v>
      </c>
      <c r="AN123" s="121">
        <v>117530.26703</v>
      </c>
      <c r="AO123" s="121">
        <v>117865.62986</v>
      </c>
      <c r="AP123" s="125" t="str">
        <f>CONCATENATE(A123,M123)</f>
        <v>GLS</v>
      </c>
      <c r="AQ123" s="125" t="str">
        <f>CONCATENATE(AP123,L123,H123)</f>
        <v>GLSS</v>
      </c>
      <c r="AS123" s="125" t="str">
        <f>CONCATENATE(L123,H123,J123)</f>
        <v>S</v>
      </c>
    </row>
    <row r="124" spans="1:45" s="125" customFormat="1" ht="25.5" customHeight="1">
      <c r="A124" s="216" t="s">
        <v>2493</v>
      </c>
      <c r="B124" s="217" t="str">
        <f t="shared" si="42"/>
        <v>GL182336</v>
      </c>
      <c r="C124" s="186">
        <v>182336</v>
      </c>
      <c r="D124" s="201"/>
      <c r="E124" s="162"/>
      <c r="F124" s="169" t="s">
        <v>1486</v>
      </c>
      <c r="G124" s="117"/>
      <c r="H124" s="118" t="e">
        <v>#N/A</v>
      </c>
      <c r="I124" s="119"/>
      <c r="J124" s="120"/>
      <c r="K124" s="120" t="str">
        <f t="shared" si="51"/>
        <v/>
      </c>
      <c r="L124" s="170" t="s">
        <v>1171</v>
      </c>
      <c r="M124" s="122" t="str">
        <f t="shared" si="52"/>
        <v>S</v>
      </c>
      <c r="N124" s="116" t="str">
        <f>IF($L124&lt;&gt;"",VLOOKUP($L124,Categories!$E:$G,2,FALSE),IF($F124&lt;&gt;"","NO CAT",""))</f>
        <v>Asset &amp; Liability Side Sched</v>
      </c>
      <c r="O124" s="116" t="str">
        <f>IF($L124&lt;&gt;"",VLOOKUP($L124,Categories!$E:$G,3,FALSE),IF($F124&lt;&gt;"","NO CAT",""))</f>
        <v>Reg Asset &amp; Liabilities</v>
      </c>
      <c r="P124" s="170" t="s">
        <v>1186</v>
      </c>
      <c r="Q124" s="123" t="s">
        <v>1187</v>
      </c>
      <c r="R124" s="124">
        <v>0</v>
      </c>
      <c r="S124" s="124">
        <v>0</v>
      </c>
      <c r="T124" s="124">
        <v>1</v>
      </c>
      <c r="U124" s="121">
        <f t="shared" si="43"/>
        <v>0</v>
      </c>
      <c r="V124" s="121">
        <f t="shared" si="44"/>
        <v>0</v>
      </c>
      <c r="W124" s="121">
        <f t="shared" si="45"/>
        <v>426104.81569374999</v>
      </c>
      <c r="X124" s="121">
        <f t="shared" si="53"/>
        <v>426104.81569374999</v>
      </c>
      <c r="Y124" s="121">
        <f t="shared" si="47"/>
        <v>0</v>
      </c>
      <c r="Z124" s="121">
        <f t="shared" si="48"/>
        <v>0</v>
      </c>
      <c r="AA124" s="121">
        <f t="shared" si="49"/>
        <v>652072.97400000005</v>
      </c>
      <c r="AB124" s="121">
        <f t="shared" si="54"/>
        <v>652072.97400000005</v>
      </c>
      <c r="AC124" s="121">
        <v>449224.42298999999</v>
      </c>
      <c r="AD124" s="121">
        <v>443484.12657999998</v>
      </c>
      <c r="AE124" s="121">
        <v>437743.83017000003</v>
      </c>
      <c r="AF124" s="121">
        <v>432003.53375999996</v>
      </c>
      <c r="AG124" s="121">
        <v>426263.23735000001</v>
      </c>
      <c r="AH124" s="121">
        <v>420522.94094</v>
      </c>
      <c r="AI124" s="121">
        <v>414782.64452999999</v>
      </c>
      <c r="AJ124" s="121">
        <v>409042.34811999998</v>
      </c>
      <c r="AK124" s="121">
        <v>403302.05170999997</v>
      </c>
      <c r="AL124" s="121">
        <v>397561.75530000002</v>
      </c>
      <c r="AM124" s="121">
        <v>391821.45889000001</v>
      </c>
      <c r="AN124" s="121">
        <v>386081.16248</v>
      </c>
      <c r="AO124" s="121">
        <v>652072.97400000005</v>
      </c>
      <c r="AP124" s="125" t="str">
        <f>CONCATENATE(A124,M124)</f>
        <v>GLS</v>
      </c>
      <c r="AQ124" s="125" t="e">
        <f>CONCATENATE(AP124,L124,H124)</f>
        <v>#N/A</v>
      </c>
      <c r="AS124" s="125" t="e">
        <f>CONCATENATE(L124,H124,J124)</f>
        <v>#N/A</v>
      </c>
    </row>
    <row r="125" spans="1:45" s="125" customFormat="1" ht="25.5" customHeight="1">
      <c r="A125" s="216" t="s">
        <v>2493</v>
      </c>
      <c r="B125" s="217" t="str">
        <f t="shared" si="42"/>
        <v>GL182344</v>
      </c>
      <c r="C125" s="186">
        <v>182344</v>
      </c>
      <c r="D125" s="201"/>
      <c r="E125" s="162"/>
      <c r="F125" s="169" t="s">
        <v>1035</v>
      </c>
      <c r="G125" s="117"/>
      <c r="H125" s="118">
        <v>0</v>
      </c>
      <c r="I125" s="119"/>
      <c r="J125" s="120"/>
      <c r="K125" s="120" t="str">
        <f t="shared" si="51"/>
        <v/>
      </c>
      <c r="L125" s="170" t="s">
        <v>1171</v>
      </c>
      <c r="M125" s="122" t="str">
        <f t="shared" si="52"/>
        <v>S</v>
      </c>
      <c r="N125" s="116" t="str">
        <f>IF($L125&lt;&gt;"",VLOOKUP($L125,Categories!$E:$G,2,FALSE),IF($F125&lt;&gt;"","NO CAT",""))</f>
        <v>Asset &amp; Liability Side Sched</v>
      </c>
      <c r="O125" s="116" t="str">
        <f>IF($L125&lt;&gt;"",VLOOKUP($L125,Categories!$E:$G,3,FALSE),IF($F125&lt;&gt;"","NO CAT",""))</f>
        <v>Reg Asset &amp; Liabilities</v>
      </c>
      <c r="P125" s="170" t="s">
        <v>1186</v>
      </c>
      <c r="Q125" s="123" t="s">
        <v>1187</v>
      </c>
      <c r="R125" s="124">
        <v>0</v>
      </c>
      <c r="S125" s="124">
        <v>0</v>
      </c>
      <c r="T125" s="124">
        <v>1</v>
      </c>
      <c r="U125" s="121">
        <f t="shared" ref="U125:U165" si="55">IF(ABS(X125)=0,"",IF($R125="NO ALLOC","NO ALLOC",ROUND($R125*X125,15)))</f>
        <v>0</v>
      </c>
      <c r="V125" s="121">
        <f t="shared" ref="V125:V165" si="56">IF(ABS(X125)=0,"",IF($S125="NO ALLOC","NO ALLOC",ROUND($S125*X125,15)))</f>
        <v>0</v>
      </c>
      <c r="W125" s="121">
        <f t="shared" ref="W125:W165" si="57">IF(ABS(X125)=0,"",IF($T125="NO ALLOC","NO ALLOC",ROUND($T125*X125,15)))</f>
        <v>17701.752256250002</v>
      </c>
      <c r="X125" s="121">
        <f t="shared" si="53"/>
        <v>17701.752256250002</v>
      </c>
      <c r="Y125" s="121">
        <f t="shared" ref="Y125:Y165" si="58">IF(ABS(AB125)=0,"",IF($R125="NO ALLOC","NO ALLOC",ROUND($R125*AB125,15)))</f>
        <v>0</v>
      </c>
      <c r="Z125" s="121">
        <f t="shared" ref="Z125:Z165" si="59">IF(ABS(AB125)=0,"",IF($S125="NO ALLOC","NO ALLOC",ROUND($S125*AB125,15)))</f>
        <v>0</v>
      </c>
      <c r="AA125" s="121">
        <f t="shared" ref="AA125:AA165" si="60">IF(ABS(AB125)=0,"",IF($T125="NO ALLOC","NO ALLOC",ROUND($T125*AB125,15)))</f>
        <v>12955.226570000001</v>
      </c>
      <c r="AB125" s="121">
        <f t="shared" si="54"/>
        <v>12955.226570000001</v>
      </c>
      <c r="AC125" s="121">
        <v>24465.624520000001</v>
      </c>
      <c r="AD125" s="121">
        <v>22255.63204</v>
      </c>
      <c r="AE125" s="121">
        <v>20018.220239999999</v>
      </c>
      <c r="AF125" s="121">
        <v>16113.177740000001</v>
      </c>
      <c r="AG125" s="121">
        <v>20123.402030000001</v>
      </c>
      <c r="AH125" s="121">
        <v>19414.469089999999</v>
      </c>
      <c r="AI125" s="121">
        <v>18624.269039999999</v>
      </c>
      <c r="AJ125" s="121">
        <v>17966.349030000001</v>
      </c>
      <c r="AK125" s="121">
        <v>17321.148929999999</v>
      </c>
      <c r="AL125" s="121">
        <v>17090.81424</v>
      </c>
      <c r="AM125" s="121">
        <v>16579.99325</v>
      </c>
      <c r="AN125" s="121">
        <v>8203.1259000000009</v>
      </c>
      <c r="AO125" s="121">
        <v>12955.226570000001</v>
      </c>
      <c r="AP125" s="125" t="str">
        <f>CONCATENATE(A125,M125)</f>
        <v>GLS</v>
      </c>
      <c r="AQ125" s="125" t="str">
        <f>CONCATENATE(AP125,L125,H125)</f>
        <v>GLSS0</v>
      </c>
      <c r="AS125" s="125" t="str">
        <f>CONCATENATE(L125,H125,J125)</f>
        <v>S0</v>
      </c>
    </row>
    <row r="126" spans="1:45" s="125" customFormat="1" ht="25.5" customHeight="1">
      <c r="A126" s="216" t="s">
        <v>2493</v>
      </c>
      <c r="B126" s="217" t="str">
        <f t="shared" si="42"/>
        <v>GL182355</v>
      </c>
      <c r="C126" s="186">
        <v>182355</v>
      </c>
      <c r="D126" s="201"/>
      <c r="E126" s="162"/>
      <c r="F126" s="169" t="s">
        <v>1036</v>
      </c>
      <c r="G126" s="117"/>
      <c r="H126" s="118">
        <v>0</v>
      </c>
      <c r="I126" s="119"/>
      <c r="J126" s="120"/>
      <c r="K126" s="120" t="str">
        <f t="shared" si="51"/>
        <v/>
      </c>
      <c r="L126" s="170" t="s">
        <v>1171</v>
      </c>
      <c r="M126" s="122" t="str">
        <f t="shared" si="52"/>
        <v>S</v>
      </c>
      <c r="N126" s="116" t="str">
        <f>IF($L126&lt;&gt;"",VLOOKUP($L126,Categories!$E:$G,2,FALSE),IF($F126&lt;&gt;"","NO CAT",""))</f>
        <v>Asset &amp; Liability Side Sched</v>
      </c>
      <c r="O126" s="116" t="str">
        <f>IF($L126&lt;&gt;"",VLOOKUP($L126,Categories!$E:$G,3,FALSE),IF($F126&lt;&gt;"","NO CAT",""))</f>
        <v>Reg Asset &amp; Liabilities</v>
      </c>
      <c r="P126" s="170" t="s">
        <v>1186</v>
      </c>
      <c r="Q126" s="123" t="s">
        <v>1187</v>
      </c>
      <c r="R126" s="124">
        <v>0</v>
      </c>
      <c r="S126" s="124">
        <v>0</v>
      </c>
      <c r="T126" s="124">
        <v>1</v>
      </c>
      <c r="U126" s="121">
        <f t="shared" si="55"/>
        <v>0</v>
      </c>
      <c r="V126" s="121">
        <f t="shared" si="56"/>
        <v>0</v>
      </c>
      <c r="W126" s="121">
        <f t="shared" si="57"/>
        <v>5960.1400041666702</v>
      </c>
      <c r="X126" s="121">
        <f t="shared" si="53"/>
        <v>5960.1400041666702</v>
      </c>
      <c r="Y126" s="121">
        <f t="shared" si="58"/>
        <v>0</v>
      </c>
      <c r="Z126" s="121">
        <f t="shared" si="59"/>
        <v>0</v>
      </c>
      <c r="AA126" s="121">
        <f t="shared" si="60"/>
        <v>5955.8964100000003</v>
      </c>
      <c r="AB126" s="121">
        <f t="shared" si="54"/>
        <v>5955.8964100000003</v>
      </c>
      <c r="AC126" s="121">
        <v>5797.6745700000001</v>
      </c>
      <c r="AD126" s="121">
        <v>5829.0137300000006</v>
      </c>
      <c r="AE126" s="121">
        <v>5860.4751999999999</v>
      </c>
      <c r="AF126" s="121">
        <v>5892.05944</v>
      </c>
      <c r="AG126" s="121">
        <v>5923.7670099999996</v>
      </c>
      <c r="AH126" s="121">
        <v>5955.5984500000004</v>
      </c>
      <c r="AI126" s="121">
        <v>5987.5542699999996</v>
      </c>
      <c r="AJ126" s="121">
        <v>6019.63501</v>
      </c>
      <c r="AK126" s="121">
        <v>6051.8412099999996</v>
      </c>
      <c r="AL126" s="121">
        <v>6084.1733700000004</v>
      </c>
      <c r="AM126" s="121">
        <v>6116.6320599999999</v>
      </c>
      <c r="AN126" s="121">
        <v>5924.1448099999998</v>
      </c>
      <c r="AO126" s="121">
        <v>5955.8964100000003</v>
      </c>
      <c r="AP126" s="125" t="str">
        <f>CONCATENATE(A126,M126)</f>
        <v>GLS</v>
      </c>
      <c r="AQ126" s="125" t="str">
        <f>CONCATENATE(AP126,L126,H126)</f>
        <v>GLSS0</v>
      </c>
      <c r="AS126" s="125" t="str">
        <f>CONCATENATE(L126,H126,J126)</f>
        <v>S0</v>
      </c>
    </row>
    <row r="127" spans="1:45" s="125" customFormat="1" ht="25.5" customHeight="1">
      <c r="A127" s="216" t="s">
        <v>2493</v>
      </c>
      <c r="B127" s="217" t="str">
        <f t="shared" ref="B127:B169" si="61">CONCATENATE(A127,C127,D127,E127)</f>
        <v>GL182356</v>
      </c>
      <c r="C127" s="186">
        <v>182356</v>
      </c>
      <c r="D127" s="201"/>
      <c r="E127" s="162"/>
      <c r="F127" s="169" t="s">
        <v>1037</v>
      </c>
      <c r="G127" s="117"/>
      <c r="H127" s="118">
        <v>0</v>
      </c>
      <c r="I127" s="119"/>
      <c r="J127" s="120"/>
      <c r="K127" s="120" t="str">
        <f t="shared" si="51"/>
        <v/>
      </c>
      <c r="L127" s="170" t="s">
        <v>1171</v>
      </c>
      <c r="M127" s="122" t="str">
        <f t="shared" si="52"/>
        <v>S</v>
      </c>
      <c r="N127" s="116" t="str">
        <f>IF($L127&lt;&gt;"",VLOOKUP($L127,Categories!$E:$G,2,FALSE),IF($F127&lt;&gt;"","NO CAT",""))</f>
        <v>Asset &amp; Liability Side Sched</v>
      </c>
      <c r="O127" s="116" t="str">
        <f>IF($L127&lt;&gt;"",VLOOKUP($L127,Categories!$E:$G,3,FALSE),IF($F127&lt;&gt;"","NO CAT",""))</f>
        <v>Reg Asset &amp; Liabilities</v>
      </c>
      <c r="P127" s="170" t="s">
        <v>1186</v>
      </c>
      <c r="Q127" s="123" t="s">
        <v>1187</v>
      </c>
      <c r="R127" s="124">
        <v>0</v>
      </c>
      <c r="S127" s="124">
        <v>0</v>
      </c>
      <c r="T127" s="124">
        <v>1</v>
      </c>
      <c r="U127" s="121">
        <f t="shared" si="55"/>
        <v>0</v>
      </c>
      <c r="V127" s="121">
        <f t="shared" si="56"/>
        <v>0</v>
      </c>
      <c r="W127" s="121">
        <f t="shared" si="57"/>
        <v>11007.4357783333</v>
      </c>
      <c r="X127" s="121">
        <f t="shared" si="53"/>
        <v>11007.4357783333</v>
      </c>
      <c r="Y127" s="121">
        <f t="shared" si="58"/>
        <v>0</v>
      </c>
      <c r="Z127" s="121">
        <f t="shared" si="59"/>
        <v>0</v>
      </c>
      <c r="AA127" s="121">
        <f t="shared" si="60"/>
        <v>9211.1784000000007</v>
      </c>
      <c r="AB127" s="121">
        <f t="shared" si="54"/>
        <v>9211.1784000000007</v>
      </c>
      <c r="AC127" s="121">
        <v>11418.243699999999</v>
      </c>
      <c r="AD127" s="121">
        <v>11451.08223</v>
      </c>
      <c r="AE127" s="121">
        <v>11484.096710000002</v>
      </c>
      <c r="AF127" s="121">
        <v>11517.2881</v>
      </c>
      <c r="AG127" s="121">
        <v>11550.657060000001</v>
      </c>
      <c r="AH127" s="121">
        <v>11584.204460000001</v>
      </c>
      <c r="AI127" s="121">
        <v>11617.931050000001</v>
      </c>
      <c r="AJ127" s="121">
        <v>11651.837609999999</v>
      </c>
      <c r="AK127" s="121">
        <v>11685.92498</v>
      </c>
      <c r="AL127" s="121">
        <v>10008.270619999999</v>
      </c>
      <c r="AM127" s="121">
        <v>10050.117050000001</v>
      </c>
      <c r="AN127" s="121">
        <v>9173.1084200000005</v>
      </c>
      <c r="AO127" s="121">
        <v>9211.1784000000007</v>
      </c>
      <c r="AP127" s="125" t="str">
        <f>CONCATENATE(A127,M127)</f>
        <v>GLS</v>
      </c>
      <c r="AQ127" s="125" t="str">
        <f>CONCATENATE(AP127,L127,H127)</f>
        <v>GLSS0</v>
      </c>
      <c r="AS127" s="125" t="str">
        <f>CONCATENATE(L127,H127,J127)</f>
        <v>S0</v>
      </c>
    </row>
    <row r="128" spans="1:45" s="125" customFormat="1" ht="25.5" customHeight="1">
      <c r="A128" s="216" t="s">
        <v>2493</v>
      </c>
      <c r="B128" s="217" t="str">
        <f t="shared" si="61"/>
        <v>GL182366</v>
      </c>
      <c r="C128" s="186">
        <v>182366</v>
      </c>
      <c r="D128" s="201"/>
      <c r="E128" s="162"/>
      <c r="F128" s="169" t="s">
        <v>1038</v>
      </c>
      <c r="G128" s="117"/>
      <c r="H128" s="118">
        <v>0</v>
      </c>
      <c r="I128" s="119"/>
      <c r="J128" s="120"/>
      <c r="K128" s="120" t="str">
        <f t="shared" si="51"/>
        <v/>
      </c>
      <c r="L128" s="170" t="s">
        <v>1171</v>
      </c>
      <c r="M128" s="122" t="str">
        <f t="shared" si="52"/>
        <v>S</v>
      </c>
      <c r="N128" s="116" t="str">
        <f>IF($L128&lt;&gt;"",VLOOKUP($L128,Categories!$E:$G,2,FALSE),IF($F128&lt;&gt;"","NO CAT",""))</f>
        <v>Asset &amp; Liability Side Sched</v>
      </c>
      <c r="O128" s="116" t="str">
        <f>IF($L128&lt;&gt;"",VLOOKUP($L128,Categories!$E:$G,3,FALSE),IF($F128&lt;&gt;"","NO CAT",""))</f>
        <v>Reg Asset &amp; Liabilities</v>
      </c>
      <c r="P128" s="170" t="s">
        <v>1186</v>
      </c>
      <c r="Q128" s="123" t="s">
        <v>1187</v>
      </c>
      <c r="R128" s="124">
        <v>0</v>
      </c>
      <c r="S128" s="124">
        <v>0</v>
      </c>
      <c r="T128" s="124">
        <v>1</v>
      </c>
      <c r="U128" s="121">
        <f t="shared" si="55"/>
        <v>0</v>
      </c>
      <c r="V128" s="121">
        <f t="shared" si="56"/>
        <v>0</v>
      </c>
      <c r="W128" s="121">
        <f t="shared" si="57"/>
        <v>1247.46610416667</v>
      </c>
      <c r="X128" s="121">
        <f t="shared" si="53"/>
        <v>1247.46610416667</v>
      </c>
      <c r="Y128" s="121">
        <f t="shared" si="58"/>
        <v>0</v>
      </c>
      <c r="Z128" s="121">
        <f t="shared" si="59"/>
        <v>0</v>
      </c>
      <c r="AA128" s="121">
        <f t="shared" si="60"/>
        <v>21608.6715</v>
      </c>
      <c r="AB128" s="121">
        <f t="shared" si="54"/>
        <v>21608.6715</v>
      </c>
      <c r="AC128" s="121">
        <v>0</v>
      </c>
      <c r="AD128" s="121">
        <v>0</v>
      </c>
      <c r="AE128" s="121">
        <v>0</v>
      </c>
      <c r="AF128" s="121">
        <v>0</v>
      </c>
      <c r="AG128" s="121">
        <v>0</v>
      </c>
      <c r="AH128" s="121">
        <v>0</v>
      </c>
      <c r="AI128" s="121">
        <v>0</v>
      </c>
      <c r="AJ128" s="121">
        <v>2561.1060000000002</v>
      </c>
      <c r="AK128" s="121">
        <v>0</v>
      </c>
      <c r="AL128" s="121">
        <v>1521.3575000000001</v>
      </c>
      <c r="AM128" s="121">
        <v>82.793999999999997</v>
      </c>
      <c r="AN128" s="121">
        <v>0</v>
      </c>
      <c r="AO128" s="121">
        <v>21608.6715</v>
      </c>
      <c r="AP128" s="125" t="str">
        <f>CONCATENATE(A128,M128)</f>
        <v>GLS</v>
      </c>
      <c r="AQ128" s="125" t="str">
        <f>CONCATENATE(AP128,L128,H128)</f>
        <v>GLSS0</v>
      </c>
      <c r="AS128" s="125" t="str">
        <f>CONCATENATE(L128,H128,J128)</f>
        <v>S0</v>
      </c>
    </row>
    <row r="129" spans="1:45" s="125" customFormat="1" ht="25.5" customHeight="1">
      <c r="A129" s="216" t="s">
        <v>2493</v>
      </c>
      <c r="B129" s="217" t="str">
        <f t="shared" si="61"/>
        <v>GL182367</v>
      </c>
      <c r="C129" s="186">
        <v>182367</v>
      </c>
      <c r="D129" s="201"/>
      <c r="E129" s="162"/>
      <c r="F129" s="169" t="s">
        <v>909</v>
      </c>
      <c r="G129" s="117"/>
      <c r="H129" s="118">
        <v>0</v>
      </c>
      <c r="I129" s="119"/>
      <c r="J129" s="120"/>
      <c r="K129" s="120" t="str">
        <f t="shared" si="51"/>
        <v/>
      </c>
      <c r="L129" s="170" t="s">
        <v>1171</v>
      </c>
      <c r="M129" s="122" t="str">
        <f t="shared" si="52"/>
        <v>S</v>
      </c>
      <c r="N129" s="116" t="str">
        <f>IF($L129&lt;&gt;"",VLOOKUP($L129,Categories!$E:$G,2,FALSE),IF($F129&lt;&gt;"","NO CAT",""))</f>
        <v>Asset &amp; Liability Side Sched</v>
      </c>
      <c r="O129" s="116" t="str">
        <f>IF($L129&lt;&gt;"",VLOOKUP($L129,Categories!$E:$G,3,FALSE),IF($F129&lt;&gt;"","NO CAT",""))</f>
        <v>Reg Asset &amp; Liabilities</v>
      </c>
      <c r="P129" s="170" t="s">
        <v>1186</v>
      </c>
      <c r="Q129" s="123" t="s">
        <v>1187</v>
      </c>
      <c r="R129" s="124">
        <v>0</v>
      </c>
      <c r="S129" s="124">
        <v>0</v>
      </c>
      <c r="T129" s="124">
        <v>1</v>
      </c>
      <c r="U129" s="121">
        <f t="shared" si="55"/>
        <v>0</v>
      </c>
      <c r="V129" s="121">
        <f t="shared" si="56"/>
        <v>0</v>
      </c>
      <c r="W129" s="121">
        <f t="shared" si="57"/>
        <v>5423.3958283333304</v>
      </c>
      <c r="X129" s="121">
        <f t="shared" si="53"/>
        <v>5423.3958283333304</v>
      </c>
      <c r="Y129" s="121" t="str">
        <f t="shared" si="58"/>
        <v/>
      </c>
      <c r="Z129" s="121" t="str">
        <f t="shared" si="59"/>
        <v/>
      </c>
      <c r="AA129" s="121" t="str">
        <f t="shared" si="60"/>
        <v/>
      </c>
      <c r="AB129" s="121">
        <f t="shared" si="54"/>
        <v>0</v>
      </c>
      <c r="AC129" s="121">
        <v>909.99</v>
      </c>
      <c r="AD129" s="121">
        <v>0</v>
      </c>
      <c r="AE129" s="121">
        <v>0</v>
      </c>
      <c r="AF129" s="121">
        <v>0</v>
      </c>
      <c r="AG129" s="121">
        <v>0</v>
      </c>
      <c r="AH129" s="121">
        <v>6719.8995500000001</v>
      </c>
      <c r="AI129" s="121">
        <v>18206.518690000001</v>
      </c>
      <c r="AJ129" s="121">
        <v>16752.367130000002</v>
      </c>
      <c r="AK129" s="121">
        <v>13367.610570000001</v>
      </c>
      <c r="AL129" s="121">
        <v>6801.7910000000002</v>
      </c>
      <c r="AM129" s="121">
        <v>2777.5680000000002</v>
      </c>
      <c r="AN129" s="121">
        <v>0</v>
      </c>
      <c r="AO129" s="121">
        <v>0</v>
      </c>
      <c r="AP129" s="125" t="str">
        <f>CONCATENATE(A129,M129)</f>
        <v>GLS</v>
      </c>
      <c r="AQ129" s="125" t="str">
        <f>CONCATENATE(AP129,L129,H129)</f>
        <v>GLSS0</v>
      </c>
      <c r="AS129" s="125" t="str">
        <f>CONCATENATE(L129,H129,J129)</f>
        <v>S0</v>
      </c>
    </row>
    <row r="130" spans="1:45" s="125" customFormat="1" ht="25.5" customHeight="1">
      <c r="A130" s="216" t="s">
        <v>2493</v>
      </c>
      <c r="B130" s="217" t="str">
        <f t="shared" si="61"/>
        <v>GL182370</v>
      </c>
      <c r="C130" s="186">
        <v>182370</v>
      </c>
      <c r="D130" s="201"/>
      <c r="E130" s="162"/>
      <c r="F130" s="169" t="s">
        <v>1039</v>
      </c>
      <c r="G130" s="117"/>
      <c r="H130" s="118">
        <v>0</v>
      </c>
      <c r="I130" s="119"/>
      <c r="J130" s="120"/>
      <c r="K130" s="120" t="str">
        <f t="shared" si="51"/>
        <v/>
      </c>
      <c r="L130" s="170" t="s">
        <v>1171</v>
      </c>
      <c r="M130" s="122" t="str">
        <f t="shared" si="52"/>
        <v>S</v>
      </c>
      <c r="N130" s="116" t="str">
        <f>IF($L130&lt;&gt;"",VLOOKUP($L130,Categories!$E:$G,2,FALSE),IF($F130&lt;&gt;"","NO CAT",""))</f>
        <v>Asset &amp; Liability Side Sched</v>
      </c>
      <c r="O130" s="116" t="str">
        <f>IF($L130&lt;&gt;"",VLOOKUP($L130,Categories!$E:$G,3,FALSE),IF($F130&lt;&gt;"","NO CAT",""))</f>
        <v>Reg Asset &amp; Liabilities</v>
      </c>
      <c r="P130" s="170" t="s">
        <v>1186</v>
      </c>
      <c r="Q130" s="123" t="s">
        <v>1187</v>
      </c>
      <c r="R130" s="124">
        <v>0</v>
      </c>
      <c r="S130" s="124">
        <v>0</v>
      </c>
      <c r="T130" s="124">
        <v>1</v>
      </c>
      <c r="U130" s="121">
        <f t="shared" si="55"/>
        <v>0</v>
      </c>
      <c r="V130" s="121">
        <f t="shared" si="56"/>
        <v>0</v>
      </c>
      <c r="W130" s="121">
        <f t="shared" si="57"/>
        <v>66.041558333333299</v>
      </c>
      <c r="X130" s="121">
        <f t="shared" si="53"/>
        <v>66.041558333333299</v>
      </c>
      <c r="Y130" s="121">
        <f t="shared" si="58"/>
        <v>0</v>
      </c>
      <c r="Z130" s="121">
        <f t="shared" si="59"/>
        <v>0</v>
      </c>
      <c r="AA130" s="121">
        <f t="shared" si="60"/>
        <v>-482</v>
      </c>
      <c r="AB130" s="121">
        <f t="shared" si="54"/>
        <v>-482</v>
      </c>
      <c r="AC130" s="121">
        <v>0</v>
      </c>
      <c r="AD130" s="121">
        <v>0</v>
      </c>
      <c r="AE130" s="121">
        <v>107.73346000000001</v>
      </c>
      <c r="AF130" s="121">
        <v>0</v>
      </c>
      <c r="AG130" s="121">
        <v>0</v>
      </c>
      <c r="AH130" s="121">
        <v>0</v>
      </c>
      <c r="AI130" s="121">
        <v>0</v>
      </c>
      <c r="AJ130" s="121">
        <v>0</v>
      </c>
      <c r="AK130" s="121">
        <v>-246.97157000000001</v>
      </c>
      <c r="AL130" s="121">
        <v>305.73313999999999</v>
      </c>
      <c r="AM130" s="121">
        <v>867.00367000000006</v>
      </c>
      <c r="AN130" s="121">
        <v>0</v>
      </c>
      <c r="AO130" s="121">
        <v>-482</v>
      </c>
      <c r="AP130" s="125" t="str">
        <f>CONCATENATE(A130,M130)</f>
        <v>GLS</v>
      </c>
      <c r="AQ130" s="125" t="str">
        <f>CONCATENATE(AP130,L130,H130)</f>
        <v>GLSS0</v>
      </c>
      <c r="AS130" s="125" t="str">
        <f>CONCATENATE(L130,H130,J130)</f>
        <v>S0</v>
      </c>
    </row>
    <row r="131" spans="1:45" s="125" customFormat="1" ht="25.5" customHeight="1">
      <c r="A131" s="216" t="s">
        <v>2493</v>
      </c>
      <c r="B131" s="217" t="str">
        <f t="shared" si="61"/>
        <v>GL182371</v>
      </c>
      <c r="C131" s="186">
        <v>182371</v>
      </c>
      <c r="D131" s="201"/>
      <c r="E131" s="162"/>
      <c r="F131" s="169" t="s">
        <v>1040</v>
      </c>
      <c r="G131" s="117"/>
      <c r="H131" s="118">
        <v>0</v>
      </c>
      <c r="I131" s="119"/>
      <c r="J131" s="120"/>
      <c r="K131" s="120" t="str">
        <f t="shared" si="51"/>
        <v/>
      </c>
      <c r="L131" s="170" t="s">
        <v>1171</v>
      </c>
      <c r="M131" s="122" t="str">
        <f t="shared" si="52"/>
        <v>S</v>
      </c>
      <c r="N131" s="116" t="str">
        <f>IF($L131&lt;&gt;"",VLOOKUP($L131,Categories!$E:$G,2,FALSE),IF($F131&lt;&gt;"","NO CAT",""))</f>
        <v>Asset &amp; Liability Side Sched</v>
      </c>
      <c r="O131" s="116" t="str">
        <f>IF($L131&lt;&gt;"",VLOOKUP($L131,Categories!$E:$G,3,FALSE),IF($F131&lt;&gt;"","NO CAT",""))</f>
        <v>Reg Asset &amp; Liabilities</v>
      </c>
      <c r="P131" s="170" t="s">
        <v>1186</v>
      </c>
      <c r="Q131" s="123" t="s">
        <v>1187</v>
      </c>
      <c r="R131" s="124">
        <v>0</v>
      </c>
      <c r="S131" s="124">
        <v>0</v>
      </c>
      <c r="T131" s="124">
        <v>1</v>
      </c>
      <c r="U131" s="121">
        <f t="shared" si="55"/>
        <v>0</v>
      </c>
      <c r="V131" s="121">
        <f t="shared" si="56"/>
        <v>0</v>
      </c>
      <c r="W131" s="121">
        <f t="shared" si="57"/>
        <v>463.95422291666699</v>
      </c>
      <c r="X131" s="121">
        <f t="shared" si="53"/>
        <v>463.95422291666699</v>
      </c>
      <c r="Y131" s="121">
        <f t="shared" si="58"/>
        <v>0</v>
      </c>
      <c r="Z131" s="121">
        <f t="shared" si="59"/>
        <v>0</v>
      </c>
      <c r="AA131" s="121">
        <f t="shared" si="60"/>
        <v>313.92344000000003</v>
      </c>
      <c r="AB131" s="121">
        <f t="shared" si="54"/>
        <v>313.92344000000003</v>
      </c>
      <c r="AC131" s="121">
        <v>986.55210999999997</v>
      </c>
      <c r="AD131" s="121">
        <v>671.49390000000005</v>
      </c>
      <c r="AE131" s="121">
        <v>670.92090000000007</v>
      </c>
      <c r="AF131" s="121">
        <v>539.73890000000006</v>
      </c>
      <c r="AG131" s="121">
        <v>462.61090000000002</v>
      </c>
      <c r="AH131" s="121">
        <v>441.81390000000005</v>
      </c>
      <c r="AI131" s="121">
        <v>421.49790000000002</v>
      </c>
      <c r="AJ131" s="121">
        <v>410.92590000000001</v>
      </c>
      <c r="AK131" s="121">
        <v>384.41490000000005</v>
      </c>
      <c r="AL131" s="121">
        <v>364.45590000000004</v>
      </c>
      <c r="AM131" s="121">
        <v>325.23290000000003</v>
      </c>
      <c r="AN131" s="121">
        <v>224.1069</v>
      </c>
      <c r="AO131" s="121">
        <v>313.92344000000003</v>
      </c>
      <c r="AP131" s="125" t="str">
        <f>CONCATENATE(A131,M131)</f>
        <v>GLS</v>
      </c>
      <c r="AQ131" s="125" t="str">
        <f>CONCATENATE(AP131,L131,H131)</f>
        <v>GLSS0</v>
      </c>
      <c r="AS131" s="125" t="str">
        <f>CONCATENATE(L131,H131,J131)</f>
        <v>S0</v>
      </c>
    </row>
    <row r="132" spans="1:45" s="125" customFormat="1" ht="25.5" customHeight="1">
      <c r="A132" s="216" t="s">
        <v>2493</v>
      </c>
      <c r="B132" s="217" t="str">
        <f t="shared" si="61"/>
        <v>GL182375</v>
      </c>
      <c r="C132" s="186">
        <v>182375</v>
      </c>
      <c r="D132" s="201"/>
      <c r="E132" s="162"/>
      <c r="F132" s="169" t="s">
        <v>1509</v>
      </c>
      <c r="G132" s="117"/>
      <c r="H132" s="118">
        <v>0</v>
      </c>
      <c r="I132" s="119"/>
      <c r="J132" s="120"/>
      <c r="K132" s="120" t="str">
        <f t="shared" si="51"/>
        <v/>
      </c>
      <c r="L132" s="170" t="s">
        <v>1171</v>
      </c>
      <c r="M132" s="122" t="str">
        <f t="shared" si="52"/>
        <v>S</v>
      </c>
      <c r="N132" s="116" t="str">
        <f>IF($L132&lt;&gt;"",VLOOKUP($L132,Categories!$E:$G,2,FALSE),IF($F132&lt;&gt;"","NO CAT",""))</f>
        <v>Asset &amp; Liability Side Sched</v>
      </c>
      <c r="O132" s="116" t="str">
        <f>IF($L132&lt;&gt;"",VLOOKUP($L132,Categories!$E:$G,3,FALSE),IF($F132&lt;&gt;"","NO CAT",""))</f>
        <v>Reg Asset &amp; Liabilities</v>
      </c>
      <c r="P132" s="170" t="s">
        <v>1186</v>
      </c>
      <c r="Q132" s="123" t="s">
        <v>1187</v>
      </c>
      <c r="R132" s="124">
        <v>0</v>
      </c>
      <c r="S132" s="124">
        <v>0</v>
      </c>
      <c r="T132" s="124">
        <v>1</v>
      </c>
      <c r="U132" s="121">
        <f t="shared" si="55"/>
        <v>0</v>
      </c>
      <c r="V132" s="121">
        <f t="shared" si="56"/>
        <v>0</v>
      </c>
      <c r="W132" s="121">
        <f t="shared" si="57"/>
        <v>313.34916666666697</v>
      </c>
      <c r="X132" s="121">
        <f t="shared" si="53"/>
        <v>313.34916666666697</v>
      </c>
      <c r="Y132" s="121">
        <f t="shared" si="58"/>
        <v>0</v>
      </c>
      <c r="Z132" s="121">
        <f t="shared" si="59"/>
        <v>0</v>
      </c>
      <c r="AA132" s="121">
        <f t="shared" si="60"/>
        <v>2327.86</v>
      </c>
      <c r="AB132" s="121">
        <f t="shared" si="54"/>
        <v>2327.86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121">
        <v>0</v>
      </c>
      <c r="AI132" s="121">
        <v>0</v>
      </c>
      <c r="AJ132" s="121">
        <v>606.51</v>
      </c>
      <c r="AK132" s="121">
        <v>252.43</v>
      </c>
      <c r="AL132" s="121">
        <v>280.31</v>
      </c>
      <c r="AM132" s="121">
        <v>874.4</v>
      </c>
      <c r="AN132" s="121">
        <v>582.61</v>
      </c>
      <c r="AO132" s="121">
        <v>2327.86</v>
      </c>
      <c r="AP132" s="125" t="str">
        <f>CONCATENATE(A132,M132)</f>
        <v>GLS</v>
      </c>
      <c r="AQ132" s="125" t="str">
        <f>CONCATENATE(AP132,L132,H132)</f>
        <v>GLSS0</v>
      </c>
      <c r="AS132" s="125" t="str">
        <f>CONCATENATE(L132,H132,J132)</f>
        <v>S0</v>
      </c>
    </row>
    <row r="133" spans="1:45" s="125" customFormat="1" ht="25.5" customHeight="1">
      <c r="A133" s="216" t="s">
        <v>2493</v>
      </c>
      <c r="B133" s="217" t="str">
        <f t="shared" si="61"/>
        <v>GL182390</v>
      </c>
      <c r="C133" s="186">
        <v>182390</v>
      </c>
      <c r="D133" s="201"/>
      <c r="E133" s="162"/>
      <c r="F133" s="169" t="s">
        <v>910</v>
      </c>
      <c r="G133" s="117"/>
      <c r="H133" s="118">
        <v>0</v>
      </c>
      <c r="I133" s="119"/>
      <c r="J133" s="120"/>
      <c r="K133" s="120" t="str">
        <f>IF(L133="N3","SFAS-109","")</f>
        <v/>
      </c>
      <c r="L133" s="170" t="s">
        <v>1171</v>
      </c>
      <c r="M133" s="122" t="str">
        <f t="shared" si="52"/>
        <v>S</v>
      </c>
      <c r="N133" s="116" t="str">
        <f>IF($L133&lt;&gt;"",VLOOKUP($L133,Categories!$E:$G,2,FALSE),IF($F133&lt;&gt;"","NO CAT",""))</f>
        <v>Asset &amp; Liability Side Sched</v>
      </c>
      <c r="O133" s="116" t="str">
        <f>IF($L133&lt;&gt;"",VLOOKUP($L133,Categories!$E:$G,3,FALSE),IF($F133&lt;&gt;"","NO CAT",""))</f>
        <v>Reg Asset &amp; Liabilities</v>
      </c>
      <c r="P133" s="170" t="s">
        <v>1186</v>
      </c>
      <c r="Q133" s="123" t="s">
        <v>1187</v>
      </c>
      <c r="R133" s="124">
        <v>0</v>
      </c>
      <c r="S133" s="124">
        <v>0</v>
      </c>
      <c r="T133" s="124">
        <v>1</v>
      </c>
      <c r="U133" s="121">
        <f t="shared" si="55"/>
        <v>0</v>
      </c>
      <c r="V133" s="121">
        <f t="shared" si="56"/>
        <v>0</v>
      </c>
      <c r="W133" s="121">
        <f t="shared" si="57"/>
        <v>227194.94100333299</v>
      </c>
      <c r="X133" s="121">
        <f t="shared" si="53"/>
        <v>227194.94100333299</v>
      </c>
      <c r="Y133" s="121">
        <f t="shared" si="58"/>
        <v>0</v>
      </c>
      <c r="Z133" s="121">
        <f t="shared" si="59"/>
        <v>0</v>
      </c>
      <c r="AA133" s="121">
        <f t="shared" si="60"/>
        <v>240861.21473000001</v>
      </c>
      <c r="AB133" s="121">
        <f t="shared" si="54"/>
        <v>240861.21472999998</v>
      </c>
      <c r="AC133" s="121">
        <v>221232.91453000001</v>
      </c>
      <c r="AD133" s="121">
        <v>222522.39019999999</v>
      </c>
      <c r="AE133" s="121">
        <v>223511.73828999998</v>
      </c>
      <c r="AF133" s="121">
        <v>223089.48606999998</v>
      </c>
      <c r="AG133" s="121">
        <v>223139.33494</v>
      </c>
      <c r="AH133" s="121">
        <v>223264.92091999998</v>
      </c>
      <c r="AI133" s="121">
        <v>224311.26958000002</v>
      </c>
      <c r="AJ133" s="121">
        <v>230095.47543000002</v>
      </c>
      <c r="AK133" s="121">
        <v>229768.17500999998</v>
      </c>
      <c r="AL133" s="121">
        <v>230277.46418000001</v>
      </c>
      <c r="AM133" s="121">
        <v>230484.91453000001</v>
      </c>
      <c r="AN133" s="121">
        <v>234827.05825999999</v>
      </c>
      <c r="AO133" s="121">
        <v>240861.21472999998</v>
      </c>
      <c r="AP133" s="125" t="str">
        <f>CONCATENATE(A133,M133)</f>
        <v>GLS</v>
      </c>
      <c r="AQ133" s="125" t="str">
        <f>CONCATENATE(AP133,L133,H133)</f>
        <v>GLSS0</v>
      </c>
      <c r="AS133" s="125" t="str">
        <f>CONCATENATE(L133,H133,J133)</f>
        <v>S0</v>
      </c>
    </row>
    <row r="134" spans="1:45" s="125" customFormat="1" ht="25.5" customHeight="1">
      <c r="A134" s="216" t="s">
        <v>2493</v>
      </c>
      <c r="B134" s="217" t="str">
        <f t="shared" si="61"/>
        <v>GL182396</v>
      </c>
      <c r="C134" s="186">
        <v>182396</v>
      </c>
      <c r="D134" s="201"/>
      <c r="E134" s="162"/>
      <c r="F134" s="169" t="s">
        <v>1041</v>
      </c>
      <c r="G134" s="117"/>
      <c r="H134" s="118">
        <v>0</v>
      </c>
      <c r="I134" s="119"/>
      <c r="J134" s="120"/>
      <c r="K134" s="120" t="str">
        <f t="shared" si="51"/>
        <v/>
      </c>
      <c r="L134" s="170" t="s">
        <v>1171</v>
      </c>
      <c r="M134" s="122" t="str">
        <f t="shared" si="52"/>
        <v>S</v>
      </c>
      <c r="N134" s="116" t="str">
        <f>IF($L134&lt;&gt;"",VLOOKUP($L134,Categories!$E:$G,2,FALSE),IF($F134&lt;&gt;"","NO CAT",""))</f>
        <v>Asset &amp; Liability Side Sched</v>
      </c>
      <c r="O134" s="116" t="str">
        <f>IF($L134&lt;&gt;"",VLOOKUP($L134,Categories!$E:$G,3,FALSE),IF($F134&lt;&gt;"","NO CAT",""))</f>
        <v>Reg Asset &amp; Liabilities</v>
      </c>
      <c r="P134" s="170" t="s">
        <v>1186</v>
      </c>
      <c r="Q134" s="123" t="s">
        <v>1187</v>
      </c>
      <c r="R134" s="124">
        <v>0</v>
      </c>
      <c r="S134" s="124">
        <v>0</v>
      </c>
      <c r="T134" s="124">
        <v>1</v>
      </c>
      <c r="U134" s="121">
        <f t="shared" si="55"/>
        <v>0</v>
      </c>
      <c r="V134" s="121">
        <f t="shared" si="56"/>
        <v>0</v>
      </c>
      <c r="W134" s="121">
        <f t="shared" si="57"/>
        <v>5845.3190000000004</v>
      </c>
      <c r="X134" s="121">
        <f t="shared" si="53"/>
        <v>5845.3190000000004</v>
      </c>
      <c r="Y134" s="121">
        <f t="shared" si="58"/>
        <v>0</v>
      </c>
      <c r="Z134" s="121">
        <f t="shared" si="59"/>
        <v>0</v>
      </c>
      <c r="AA134" s="121">
        <f t="shared" si="60"/>
        <v>5845.3190000000004</v>
      </c>
      <c r="AB134" s="121">
        <f t="shared" si="54"/>
        <v>5845.3190000000004</v>
      </c>
      <c r="AC134" s="121">
        <v>5845.3190000000004</v>
      </c>
      <c r="AD134" s="121">
        <v>5845.3190000000004</v>
      </c>
      <c r="AE134" s="121">
        <v>5845.3190000000004</v>
      </c>
      <c r="AF134" s="121">
        <v>5845.3190000000004</v>
      </c>
      <c r="AG134" s="121">
        <v>5845.3190000000004</v>
      </c>
      <c r="AH134" s="121">
        <v>5845.3190000000004</v>
      </c>
      <c r="AI134" s="121">
        <v>5845.3190000000004</v>
      </c>
      <c r="AJ134" s="121">
        <v>5845.3190000000004</v>
      </c>
      <c r="AK134" s="121">
        <v>5845.3190000000004</v>
      </c>
      <c r="AL134" s="121">
        <v>5845.3190000000004</v>
      </c>
      <c r="AM134" s="121">
        <v>5845.3190000000004</v>
      </c>
      <c r="AN134" s="121">
        <v>5845.3190000000004</v>
      </c>
      <c r="AO134" s="121">
        <v>5845.3190000000004</v>
      </c>
      <c r="AP134" s="125" t="str">
        <f>CONCATENATE(A134,M134)</f>
        <v>GLS</v>
      </c>
      <c r="AQ134" s="125" t="str">
        <f>CONCATENATE(AP134,L134,H134)</f>
        <v>GLSS0</v>
      </c>
      <c r="AS134" s="125" t="str">
        <f>CONCATENATE(L134,H134,J134)</f>
        <v>S0</v>
      </c>
    </row>
    <row r="135" spans="1:45" s="125" customFormat="1" ht="25.5" customHeight="1">
      <c r="A135" s="216" t="s">
        <v>2493</v>
      </c>
      <c r="B135" s="217" t="str">
        <f t="shared" si="61"/>
        <v>GL182397</v>
      </c>
      <c r="C135" s="186">
        <v>182397</v>
      </c>
      <c r="D135" s="201"/>
      <c r="E135" s="162"/>
      <c r="F135" s="169" t="s">
        <v>1042</v>
      </c>
      <c r="G135" s="117"/>
      <c r="H135" s="118">
        <v>0</v>
      </c>
      <c r="I135" s="119"/>
      <c r="J135" s="120"/>
      <c r="K135" s="120" t="str">
        <f t="shared" si="51"/>
        <v/>
      </c>
      <c r="L135" s="170" t="s">
        <v>1171</v>
      </c>
      <c r="M135" s="122" t="str">
        <f t="shared" si="52"/>
        <v>S</v>
      </c>
      <c r="N135" s="116" t="str">
        <f>IF($L135&lt;&gt;"",VLOOKUP($L135,Categories!$E:$G,2,FALSE),IF($F135&lt;&gt;"","NO CAT",""))</f>
        <v>Asset &amp; Liability Side Sched</v>
      </c>
      <c r="O135" s="116" t="str">
        <f>IF($L135&lt;&gt;"",VLOOKUP($L135,Categories!$E:$G,3,FALSE),IF($F135&lt;&gt;"","NO CAT",""))</f>
        <v>Reg Asset &amp; Liabilities</v>
      </c>
      <c r="P135" s="170" t="s">
        <v>1186</v>
      </c>
      <c r="Q135" s="123" t="s">
        <v>1187</v>
      </c>
      <c r="R135" s="124">
        <v>0</v>
      </c>
      <c r="S135" s="124">
        <v>0</v>
      </c>
      <c r="T135" s="124">
        <v>1</v>
      </c>
      <c r="U135" s="121">
        <f t="shared" si="55"/>
        <v>0</v>
      </c>
      <c r="V135" s="121">
        <f t="shared" si="56"/>
        <v>0</v>
      </c>
      <c r="W135" s="121">
        <f t="shared" si="57"/>
        <v>-4578.9889999999996</v>
      </c>
      <c r="X135" s="121">
        <f t="shared" si="53"/>
        <v>-4578.9889999999996</v>
      </c>
      <c r="Y135" s="121">
        <f t="shared" si="58"/>
        <v>0</v>
      </c>
      <c r="Z135" s="121">
        <f t="shared" si="59"/>
        <v>0</v>
      </c>
      <c r="AA135" s="121">
        <f t="shared" si="60"/>
        <v>-4481.5789999999997</v>
      </c>
      <c r="AB135" s="121">
        <f t="shared" si="54"/>
        <v>-4481.5789999999997</v>
      </c>
      <c r="AC135" s="121">
        <v>-4676.3990000000003</v>
      </c>
      <c r="AD135" s="121">
        <v>-4660.1639999999998</v>
      </c>
      <c r="AE135" s="121">
        <v>-4643.9290000000001</v>
      </c>
      <c r="AF135" s="121">
        <v>-4627.6940000000004</v>
      </c>
      <c r="AG135" s="121">
        <v>-4611.4589999999998</v>
      </c>
      <c r="AH135" s="121">
        <v>-4595.2240000000002</v>
      </c>
      <c r="AI135" s="121">
        <v>-4578.9889999999996</v>
      </c>
      <c r="AJ135" s="121">
        <v>-4562.7539999999999</v>
      </c>
      <c r="AK135" s="121">
        <v>-4546.5190000000002</v>
      </c>
      <c r="AL135" s="121">
        <v>-4530.2839999999997</v>
      </c>
      <c r="AM135" s="121">
        <v>-4514.049</v>
      </c>
      <c r="AN135" s="121">
        <v>-4497.8140000000003</v>
      </c>
      <c r="AO135" s="121">
        <v>-4481.5789999999997</v>
      </c>
      <c r="AP135" s="125" t="str">
        <f>CONCATENATE(A135,M135)</f>
        <v>GLS</v>
      </c>
      <c r="AQ135" s="125" t="str">
        <f>CONCATENATE(AP135,L135,H135)</f>
        <v>GLSS0</v>
      </c>
      <c r="AS135" s="125" t="str">
        <f>CONCATENATE(L135,H135,J135)</f>
        <v>S0</v>
      </c>
    </row>
    <row r="136" spans="1:45" s="125" customFormat="1" ht="25.5" customHeight="1">
      <c r="A136" s="216" t="s">
        <v>2493</v>
      </c>
      <c r="B136" s="217" t="str">
        <f t="shared" si="61"/>
        <v>GL182398</v>
      </c>
      <c r="C136" s="186">
        <v>182398</v>
      </c>
      <c r="D136" s="201"/>
      <c r="E136" s="162"/>
      <c r="F136" s="169" t="s">
        <v>2319</v>
      </c>
      <c r="G136" s="117"/>
      <c r="H136" s="118">
        <v>0</v>
      </c>
      <c r="I136" s="119"/>
      <c r="J136" s="120"/>
      <c r="K136" s="120" t="str">
        <f t="shared" si="51"/>
        <v/>
      </c>
      <c r="L136" s="170" t="s">
        <v>1171</v>
      </c>
      <c r="M136" s="122" t="str">
        <f t="shared" si="52"/>
        <v>S</v>
      </c>
      <c r="N136" s="116" t="str">
        <f>IF($L136&lt;&gt;"",VLOOKUP($L136,Categories!$E:$G,2,FALSE),IF($F136&lt;&gt;"","NO CAT",""))</f>
        <v>Asset &amp; Liability Side Sched</v>
      </c>
      <c r="O136" s="116" t="str">
        <f>IF($L136&lt;&gt;"",VLOOKUP($L136,Categories!$E:$G,3,FALSE),IF($F136&lt;&gt;"","NO CAT",""))</f>
        <v>Reg Asset &amp; Liabilities</v>
      </c>
      <c r="P136" s="170" t="s">
        <v>1186</v>
      </c>
      <c r="Q136" s="123" t="s">
        <v>1187</v>
      </c>
      <c r="R136" s="124">
        <v>0</v>
      </c>
      <c r="S136" s="124">
        <v>0</v>
      </c>
      <c r="T136" s="124">
        <v>1</v>
      </c>
      <c r="U136" s="121">
        <f t="shared" si="55"/>
        <v>0</v>
      </c>
      <c r="V136" s="121">
        <f t="shared" si="56"/>
        <v>0</v>
      </c>
      <c r="W136" s="121">
        <f t="shared" si="57"/>
        <v>1481.6120000000001</v>
      </c>
      <c r="X136" s="121">
        <f t="shared" si="53"/>
        <v>1481.6120000000001</v>
      </c>
      <c r="Y136" s="121">
        <f t="shared" si="58"/>
        <v>0</v>
      </c>
      <c r="Z136" s="121">
        <f t="shared" si="59"/>
        <v>0</v>
      </c>
      <c r="AA136" s="121">
        <f t="shared" si="60"/>
        <v>1481.6120000000001</v>
      </c>
      <c r="AB136" s="121">
        <f t="shared" si="54"/>
        <v>1481.6120000000001</v>
      </c>
      <c r="AC136" s="121">
        <v>1481.6120000000001</v>
      </c>
      <c r="AD136" s="121">
        <v>1481.6120000000001</v>
      </c>
      <c r="AE136" s="121">
        <v>1481.6120000000001</v>
      </c>
      <c r="AF136" s="121">
        <v>1481.6120000000001</v>
      </c>
      <c r="AG136" s="121">
        <v>1481.6120000000001</v>
      </c>
      <c r="AH136" s="121">
        <v>1481.6120000000001</v>
      </c>
      <c r="AI136" s="121">
        <v>1481.6120000000001</v>
      </c>
      <c r="AJ136" s="121">
        <v>1481.6120000000001</v>
      </c>
      <c r="AK136" s="121">
        <v>1481.6120000000001</v>
      </c>
      <c r="AL136" s="121">
        <v>1481.6120000000001</v>
      </c>
      <c r="AM136" s="121">
        <v>1481.6120000000001</v>
      </c>
      <c r="AN136" s="121">
        <v>1481.6120000000001</v>
      </c>
      <c r="AO136" s="121">
        <v>1481.6120000000001</v>
      </c>
      <c r="AP136" s="125" t="str">
        <f>CONCATENATE(A136,M136)</f>
        <v>GLS</v>
      </c>
      <c r="AQ136" s="125" t="str">
        <f>CONCATENATE(AP136,L136,H136)</f>
        <v>GLSS0</v>
      </c>
      <c r="AS136" s="125" t="str">
        <f>CONCATENATE(L136,H136,J136)</f>
        <v>S0</v>
      </c>
    </row>
    <row r="137" spans="1:45" s="125" customFormat="1" ht="25.5" customHeight="1">
      <c r="A137" s="216" t="s">
        <v>2493</v>
      </c>
      <c r="B137" s="217" t="str">
        <f t="shared" si="61"/>
        <v>GL182399</v>
      </c>
      <c r="C137" s="186">
        <v>182399</v>
      </c>
      <c r="D137" s="201"/>
      <c r="E137" s="162"/>
      <c r="F137" s="169" t="s">
        <v>2320</v>
      </c>
      <c r="G137" s="117"/>
      <c r="H137" s="118">
        <v>0</v>
      </c>
      <c r="I137" s="119"/>
      <c r="J137" s="120"/>
      <c r="K137" s="120" t="str">
        <f t="shared" si="51"/>
        <v/>
      </c>
      <c r="L137" s="170" t="s">
        <v>1171</v>
      </c>
      <c r="M137" s="122" t="str">
        <f t="shared" si="52"/>
        <v>S</v>
      </c>
      <c r="N137" s="116" t="str">
        <f>IF($L137&lt;&gt;"",VLOOKUP($L137,Categories!$E:$G,2,FALSE),IF($F137&lt;&gt;"","NO CAT",""))</f>
        <v>Asset &amp; Liability Side Sched</v>
      </c>
      <c r="O137" s="116" t="str">
        <f>IF($L137&lt;&gt;"",VLOOKUP($L137,Categories!$E:$G,3,FALSE),IF($F137&lt;&gt;"","NO CAT",""))</f>
        <v>Reg Asset &amp; Liabilities</v>
      </c>
      <c r="P137" s="170" t="s">
        <v>1186</v>
      </c>
      <c r="Q137" s="123" t="s">
        <v>1187</v>
      </c>
      <c r="R137" s="124">
        <v>0</v>
      </c>
      <c r="S137" s="124">
        <v>0</v>
      </c>
      <c r="T137" s="124">
        <v>1</v>
      </c>
      <c r="U137" s="121">
        <f t="shared" si="55"/>
        <v>0</v>
      </c>
      <c r="V137" s="121">
        <f t="shared" si="56"/>
        <v>0</v>
      </c>
      <c r="W137" s="121">
        <f t="shared" si="57"/>
        <v>-1165.2905000000001</v>
      </c>
      <c r="X137" s="121">
        <f t="shared" si="53"/>
        <v>-1165.2905000000001</v>
      </c>
      <c r="Y137" s="121">
        <f t="shared" si="58"/>
        <v>0</v>
      </c>
      <c r="Z137" s="121">
        <f t="shared" si="59"/>
        <v>0</v>
      </c>
      <c r="AA137" s="121">
        <f t="shared" si="60"/>
        <v>-1140.9365</v>
      </c>
      <c r="AB137" s="121">
        <f t="shared" si="54"/>
        <v>-1140.9365</v>
      </c>
      <c r="AC137" s="121">
        <v>-1189.6445000000001</v>
      </c>
      <c r="AD137" s="121">
        <v>-1185.5854999999999</v>
      </c>
      <c r="AE137" s="121">
        <v>-1181.5264999999999</v>
      </c>
      <c r="AF137" s="121">
        <v>-1177.4675</v>
      </c>
      <c r="AG137" s="121">
        <v>-1173.4085</v>
      </c>
      <c r="AH137" s="121">
        <v>-1169.3495</v>
      </c>
      <c r="AI137" s="121">
        <v>-1165.2905000000001</v>
      </c>
      <c r="AJ137" s="121">
        <v>-1161.2315000000001</v>
      </c>
      <c r="AK137" s="121">
        <v>-1157.1724999999999</v>
      </c>
      <c r="AL137" s="121">
        <v>-1153.1134999999999</v>
      </c>
      <c r="AM137" s="121">
        <v>-1149.0545</v>
      </c>
      <c r="AN137" s="121">
        <v>-1144.9955</v>
      </c>
      <c r="AO137" s="121">
        <v>-1140.9365</v>
      </c>
      <c r="AP137" s="125" t="str">
        <f>CONCATENATE(A137,M137)</f>
        <v>GLS</v>
      </c>
      <c r="AQ137" s="125" t="str">
        <f>CONCATENATE(AP137,L137,H137)</f>
        <v>GLSS0</v>
      </c>
      <c r="AS137" s="125" t="str">
        <f>CONCATENATE(L137,H137,J137)</f>
        <v>S0</v>
      </c>
    </row>
    <row r="138" spans="1:45" s="125" customFormat="1" ht="25.5" customHeight="1">
      <c r="A138" s="216" t="s">
        <v>2493</v>
      </c>
      <c r="B138" s="217" t="str">
        <f t="shared" si="61"/>
        <v>GL183010</v>
      </c>
      <c r="C138" s="186">
        <v>183010</v>
      </c>
      <c r="D138" s="201"/>
      <c r="E138" s="162"/>
      <c r="F138" s="169" t="s">
        <v>2321</v>
      </c>
      <c r="G138" s="117"/>
      <c r="H138" s="118" t="s">
        <v>1811</v>
      </c>
      <c r="I138" s="119"/>
      <c r="J138" s="120"/>
      <c r="K138" s="120" t="str">
        <f t="shared" ref="K138:K196" si="62">IF(L138="N3","SFAS-109","")</f>
        <v/>
      </c>
      <c r="L138" s="170" t="s">
        <v>1893</v>
      </c>
      <c r="M138" s="122" t="str">
        <f t="shared" si="52"/>
        <v>R</v>
      </c>
      <c r="N138" s="116" t="str">
        <f>IF($L138&lt;&gt;"",VLOOKUP($L138,Categories!$E:$G,2,FALSE),IF($F138&lt;&gt;"","NO CAT",""))</f>
        <v>Rate Base</v>
      </c>
      <c r="O138" s="116" t="str">
        <f>IF($L138&lt;&gt;"",VLOOKUP($L138,Categories!$E:$G,3,FALSE),IF($F138&lt;&gt;"","NO CAT",""))</f>
        <v>Deferred Debits &amp; Credits</v>
      </c>
      <c r="P138" s="170" t="s">
        <v>1183</v>
      </c>
      <c r="Q138" s="123" t="s">
        <v>1177</v>
      </c>
      <c r="R138" s="124">
        <v>1</v>
      </c>
      <c r="S138" s="124">
        <v>0</v>
      </c>
      <c r="T138" s="124">
        <v>0</v>
      </c>
      <c r="U138" s="121">
        <f t="shared" si="55"/>
        <v>1144.5832275</v>
      </c>
      <c r="V138" s="121">
        <f t="shared" si="56"/>
        <v>0</v>
      </c>
      <c r="W138" s="121">
        <f t="shared" si="57"/>
        <v>0</v>
      </c>
      <c r="X138" s="121">
        <f t="shared" si="53"/>
        <v>1144.5832275</v>
      </c>
      <c r="Y138" s="121">
        <f t="shared" si="58"/>
        <v>180.03693000000001</v>
      </c>
      <c r="Z138" s="121">
        <f t="shared" si="59"/>
        <v>0</v>
      </c>
      <c r="AA138" s="121">
        <f t="shared" si="60"/>
        <v>0</v>
      </c>
      <c r="AB138" s="121">
        <f t="shared" si="54"/>
        <v>180.03692999999998</v>
      </c>
      <c r="AC138" s="121">
        <v>1649.6892499999999</v>
      </c>
      <c r="AD138" s="121">
        <v>1742.0656999999999</v>
      </c>
      <c r="AE138" s="121">
        <v>1726.7406299999998</v>
      </c>
      <c r="AF138" s="121">
        <v>1932.7156</v>
      </c>
      <c r="AG138" s="121">
        <v>2051.3777799999998</v>
      </c>
      <c r="AH138" s="121">
        <v>1224.3707099999999</v>
      </c>
      <c r="AI138" s="121">
        <v>272.21550000000002</v>
      </c>
      <c r="AJ138" s="121">
        <v>268.74437</v>
      </c>
      <c r="AK138" s="121">
        <v>613.89516000000003</v>
      </c>
      <c r="AL138" s="121">
        <v>925.77006000000006</v>
      </c>
      <c r="AM138" s="121">
        <v>1017.5413100000001</v>
      </c>
      <c r="AN138" s="121">
        <v>1044.6988199999998</v>
      </c>
      <c r="AO138" s="121">
        <v>180.03692999999998</v>
      </c>
      <c r="AP138" s="125" t="str">
        <f>CONCATENATE(A138,M138)</f>
        <v>GLR</v>
      </c>
      <c r="AQ138" s="125" t="str">
        <f>CONCATENATE(AP138,L138,H138)</f>
        <v>GLRR10Preliminary Engineering</v>
      </c>
      <c r="AS138" s="125" t="str">
        <f>CONCATENATE(L138,H138,J138)</f>
        <v>R10Preliminary Engineering</v>
      </c>
    </row>
    <row r="139" spans="1:45" s="125" customFormat="1" ht="25.5" customHeight="1">
      <c r="A139" s="216" t="s">
        <v>2493</v>
      </c>
      <c r="B139" s="217" t="str">
        <f t="shared" si="61"/>
        <v>GL183030</v>
      </c>
      <c r="C139" s="186">
        <v>183030</v>
      </c>
      <c r="D139" s="201"/>
      <c r="E139" s="162"/>
      <c r="F139" s="169" t="s">
        <v>590</v>
      </c>
      <c r="G139" s="117"/>
      <c r="H139" s="118" t="s">
        <v>1811</v>
      </c>
      <c r="I139" s="119"/>
      <c r="J139" s="120"/>
      <c r="K139" s="120" t="str">
        <f t="shared" si="62"/>
        <v/>
      </c>
      <c r="L139" s="170" t="s">
        <v>1893</v>
      </c>
      <c r="M139" s="122" t="str">
        <f t="shared" si="52"/>
        <v>R</v>
      </c>
      <c r="N139" s="116" t="str">
        <f>IF($L139&lt;&gt;"",VLOOKUP($L139,Categories!$E:$G,2,FALSE),IF($F139&lt;&gt;"","NO CAT",""))</f>
        <v>Rate Base</v>
      </c>
      <c r="O139" s="116" t="str">
        <f>IF($L139&lt;&gt;"",VLOOKUP($L139,Categories!$E:$G,3,FALSE),IF($F139&lt;&gt;"","NO CAT",""))</f>
        <v>Deferred Debits &amp; Credits</v>
      </c>
      <c r="P139" s="170" t="s">
        <v>1184</v>
      </c>
      <c r="Q139" s="123" t="s">
        <v>1178</v>
      </c>
      <c r="R139" s="124">
        <v>0</v>
      </c>
      <c r="S139" s="124">
        <v>1</v>
      </c>
      <c r="T139" s="124">
        <v>0</v>
      </c>
      <c r="U139" s="121">
        <f t="shared" si="55"/>
        <v>0</v>
      </c>
      <c r="V139" s="121">
        <f t="shared" si="56"/>
        <v>136.44978458333301</v>
      </c>
      <c r="W139" s="121">
        <f t="shared" si="57"/>
        <v>0</v>
      </c>
      <c r="X139" s="121">
        <f t="shared" si="53"/>
        <v>136.44978458333301</v>
      </c>
      <c r="Y139" s="121">
        <f t="shared" si="58"/>
        <v>0</v>
      </c>
      <c r="Z139" s="121">
        <f t="shared" si="59"/>
        <v>237.38246000000001</v>
      </c>
      <c r="AA139" s="121">
        <f t="shared" si="60"/>
        <v>0</v>
      </c>
      <c r="AB139" s="121">
        <f t="shared" si="54"/>
        <v>237.38245999999998</v>
      </c>
      <c r="AC139" s="121">
        <v>98.10915</v>
      </c>
      <c r="AD139" s="121">
        <v>98.10915</v>
      </c>
      <c r="AE139" s="121">
        <v>98.10915</v>
      </c>
      <c r="AF139" s="121">
        <v>104.82615</v>
      </c>
      <c r="AG139" s="121">
        <v>104.82615</v>
      </c>
      <c r="AH139" s="121">
        <v>104.82615</v>
      </c>
      <c r="AI139" s="121">
        <v>104.82615</v>
      </c>
      <c r="AJ139" s="121">
        <v>104.82615</v>
      </c>
      <c r="AK139" s="121">
        <v>137.2851</v>
      </c>
      <c r="AL139" s="121">
        <v>137.2851</v>
      </c>
      <c r="AM139" s="121">
        <v>237.34989999999999</v>
      </c>
      <c r="AN139" s="121">
        <v>237.38245999999998</v>
      </c>
      <c r="AO139" s="121">
        <v>237.38245999999998</v>
      </c>
      <c r="AP139" s="125" t="str">
        <f>CONCATENATE(A139,M139)</f>
        <v>GLR</v>
      </c>
      <c r="AQ139" s="125" t="str">
        <f>CONCATENATE(AP139,L139,H139)</f>
        <v>GLRR10Preliminary Engineering</v>
      </c>
      <c r="AS139" s="125" t="str">
        <f>CONCATENATE(L139,H139,J139)</f>
        <v>R10Preliminary Engineering</v>
      </c>
    </row>
    <row r="140" spans="1:45" s="125" customFormat="1" ht="25.5" customHeight="1">
      <c r="A140" s="216" t="s">
        <v>2493</v>
      </c>
      <c r="B140" s="217" t="str">
        <f t="shared" si="61"/>
        <v>GL184005</v>
      </c>
      <c r="C140" s="186">
        <v>184005</v>
      </c>
      <c r="D140" s="201"/>
      <c r="E140" s="162"/>
      <c r="F140" s="169" t="s">
        <v>2922</v>
      </c>
      <c r="G140" s="117"/>
      <c r="H140" s="118" t="s">
        <v>368</v>
      </c>
      <c r="I140" s="119"/>
      <c r="J140" s="120"/>
      <c r="K140" s="120" t="str">
        <f t="shared" si="62"/>
        <v/>
      </c>
      <c r="L140" s="170" t="s">
        <v>1419</v>
      </c>
      <c r="M140" s="122" t="str">
        <f t="shared" si="52"/>
        <v>A</v>
      </c>
      <c r="N140" s="116" t="str">
        <f>IF($L140&lt;&gt;"",VLOOKUP($L140,Categories!$E:$G,2,FALSE),IF($F140&lt;&gt;"","NO CAT",""))</f>
        <v>All Other</v>
      </c>
      <c r="O140" s="116" t="str">
        <f>IF($L140&lt;&gt;"",VLOOKUP($L140,Categories!$E:$G,3,FALSE),IF($F140&lt;&gt;"","NO CAT",""))</f>
        <v>EB-Cap</v>
      </c>
      <c r="P140" s="170" t="s">
        <v>1557</v>
      </c>
      <c r="Q140" s="123" t="s">
        <v>1891</v>
      </c>
      <c r="R140" s="124">
        <v>0.77544352505021785</v>
      </c>
      <c r="S140" s="124">
        <v>0.22455647494978223</v>
      </c>
      <c r="T140" s="124">
        <v>0</v>
      </c>
      <c r="U140" s="121">
        <f t="shared" si="55"/>
        <v>2.2139403754416298</v>
      </c>
      <c r="V140" s="121">
        <f t="shared" si="56"/>
        <v>0.64112295789171003</v>
      </c>
      <c r="W140" s="121">
        <f t="shared" si="57"/>
        <v>0</v>
      </c>
      <c r="X140" s="121">
        <f t="shared" si="53"/>
        <v>2.8550633333333399</v>
      </c>
      <c r="Y140" s="121" t="str">
        <f t="shared" si="58"/>
        <v/>
      </c>
      <c r="Z140" s="121" t="str">
        <f t="shared" si="59"/>
        <v/>
      </c>
      <c r="AA140" s="121" t="str">
        <f t="shared" si="60"/>
        <v/>
      </c>
      <c r="AB140" s="121">
        <f t="shared" si="54"/>
        <v>0</v>
      </c>
      <c r="AC140" s="121">
        <v>0</v>
      </c>
      <c r="AD140" s="121">
        <v>-422.42472999999995</v>
      </c>
      <c r="AE140" s="121">
        <v>-339.86631</v>
      </c>
      <c r="AF140" s="121">
        <v>760.24739999999997</v>
      </c>
      <c r="AG140" s="121">
        <v>634.3537</v>
      </c>
      <c r="AH140" s="121">
        <v>397.40865000000002</v>
      </c>
      <c r="AI140" s="121">
        <v>136.02862999999999</v>
      </c>
      <c r="AJ140" s="121">
        <v>-112.06917</v>
      </c>
      <c r="AK140" s="121">
        <v>-370.65406000000002</v>
      </c>
      <c r="AL140" s="121">
        <v>-288.10962999999998</v>
      </c>
      <c r="AM140" s="121">
        <v>-234.85257000000001</v>
      </c>
      <c r="AN140" s="121">
        <v>-125.80114999999999</v>
      </c>
      <c r="AO140" s="121">
        <v>0</v>
      </c>
      <c r="AP140" s="125" t="str">
        <f>CONCATENATE(A140,M140)</f>
        <v>GLA</v>
      </c>
      <c r="AQ140" s="125" t="str">
        <f>CONCATENATE(AP140,L140,H140)</f>
        <v>GLAA2Clearing Accounts</v>
      </c>
      <c r="AS140" s="125" t="str">
        <f>CONCATENATE(L140,H140,J140)</f>
        <v>A2Clearing Accounts</v>
      </c>
    </row>
    <row r="141" spans="1:45" s="125" customFormat="1" ht="25.5" customHeight="1">
      <c r="A141" s="216" t="s">
        <v>2493</v>
      </c>
      <c r="B141" s="217" t="str">
        <f t="shared" si="61"/>
        <v>GL184006</v>
      </c>
      <c r="C141" s="186">
        <v>184006</v>
      </c>
      <c r="D141" s="201"/>
      <c r="E141" s="162"/>
      <c r="F141" s="169" t="s">
        <v>2923</v>
      </c>
      <c r="G141" s="117"/>
      <c r="H141" s="118" t="s">
        <v>368</v>
      </c>
      <c r="I141" s="119"/>
      <c r="J141" s="120"/>
      <c r="K141" s="120" t="str">
        <f t="shared" si="62"/>
        <v/>
      </c>
      <c r="L141" s="170" t="s">
        <v>1419</v>
      </c>
      <c r="M141" s="122" t="str">
        <f t="shared" si="52"/>
        <v>A</v>
      </c>
      <c r="N141" s="116" t="str">
        <f>IF($L141&lt;&gt;"",VLOOKUP($L141,Categories!$E:$G,2,FALSE),IF($F141&lt;&gt;"","NO CAT",""))</f>
        <v>All Other</v>
      </c>
      <c r="O141" s="116" t="str">
        <f>IF($L141&lt;&gt;"",VLOOKUP($L141,Categories!$E:$G,3,FALSE),IF($F141&lt;&gt;"","NO CAT",""))</f>
        <v>EB-Cap</v>
      </c>
      <c r="P141" s="170" t="s">
        <v>1557</v>
      </c>
      <c r="Q141" s="123" t="s">
        <v>1891</v>
      </c>
      <c r="R141" s="124">
        <v>0.77544352505021785</v>
      </c>
      <c r="S141" s="124">
        <v>0.22455647494978223</v>
      </c>
      <c r="T141" s="124">
        <v>0</v>
      </c>
      <c r="U141" s="121">
        <f t="shared" si="55"/>
        <v>238.47676308627601</v>
      </c>
      <c r="V141" s="121">
        <f t="shared" si="56"/>
        <v>69.059189413723701</v>
      </c>
      <c r="W141" s="121">
        <f t="shared" si="57"/>
        <v>0</v>
      </c>
      <c r="X141" s="121">
        <f t="shared" si="53"/>
        <v>307.53595250000001</v>
      </c>
      <c r="Y141" s="121" t="str">
        <f t="shared" si="58"/>
        <v/>
      </c>
      <c r="Z141" s="121" t="str">
        <f t="shared" si="59"/>
        <v/>
      </c>
      <c r="AA141" s="121" t="str">
        <f t="shared" si="60"/>
        <v/>
      </c>
      <c r="AB141" s="121">
        <f t="shared" si="54"/>
        <v>0</v>
      </c>
      <c r="AC141" s="121">
        <v>0</v>
      </c>
      <c r="AD141" s="121">
        <v>236.61113</v>
      </c>
      <c r="AE141" s="121">
        <v>266.52641</v>
      </c>
      <c r="AF141" s="121">
        <v>406.32440000000003</v>
      </c>
      <c r="AG141" s="121">
        <v>679.75738000000001</v>
      </c>
      <c r="AH141" s="121">
        <v>681.78846999999996</v>
      </c>
      <c r="AI141" s="121">
        <v>618.51679000000001</v>
      </c>
      <c r="AJ141" s="121">
        <v>220.28083999999998</v>
      </c>
      <c r="AK141" s="121">
        <v>191.84587999999999</v>
      </c>
      <c r="AL141" s="121">
        <v>-322.39080999999999</v>
      </c>
      <c r="AM141" s="121">
        <v>-451.74793</v>
      </c>
      <c r="AN141" s="121">
        <v>1162.9188700000002</v>
      </c>
      <c r="AO141" s="121">
        <v>0</v>
      </c>
      <c r="AP141" s="125" t="str">
        <f>CONCATENATE(A141,M141)</f>
        <v>GLA</v>
      </c>
      <c r="AQ141" s="125" t="str">
        <f>CONCATENATE(AP141,L141,H141)</f>
        <v>GLAA2Clearing Accounts</v>
      </c>
      <c r="AS141" s="125" t="str">
        <f>CONCATENATE(L141,H141,J141)</f>
        <v>A2Clearing Accounts</v>
      </c>
    </row>
    <row r="142" spans="1:45" s="125" customFormat="1" ht="25.5" customHeight="1">
      <c r="A142" s="216" t="s">
        <v>2493</v>
      </c>
      <c r="B142" s="217" t="str">
        <f t="shared" si="61"/>
        <v>GL184007</v>
      </c>
      <c r="C142" s="186">
        <v>184007</v>
      </c>
      <c r="D142" s="201"/>
      <c r="E142" s="162"/>
      <c r="F142" s="169" t="s">
        <v>2924</v>
      </c>
      <c r="G142" s="117"/>
      <c r="H142" s="118" t="s">
        <v>368</v>
      </c>
      <c r="I142" s="119"/>
      <c r="J142" s="120"/>
      <c r="K142" s="120" t="str">
        <f t="shared" si="62"/>
        <v/>
      </c>
      <c r="L142" s="170" t="s">
        <v>1419</v>
      </c>
      <c r="M142" s="122" t="str">
        <f t="shared" si="52"/>
        <v>A</v>
      </c>
      <c r="N142" s="116" t="str">
        <f>IF($L142&lt;&gt;"",VLOOKUP($L142,Categories!$E:$G,2,FALSE),IF($F142&lt;&gt;"","NO CAT",""))</f>
        <v>All Other</v>
      </c>
      <c r="O142" s="116" t="str">
        <f>IF($L142&lt;&gt;"",VLOOKUP($L142,Categories!$E:$G,3,FALSE),IF($F142&lt;&gt;"","NO CAT",""))</f>
        <v>EB-Cap</v>
      </c>
      <c r="P142" s="170" t="s">
        <v>1557</v>
      </c>
      <c r="Q142" s="123" t="s">
        <v>1891</v>
      </c>
      <c r="R142" s="124">
        <v>0.77544352505021785</v>
      </c>
      <c r="S142" s="124">
        <v>0.22455647494978223</v>
      </c>
      <c r="T142" s="124">
        <v>0</v>
      </c>
      <c r="U142" s="121">
        <f t="shared" si="55"/>
        <v>-78.353277096672201</v>
      </c>
      <c r="V142" s="121">
        <f t="shared" si="56"/>
        <v>-22.6898995699948</v>
      </c>
      <c r="W142" s="121">
        <f t="shared" si="57"/>
        <v>0</v>
      </c>
      <c r="X142" s="121">
        <f t="shared" si="53"/>
        <v>-101.04317666666699</v>
      </c>
      <c r="Y142" s="121" t="str">
        <f t="shared" si="58"/>
        <v/>
      </c>
      <c r="Z142" s="121" t="str">
        <f t="shared" si="59"/>
        <v/>
      </c>
      <c r="AA142" s="121" t="str">
        <f t="shared" si="60"/>
        <v/>
      </c>
      <c r="AB142" s="121">
        <f t="shared" si="54"/>
        <v>0</v>
      </c>
      <c r="AC142" s="121">
        <v>0</v>
      </c>
      <c r="AD142" s="121">
        <v>36.578710000000001</v>
      </c>
      <c r="AE142" s="121">
        <v>22.071380000000001</v>
      </c>
      <c r="AF142" s="121">
        <v>-79.082700000000003</v>
      </c>
      <c r="AG142" s="121">
        <v>-280.16753000000006</v>
      </c>
      <c r="AH142" s="121">
        <v>-436.46151000000003</v>
      </c>
      <c r="AI142" s="121">
        <v>-346.27461</v>
      </c>
      <c r="AJ142" s="121">
        <v>-87.076660000000004</v>
      </c>
      <c r="AK142" s="121">
        <v>-177.38508999999999</v>
      </c>
      <c r="AL142" s="121">
        <v>28.043430000000001</v>
      </c>
      <c r="AM142" s="121">
        <v>70.771969999999996</v>
      </c>
      <c r="AN142" s="121">
        <v>36.464489999999998</v>
      </c>
      <c r="AO142" s="121">
        <v>0</v>
      </c>
      <c r="AP142" s="125" t="str">
        <f>CONCATENATE(A142,M142)</f>
        <v>GLA</v>
      </c>
      <c r="AQ142" s="125" t="str">
        <f>CONCATENATE(AP142,L142,H142)</f>
        <v>GLAA2Clearing Accounts</v>
      </c>
      <c r="AS142" s="125" t="str">
        <f>CONCATENATE(L142,H142,J142)</f>
        <v>A2Clearing Accounts</v>
      </c>
    </row>
    <row r="143" spans="1:45" s="125" customFormat="1" ht="25.5" customHeight="1">
      <c r="A143" s="216" t="s">
        <v>2493</v>
      </c>
      <c r="B143" s="217" t="str">
        <f t="shared" si="61"/>
        <v>GL184008</v>
      </c>
      <c r="C143" s="186">
        <v>184008</v>
      </c>
      <c r="D143" s="201"/>
      <c r="E143" s="162"/>
      <c r="F143" s="169" t="s">
        <v>1606</v>
      </c>
      <c r="G143" s="117"/>
      <c r="H143" s="118" t="s">
        <v>368</v>
      </c>
      <c r="I143" s="119"/>
      <c r="J143" s="120"/>
      <c r="K143" s="120" t="str">
        <f t="shared" si="62"/>
        <v/>
      </c>
      <c r="L143" s="170" t="s">
        <v>1419</v>
      </c>
      <c r="M143" s="122" t="str">
        <f t="shared" si="52"/>
        <v>A</v>
      </c>
      <c r="N143" s="116" t="str">
        <f>IF($L143&lt;&gt;"",VLOOKUP($L143,Categories!$E:$G,2,FALSE),IF($F143&lt;&gt;"","NO CAT",""))</f>
        <v>All Other</v>
      </c>
      <c r="O143" s="116" t="str">
        <f>IF($L143&lt;&gt;"",VLOOKUP($L143,Categories!$E:$G,3,FALSE),IF($F143&lt;&gt;"","NO CAT",""))</f>
        <v>EB-Cap</v>
      </c>
      <c r="P143" s="170" t="s">
        <v>1557</v>
      </c>
      <c r="Q143" s="123" t="s">
        <v>1891</v>
      </c>
      <c r="R143" s="124">
        <v>0.77544352505021785</v>
      </c>
      <c r="S143" s="124">
        <v>0.22455647494978223</v>
      </c>
      <c r="T143" s="124">
        <v>0</v>
      </c>
      <c r="U143" s="121">
        <f t="shared" si="55"/>
        <v>2.926136141777</v>
      </c>
      <c r="V143" s="121">
        <f t="shared" si="56"/>
        <v>0.84736385822300297</v>
      </c>
      <c r="W143" s="121">
        <f t="shared" si="57"/>
        <v>0</v>
      </c>
      <c r="X143" s="121">
        <f t="shared" si="53"/>
        <v>3.7734999999999999</v>
      </c>
      <c r="Y143" s="121" t="str">
        <f t="shared" si="58"/>
        <v/>
      </c>
      <c r="Z143" s="121" t="str">
        <f t="shared" si="59"/>
        <v/>
      </c>
      <c r="AA143" s="121" t="str">
        <f t="shared" si="60"/>
        <v/>
      </c>
      <c r="AB143" s="121">
        <f t="shared" si="54"/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121">
        <v>0</v>
      </c>
      <c r="AI143" s="121">
        <v>0</v>
      </c>
      <c r="AJ143" s="121">
        <v>0</v>
      </c>
      <c r="AK143" s="121">
        <v>0</v>
      </c>
      <c r="AL143" s="121">
        <v>0</v>
      </c>
      <c r="AM143" s="121">
        <v>45.281999999999996</v>
      </c>
      <c r="AN143" s="121">
        <v>0</v>
      </c>
      <c r="AO143" s="121">
        <v>0</v>
      </c>
      <c r="AP143" s="125" t="str">
        <f>CONCATENATE(A143,M143)</f>
        <v>GLA</v>
      </c>
      <c r="AQ143" s="125" t="str">
        <f>CONCATENATE(AP143,L143,H143)</f>
        <v>GLAA2Clearing Accounts</v>
      </c>
      <c r="AS143" s="125" t="str">
        <f>CONCATENATE(L143,H143,J143)</f>
        <v>A2Clearing Accounts</v>
      </c>
    </row>
    <row r="144" spans="1:45" s="125" customFormat="1" ht="25.5" customHeight="1">
      <c r="A144" s="216" t="s">
        <v>2493</v>
      </c>
      <c r="B144" s="217" t="str">
        <f t="shared" si="61"/>
        <v>GL184110</v>
      </c>
      <c r="C144" s="186">
        <v>184110</v>
      </c>
      <c r="D144" s="201"/>
      <c r="E144" s="162"/>
      <c r="F144" s="169" t="s">
        <v>2441</v>
      </c>
      <c r="G144" s="117"/>
      <c r="H144" s="118" t="s">
        <v>368</v>
      </c>
      <c r="I144" s="119"/>
      <c r="J144" s="120"/>
      <c r="K144" s="120" t="str">
        <f t="shared" si="62"/>
        <v/>
      </c>
      <c r="L144" s="170" t="s">
        <v>1419</v>
      </c>
      <c r="M144" s="122" t="str">
        <f t="shared" si="52"/>
        <v>A</v>
      </c>
      <c r="N144" s="116" t="str">
        <f>IF($L144&lt;&gt;"",VLOOKUP($L144,Categories!$E:$G,2,FALSE),IF($F144&lt;&gt;"","NO CAT",""))</f>
        <v>All Other</v>
      </c>
      <c r="O144" s="116" t="str">
        <f>IF($L144&lt;&gt;"",VLOOKUP($L144,Categories!$E:$G,3,FALSE),IF($F144&lt;&gt;"","NO CAT",""))</f>
        <v>EB-Cap</v>
      </c>
      <c r="P144" s="170" t="s">
        <v>1557</v>
      </c>
      <c r="Q144" s="123" t="s">
        <v>1891</v>
      </c>
      <c r="R144" s="124">
        <v>0.77544352505021785</v>
      </c>
      <c r="S144" s="124">
        <v>0.22455647494978223</v>
      </c>
      <c r="T144" s="124">
        <v>0</v>
      </c>
      <c r="U144" s="121">
        <f t="shared" si="55"/>
        <v>181.25199054702401</v>
      </c>
      <c r="V144" s="121">
        <f t="shared" si="56"/>
        <v>52.487778619642498</v>
      </c>
      <c r="W144" s="121">
        <f t="shared" si="57"/>
        <v>0</v>
      </c>
      <c r="X144" s="121">
        <f t="shared" si="53"/>
        <v>233.739769166667</v>
      </c>
      <c r="Y144" s="121" t="str">
        <f t="shared" si="58"/>
        <v/>
      </c>
      <c r="Z144" s="121" t="str">
        <f t="shared" si="59"/>
        <v/>
      </c>
      <c r="AA144" s="121" t="str">
        <f t="shared" si="60"/>
        <v/>
      </c>
      <c r="AB144" s="121">
        <f t="shared" si="54"/>
        <v>0</v>
      </c>
      <c r="AC144" s="121">
        <v>0</v>
      </c>
      <c r="AD144" s="121">
        <v>233.41973000000002</v>
      </c>
      <c r="AE144" s="121">
        <v>517.66875000000005</v>
      </c>
      <c r="AF144" s="121">
        <v>407.49728999999996</v>
      </c>
      <c r="AG144" s="121">
        <v>88.286349999999999</v>
      </c>
      <c r="AH144" s="121">
        <v>364.91128000000003</v>
      </c>
      <c r="AI144" s="121">
        <v>431.72874999999999</v>
      </c>
      <c r="AJ144" s="121">
        <v>256.28086999999999</v>
      </c>
      <c r="AK144" s="121">
        <v>314.56704999999999</v>
      </c>
      <c r="AL144" s="121">
        <v>135.78028</v>
      </c>
      <c r="AM144" s="121">
        <v>-50.742059999999995</v>
      </c>
      <c r="AN144" s="121">
        <v>105.47894000000001</v>
      </c>
      <c r="AO144" s="121">
        <v>0</v>
      </c>
      <c r="AP144" s="125" t="str">
        <f>CONCATENATE(A144,M144)</f>
        <v>GLA</v>
      </c>
      <c r="AQ144" s="125" t="str">
        <f>CONCATENATE(AP144,L144,H144)</f>
        <v>GLAA2Clearing Accounts</v>
      </c>
      <c r="AS144" s="125" t="str">
        <f>CONCATENATE(L144,H144,J144)</f>
        <v>A2Clearing Accounts</v>
      </c>
    </row>
    <row r="145" spans="1:45" s="125" customFormat="1" ht="25.5" customHeight="1">
      <c r="A145" s="216" t="s">
        <v>2493</v>
      </c>
      <c r="B145" s="217" t="str">
        <f t="shared" si="61"/>
        <v>GL184111</v>
      </c>
      <c r="C145" s="186">
        <v>184111</v>
      </c>
      <c r="D145" s="201"/>
      <c r="E145" s="162"/>
      <c r="F145" s="169" t="s">
        <v>2442</v>
      </c>
      <c r="G145" s="117"/>
      <c r="H145" s="118" t="s">
        <v>368</v>
      </c>
      <c r="I145" s="119"/>
      <c r="J145" s="120"/>
      <c r="K145" s="120" t="str">
        <f t="shared" si="62"/>
        <v/>
      </c>
      <c r="L145" s="170" t="s">
        <v>1419</v>
      </c>
      <c r="M145" s="122" t="str">
        <f t="shared" si="52"/>
        <v>A</v>
      </c>
      <c r="N145" s="116" t="str">
        <f>IF($L145&lt;&gt;"",VLOOKUP($L145,Categories!$E:$G,2,FALSE),IF($F145&lt;&gt;"","NO CAT",""))</f>
        <v>All Other</v>
      </c>
      <c r="O145" s="116" t="str">
        <f>IF($L145&lt;&gt;"",VLOOKUP($L145,Categories!$E:$G,3,FALSE),IF($F145&lt;&gt;"","NO CAT",""))</f>
        <v>EB-Cap</v>
      </c>
      <c r="P145" s="170" t="s">
        <v>1557</v>
      </c>
      <c r="Q145" s="123" t="s">
        <v>1891</v>
      </c>
      <c r="R145" s="124">
        <v>0.77544352505021785</v>
      </c>
      <c r="S145" s="124">
        <v>0.22455647494978223</v>
      </c>
      <c r="T145" s="124">
        <v>0</v>
      </c>
      <c r="U145" s="121">
        <f t="shared" si="55"/>
        <v>201.489392239024</v>
      </c>
      <c r="V145" s="121">
        <f t="shared" si="56"/>
        <v>58.348217760976297</v>
      </c>
      <c r="W145" s="121">
        <f t="shared" si="57"/>
        <v>0</v>
      </c>
      <c r="X145" s="121">
        <f t="shared" si="53"/>
        <v>259.83760999999998</v>
      </c>
      <c r="Y145" s="121" t="str">
        <f t="shared" si="58"/>
        <v/>
      </c>
      <c r="Z145" s="121" t="str">
        <f t="shared" si="59"/>
        <v/>
      </c>
      <c r="AA145" s="121" t="str">
        <f t="shared" si="60"/>
        <v/>
      </c>
      <c r="AB145" s="121">
        <f t="shared" si="54"/>
        <v>0</v>
      </c>
      <c r="AC145" s="121">
        <v>0</v>
      </c>
      <c r="AD145" s="121">
        <v>382.09783000000004</v>
      </c>
      <c r="AE145" s="121">
        <v>767.67342000000008</v>
      </c>
      <c r="AF145" s="121">
        <v>1080.0568799999999</v>
      </c>
      <c r="AG145" s="121">
        <v>863.50881000000004</v>
      </c>
      <c r="AH145" s="121">
        <v>131.59723000000002</v>
      </c>
      <c r="AI145" s="121">
        <v>-1.3833599999999999</v>
      </c>
      <c r="AJ145" s="121">
        <v>-151.19316000000001</v>
      </c>
      <c r="AK145" s="121">
        <v>-147.68092999999999</v>
      </c>
      <c r="AL145" s="121">
        <v>-100.86988000000001</v>
      </c>
      <c r="AM145" s="121">
        <v>139.21569</v>
      </c>
      <c r="AN145" s="121">
        <v>155.02879000000001</v>
      </c>
      <c r="AO145" s="121">
        <v>0</v>
      </c>
      <c r="AP145" s="125" t="str">
        <f>CONCATENATE(A145,M145)</f>
        <v>GLA</v>
      </c>
      <c r="AQ145" s="125" t="str">
        <f>CONCATENATE(AP145,L145,H145)</f>
        <v>GLAA2Clearing Accounts</v>
      </c>
      <c r="AS145" s="125" t="str">
        <f>CONCATENATE(L145,H145,J145)</f>
        <v>A2Clearing Accounts</v>
      </c>
    </row>
    <row r="146" spans="1:45" s="125" customFormat="1" ht="25.5" customHeight="1">
      <c r="A146" s="216" t="s">
        <v>2493</v>
      </c>
      <c r="B146" s="217" t="str">
        <f t="shared" si="61"/>
        <v>GL184120</v>
      </c>
      <c r="C146" s="186">
        <v>184120</v>
      </c>
      <c r="D146" s="201"/>
      <c r="E146" s="162"/>
      <c r="F146" s="169" t="s">
        <v>1192</v>
      </c>
      <c r="G146" s="117"/>
      <c r="H146" s="118" t="s">
        <v>368</v>
      </c>
      <c r="I146" s="119"/>
      <c r="J146" s="120"/>
      <c r="K146" s="120" t="str">
        <f t="shared" si="62"/>
        <v/>
      </c>
      <c r="L146" s="170" t="s">
        <v>1419</v>
      </c>
      <c r="M146" s="122" t="str">
        <f t="shared" si="52"/>
        <v>A</v>
      </c>
      <c r="N146" s="116" t="str">
        <f>IF($L146&lt;&gt;"",VLOOKUP($L146,Categories!$E:$G,2,FALSE),IF($F146&lt;&gt;"","NO CAT",""))</f>
        <v>All Other</v>
      </c>
      <c r="O146" s="116" t="str">
        <f>IF($L146&lt;&gt;"",VLOOKUP($L146,Categories!$E:$G,3,FALSE),IF($F146&lt;&gt;"","NO CAT",""))</f>
        <v>EB-Cap</v>
      </c>
      <c r="P146" s="170" t="s">
        <v>1557</v>
      </c>
      <c r="Q146" s="123" t="s">
        <v>1891</v>
      </c>
      <c r="R146" s="124">
        <v>0.77544352505021785</v>
      </c>
      <c r="S146" s="124">
        <v>0.22455647494978223</v>
      </c>
      <c r="T146" s="124">
        <v>0</v>
      </c>
      <c r="U146" s="121">
        <f t="shared" si="55"/>
        <v>814.97426277603802</v>
      </c>
      <c r="V146" s="121">
        <f t="shared" si="56"/>
        <v>236.003966390632</v>
      </c>
      <c r="W146" s="121">
        <f t="shared" si="57"/>
        <v>0</v>
      </c>
      <c r="X146" s="121">
        <f t="shared" si="53"/>
        <v>1050.97822916667</v>
      </c>
      <c r="Y146" s="121" t="str">
        <f t="shared" si="58"/>
        <v/>
      </c>
      <c r="Z146" s="121" t="str">
        <f t="shared" si="59"/>
        <v/>
      </c>
      <c r="AA146" s="121" t="str">
        <f t="shared" si="60"/>
        <v/>
      </c>
      <c r="AB146" s="121">
        <f t="shared" si="54"/>
        <v>0</v>
      </c>
      <c r="AC146" s="121">
        <v>0</v>
      </c>
      <c r="AD146" s="121">
        <v>-91.695740000000001</v>
      </c>
      <c r="AE146" s="121">
        <v>244.69516000000002</v>
      </c>
      <c r="AF146" s="121">
        <v>12.406120000000001</v>
      </c>
      <c r="AG146" s="121">
        <v>-394.47215</v>
      </c>
      <c r="AH146" s="121">
        <v>-289.42899999999997</v>
      </c>
      <c r="AI146" s="121">
        <v>-126.99651</v>
      </c>
      <c r="AJ146" s="121">
        <v>1314.76287</v>
      </c>
      <c r="AK146" s="121">
        <v>6331.0659800000003</v>
      </c>
      <c r="AL146" s="121">
        <v>2650.4331299999999</v>
      </c>
      <c r="AM146" s="121">
        <v>2307.9272400000004</v>
      </c>
      <c r="AN146" s="121">
        <v>653.04165</v>
      </c>
      <c r="AO146" s="121">
        <v>0</v>
      </c>
      <c r="AP146" s="125" t="str">
        <f>CONCATENATE(A146,M146)</f>
        <v>GLA</v>
      </c>
      <c r="AQ146" s="125" t="str">
        <f>CONCATENATE(AP146,L146,H146)</f>
        <v>GLAA2Clearing Accounts</v>
      </c>
      <c r="AS146" s="125" t="str">
        <f>CONCATENATE(L146,H146,J146)</f>
        <v>A2Clearing Accounts</v>
      </c>
    </row>
    <row r="147" spans="1:45" s="125" customFormat="1" ht="25.5" customHeight="1">
      <c r="A147" s="216" t="s">
        <v>2493</v>
      </c>
      <c r="B147" s="217" t="str">
        <f t="shared" si="61"/>
        <v>GL184130</v>
      </c>
      <c r="C147" s="186">
        <v>184130</v>
      </c>
      <c r="D147" s="201"/>
      <c r="E147" s="162"/>
      <c r="F147" s="169" t="s">
        <v>1193</v>
      </c>
      <c r="G147" s="117"/>
      <c r="H147" s="118" t="s">
        <v>368</v>
      </c>
      <c r="I147" s="119"/>
      <c r="J147" s="120"/>
      <c r="K147" s="120" t="str">
        <f t="shared" si="62"/>
        <v/>
      </c>
      <c r="L147" s="170" t="s">
        <v>1419</v>
      </c>
      <c r="M147" s="122" t="str">
        <f t="shared" si="52"/>
        <v>A</v>
      </c>
      <c r="N147" s="116" t="str">
        <f>IF($L147&lt;&gt;"",VLOOKUP($L147,Categories!$E:$G,2,FALSE),IF($F147&lt;&gt;"","NO CAT",""))</f>
        <v>All Other</v>
      </c>
      <c r="O147" s="116" t="str">
        <f>IF($L147&lt;&gt;"",VLOOKUP($L147,Categories!$E:$G,3,FALSE),IF($F147&lt;&gt;"","NO CAT",""))</f>
        <v>EB-Cap</v>
      </c>
      <c r="P147" s="170" t="s">
        <v>1557</v>
      </c>
      <c r="Q147" s="123" t="s">
        <v>1891</v>
      </c>
      <c r="R147" s="124">
        <v>0.77544352505021785</v>
      </c>
      <c r="S147" s="124">
        <v>0.22455647494978223</v>
      </c>
      <c r="T147" s="124">
        <v>0</v>
      </c>
      <c r="U147" s="121">
        <f t="shared" si="55"/>
        <v>203.13794963211899</v>
      </c>
      <c r="V147" s="121">
        <f t="shared" si="56"/>
        <v>58.825614534547803</v>
      </c>
      <c r="W147" s="121">
        <f t="shared" si="57"/>
        <v>0</v>
      </c>
      <c r="X147" s="121">
        <f t="shared" si="53"/>
        <v>261.96356416666703</v>
      </c>
      <c r="Y147" s="121" t="str">
        <f t="shared" si="58"/>
        <v/>
      </c>
      <c r="Z147" s="121" t="str">
        <f t="shared" si="59"/>
        <v/>
      </c>
      <c r="AA147" s="121" t="str">
        <f t="shared" si="60"/>
        <v/>
      </c>
      <c r="AB147" s="121">
        <f t="shared" si="54"/>
        <v>0</v>
      </c>
      <c r="AC147" s="121">
        <v>0</v>
      </c>
      <c r="AD147" s="121">
        <v>317.08467999999999</v>
      </c>
      <c r="AE147" s="121">
        <v>507.11520000000002</v>
      </c>
      <c r="AF147" s="121">
        <v>563.67856999999992</v>
      </c>
      <c r="AG147" s="121">
        <v>-66.115130000000008</v>
      </c>
      <c r="AH147" s="121">
        <v>-230.36045000000001</v>
      </c>
      <c r="AI147" s="121">
        <v>-187.41018</v>
      </c>
      <c r="AJ147" s="121">
        <v>-73.771439999999998</v>
      </c>
      <c r="AK147" s="121">
        <v>897.49748999999997</v>
      </c>
      <c r="AL147" s="121">
        <v>622.04909999999995</v>
      </c>
      <c r="AM147" s="121">
        <v>592.37638000000004</v>
      </c>
      <c r="AN147" s="121">
        <v>201.41854999999998</v>
      </c>
      <c r="AO147" s="121">
        <v>0</v>
      </c>
      <c r="AP147" s="125" t="str">
        <f>CONCATENATE(A147,M147)</f>
        <v>GLA</v>
      </c>
      <c r="AQ147" s="125" t="str">
        <f>CONCATENATE(AP147,L147,H147)</f>
        <v>GLAA2Clearing Accounts</v>
      </c>
      <c r="AS147" s="125" t="str">
        <f>CONCATENATE(L147,H147,J147)</f>
        <v>A2Clearing Accounts</v>
      </c>
    </row>
    <row r="148" spans="1:45" s="125" customFormat="1" ht="25.5" customHeight="1">
      <c r="A148" s="216" t="s">
        <v>2493</v>
      </c>
      <c r="B148" s="217" t="str">
        <f t="shared" si="61"/>
        <v>GL186020</v>
      </c>
      <c r="C148" s="186">
        <v>186020</v>
      </c>
      <c r="D148" s="201"/>
      <c r="E148" s="162"/>
      <c r="F148" s="169" t="s">
        <v>911</v>
      </c>
      <c r="G148" s="117"/>
      <c r="H148" s="118">
        <v>0</v>
      </c>
      <c r="I148" s="119"/>
      <c r="J148" s="120"/>
      <c r="K148" s="120" t="str">
        <f>IF(L148="N3","SFAS-109","")</f>
        <v/>
      </c>
      <c r="L148" s="170" t="s">
        <v>1419</v>
      </c>
      <c r="M148" s="122" t="str">
        <f t="shared" si="52"/>
        <v>A</v>
      </c>
      <c r="N148" s="116" t="str">
        <f>IF($L148&lt;&gt;"",VLOOKUP($L148,Categories!$E:$G,2,FALSE),IF($F148&lt;&gt;"","NO CAT",""))</f>
        <v>All Other</v>
      </c>
      <c r="O148" s="116" t="str">
        <f>IF($L148&lt;&gt;"",VLOOKUP($L148,Categories!$E:$G,3,FALSE),IF($F148&lt;&gt;"","NO CAT",""))</f>
        <v>EB-Cap</v>
      </c>
      <c r="P148" s="170" t="s">
        <v>1557</v>
      </c>
      <c r="Q148" s="123" t="s">
        <v>1891</v>
      </c>
      <c r="R148" s="124">
        <v>0.77544352505021785</v>
      </c>
      <c r="S148" s="124">
        <v>0.22455647494978223</v>
      </c>
      <c r="T148" s="124">
        <v>0</v>
      </c>
      <c r="U148" s="121">
        <f t="shared" si="55"/>
        <v>2.7395440742573798</v>
      </c>
      <c r="V148" s="121">
        <f t="shared" si="56"/>
        <v>0.79332967574261803</v>
      </c>
      <c r="W148" s="121">
        <f t="shared" si="57"/>
        <v>0</v>
      </c>
      <c r="X148" s="121">
        <f t="shared" si="53"/>
        <v>3.5328737499999998</v>
      </c>
      <c r="Y148" s="121" t="str">
        <f t="shared" si="58"/>
        <v/>
      </c>
      <c r="Z148" s="121" t="str">
        <f t="shared" si="59"/>
        <v/>
      </c>
      <c r="AA148" s="121" t="str">
        <f t="shared" si="60"/>
        <v/>
      </c>
      <c r="AB148" s="121">
        <f t="shared" si="54"/>
        <v>0</v>
      </c>
      <c r="AC148" s="121">
        <v>2.2278500000000001</v>
      </c>
      <c r="AD148" s="121">
        <v>22.964099999999998</v>
      </c>
      <c r="AE148" s="121">
        <v>45.769620000000003</v>
      </c>
      <c r="AF148" s="121">
        <v>-9.7674400000000006</v>
      </c>
      <c r="AG148" s="121">
        <v>-10.15823</v>
      </c>
      <c r="AH148" s="121">
        <v>-10.117299999999998</v>
      </c>
      <c r="AI148" s="121">
        <v>-7.0421700000000005</v>
      </c>
      <c r="AJ148" s="121">
        <v>-7.0421700000000005</v>
      </c>
      <c r="AK148" s="121">
        <v>-1.0272999999999999</v>
      </c>
      <c r="AL148" s="121">
        <v>0.69904999999999995</v>
      </c>
      <c r="AM148" s="121">
        <v>4.4137599999999999</v>
      </c>
      <c r="AN148" s="121">
        <v>12.58864</v>
      </c>
      <c r="AO148" s="121">
        <v>0</v>
      </c>
      <c r="AP148" s="125" t="str">
        <f>CONCATENATE(A148,M148)</f>
        <v>GLA</v>
      </c>
      <c r="AQ148" s="125" t="str">
        <f>CONCATENATE(AP148,L148,H148)</f>
        <v>GLAA20</v>
      </c>
      <c r="AS148" s="125" t="str">
        <f>CONCATENATE(L148,H148,J148)</f>
        <v>A20</v>
      </c>
    </row>
    <row r="149" spans="1:45" s="125" customFormat="1" ht="25.5" customHeight="1">
      <c r="A149" s="216" t="s">
        <v>2493</v>
      </c>
      <c r="B149" s="217" t="str">
        <f t="shared" si="61"/>
        <v>GL186215</v>
      </c>
      <c r="C149" s="186">
        <v>186215</v>
      </c>
      <c r="D149" s="201"/>
      <c r="E149" s="162"/>
      <c r="F149" s="169" t="s">
        <v>1001</v>
      </c>
      <c r="G149" s="117"/>
      <c r="H149" s="118" t="s">
        <v>1002</v>
      </c>
      <c r="I149" s="119"/>
      <c r="J149" s="120"/>
      <c r="K149" s="120" t="str">
        <f t="shared" si="62"/>
        <v/>
      </c>
      <c r="L149" s="170" t="s">
        <v>1893</v>
      </c>
      <c r="M149" s="122" t="str">
        <f t="shared" si="52"/>
        <v>R</v>
      </c>
      <c r="N149" s="116" t="str">
        <f>IF($L149&lt;&gt;"",VLOOKUP($L149,Categories!$E:$G,2,FALSE),IF($F149&lt;&gt;"","NO CAT",""))</f>
        <v>Rate Base</v>
      </c>
      <c r="O149" s="116" t="str">
        <f>IF($L149&lt;&gt;"",VLOOKUP($L149,Categories!$E:$G,3,FALSE),IF($F149&lt;&gt;"","NO CAT",""))</f>
        <v>Deferred Debits &amp; Credits</v>
      </c>
      <c r="P149" s="170" t="s">
        <v>1553</v>
      </c>
      <c r="Q149" s="123" t="s">
        <v>2587</v>
      </c>
      <c r="R149" s="124">
        <v>0.81899999999999995</v>
      </c>
      <c r="S149" s="124">
        <v>0.18099999999999999</v>
      </c>
      <c r="T149" s="124">
        <v>0</v>
      </c>
      <c r="U149" s="121">
        <f t="shared" si="55"/>
        <v>50892.849862968797</v>
      </c>
      <c r="V149" s="121">
        <f t="shared" si="56"/>
        <v>11247.381959947899</v>
      </c>
      <c r="W149" s="121">
        <f t="shared" si="57"/>
        <v>0</v>
      </c>
      <c r="X149" s="121">
        <f t="shared" si="53"/>
        <v>62140.231822916699</v>
      </c>
      <c r="Y149" s="121" t="str">
        <f t="shared" si="58"/>
        <v/>
      </c>
      <c r="Z149" s="121" t="str">
        <f t="shared" si="59"/>
        <v/>
      </c>
      <c r="AA149" s="121" t="str">
        <f t="shared" si="60"/>
        <v/>
      </c>
      <c r="AB149" s="121">
        <f t="shared" si="54"/>
        <v>0</v>
      </c>
      <c r="AC149" s="121">
        <v>52650.343249999998</v>
      </c>
      <c r="AD149" s="121">
        <v>54774.559500000003</v>
      </c>
      <c r="AE149" s="121">
        <v>56898.775750000001</v>
      </c>
      <c r="AF149" s="121">
        <v>59023.61</v>
      </c>
      <c r="AG149" s="121">
        <v>61147.826249999998</v>
      </c>
      <c r="AH149" s="121">
        <v>63272.042500000003</v>
      </c>
      <c r="AI149" s="121">
        <v>65396.258750000001</v>
      </c>
      <c r="AJ149" s="121">
        <v>67520.475000000006</v>
      </c>
      <c r="AK149" s="121">
        <v>69644.691250000003</v>
      </c>
      <c r="AL149" s="121">
        <v>71768.907500000001</v>
      </c>
      <c r="AM149" s="121">
        <v>73893.123749999999</v>
      </c>
      <c r="AN149" s="121">
        <v>76017.34</v>
      </c>
      <c r="AO149" s="121">
        <v>0</v>
      </c>
      <c r="AP149" s="125" t="str">
        <f>CONCATENATE(A149,M149)</f>
        <v>GLR</v>
      </c>
      <c r="AQ149" s="125" t="str">
        <f>CONCATENATE(AP149,L149,H149)</f>
        <v>GLRR10Accrued Pension</v>
      </c>
      <c r="AS149" s="125" t="str">
        <f>CONCATENATE(L149,H149,J149)</f>
        <v>R10Accrued Pension</v>
      </c>
    </row>
    <row r="150" spans="1:45" s="125" customFormat="1" ht="25.5" customHeight="1">
      <c r="A150" s="216" t="s">
        <v>2493</v>
      </c>
      <c r="B150" s="217" t="str">
        <f t="shared" si="61"/>
        <v>GL186255</v>
      </c>
      <c r="C150" s="186">
        <v>186255</v>
      </c>
      <c r="D150" s="201"/>
      <c r="E150" s="162"/>
      <c r="F150" s="169" t="s">
        <v>1147</v>
      </c>
      <c r="G150" s="117"/>
      <c r="H150" s="118" t="s">
        <v>1180</v>
      </c>
      <c r="I150" s="119"/>
      <c r="J150" s="120"/>
      <c r="K150" s="120" t="str">
        <f t="shared" si="62"/>
        <v/>
      </c>
      <c r="L150" s="170" t="s">
        <v>1419</v>
      </c>
      <c r="M150" s="122" t="str">
        <f t="shared" si="52"/>
        <v>A</v>
      </c>
      <c r="N150" s="116" t="str">
        <f>IF($L150&lt;&gt;"",VLOOKUP($L150,Categories!$E:$G,2,FALSE),IF($F150&lt;&gt;"","NO CAT",""))</f>
        <v>All Other</v>
      </c>
      <c r="O150" s="116" t="str">
        <f>IF($L150&lt;&gt;"",VLOOKUP($L150,Categories!$E:$G,3,FALSE),IF($F150&lt;&gt;"","NO CAT",""))</f>
        <v>EB-Cap</v>
      </c>
      <c r="P150" s="170" t="s">
        <v>1557</v>
      </c>
      <c r="Q150" s="123" t="s">
        <v>1891</v>
      </c>
      <c r="R150" s="124">
        <v>0.77544352505021785</v>
      </c>
      <c r="S150" s="124">
        <v>0.22455647494978223</v>
      </c>
      <c r="T150" s="124">
        <v>0</v>
      </c>
      <c r="U150" s="121">
        <f t="shared" si="55"/>
        <v>762.80820172662902</v>
      </c>
      <c r="V150" s="121">
        <f t="shared" si="56"/>
        <v>220.89748035670399</v>
      </c>
      <c r="W150" s="121">
        <f t="shared" si="57"/>
        <v>0</v>
      </c>
      <c r="X150" s="121">
        <f t="shared" si="53"/>
        <v>983.70568208333304</v>
      </c>
      <c r="Y150" s="121">
        <f t="shared" si="58"/>
        <v>1405.4159540073999</v>
      </c>
      <c r="Z150" s="121">
        <f t="shared" si="59"/>
        <v>406.98676599259699</v>
      </c>
      <c r="AA150" s="121">
        <f t="shared" si="60"/>
        <v>0</v>
      </c>
      <c r="AB150" s="121">
        <f t="shared" si="54"/>
        <v>1812.40272</v>
      </c>
      <c r="AC150" s="121">
        <v>2139.3192300000001</v>
      </c>
      <c r="AD150" s="121">
        <v>615.85325999999998</v>
      </c>
      <c r="AE150" s="121">
        <v>804.99831999999992</v>
      </c>
      <c r="AF150" s="121">
        <v>944.84857</v>
      </c>
      <c r="AG150" s="121">
        <v>1062.7504199999998</v>
      </c>
      <c r="AH150" s="121">
        <v>1014.77986</v>
      </c>
      <c r="AI150" s="121">
        <v>1134.2608899999998</v>
      </c>
      <c r="AJ150" s="121">
        <v>868.59086000000002</v>
      </c>
      <c r="AK150" s="121">
        <v>1114.5224099999998</v>
      </c>
      <c r="AL150" s="121">
        <v>1077.60214</v>
      </c>
      <c r="AM150" s="121">
        <v>765.97005000000001</v>
      </c>
      <c r="AN150" s="121">
        <v>424.43043</v>
      </c>
      <c r="AO150" s="121">
        <v>1812.40272</v>
      </c>
      <c r="AP150" s="125" t="str">
        <f>CONCATENATE(A150,M150)</f>
        <v>GLA</v>
      </c>
      <c r="AQ150" s="125" t="str">
        <f>CONCATENATE(AP150,L150,H150)</f>
        <v>GLAA2</v>
      </c>
      <c r="AS150" s="125" t="str">
        <f>CONCATENATE(L150,H150,J150)</f>
        <v>A2</v>
      </c>
    </row>
    <row r="151" spans="1:45" s="125" customFormat="1" ht="25.5" customHeight="1">
      <c r="A151" s="216" t="s">
        <v>2493</v>
      </c>
      <c r="B151" s="217" t="str">
        <f t="shared" si="61"/>
        <v>GL186270</v>
      </c>
      <c r="C151" s="186">
        <v>186270</v>
      </c>
      <c r="D151" s="201"/>
      <c r="E151" s="162"/>
      <c r="F151" s="169" t="s">
        <v>2217</v>
      </c>
      <c r="G151" s="117"/>
      <c r="H151" s="118" t="s">
        <v>1180</v>
      </c>
      <c r="I151" s="119"/>
      <c r="J151" s="120"/>
      <c r="K151" s="120" t="str">
        <f t="shared" si="62"/>
        <v/>
      </c>
      <c r="L151" s="170" t="s">
        <v>1419</v>
      </c>
      <c r="M151" s="122" t="str">
        <f t="shared" si="52"/>
        <v>A</v>
      </c>
      <c r="N151" s="116" t="str">
        <f>IF($L151&lt;&gt;"",VLOOKUP($L151,Categories!$E:$G,2,FALSE),IF($F151&lt;&gt;"","NO CAT",""))</f>
        <v>All Other</v>
      </c>
      <c r="O151" s="116" t="str">
        <f>IF($L151&lt;&gt;"",VLOOKUP($L151,Categories!$E:$G,3,FALSE),IF($F151&lt;&gt;"","NO CAT",""))</f>
        <v>EB-Cap</v>
      </c>
      <c r="P151" s="170" t="s">
        <v>1557</v>
      </c>
      <c r="Q151" s="123" t="s">
        <v>1891</v>
      </c>
      <c r="R151" s="124">
        <v>0.77544352505021785</v>
      </c>
      <c r="S151" s="124">
        <v>0.22455647494978223</v>
      </c>
      <c r="T151" s="124">
        <v>0</v>
      </c>
      <c r="U151" s="121">
        <f t="shared" si="55"/>
        <v>300.83490423315402</v>
      </c>
      <c r="V151" s="121">
        <f t="shared" si="56"/>
        <v>87.117144516846096</v>
      </c>
      <c r="W151" s="121">
        <f t="shared" si="57"/>
        <v>0</v>
      </c>
      <c r="X151" s="121">
        <f t="shared" si="53"/>
        <v>387.95204875000002</v>
      </c>
      <c r="Y151" s="121">
        <f t="shared" si="58"/>
        <v>14.588977356107801</v>
      </c>
      <c r="Z151" s="121">
        <f t="shared" si="59"/>
        <v>4.2247426438922204</v>
      </c>
      <c r="AA151" s="121">
        <f t="shared" si="60"/>
        <v>0</v>
      </c>
      <c r="AB151" s="121">
        <f t="shared" si="54"/>
        <v>18.81372</v>
      </c>
      <c r="AC151" s="121">
        <v>33.308349999999997</v>
      </c>
      <c r="AD151" s="121">
        <v>2434.2280499999997</v>
      </c>
      <c r="AE151" s="121">
        <v>914.43719999999996</v>
      </c>
      <c r="AF151" s="121">
        <v>583.16890000000001</v>
      </c>
      <c r="AG151" s="121">
        <v>465.24788000000001</v>
      </c>
      <c r="AH151" s="121">
        <v>36.604140000000001</v>
      </c>
      <c r="AI151" s="121">
        <v>0</v>
      </c>
      <c r="AJ151" s="121">
        <v>55.430410000000002</v>
      </c>
      <c r="AK151" s="121">
        <v>75.599699999999999</v>
      </c>
      <c r="AL151" s="121">
        <v>27.019830000000002</v>
      </c>
      <c r="AM151" s="121">
        <v>18.81372</v>
      </c>
      <c r="AN151" s="121">
        <v>18.81372</v>
      </c>
      <c r="AO151" s="121">
        <v>18.81372</v>
      </c>
      <c r="AP151" s="125" t="str">
        <f>CONCATENATE(A151,M151)</f>
        <v>GLA</v>
      </c>
      <c r="AQ151" s="125" t="str">
        <f>CONCATENATE(AP151,L151,H151)</f>
        <v>GLAA2</v>
      </c>
      <c r="AS151" s="125" t="str">
        <f>CONCATENATE(L151,H151,J151)</f>
        <v>A2</v>
      </c>
    </row>
    <row r="152" spans="1:45" s="125" customFormat="1" ht="25.5" customHeight="1">
      <c r="A152" s="216" t="s">
        <v>2493</v>
      </c>
      <c r="B152" s="217" t="str">
        <f t="shared" si="61"/>
        <v>GL188000</v>
      </c>
      <c r="C152" s="186">
        <v>188000</v>
      </c>
      <c r="D152" s="201"/>
      <c r="E152" s="162"/>
      <c r="F152" s="169" t="s">
        <v>2218</v>
      </c>
      <c r="G152" s="117"/>
      <c r="H152" s="118" t="s">
        <v>2219</v>
      </c>
      <c r="I152" s="119"/>
      <c r="J152" s="120"/>
      <c r="K152" s="120" t="str">
        <f t="shared" si="62"/>
        <v/>
      </c>
      <c r="L152" s="170" t="s">
        <v>928</v>
      </c>
      <c r="M152" s="122" t="str">
        <f t="shared" si="52"/>
        <v>N</v>
      </c>
      <c r="N152" s="116" t="str">
        <f>IF($L152&lt;&gt;"",VLOOKUP($L152,Categories!$E:$G,2,FALSE),IF($F152&lt;&gt;"","NO CAT",""))</f>
        <v>Not in Rate Base</v>
      </c>
      <c r="O152" s="116" t="str">
        <f>IF($L152&lt;&gt;"",VLOOKUP($L152,Categories!$E:$G,3,FALSE),IF($F152&lt;&gt;"","NO CAT",""))</f>
        <v>Direct Assign Items Not in RB</v>
      </c>
      <c r="P152" s="170" t="s">
        <v>1186</v>
      </c>
      <c r="Q152" s="123" t="s">
        <v>1187</v>
      </c>
      <c r="R152" s="124">
        <v>0</v>
      </c>
      <c r="S152" s="124">
        <v>0</v>
      </c>
      <c r="T152" s="124">
        <v>1</v>
      </c>
      <c r="U152" s="121">
        <f t="shared" si="55"/>
        <v>0</v>
      </c>
      <c r="V152" s="121">
        <f t="shared" si="56"/>
        <v>0</v>
      </c>
      <c r="W152" s="121">
        <f t="shared" si="57"/>
        <v>275.16810249999997</v>
      </c>
      <c r="X152" s="121">
        <f t="shared" si="53"/>
        <v>275.16810249999997</v>
      </c>
      <c r="Y152" s="121" t="str">
        <f t="shared" si="58"/>
        <v/>
      </c>
      <c r="Z152" s="121" t="str">
        <f t="shared" si="59"/>
        <v/>
      </c>
      <c r="AA152" s="121" t="str">
        <f t="shared" si="60"/>
        <v/>
      </c>
      <c r="AB152" s="121">
        <f t="shared" si="54"/>
        <v>0</v>
      </c>
      <c r="AC152" s="121">
        <v>0</v>
      </c>
      <c r="AD152" s="121">
        <v>135.10132000000002</v>
      </c>
      <c r="AE152" s="121">
        <v>271.89677</v>
      </c>
      <c r="AF152" s="121">
        <v>0</v>
      </c>
      <c r="AG152" s="121">
        <v>178.1414</v>
      </c>
      <c r="AH152" s="121">
        <v>436.35214000000002</v>
      </c>
      <c r="AI152" s="121">
        <v>0</v>
      </c>
      <c r="AJ152" s="121">
        <v>391.72239000000002</v>
      </c>
      <c r="AK152" s="121">
        <v>719.93306999999993</v>
      </c>
      <c r="AL152" s="121">
        <v>0</v>
      </c>
      <c r="AM152" s="121">
        <v>213.97710999999998</v>
      </c>
      <c r="AN152" s="121">
        <v>954.89303000000007</v>
      </c>
      <c r="AO152" s="121">
        <v>0</v>
      </c>
      <c r="AP152" s="125" t="str">
        <f>CONCATENATE(A152,M152)</f>
        <v>GLN</v>
      </c>
      <c r="AQ152" s="125" t="str">
        <f>CONCATENATE(AP152,L152,H152)</f>
        <v>GLNN2Research &amp; Development</v>
      </c>
      <c r="AS152" s="125" t="str">
        <f>CONCATENATE(L152,H152,J152)</f>
        <v>N2Research &amp; Development</v>
      </c>
    </row>
    <row r="153" spans="1:45" s="125" customFormat="1" ht="25.5" customHeight="1">
      <c r="A153" s="216" t="s">
        <v>2493</v>
      </c>
      <c r="B153" s="217" t="str">
        <f t="shared" si="61"/>
        <v>GL189000</v>
      </c>
      <c r="C153" s="186">
        <v>189000</v>
      </c>
      <c r="D153" s="201"/>
      <c r="E153" s="162"/>
      <c r="F153" s="169" t="s">
        <v>273</v>
      </c>
      <c r="G153" s="117"/>
      <c r="H153" s="118" t="s">
        <v>1180</v>
      </c>
      <c r="I153" s="119"/>
      <c r="J153" s="120"/>
      <c r="K153" s="120" t="str">
        <f t="shared" si="62"/>
        <v/>
      </c>
      <c r="L153" s="170" t="s">
        <v>1171</v>
      </c>
      <c r="M153" s="122" t="str">
        <f t="shared" si="52"/>
        <v>S</v>
      </c>
      <c r="N153" s="116" t="str">
        <f>IF($L153&lt;&gt;"",VLOOKUP($L153,Categories!$E:$G,2,FALSE),IF($F153&lt;&gt;"","NO CAT",""))</f>
        <v>Asset &amp; Liability Side Sched</v>
      </c>
      <c r="O153" s="116" t="str">
        <f>IF($L153&lt;&gt;"",VLOOKUP($L153,Categories!$E:$G,3,FALSE),IF($F153&lt;&gt;"","NO CAT",""))</f>
        <v>Reg Asset &amp; Liabilities</v>
      </c>
      <c r="P153" s="170" t="s">
        <v>1186</v>
      </c>
      <c r="Q153" s="123" t="s">
        <v>1187</v>
      </c>
      <c r="R153" s="124">
        <v>0</v>
      </c>
      <c r="S153" s="124">
        <v>0</v>
      </c>
      <c r="T153" s="124">
        <v>1</v>
      </c>
      <c r="U153" s="121">
        <f t="shared" si="55"/>
        <v>0</v>
      </c>
      <c r="V153" s="121">
        <f t="shared" si="56"/>
        <v>0</v>
      </c>
      <c r="W153" s="121">
        <f t="shared" si="57"/>
        <v>21382.076627499999</v>
      </c>
      <c r="X153" s="121">
        <f t="shared" si="53"/>
        <v>21382.076627499999</v>
      </c>
      <c r="Y153" s="121">
        <f t="shared" si="58"/>
        <v>0</v>
      </c>
      <c r="Z153" s="121">
        <f t="shared" si="59"/>
        <v>0</v>
      </c>
      <c r="AA153" s="121">
        <f t="shared" si="60"/>
        <v>20345.88823</v>
      </c>
      <c r="AB153" s="121">
        <f t="shared" si="54"/>
        <v>20345.88823</v>
      </c>
      <c r="AC153" s="121">
        <v>22614.736530000002</v>
      </c>
      <c r="AD153" s="121">
        <v>22401.266780000002</v>
      </c>
      <c r="AE153" s="121">
        <v>22187.797030000002</v>
      </c>
      <c r="AF153" s="121">
        <v>21974.327280000001</v>
      </c>
      <c r="AG153" s="121">
        <v>21760.857530000001</v>
      </c>
      <c r="AH153" s="121">
        <v>21559.161170000003</v>
      </c>
      <c r="AI153" s="121">
        <v>21357.464809999998</v>
      </c>
      <c r="AJ153" s="121">
        <v>21162.558710000001</v>
      </c>
      <c r="AK153" s="121">
        <v>20967.652610000001</v>
      </c>
      <c r="AL153" s="121">
        <v>20772.746510000001</v>
      </c>
      <c r="AM153" s="121">
        <v>20577.840410000001</v>
      </c>
      <c r="AN153" s="121">
        <v>20382.934309999997</v>
      </c>
      <c r="AO153" s="121">
        <v>20345.88823</v>
      </c>
      <c r="AP153" s="125" t="str">
        <f>CONCATENATE(A153,M153)</f>
        <v>GLS</v>
      </c>
      <c r="AQ153" s="125" t="str">
        <f>CONCATENATE(AP153,L153,H153)</f>
        <v>GLSS</v>
      </c>
      <c r="AS153" s="125" t="str">
        <f>CONCATENATE(L153,H153,J153)</f>
        <v>S</v>
      </c>
    </row>
    <row r="154" spans="1:45" s="125" customFormat="1" ht="25.5" customHeight="1">
      <c r="A154" s="216" t="s">
        <v>2493</v>
      </c>
      <c r="B154" s="217" t="str">
        <f t="shared" si="61"/>
        <v>GL190000</v>
      </c>
      <c r="C154" s="186">
        <v>190000</v>
      </c>
      <c r="D154" s="201"/>
      <c r="E154" s="162"/>
      <c r="F154" s="169" t="s">
        <v>861</v>
      </c>
      <c r="G154" s="117"/>
      <c r="H154" s="118" t="s">
        <v>1180</v>
      </c>
      <c r="I154" s="119"/>
      <c r="J154" s="120"/>
      <c r="K154" s="120" t="str">
        <f t="shared" si="62"/>
        <v/>
      </c>
      <c r="L154" s="170" t="s">
        <v>1174</v>
      </c>
      <c r="M154" s="122" t="str">
        <f t="shared" si="52"/>
        <v>T</v>
      </c>
      <c r="N154" s="116" t="str">
        <f>IF($L154&lt;&gt;"",VLOOKUP($L154,Categories!$E:$G,2,FALSE),IF($F154&lt;&gt;"","NO CAT",""))</f>
        <v>Def Tax Side Sched</v>
      </c>
      <c r="O154" s="116" t="str">
        <f>IF($L154&lt;&gt;"",VLOOKUP($L154,Categories!$E:$G,3,FALSE),IF($F154&lt;&gt;"","NO CAT",""))</f>
        <v>Def Taxes</v>
      </c>
      <c r="P154" s="170" t="s">
        <v>1186</v>
      </c>
      <c r="Q154" s="123" t="s">
        <v>1187</v>
      </c>
      <c r="R154" s="124">
        <v>0</v>
      </c>
      <c r="S154" s="124">
        <v>0</v>
      </c>
      <c r="T154" s="124">
        <v>1</v>
      </c>
      <c r="U154" s="121">
        <f t="shared" si="55"/>
        <v>0</v>
      </c>
      <c r="V154" s="121">
        <f t="shared" si="56"/>
        <v>0</v>
      </c>
      <c r="W154" s="121">
        <f t="shared" si="57"/>
        <v>789.78413208333302</v>
      </c>
      <c r="X154" s="121">
        <f t="shared" si="53"/>
        <v>789.78413208333302</v>
      </c>
      <c r="Y154" s="121">
        <f t="shared" si="58"/>
        <v>0</v>
      </c>
      <c r="Z154" s="121">
        <f t="shared" si="59"/>
        <v>0</v>
      </c>
      <c r="AA154" s="121">
        <f t="shared" si="60"/>
        <v>1016.26722</v>
      </c>
      <c r="AB154" s="121">
        <f t="shared" si="54"/>
        <v>1016.26722</v>
      </c>
      <c r="AC154" s="121">
        <v>838.20206999999994</v>
      </c>
      <c r="AD154" s="121">
        <v>864.65584999999999</v>
      </c>
      <c r="AE154" s="121">
        <v>798.16409999999996</v>
      </c>
      <c r="AF154" s="121">
        <v>791.27218999999991</v>
      </c>
      <c r="AG154" s="121">
        <v>764.91581999999994</v>
      </c>
      <c r="AH154" s="121">
        <v>741.06902000000002</v>
      </c>
      <c r="AI154" s="121">
        <v>673.24135000000001</v>
      </c>
      <c r="AJ154" s="121">
        <v>708.43439000000001</v>
      </c>
      <c r="AK154" s="121">
        <v>700.25456999999994</v>
      </c>
      <c r="AL154" s="121">
        <v>757.50288</v>
      </c>
      <c r="AM154" s="121">
        <v>815.79174999999998</v>
      </c>
      <c r="AN154" s="121">
        <v>934.87302</v>
      </c>
      <c r="AO154" s="121">
        <v>1016.26722</v>
      </c>
      <c r="AP154" s="125" t="str">
        <f>CONCATENATE(A154,M154)</f>
        <v>GLT</v>
      </c>
      <c r="AQ154" s="125" t="str">
        <f>CONCATENATE(AP154,L154,H154)</f>
        <v>GLTT</v>
      </c>
      <c r="AS154" s="125" t="str">
        <f>CONCATENATE(L154,H154,J154)</f>
        <v>T</v>
      </c>
    </row>
    <row r="155" spans="1:45" s="125" customFormat="1" ht="25.5" customHeight="1">
      <c r="A155" s="216" t="s">
        <v>2493</v>
      </c>
      <c r="B155" s="217" t="str">
        <f t="shared" si="61"/>
        <v>GL190001</v>
      </c>
      <c r="C155" s="186">
        <v>190001</v>
      </c>
      <c r="D155" s="201"/>
      <c r="E155" s="162"/>
      <c r="F155" s="169" t="s">
        <v>862</v>
      </c>
      <c r="G155" s="117"/>
      <c r="H155" s="118" t="s">
        <v>1180</v>
      </c>
      <c r="I155" s="119"/>
      <c r="J155" s="120"/>
      <c r="K155" s="120" t="str">
        <f t="shared" si="62"/>
        <v/>
      </c>
      <c r="L155" s="170" t="s">
        <v>1174</v>
      </c>
      <c r="M155" s="122" t="str">
        <f t="shared" si="52"/>
        <v>T</v>
      </c>
      <c r="N155" s="116" t="str">
        <f>IF($L155&lt;&gt;"",VLOOKUP($L155,Categories!$E:$G,2,FALSE),IF($F155&lt;&gt;"","NO CAT",""))</f>
        <v>Def Tax Side Sched</v>
      </c>
      <c r="O155" s="116" t="str">
        <f>IF($L155&lt;&gt;"",VLOOKUP($L155,Categories!$E:$G,3,FALSE),IF($F155&lt;&gt;"","NO CAT",""))</f>
        <v>Def Taxes</v>
      </c>
      <c r="P155" s="170" t="s">
        <v>1186</v>
      </c>
      <c r="Q155" s="123" t="s">
        <v>1187</v>
      </c>
      <c r="R155" s="124">
        <v>0</v>
      </c>
      <c r="S155" s="124">
        <v>0</v>
      </c>
      <c r="T155" s="124">
        <v>1</v>
      </c>
      <c r="U155" s="121">
        <f t="shared" si="55"/>
        <v>0</v>
      </c>
      <c r="V155" s="121">
        <f t="shared" si="56"/>
        <v>0</v>
      </c>
      <c r="W155" s="121">
        <f t="shared" si="57"/>
        <v>63377.461611250001</v>
      </c>
      <c r="X155" s="121">
        <f t="shared" si="53"/>
        <v>63377.461611250001</v>
      </c>
      <c r="Y155" s="121">
        <f t="shared" si="58"/>
        <v>0</v>
      </c>
      <c r="Z155" s="121">
        <f t="shared" si="59"/>
        <v>0</v>
      </c>
      <c r="AA155" s="121">
        <f t="shared" si="60"/>
        <v>70088.476039999994</v>
      </c>
      <c r="AB155" s="121">
        <f t="shared" si="54"/>
        <v>70088.476040000009</v>
      </c>
      <c r="AC155" s="121">
        <v>53989.656849999999</v>
      </c>
      <c r="AD155" s="121">
        <v>53989.134850000002</v>
      </c>
      <c r="AE155" s="121">
        <v>53987.521079999999</v>
      </c>
      <c r="AF155" s="121">
        <v>53984.577109999998</v>
      </c>
      <c r="AG155" s="121">
        <v>53938.965360000002</v>
      </c>
      <c r="AH155" s="121">
        <v>53960.766659999994</v>
      </c>
      <c r="AI155" s="121">
        <v>71834.085160000002</v>
      </c>
      <c r="AJ155" s="121">
        <v>71808.767730000007</v>
      </c>
      <c r="AK155" s="121">
        <v>71783.49109000001</v>
      </c>
      <c r="AL155" s="121">
        <v>71700.090290000007</v>
      </c>
      <c r="AM155" s="121">
        <v>71678.960640000005</v>
      </c>
      <c r="AN155" s="121">
        <v>69824.11292</v>
      </c>
      <c r="AO155" s="121">
        <v>70088.476040000009</v>
      </c>
      <c r="AP155" s="125" t="str">
        <f>CONCATENATE(A155,M155)</f>
        <v>GLT</v>
      </c>
      <c r="AQ155" s="125" t="str">
        <f>CONCATENATE(AP155,L155,H155)</f>
        <v>GLTT</v>
      </c>
      <c r="AS155" s="125" t="str">
        <f>CONCATENATE(L155,H155,J155)</f>
        <v>T</v>
      </c>
    </row>
    <row r="156" spans="1:45" s="125" customFormat="1" ht="25.5" customHeight="1">
      <c r="A156" s="216" t="s">
        <v>2493</v>
      </c>
      <c r="B156" s="217" t="str">
        <f t="shared" si="61"/>
        <v>GL190002</v>
      </c>
      <c r="C156" s="186">
        <v>190002</v>
      </c>
      <c r="D156" s="201"/>
      <c r="E156" s="162"/>
      <c r="F156" s="169" t="s">
        <v>1958</v>
      </c>
      <c r="G156" s="117"/>
      <c r="H156" s="118" t="s">
        <v>1180</v>
      </c>
      <c r="I156" s="119"/>
      <c r="J156" s="120"/>
      <c r="K156" s="120" t="str">
        <f t="shared" si="62"/>
        <v/>
      </c>
      <c r="L156" s="170" t="s">
        <v>1174</v>
      </c>
      <c r="M156" s="122" t="str">
        <f t="shared" si="52"/>
        <v>T</v>
      </c>
      <c r="N156" s="116" t="str">
        <f>IF($L156&lt;&gt;"",VLOOKUP($L156,Categories!$E:$G,2,FALSE),IF($F156&lt;&gt;"","NO CAT",""))</f>
        <v>Def Tax Side Sched</v>
      </c>
      <c r="O156" s="116" t="str">
        <f>IF($L156&lt;&gt;"",VLOOKUP($L156,Categories!$E:$G,3,FALSE),IF($F156&lt;&gt;"","NO CAT",""))</f>
        <v>Def Taxes</v>
      </c>
      <c r="P156" s="170" t="s">
        <v>1186</v>
      </c>
      <c r="Q156" s="123" t="s">
        <v>1187</v>
      </c>
      <c r="R156" s="124">
        <v>0</v>
      </c>
      <c r="S156" s="124">
        <v>0</v>
      </c>
      <c r="T156" s="124">
        <v>1</v>
      </c>
      <c r="U156" s="121">
        <f t="shared" si="55"/>
        <v>0</v>
      </c>
      <c r="V156" s="121">
        <f t="shared" si="56"/>
        <v>0</v>
      </c>
      <c r="W156" s="121">
        <f t="shared" si="57"/>
        <v>11026.841859583301</v>
      </c>
      <c r="X156" s="121">
        <f t="shared" si="53"/>
        <v>11026.841859583301</v>
      </c>
      <c r="Y156" s="121">
        <f t="shared" si="58"/>
        <v>0</v>
      </c>
      <c r="Z156" s="121">
        <f t="shared" si="59"/>
        <v>0</v>
      </c>
      <c r="AA156" s="121">
        <f t="shared" si="60"/>
        <v>10280.84851</v>
      </c>
      <c r="AB156" s="121">
        <f t="shared" si="54"/>
        <v>10280.84851</v>
      </c>
      <c r="AC156" s="121">
        <v>9998.6891199999991</v>
      </c>
      <c r="AD156" s="121">
        <v>10021.27541</v>
      </c>
      <c r="AE156" s="121">
        <v>10045.37559</v>
      </c>
      <c r="AF156" s="121">
        <v>10068.401760000001</v>
      </c>
      <c r="AG156" s="121">
        <v>10037.86478</v>
      </c>
      <c r="AH156" s="121">
        <v>10072.061820000001</v>
      </c>
      <c r="AI156" s="121">
        <v>12284.920289999998</v>
      </c>
      <c r="AJ156" s="121">
        <v>12298.09935</v>
      </c>
      <c r="AK156" s="121">
        <v>12311.337210000002</v>
      </c>
      <c r="AL156" s="121">
        <v>12379.810130000002</v>
      </c>
      <c r="AM156" s="121">
        <v>12435.761039999999</v>
      </c>
      <c r="AN156" s="121">
        <v>10227.42612</v>
      </c>
      <c r="AO156" s="121">
        <v>10280.84851</v>
      </c>
      <c r="AP156" s="125" t="str">
        <f>CONCATENATE(A156,M156)</f>
        <v>GLT</v>
      </c>
      <c r="AQ156" s="125" t="str">
        <f>CONCATENATE(AP156,L156,H156)</f>
        <v>GLTT</v>
      </c>
      <c r="AS156" s="125" t="str">
        <f>CONCATENATE(L156,H156,J156)</f>
        <v>T</v>
      </c>
    </row>
    <row r="157" spans="1:45" s="125" customFormat="1" ht="25.5" customHeight="1">
      <c r="A157" s="216" t="s">
        <v>2493</v>
      </c>
      <c r="B157" s="217" t="str">
        <f t="shared" si="61"/>
        <v>GL190003</v>
      </c>
      <c r="C157" s="186">
        <v>190003</v>
      </c>
      <c r="D157" s="201"/>
      <c r="E157" s="162"/>
      <c r="F157" s="169" t="s">
        <v>489</v>
      </c>
      <c r="G157" s="117"/>
      <c r="H157" s="118" t="s">
        <v>1180</v>
      </c>
      <c r="I157" s="119"/>
      <c r="J157" s="120"/>
      <c r="K157" s="120" t="str">
        <f t="shared" si="62"/>
        <v/>
      </c>
      <c r="L157" s="170" t="s">
        <v>1174</v>
      </c>
      <c r="M157" s="122" t="str">
        <f t="shared" si="52"/>
        <v>T</v>
      </c>
      <c r="N157" s="116" t="str">
        <f>IF($L157&lt;&gt;"",VLOOKUP($L157,Categories!$E:$G,2,FALSE),IF($F157&lt;&gt;"","NO CAT",""))</f>
        <v>Def Tax Side Sched</v>
      </c>
      <c r="O157" s="116" t="str">
        <f>IF($L157&lt;&gt;"",VLOOKUP($L157,Categories!$E:$G,3,FALSE),IF($F157&lt;&gt;"","NO CAT",""))</f>
        <v>Def Taxes</v>
      </c>
      <c r="P157" s="170" t="s">
        <v>1186</v>
      </c>
      <c r="Q157" s="123" t="s">
        <v>1187</v>
      </c>
      <c r="R157" s="124">
        <v>0</v>
      </c>
      <c r="S157" s="124">
        <v>0</v>
      </c>
      <c r="T157" s="124">
        <v>1</v>
      </c>
      <c r="U157" s="121">
        <f t="shared" si="55"/>
        <v>0</v>
      </c>
      <c r="V157" s="121">
        <f t="shared" si="56"/>
        <v>0</v>
      </c>
      <c r="W157" s="121">
        <f t="shared" si="57"/>
        <v>335.55799999999999</v>
      </c>
      <c r="X157" s="121">
        <f t="shared" si="53"/>
        <v>335.55799999999999</v>
      </c>
      <c r="Y157" s="121">
        <f t="shared" si="58"/>
        <v>0</v>
      </c>
      <c r="Z157" s="121">
        <f t="shared" si="59"/>
        <v>0</v>
      </c>
      <c r="AA157" s="121">
        <f t="shared" si="60"/>
        <v>335.55799999999999</v>
      </c>
      <c r="AB157" s="121">
        <f t="shared" si="54"/>
        <v>335.55799999999999</v>
      </c>
      <c r="AC157" s="121">
        <v>335.55799999999999</v>
      </c>
      <c r="AD157" s="121">
        <v>335.55799999999999</v>
      </c>
      <c r="AE157" s="121">
        <v>335.55799999999999</v>
      </c>
      <c r="AF157" s="121">
        <v>335.55799999999999</v>
      </c>
      <c r="AG157" s="121">
        <v>335.55799999999999</v>
      </c>
      <c r="AH157" s="121">
        <v>335.55799999999999</v>
      </c>
      <c r="AI157" s="121">
        <v>335.55799999999999</v>
      </c>
      <c r="AJ157" s="121">
        <v>335.55799999999999</v>
      </c>
      <c r="AK157" s="121">
        <v>335.55799999999999</v>
      </c>
      <c r="AL157" s="121">
        <v>335.55799999999999</v>
      </c>
      <c r="AM157" s="121">
        <v>335.55799999999999</v>
      </c>
      <c r="AN157" s="121">
        <v>335.55799999999999</v>
      </c>
      <c r="AO157" s="121">
        <v>335.55799999999999</v>
      </c>
      <c r="AP157" s="125" t="str">
        <f>CONCATENATE(A157,M157)</f>
        <v>GLT</v>
      </c>
      <c r="AQ157" s="125" t="str">
        <f>CONCATENATE(AP157,L157,H157)</f>
        <v>GLTT</v>
      </c>
      <c r="AS157" s="125" t="str">
        <f>CONCATENATE(L157,H157,J157)</f>
        <v>T</v>
      </c>
    </row>
    <row r="158" spans="1:45" s="125" customFormat="1" ht="25.5" customHeight="1">
      <c r="A158" s="216" t="s">
        <v>2493</v>
      </c>
      <c r="B158" s="217" t="str">
        <f t="shared" si="61"/>
        <v>GL190006</v>
      </c>
      <c r="C158" s="186">
        <v>190006</v>
      </c>
      <c r="D158" s="201"/>
      <c r="E158" s="162"/>
      <c r="F158" s="169" t="s">
        <v>2214</v>
      </c>
      <c r="G158" s="117"/>
      <c r="H158" s="118" t="s">
        <v>1180</v>
      </c>
      <c r="I158" s="119"/>
      <c r="J158" s="120"/>
      <c r="K158" s="120" t="str">
        <f t="shared" si="62"/>
        <v/>
      </c>
      <c r="L158" s="170" t="s">
        <v>1174</v>
      </c>
      <c r="M158" s="122" t="str">
        <f t="shared" si="52"/>
        <v>T</v>
      </c>
      <c r="N158" s="116" t="str">
        <f>IF($L158&lt;&gt;"",VLOOKUP($L158,Categories!$E:$G,2,FALSE),IF($F158&lt;&gt;"","NO CAT",""))</f>
        <v>Def Tax Side Sched</v>
      </c>
      <c r="O158" s="116" t="str">
        <f>IF($L158&lt;&gt;"",VLOOKUP($L158,Categories!$E:$G,3,FALSE),IF($F158&lt;&gt;"","NO CAT",""))</f>
        <v>Def Taxes</v>
      </c>
      <c r="P158" s="170" t="s">
        <v>1186</v>
      </c>
      <c r="Q158" s="123" t="s">
        <v>1187</v>
      </c>
      <c r="R158" s="124">
        <v>0</v>
      </c>
      <c r="S158" s="124">
        <v>0</v>
      </c>
      <c r="T158" s="124">
        <v>1</v>
      </c>
      <c r="U158" s="121">
        <f t="shared" si="55"/>
        <v>0</v>
      </c>
      <c r="V158" s="121">
        <f t="shared" si="56"/>
        <v>0</v>
      </c>
      <c r="W158" s="121">
        <f t="shared" si="57"/>
        <v>127940.531325833</v>
      </c>
      <c r="X158" s="121">
        <f t="shared" si="53"/>
        <v>127940.531325833</v>
      </c>
      <c r="Y158" s="121">
        <f t="shared" si="58"/>
        <v>0</v>
      </c>
      <c r="Z158" s="121">
        <f t="shared" si="59"/>
        <v>0</v>
      </c>
      <c r="AA158" s="121">
        <f t="shared" si="60"/>
        <v>138409.38292999999</v>
      </c>
      <c r="AB158" s="121">
        <f t="shared" si="54"/>
        <v>138409.38293000002</v>
      </c>
      <c r="AC158" s="121">
        <v>121157.87459000001</v>
      </c>
      <c r="AD158" s="121">
        <v>121799.93529000001</v>
      </c>
      <c r="AE158" s="121">
        <v>122319.21609999999</v>
      </c>
      <c r="AF158" s="121">
        <v>124484.57476999999</v>
      </c>
      <c r="AG158" s="121">
        <v>125263.08792000001</v>
      </c>
      <c r="AH158" s="121">
        <v>126473.27077</v>
      </c>
      <c r="AI158" s="121">
        <v>128012.98061</v>
      </c>
      <c r="AJ158" s="121">
        <v>131471.80085</v>
      </c>
      <c r="AK158" s="121">
        <v>131218.60654000001</v>
      </c>
      <c r="AL158" s="121">
        <v>130931.28124</v>
      </c>
      <c r="AM158" s="121">
        <v>131757.99426000001</v>
      </c>
      <c r="AN158" s="121">
        <v>131769.9988</v>
      </c>
      <c r="AO158" s="121">
        <v>138409.38293000002</v>
      </c>
      <c r="AP158" s="125" t="str">
        <f>CONCATENATE(A158,M158)</f>
        <v>GLT</v>
      </c>
      <c r="AQ158" s="125" t="str">
        <f>CONCATENATE(AP158,L158,H158)</f>
        <v>GLTT</v>
      </c>
      <c r="AS158" s="125" t="str">
        <f>CONCATENATE(L158,H158,J158)</f>
        <v>T</v>
      </c>
    </row>
    <row r="159" spans="1:45" s="125" customFormat="1" ht="25.5" customHeight="1">
      <c r="A159" s="216" t="s">
        <v>2493</v>
      </c>
      <c r="B159" s="217" t="str">
        <f t="shared" si="61"/>
        <v>GL190007</v>
      </c>
      <c r="C159" s="186">
        <v>190007</v>
      </c>
      <c r="D159" s="201"/>
      <c r="E159" s="162"/>
      <c r="F159" s="169" t="s">
        <v>2215</v>
      </c>
      <c r="G159" s="117"/>
      <c r="H159" s="118" t="s">
        <v>1180</v>
      </c>
      <c r="I159" s="119"/>
      <c r="J159" s="120"/>
      <c r="K159" s="120" t="str">
        <f t="shared" si="62"/>
        <v/>
      </c>
      <c r="L159" s="170" t="s">
        <v>1174</v>
      </c>
      <c r="M159" s="122" t="str">
        <f t="shared" si="52"/>
        <v>T</v>
      </c>
      <c r="N159" s="116" t="str">
        <f>IF($L159&lt;&gt;"",VLOOKUP($L159,Categories!$E:$G,2,FALSE),IF($F159&lt;&gt;"","NO CAT",""))</f>
        <v>Def Tax Side Sched</v>
      </c>
      <c r="O159" s="116" t="str">
        <f>IF($L159&lt;&gt;"",VLOOKUP($L159,Categories!$E:$G,3,FALSE),IF($F159&lt;&gt;"","NO CAT",""))</f>
        <v>Def Taxes</v>
      </c>
      <c r="P159" s="170" t="s">
        <v>1186</v>
      </c>
      <c r="Q159" s="123" t="s">
        <v>1187</v>
      </c>
      <c r="R159" s="124">
        <v>0</v>
      </c>
      <c r="S159" s="124">
        <v>0</v>
      </c>
      <c r="T159" s="124">
        <v>1</v>
      </c>
      <c r="U159" s="121">
        <f t="shared" si="55"/>
        <v>0</v>
      </c>
      <c r="V159" s="121">
        <f t="shared" si="56"/>
        <v>0</v>
      </c>
      <c r="W159" s="121">
        <f t="shared" si="57"/>
        <v>72770.879051666707</v>
      </c>
      <c r="X159" s="121">
        <f t="shared" si="53"/>
        <v>72770.879051666707</v>
      </c>
      <c r="Y159" s="121">
        <f t="shared" si="58"/>
        <v>0</v>
      </c>
      <c r="Z159" s="121">
        <f t="shared" si="59"/>
        <v>0</v>
      </c>
      <c r="AA159" s="121">
        <f t="shared" si="60"/>
        <v>76468.906359999994</v>
      </c>
      <c r="AB159" s="121">
        <f t="shared" si="54"/>
        <v>76468.906359999994</v>
      </c>
      <c r="AC159" s="121">
        <v>71384.957399999999</v>
      </c>
      <c r="AD159" s="121">
        <v>71408.153599999991</v>
      </c>
      <c r="AE159" s="121">
        <v>71394.481040000013</v>
      </c>
      <c r="AF159" s="121">
        <v>71815.98262000001</v>
      </c>
      <c r="AG159" s="121">
        <v>71815.228269999992</v>
      </c>
      <c r="AH159" s="121">
        <v>72028.821319999988</v>
      </c>
      <c r="AI159" s="121">
        <v>72430.81078</v>
      </c>
      <c r="AJ159" s="121">
        <v>73525.430840000001</v>
      </c>
      <c r="AK159" s="121">
        <v>73528.259650000007</v>
      </c>
      <c r="AL159" s="121">
        <v>73530.428400000004</v>
      </c>
      <c r="AM159" s="121">
        <v>73920.558480000007</v>
      </c>
      <c r="AN159" s="121">
        <v>73925.461739999999</v>
      </c>
      <c r="AO159" s="121">
        <v>76468.906359999994</v>
      </c>
      <c r="AP159" s="125" t="str">
        <f>CONCATENATE(A159,M159)</f>
        <v>GLT</v>
      </c>
      <c r="AQ159" s="125" t="str">
        <f>CONCATENATE(AP159,L159,H159)</f>
        <v>GLTT</v>
      </c>
      <c r="AS159" s="125" t="str">
        <f>CONCATENATE(L159,H159,J159)</f>
        <v>T</v>
      </c>
    </row>
    <row r="160" spans="1:45" s="125" customFormat="1" ht="25.5" customHeight="1">
      <c r="A160" s="216" t="s">
        <v>2493</v>
      </c>
      <c r="B160" s="217" t="str">
        <f t="shared" si="61"/>
        <v>GL190008</v>
      </c>
      <c r="C160" s="186">
        <v>190008</v>
      </c>
      <c r="D160" s="201"/>
      <c r="E160" s="162"/>
      <c r="F160" s="169" t="s">
        <v>1841</v>
      </c>
      <c r="G160" s="117"/>
      <c r="H160" s="118">
        <v>0</v>
      </c>
      <c r="I160" s="119"/>
      <c r="J160" s="120"/>
      <c r="K160" s="120" t="str">
        <f t="shared" si="62"/>
        <v/>
      </c>
      <c r="L160" s="170" t="s">
        <v>1174</v>
      </c>
      <c r="M160" s="122" t="str">
        <f t="shared" si="52"/>
        <v>T</v>
      </c>
      <c r="N160" s="116" t="str">
        <f>IF($L160&lt;&gt;"",VLOOKUP($L160,Categories!$E:$G,2,FALSE),IF($F160&lt;&gt;"","NO CAT",""))</f>
        <v>Def Tax Side Sched</v>
      </c>
      <c r="O160" s="116" t="str">
        <f>IF($L160&lt;&gt;"",VLOOKUP($L160,Categories!$E:$G,3,FALSE),IF($F160&lt;&gt;"","NO CAT",""))</f>
        <v>Def Taxes</v>
      </c>
      <c r="P160" s="170" t="s">
        <v>1186</v>
      </c>
      <c r="Q160" s="123" t="s">
        <v>1187</v>
      </c>
      <c r="R160" s="124">
        <v>0</v>
      </c>
      <c r="S160" s="124">
        <v>0</v>
      </c>
      <c r="T160" s="124">
        <v>1</v>
      </c>
      <c r="U160" s="121">
        <f t="shared" si="55"/>
        <v>0</v>
      </c>
      <c r="V160" s="121">
        <f t="shared" si="56"/>
        <v>0</v>
      </c>
      <c r="W160" s="121">
        <f t="shared" si="57"/>
        <v>690.49900000000002</v>
      </c>
      <c r="X160" s="121">
        <f t="shared" si="53"/>
        <v>690.49900000000002</v>
      </c>
      <c r="Y160" s="121">
        <f t="shared" si="58"/>
        <v>0</v>
      </c>
      <c r="Z160" s="121">
        <f t="shared" si="59"/>
        <v>0</v>
      </c>
      <c r="AA160" s="121">
        <f t="shared" si="60"/>
        <v>690.49900000000002</v>
      </c>
      <c r="AB160" s="121">
        <f t="shared" si="54"/>
        <v>690.49900000000002</v>
      </c>
      <c r="AC160" s="121">
        <v>690.49900000000002</v>
      </c>
      <c r="AD160" s="121">
        <v>690.49900000000002</v>
      </c>
      <c r="AE160" s="121">
        <v>690.49900000000002</v>
      </c>
      <c r="AF160" s="121">
        <v>690.49900000000002</v>
      </c>
      <c r="AG160" s="121">
        <v>690.49900000000002</v>
      </c>
      <c r="AH160" s="121">
        <v>690.49900000000002</v>
      </c>
      <c r="AI160" s="121">
        <v>690.49900000000002</v>
      </c>
      <c r="AJ160" s="121">
        <v>690.49900000000002</v>
      </c>
      <c r="AK160" s="121">
        <v>690.49900000000002</v>
      </c>
      <c r="AL160" s="121">
        <v>690.49900000000002</v>
      </c>
      <c r="AM160" s="121">
        <v>690.49900000000002</v>
      </c>
      <c r="AN160" s="121">
        <v>690.49900000000002</v>
      </c>
      <c r="AO160" s="121">
        <v>690.49900000000002</v>
      </c>
      <c r="AP160" s="125" t="str">
        <f>CONCATENATE(A160,M160)</f>
        <v>GLT</v>
      </c>
      <c r="AQ160" s="125" t="str">
        <f>CONCATENATE(AP160,L160,H160)</f>
        <v>GLTT0</v>
      </c>
      <c r="AS160" s="125" t="str">
        <f>CONCATENATE(L160,H160,J160)</f>
        <v>T0</v>
      </c>
    </row>
    <row r="161" spans="1:45" s="125" customFormat="1" ht="25.5" customHeight="1">
      <c r="A161" s="216" t="s">
        <v>2493</v>
      </c>
      <c r="B161" s="217" t="str">
        <f t="shared" si="61"/>
        <v>GL190010</v>
      </c>
      <c r="C161" s="186">
        <v>190010</v>
      </c>
      <c r="D161" s="201"/>
      <c r="E161" s="162"/>
      <c r="F161" s="169" t="s">
        <v>2216</v>
      </c>
      <c r="G161" s="117"/>
      <c r="H161" s="118" t="s">
        <v>1180</v>
      </c>
      <c r="I161" s="119"/>
      <c r="J161" s="120"/>
      <c r="K161" s="120" t="str">
        <f t="shared" si="62"/>
        <v/>
      </c>
      <c r="L161" s="170" t="s">
        <v>1174</v>
      </c>
      <c r="M161" s="122" t="str">
        <f t="shared" si="52"/>
        <v>T</v>
      </c>
      <c r="N161" s="116" t="str">
        <f>IF($L161&lt;&gt;"",VLOOKUP($L161,Categories!$E:$G,2,FALSE),IF($F161&lt;&gt;"","NO CAT",""))</f>
        <v>Def Tax Side Sched</v>
      </c>
      <c r="O161" s="116" t="str">
        <f>IF($L161&lt;&gt;"",VLOOKUP($L161,Categories!$E:$G,3,FALSE),IF($F161&lt;&gt;"","NO CAT",""))</f>
        <v>Def Taxes</v>
      </c>
      <c r="P161" s="170" t="s">
        <v>1186</v>
      </c>
      <c r="Q161" s="123" t="s">
        <v>1187</v>
      </c>
      <c r="R161" s="124">
        <v>0</v>
      </c>
      <c r="S161" s="124">
        <v>0</v>
      </c>
      <c r="T161" s="124">
        <v>1</v>
      </c>
      <c r="U161" s="121">
        <f t="shared" si="55"/>
        <v>0</v>
      </c>
      <c r="V161" s="121">
        <f t="shared" si="56"/>
        <v>0</v>
      </c>
      <c r="W161" s="121">
        <f t="shared" si="57"/>
        <v>172.45900041666701</v>
      </c>
      <c r="X161" s="121">
        <f t="shared" si="53"/>
        <v>172.45900041666701</v>
      </c>
      <c r="Y161" s="121">
        <f t="shared" si="58"/>
        <v>0</v>
      </c>
      <c r="Z161" s="121">
        <f t="shared" si="59"/>
        <v>0</v>
      </c>
      <c r="AA161" s="121">
        <f t="shared" si="60"/>
        <v>221.91401999999999</v>
      </c>
      <c r="AB161" s="121">
        <f t="shared" si="54"/>
        <v>221.91401999999999</v>
      </c>
      <c r="AC161" s="121">
        <v>183.03158999999999</v>
      </c>
      <c r="AD161" s="121">
        <v>188.80804000000001</v>
      </c>
      <c r="AE161" s="121">
        <v>174.28886</v>
      </c>
      <c r="AF161" s="121">
        <v>172.78392000000002</v>
      </c>
      <c r="AG161" s="121">
        <v>167.02873000000002</v>
      </c>
      <c r="AH161" s="121">
        <v>161.82154</v>
      </c>
      <c r="AI161" s="121">
        <v>147.01062999999999</v>
      </c>
      <c r="AJ161" s="121">
        <v>154.69541000000001</v>
      </c>
      <c r="AK161" s="121">
        <v>152.90924999999999</v>
      </c>
      <c r="AL161" s="121">
        <v>165.41004999999998</v>
      </c>
      <c r="AM161" s="121">
        <v>178.13804999999999</v>
      </c>
      <c r="AN161" s="121">
        <v>204.14071999999999</v>
      </c>
      <c r="AO161" s="121">
        <v>221.91401999999999</v>
      </c>
      <c r="AP161" s="125" t="str">
        <f>CONCATENATE(A161,M161)</f>
        <v>GLT</v>
      </c>
      <c r="AQ161" s="125" t="str">
        <f>CONCATENATE(AP161,L161,H161)</f>
        <v>GLTT</v>
      </c>
      <c r="AS161" s="125" t="str">
        <f>CONCATENATE(L161,H161,J161)</f>
        <v>T</v>
      </c>
    </row>
    <row r="162" spans="1:45" s="125" customFormat="1" ht="25.5" customHeight="1">
      <c r="A162" s="216" t="s">
        <v>2493</v>
      </c>
      <c r="B162" s="217" t="str">
        <f t="shared" si="61"/>
        <v>GL190011</v>
      </c>
      <c r="C162" s="186">
        <v>190011</v>
      </c>
      <c r="D162" s="201"/>
      <c r="E162" s="162"/>
      <c r="F162" s="169" t="s">
        <v>346</v>
      </c>
      <c r="G162" s="117"/>
      <c r="H162" s="118" t="s">
        <v>1180</v>
      </c>
      <c r="I162" s="119"/>
      <c r="J162" s="120"/>
      <c r="K162" s="120" t="str">
        <f t="shared" si="62"/>
        <v/>
      </c>
      <c r="L162" s="170" t="s">
        <v>1174</v>
      </c>
      <c r="M162" s="122" t="str">
        <f t="shared" si="52"/>
        <v>T</v>
      </c>
      <c r="N162" s="116" t="str">
        <f>IF($L162&lt;&gt;"",VLOOKUP($L162,Categories!$E:$G,2,FALSE),IF($F162&lt;&gt;"","NO CAT",""))</f>
        <v>Def Tax Side Sched</v>
      </c>
      <c r="O162" s="116" t="str">
        <f>IF($L162&lt;&gt;"",VLOOKUP($L162,Categories!$E:$G,3,FALSE),IF($F162&lt;&gt;"","NO CAT",""))</f>
        <v>Def Taxes</v>
      </c>
      <c r="P162" s="170" t="s">
        <v>1186</v>
      </c>
      <c r="Q162" s="123" t="s">
        <v>1187</v>
      </c>
      <c r="R162" s="124">
        <v>0</v>
      </c>
      <c r="S162" s="124">
        <v>0</v>
      </c>
      <c r="T162" s="124">
        <v>1</v>
      </c>
      <c r="U162" s="121">
        <f t="shared" si="55"/>
        <v>0</v>
      </c>
      <c r="V162" s="121">
        <f t="shared" si="56"/>
        <v>0</v>
      </c>
      <c r="W162" s="121">
        <f t="shared" si="57"/>
        <v>12051.9187666667</v>
      </c>
      <c r="X162" s="121">
        <f t="shared" si="53"/>
        <v>12051.9187666667</v>
      </c>
      <c r="Y162" s="121">
        <f t="shared" si="58"/>
        <v>0</v>
      </c>
      <c r="Z162" s="121">
        <f t="shared" si="59"/>
        <v>0</v>
      </c>
      <c r="AA162" s="121">
        <f t="shared" si="60"/>
        <v>12734.80135</v>
      </c>
      <c r="AB162" s="121">
        <f t="shared" si="54"/>
        <v>12734.80135</v>
      </c>
      <c r="AC162" s="121">
        <v>9130.5846099999999</v>
      </c>
      <c r="AD162" s="121">
        <v>9138.0833399999992</v>
      </c>
      <c r="AE162" s="121">
        <v>9145.3436700000002</v>
      </c>
      <c r="AF162" s="121">
        <v>9152.3135299999994</v>
      </c>
      <c r="AG162" s="121">
        <v>9149.9664200000007</v>
      </c>
      <c r="AH162" s="121">
        <v>9162.3396799999991</v>
      </c>
      <c r="AI162" s="121">
        <v>22982.783729999999</v>
      </c>
      <c r="AJ162" s="121">
        <v>13074.868109999999</v>
      </c>
      <c r="AK162" s="121">
        <v>13076.96139</v>
      </c>
      <c r="AL162" s="121">
        <v>13066.362640000001</v>
      </c>
      <c r="AM162" s="121">
        <v>13069.36147</v>
      </c>
      <c r="AN162" s="121">
        <v>12671.94824</v>
      </c>
      <c r="AO162" s="121">
        <v>12734.80135</v>
      </c>
      <c r="AP162" s="125" t="str">
        <f>CONCATENATE(A162,M162)</f>
        <v>GLT</v>
      </c>
      <c r="AQ162" s="125" t="str">
        <f>CONCATENATE(AP162,L162,H162)</f>
        <v>GLTT</v>
      </c>
      <c r="AS162" s="125" t="str">
        <f>CONCATENATE(L162,H162,J162)</f>
        <v>T</v>
      </c>
    </row>
    <row r="163" spans="1:45" s="125" customFormat="1" ht="25.5" customHeight="1">
      <c r="A163" s="216" t="s">
        <v>2493</v>
      </c>
      <c r="B163" s="217" t="str">
        <f t="shared" si="61"/>
        <v>GL190012</v>
      </c>
      <c r="C163" s="186">
        <v>190012</v>
      </c>
      <c r="D163" s="201"/>
      <c r="E163" s="162"/>
      <c r="F163" s="169" t="s">
        <v>347</v>
      </c>
      <c r="G163" s="117"/>
      <c r="H163" s="118" t="s">
        <v>1180</v>
      </c>
      <c r="I163" s="119"/>
      <c r="J163" s="120"/>
      <c r="K163" s="120" t="str">
        <f t="shared" si="62"/>
        <v/>
      </c>
      <c r="L163" s="170" t="s">
        <v>1174</v>
      </c>
      <c r="M163" s="122" t="str">
        <f t="shared" si="52"/>
        <v>T</v>
      </c>
      <c r="N163" s="116" t="str">
        <f>IF($L163&lt;&gt;"",VLOOKUP($L163,Categories!$E:$G,2,FALSE),IF($F163&lt;&gt;"","NO CAT",""))</f>
        <v>Def Tax Side Sched</v>
      </c>
      <c r="O163" s="116" t="str">
        <f>IF($L163&lt;&gt;"",VLOOKUP($L163,Categories!$E:$G,3,FALSE),IF($F163&lt;&gt;"","NO CAT",""))</f>
        <v>Def Taxes</v>
      </c>
      <c r="P163" s="170" t="s">
        <v>1186</v>
      </c>
      <c r="Q163" s="123" t="s">
        <v>1187</v>
      </c>
      <c r="R163" s="124">
        <v>0</v>
      </c>
      <c r="S163" s="124">
        <v>0</v>
      </c>
      <c r="T163" s="124">
        <v>1</v>
      </c>
      <c r="U163" s="121">
        <f t="shared" si="55"/>
        <v>0</v>
      </c>
      <c r="V163" s="121">
        <f t="shared" si="56"/>
        <v>0</v>
      </c>
      <c r="W163" s="121">
        <f t="shared" si="57"/>
        <v>2364.0548033333298</v>
      </c>
      <c r="X163" s="121">
        <f t="shared" si="53"/>
        <v>2364.0548033333298</v>
      </c>
      <c r="Y163" s="121">
        <f t="shared" si="58"/>
        <v>0</v>
      </c>
      <c r="Z163" s="121">
        <f t="shared" si="59"/>
        <v>0</v>
      </c>
      <c r="AA163" s="121">
        <f t="shared" si="60"/>
        <v>2020.5757900000001</v>
      </c>
      <c r="AB163" s="121">
        <f t="shared" si="54"/>
        <v>2020.5757900000001</v>
      </c>
      <c r="AC163" s="121">
        <v>1958.96327</v>
      </c>
      <c r="AD163" s="121">
        <v>1963.8952199999999</v>
      </c>
      <c r="AE163" s="121">
        <v>1969.1577500000001</v>
      </c>
      <c r="AF163" s="121">
        <v>1974.18577</v>
      </c>
      <c r="AG163" s="121">
        <v>1967.5176899999999</v>
      </c>
      <c r="AH163" s="121">
        <v>1974.98498</v>
      </c>
      <c r="AI163" s="121">
        <v>4625.1864299999997</v>
      </c>
      <c r="AJ163" s="121">
        <v>2461.0642200000002</v>
      </c>
      <c r="AK163" s="121">
        <v>2463.9548500000001</v>
      </c>
      <c r="AL163" s="121">
        <v>2478.9066400000002</v>
      </c>
      <c r="AM163" s="121">
        <v>2491.1241199999999</v>
      </c>
      <c r="AN163" s="121">
        <v>2008.9104399999999</v>
      </c>
      <c r="AO163" s="121">
        <v>2020.5757900000001</v>
      </c>
      <c r="AP163" s="125" t="str">
        <f>CONCATENATE(A163,M163)</f>
        <v>GLT</v>
      </c>
      <c r="AQ163" s="125" t="str">
        <f>CONCATENATE(AP163,L163,H163)</f>
        <v>GLTT</v>
      </c>
      <c r="AS163" s="125" t="str">
        <f>CONCATENATE(L163,H163,J163)</f>
        <v>T</v>
      </c>
    </row>
    <row r="164" spans="1:45" s="125" customFormat="1" ht="25.5" customHeight="1">
      <c r="A164" s="216" t="s">
        <v>2493</v>
      </c>
      <c r="B164" s="217" t="str">
        <f t="shared" si="61"/>
        <v>GL190013</v>
      </c>
      <c r="C164" s="186">
        <v>190013</v>
      </c>
      <c r="D164" s="201"/>
      <c r="E164" s="162"/>
      <c r="F164" s="169" t="s">
        <v>1520</v>
      </c>
      <c r="G164" s="117"/>
      <c r="H164" s="118" t="s">
        <v>1180</v>
      </c>
      <c r="I164" s="119"/>
      <c r="J164" s="120"/>
      <c r="K164" s="120" t="str">
        <f t="shared" si="62"/>
        <v/>
      </c>
      <c r="L164" s="170" t="s">
        <v>1174</v>
      </c>
      <c r="M164" s="122" t="str">
        <f t="shared" si="52"/>
        <v>T</v>
      </c>
      <c r="N164" s="116" t="str">
        <f>IF($L164&lt;&gt;"",VLOOKUP($L164,Categories!$E:$G,2,FALSE),IF($F164&lt;&gt;"","NO CAT",""))</f>
        <v>Def Tax Side Sched</v>
      </c>
      <c r="O164" s="116" t="str">
        <f>IF($L164&lt;&gt;"",VLOOKUP($L164,Categories!$E:$G,3,FALSE),IF($F164&lt;&gt;"","NO CAT",""))</f>
        <v>Def Taxes</v>
      </c>
      <c r="P164" s="170" t="s">
        <v>1186</v>
      </c>
      <c r="Q164" s="123" t="s">
        <v>1187</v>
      </c>
      <c r="R164" s="124">
        <v>0</v>
      </c>
      <c r="S164" s="124">
        <v>0</v>
      </c>
      <c r="T164" s="124">
        <v>1</v>
      </c>
      <c r="U164" s="121">
        <f t="shared" si="55"/>
        <v>0</v>
      </c>
      <c r="V164" s="121">
        <f t="shared" si="56"/>
        <v>0</v>
      </c>
      <c r="W164" s="121">
        <f t="shared" si="57"/>
        <v>63.776000000000003</v>
      </c>
      <c r="X164" s="121">
        <f t="shared" ref="X164:X217" si="63">IF(ISERROR(ROUND((SUM(AC164:AO164)-((AC164+AO164))/2)/12,15)),"",ROUND((SUM(AC164:AO164)-((AC164+AO164))/2)/12,15))</f>
        <v>63.776000000000003</v>
      </c>
      <c r="Y164" s="121">
        <f t="shared" si="58"/>
        <v>0</v>
      </c>
      <c r="Z164" s="121">
        <f t="shared" si="59"/>
        <v>0</v>
      </c>
      <c r="AA164" s="121">
        <f t="shared" si="60"/>
        <v>63.776000000000003</v>
      </c>
      <c r="AB164" s="121">
        <f t="shared" ref="AB164:AB217" si="64">IF(AO164="",0,+AO164)</f>
        <v>63.776000000000003</v>
      </c>
      <c r="AC164" s="121">
        <v>63.776000000000003</v>
      </c>
      <c r="AD164" s="121">
        <v>63.776000000000003</v>
      </c>
      <c r="AE164" s="121">
        <v>63.776000000000003</v>
      </c>
      <c r="AF164" s="121">
        <v>63.776000000000003</v>
      </c>
      <c r="AG164" s="121">
        <v>63.776000000000003</v>
      </c>
      <c r="AH164" s="121">
        <v>63.776000000000003</v>
      </c>
      <c r="AI164" s="121">
        <v>63.776000000000003</v>
      </c>
      <c r="AJ164" s="121">
        <v>63.776000000000003</v>
      </c>
      <c r="AK164" s="121">
        <v>63.776000000000003</v>
      </c>
      <c r="AL164" s="121">
        <v>63.776000000000003</v>
      </c>
      <c r="AM164" s="121">
        <v>63.776000000000003</v>
      </c>
      <c r="AN164" s="121">
        <v>63.776000000000003</v>
      </c>
      <c r="AO164" s="121">
        <v>63.776000000000003</v>
      </c>
      <c r="AP164" s="125" t="str">
        <f>CONCATENATE(A164,M164)</f>
        <v>GLT</v>
      </c>
      <c r="AQ164" s="125" t="str">
        <f>CONCATENATE(AP164,L164,H164)</f>
        <v>GLTT</v>
      </c>
      <c r="AS164" s="125" t="str">
        <f>CONCATENATE(L164,H164,J164)</f>
        <v>T</v>
      </c>
    </row>
    <row r="165" spans="1:45" s="125" customFormat="1" ht="25.5" customHeight="1">
      <c r="A165" s="216" t="s">
        <v>2493</v>
      </c>
      <c r="B165" s="217" t="str">
        <f t="shared" si="61"/>
        <v>GL190015</v>
      </c>
      <c r="C165" s="186">
        <v>190015</v>
      </c>
      <c r="D165" s="201"/>
      <c r="E165" s="162"/>
      <c r="F165" s="169" t="s">
        <v>1842</v>
      </c>
      <c r="G165" s="117"/>
      <c r="H165" s="118">
        <v>0</v>
      </c>
      <c r="I165" s="119"/>
      <c r="J165" s="120"/>
      <c r="K165" s="120" t="str">
        <f t="shared" si="62"/>
        <v/>
      </c>
      <c r="L165" s="170" t="s">
        <v>1174</v>
      </c>
      <c r="M165" s="122" t="str">
        <f t="shared" si="52"/>
        <v>T</v>
      </c>
      <c r="N165" s="116" t="str">
        <f>IF($L165&lt;&gt;"",VLOOKUP($L165,Categories!$E:$G,2,FALSE),IF($F165&lt;&gt;"","NO CAT",""))</f>
        <v>Def Tax Side Sched</v>
      </c>
      <c r="O165" s="116" t="str">
        <f>IF($L165&lt;&gt;"",VLOOKUP($L165,Categories!$E:$G,3,FALSE),IF($F165&lt;&gt;"","NO CAT",""))</f>
        <v>Def Taxes</v>
      </c>
      <c r="P165" s="170" t="s">
        <v>1186</v>
      </c>
      <c r="Q165" s="123" t="s">
        <v>1187</v>
      </c>
      <c r="R165" s="124">
        <v>0</v>
      </c>
      <c r="S165" s="124">
        <v>0</v>
      </c>
      <c r="T165" s="124">
        <v>1</v>
      </c>
      <c r="U165" s="121">
        <f t="shared" si="55"/>
        <v>0</v>
      </c>
      <c r="V165" s="121">
        <f t="shared" si="56"/>
        <v>0</v>
      </c>
      <c r="W165" s="121">
        <f t="shared" si="57"/>
        <v>127.06699999999999</v>
      </c>
      <c r="X165" s="121">
        <f t="shared" si="63"/>
        <v>127.06699999999999</v>
      </c>
      <c r="Y165" s="121">
        <f t="shared" si="58"/>
        <v>0</v>
      </c>
      <c r="Z165" s="121">
        <f t="shared" si="59"/>
        <v>0</v>
      </c>
      <c r="AA165" s="121">
        <f t="shared" si="60"/>
        <v>127.06699999999999</v>
      </c>
      <c r="AB165" s="121">
        <f t="shared" si="64"/>
        <v>127.06699999999999</v>
      </c>
      <c r="AC165" s="121">
        <v>127.06699999999999</v>
      </c>
      <c r="AD165" s="121">
        <v>127.06699999999999</v>
      </c>
      <c r="AE165" s="121">
        <v>127.06699999999999</v>
      </c>
      <c r="AF165" s="121">
        <v>127.06699999999999</v>
      </c>
      <c r="AG165" s="121">
        <v>127.06699999999999</v>
      </c>
      <c r="AH165" s="121">
        <v>127.06699999999999</v>
      </c>
      <c r="AI165" s="121">
        <v>127.06699999999999</v>
      </c>
      <c r="AJ165" s="121">
        <v>127.06699999999999</v>
      </c>
      <c r="AK165" s="121">
        <v>127.06699999999999</v>
      </c>
      <c r="AL165" s="121">
        <v>127.06699999999999</v>
      </c>
      <c r="AM165" s="121">
        <v>127.06699999999999</v>
      </c>
      <c r="AN165" s="121">
        <v>127.06699999999999</v>
      </c>
      <c r="AO165" s="121">
        <v>127.06699999999999</v>
      </c>
      <c r="AP165" s="125" t="str">
        <f>CONCATENATE(A165,M165)</f>
        <v>GLT</v>
      </c>
      <c r="AQ165" s="125" t="str">
        <f>CONCATENATE(AP165,L165,H165)</f>
        <v>GLTT0</v>
      </c>
      <c r="AS165" s="125" t="str">
        <f>CONCATENATE(L165,H165,J165)</f>
        <v>T0</v>
      </c>
    </row>
    <row r="166" spans="1:45" s="125" customFormat="1" ht="25.5" customHeight="1">
      <c r="A166" s="216" t="s">
        <v>2493</v>
      </c>
      <c r="B166" s="217" t="str">
        <f t="shared" si="61"/>
        <v>GL190016</v>
      </c>
      <c r="C166" s="186">
        <v>190016</v>
      </c>
      <c r="D166" s="201"/>
      <c r="E166" s="162"/>
      <c r="F166" s="169" t="s">
        <v>3009</v>
      </c>
      <c r="G166" s="117"/>
      <c r="H166" s="118">
        <v>0</v>
      </c>
      <c r="I166" s="119"/>
      <c r="J166" s="120"/>
      <c r="K166" s="120" t="str">
        <f t="shared" si="62"/>
        <v/>
      </c>
      <c r="L166" s="170" t="s">
        <v>1174</v>
      </c>
      <c r="M166" s="122" t="str">
        <f t="shared" si="52"/>
        <v>T</v>
      </c>
      <c r="N166" s="116" t="str">
        <f>IF($L166&lt;&gt;"",VLOOKUP($L166,Categories!$E:$G,2,FALSE),IF($F166&lt;&gt;"","NO CAT",""))</f>
        <v>Def Tax Side Sched</v>
      </c>
      <c r="O166" s="116" t="str">
        <f>IF($L166&lt;&gt;"",VLOOKUP($L166,Categories!$E:$G,3,FALSE),IF($F166&lt;&gt;"","NO CAT",""))</f>
        <v>Def Taxes</v>
      </c>
      <c r="P166" s="170" t="s">
        <v>1186</v>
      </c>
      <c r="Q166" s="123" t="s">
        <v>1187</v>
      </c>
      <c r="R166" s="124">
        <v>0</v>
      </c>
      <c r="S166" s="124">
        <v>0</v>
      </c>
      <c r="T166" s="124">
        <v>1</v>
      </c>
      <c r="U166" s="121">
        <f t="shared" ref="U166:U234" si="65">IF(ABS(X166)=0,"",IF($R166="NO ALLOC","NO ALLOC",ROUND($R166*X166,15)))</f>
        <v>0</v>
      </c>
      <c r="V166" s="121">
        <f t="shared" ref="V166:V234" si="66">IF(ABS(X166)=0,"",IF($S166="NO ALLOC","NO ALLOC",ROUND($S166*X166,15)))</f>
        <v>0</v>
      </c>
      <c r="W166" s="121">
        <f t="shared" ref="W166:W234" si="67">IF(ABS(X166)=0,"",IF($T166="NO ALLOC","NO ALLOC",ROUND($T166*X166,15)))</f>
        <v>28046.32093125</v>
      </c>
      <c r="X166" s="121">
        <f t="shared" si="63"/>
        <v>28046.32093125</v>
      </c>
      <c r="Y166" s="121">
        <f t="shared" ref="Y166:Y234" si="68">IF(ABS(AB166)=0,"",IF($R166="NO ALLOC","NO ALLOC",ROUND($R166*AB166,15)))</f>
        <v>0</v>
      </c>
      <c r="Z166" s="121">
        <f t="shared" ref="Z166:Z234" si="69">IF(ABS(AB166)=0,"",IF($S166="NO ALLOC","NO ALLOC",ROUND($S166*AB166,15)))</f>
        <v>0</v>
      </c>
      <c r="AA166" s="121">
        <f t="shared" ref="AA166:AA234" si="70">IF(ABS(AB166)=0,"",IF($T166="NO ALLOC","NO ALLOC",ROUND($T166*AB166,15)))</f>
        <v>30332.307379999998</v>
      </c>
      <c r="AB166" s="121">
        <f t="shared" si="64"/>
        <v>30332.307379999998</v>
      </c>
      <c r="AC166" s="121">
        <v>26565.254789999999</v>
      </c>
      <c r="AD166" s="121">
        <v>26705.45565</v>
      </c>
      <c r="AE166" s="121">
        <v>26818.8462</v>
      </c>
      <c r="AF166" s="121">
        <v>27291.67555</v>
      </c>
      <c r="AG166" s="121">
        <v>27461.672269999999</v>
      </c>
      <c r="AH166" s="121">
        <v>27725.92913</v>
      </c>
      <c r="AI166" s="121">
        <v>28062.141149999999</v>
      </c>
      <c r="AJ166" s="121">
        <v>28817.411769999999</v>
      </c>
      <c r="AK166" s="121">
        <v>28762.124070000002</v>
      </c>
      <c r="AL166" s="121">
        <v>28699.3835</v>
      </c>
      <c r="AM166" s="121">
        <v>28879.904739999998</v>
      </c>
      <c r="AN166" s="121">
        <v>28882.52606</v>
      </c>
      <c r="AO166" s="121">
        <v>30332.307379999998</v>
      </c>
      <c r="AP166" s="125" t="str">
        <f>CONCATENATE(A166,M166)</f>
        <v>GLT</v>
      </c>
      <c r="AQ166" s="125" t="str">
        <f>CONCATENATE(AP166,L166,H166)</f>
        <v>GLTT0</v>
      </c>
      <c r="AS166" s="125" t="str">
        <f>CONCATENATE(L166,H166,J166)</f>
        <v>T0</v>
      </c>
    </row>
    <row r="167" spans="1:45" s="125" customFormat="1" ht="25.5" customHeight="1">
      <c r="A167" s="216" t="s">
        <v>2493</v>
      </c>
      <c r="B167" s="217" t="str">
        <f t="shared" si="61"/>
        <v>GL190017</v>
      </c>
      <c r="C167" s="186">
        <v>190017</v>
      </c>
      <c r="D167" s="201"/>
      <c r="E167" s="162"/>
      <c r="F167" s="169" t="s">
        <v>522</v>
      </c>
      <c r="G167" s="117"/>
      <c r="H167" s="118">
        <v>0</v>
      </c>
      <c r="I167" s="119"/>
      <c r="J167" s="120"/>
      <c r="K167" s="120" t="str">
        <f t="shared" si="62"/>
        <v/>
      </c>
      <c r="L167" s="170" t="s">
        <v>1174</v>
      </c>
      <c r="M167" s="122" t="str">
        <f t="shared" si="52"/>
        <v>T</v>
      </c>
      <c r="N167" s="116" t="str">
        <f>IF($L167&lt;&gt;"",VLOOKUP($L167,Categories!$E:$G,2,FALSE),IF($F167&lt;&gt;"","NO CAT",""))</f>
        <v>Def Tax Side Sched</v>
      </c>
      <c r="O167" s="116" t="str">
        <f>IF($L167&lt;&gt;"",VLOOKUP($L167,Categories!$E:$G,3,FALSE),IF($F167&lt;&gt;"","NO CAT",""))</f>
        <v>Def Taxes</v>
      </c>
      <c r="P167" s="170" t="s">
        <v>1186</v>
      </c>
      <c r="Q167" s="123" t="s">
        <v>1187</v>
      </c>
      <c r="R167" s="124">
        <v>0</v>
      </c>
      <c r="S167" s="124">
        <v>0</v>
      </c>
      <c r="T167" s="124">
        <v>1</v>
      </c>
      <c r="U167" s="121">
        <f t="shared" si="65"/>
        <v>0</v>
      </c>
      <c r="V167" s="121">
        <f t="shared" si="66"/>
        <v>0</v>
      </c>
      <c r="W167" s="121">
        <f t="shared" si="67"/>
        <v>16016.8346704167</v>
      </c>
      <c r="X167" s="121">
        <f t="shared" si="63"/>
        <v>16016.8346704167</v>
      </c>
      <c r="Y167" s="121">
        <f t="shared" si="68"/>
        <v>0</v>
      </c>
      <c r="Z167" s="121">
        <f t="shared" si="69"/>
        <v>0</v>
      </c>
      <c r="AA167" s="121">
        <f t="shared" si="70"/>
        <v>16824.339680000001</v>
      </c>
      <c r="AB167" s="121">
        <f t="shared" si="64"/>
        <v>16824.339680000001</v>
      </c>
      <c r="AC167" s="121">
        <v>15714.20327</v>
      </c>
      <c r="AD167" s="121">
        <v>15719.268410000001</v>
      </c>
      <c r="AE167" s="121">
        <v>15716.282859999999</v>
      </c>
      <c r="AF167" s="121">
        <v>15808.32251</v>
      </c>
      <c r="AG167" s="121">
        <v>15808.157789999999</v>
      </c>
      <c r="AH167" s="121">
        <v>15854.797929999999</v>
      </c>
      <c r="AI167" s="121">
        <v>15942.57691</v>
      </c>
      <c r="AJ167" s="121">
        <v>16181.599289999998</v>
      </c>
      <c r="AK167" s="121">
        <v>16182.216990000001</v>
      </c>
      <c r="AL167" s="121">
        <v>16182.690560000001</v>
      </c>
      <c r="AM167" s="121">
        <v>16267.88032</v>
      </c>
      <c r="AN167" s="121">
        <v>16268.950999999999</v>
      </c>
      <c r="AO167" s="121">
        <v>16824.339680000001</v>
      </c>
      <c r="AP167" s="125" t="str">
        <f>CONCATENATE(A167,M167)</f>
        <v>GLT</v>
      </c>
      <c r="AQ167" s="125" t="str">
        <f>CONCATENATE(AP167,L167,H167)</f>
        <v>GLTT0</v>
      </c>
      <c r="AS167" s="125" t="str">
        <f>CONCATENATE(L167,H167,J167)</f>
        <v>T0</v>
      </c>
    </row>
    <row r="168" spans="1:45" s="125" customFormat="1" ht="25.5" customHeight="1">
      <c r="A168" s="216" t="s">
        <v>2493</v>
      </c>
      <c r="B168" s="217" t="str">
        <f t="shared" si="61"/>
        <v>GL190018</v>
      </c>
      <c r="C168" s="186">
        <v>190018</v>
      </c>
      <c r="D168" s="201"/>
      <c r="E168" s="162"/>
      <c r="F168" s="169" t="s">
        <v>979</v>
      </c>
      <c r="G168" s="117"/>
      <c r="H168" s="118">
        <v>0</v>
      </c>
      <c r="I168" s="119"/>
      <c r="J168" s="120"/>
      <c r="K168" s="120" t="str">
        <f t="shared" si="62"/>
        <v/>
      </c>
      <c r="L168" s="170" t="s">
        <v>1174</v>
      </c>
      <c r="M168" s="122" t="str">
        <f t="shared" si="52"/>
        <v>T</v>
      </c>
      <c r="N168" s="116" t="str">
        <f>IF($L168&lt;&gt;"",VLOOKUP($L168,Categories!$E:$G,2,FALSE),IF($F168&lt;&gt;"","NO CAT",""))</f>
        <v>Def Tax Side Sched</v>
      </c>
      <c r="O168" s="116" t="str">
        <f>IF($L168&lt;&gt;"",VLOOKUP($L168,Categories!$E:$G,3,FALSE),IF($F168&lt;&gt;"","NO CAT",""))</f>
        <v>Def Taxes</v>
      </c>
      <c r="P168" s="170" t="s">
        <v>1186</v>
      </c>
      <c r="Q168" s="123" t="s">
        <v>1187</v>
      </c>
      <c r="R168" s="124">
        <v>0</v>
      </c>
      <c r="S168" s="124">
        <v>0</v>
      </c>
      <c r="T168" s="124">
        <v>1</v>
      </c>
      <c r="U168" s="121">
        <f t="shared" si="65"/>
        <v>0</v>
      </c>
      <c r="V168" s="121">
        <f t="shared" si="66"/>
        <v>0</v>
      </c>
      <c r="W168" s="121">
        <f t="shared" si="67"/>
        <v>150.779</v>
      </c>
      <c r="X168" s="121">
        <f t="shared" si="63"/>
        <v>150.779</v>
      </c>
      <c r="Y168" s="121">
        <f t="shared" si="68"/>
        <v>0</v>
      </c>
      <c r="Z168" s="121">
        <f t="shared" si="69"/>
        <v>0</v>
      </c>
      <c r="AA168" s="121">
        <f t="shared" si="70"/>
        <v>150.779</v>
      </c>
      <c r="AB168" s="121">
        <f t="shared" si="64"/>
        <v>150.779</v>
      </c>
      <c r="AC168" s="121">
        <v>150.779</v>
      </c>
      <c r="AD168" s="121">
        <v>150.779</v>
      </c>
      <c r="AE168" s="121">
        <v>150.779</v>
      </c>
      <c r="AF168" s="121">
        <v>150.779</v>
      </c>
      <c r="AG168" s="121">
        <v>150.779</v>
      </c>
      <c r="AH168" s="121">
        <v>150.779</v>
      </c>
      <c r="AI168" s="121">
        <v>150.779</v>
      </c>
      <c r="AJ168" s="121">
        <v>150.779</v>
      </c>
      <c r="AK168" s="121">
        <v>150.779</v>
      </c>
      <c r="AL168" s="121">
        <v>150.779</v>
      </c>
      <c r="AM168" s="121">
        <v>150.779</v>
      </c>
      <c r="AN168" s="121">
        <v>150.779</v>
      </c>
      <c r="AO168" s="121">
        <v>150.779</v>
      </c>
      <c r="AP168" s="125" t="str">
        <f>CONCATENATE(A168,M168)</f>
        <v>GLT</v>
      </c>
      <c r="AQ168" s="125" t="str">
        <f>CONCATENATE(AP168,L168,H168)</f>
        <v>GLTT0</v>
      </c>
      <c r="AS168" s="125" t="str">
        <f>CONCATENATE(L168,H168,J168)</f>
        <v>T0</v>
      </c>
    </row>
    <row r="169" spans="1:45" s="125" customFormat="1" ht="25.5" customHeight="1">
      <c r="A169" s="216" t="s">
        <v>2493</v>
      </c>
      <c r="B169" s="217" t="str">
        <f t="shared" si="61"/>
        <v>GL190019</v>
      </c>
      <c r="C169" s="186">
        <v>190019</v>
      </c>
      <c r="D169" s="201"/>
      <c r="E169" s="162"/>
      <c r="F169" s="169" t="s">
        <v>980</v>
      </c>
      <c r="G169" s="117"/>
      <c r="H169" s="118">
        <v>0</v>
      </c>
      <c r="I169" s="119"/>
      <c r="J169" s="120"/>
      <c r="K169" s="120" t="str">
        <f t="shared" si="62"/>
        <v/>
      </c>
      <c r="L169" s="170" t="s">
        <v>1174</v>
      </c>
      <c r="M169" s="122" t="str">
        <f t="shared" si="52"/>
        <v>T</v>
      </c>
      <c r="N169" s="116" t="str">
        <f>IF($L169&lt;&gt;"",VLOOKUP($L169,Categories!$E:$G,2,FALSE),IF($F169&lt;&gt;"","NO CAT",""))</f>
        <v>Def Tax Side Sched</v>
      </c>
      <c r="O169" s="116" t="str">
        <f>IF($L169&lt;&gt;"",VLOOKUP($L169,Categories!$E:$G,3,FALSE),IF($F169&lt;&gt;"","NO CAT",""))</f>
        <v>Def Taxes</v>
      </c>
      <c r="P169" s="170" t="s">
        <v>1186</v>
      </c>
      <c r="Q169" s="123" t="s">
        <v>1187</v>
      </c>
      <c r="R169" s="124">
        <v>0</v>
      </c>
      <c r="S169" s="124">
        <v>0</v>
      </c>
      <c r="T169" s="124">
        <v>1</v>
      </c>
      <c r="U169" s="121">
        <f t="shared" si="65"/>
        <v>0</v>
      </c>
      <c r="V169" s="121">
        <f t="shared" si="66"/>
        <v>0</v>
      </c>
      <c r="W169" s="121">
        <f t="shared" si="67"/>
        <v>27.745999999999999</v>
      </c>
      <c r="X169" s="121">
        <f t="shared" si="63"/>
        <v>27.745999999999999</v>
      </c>
      <c r="Y169" s="121">
        <f t="shared" si="68"/>
        <v>0</v>
      </c>
      <c r="Z169" s="121">
        <f t="shared" si="69"/>
        <v>0</v>
      </c>
      <c r="AA169" s="121">
        <f t="shared" si="70"/>
        <v>27.745999999999999</v>
      </c>
      <c r="AB169" s="121">
        <f t="shared" si="64"/>
        <v>27.745999999999999</v>
      </c>
      <c r="AC169" s="121">
        <v>27.745999999999999</v>
      </c>
      <c r="AD169" s="121">
        <v>27.745999999999999</v>
      </c>
      <c r="AE169" s="121">
        <v>27.745999999999999</v>
      </c>
      <c r="AF169" s="121">
        <v>27.745999999999999</v>
      </c>
      <c r="AG169" s="121">
        <v>27.745999999999999</v>
      </c>
      <c r="AH169" s="121">
        <v>27.745999999999999</v>
      </c>
      <c r="AI169" s="121">
        <v>27.745999999999999</v>
      </c>
      <c r="AJ169" s="121">
        <v>27.745999999999999</v>
      </c>
      <c r="AK169" s="121">
        <v>27.745999999999999</v>
      </c>
      <c r="AL169" s="121">
        <v>27.745999999999999</v>
      </c>
      <c r="AM169" s="121">
        <v>27.745999999999999</v>
      </c>
      <c r="AN169" s="121">
        <v>27.745999999999999</v>
      </c>
      <c r="AO169" s="121">
        <v>27.745999999999999</v>
      </c>
      <c r="AP169" s="125" t="str">
        <f>CONCATENATE(A169,M169)</f>
        <v>GLT</v>
      </c>
      <c r="AQ169" s="125" t="str">
        <f>CONCATENATE(AP169,L169,H169)</f>
        <v>GLTT0</v>
      </c>
      <c r="AS169" s="125" t="str">
        <f>CONCATENATE(L169,H169,J169)</f>
        <v>T0</v>
      </c>
    </row>
    <row r="170" spans="1:45" s="125" customFormat="1" ht="25.5" customHeight="1">
      <c r="A170" s="216" t="s">
        <v>2493</v>
      </c>
      <c r="B170" s="217" t="str">
        <f>CONCATENATE(A170,C170,D170,E170)</f>
        <v>GL190030</v>
      </c>
      <c r="C170" s="186">
        <v>190030</v>
      </c>
      <c r="D170" s="201"/>
      <c r="E170" s="162"/>
      <c r="F170" s="169" t="s">
        <v>4555</v>
      </c>
      <c r="G170" s="117"/>
      <c r="H170" s="118">
        <v>0</v>
      </c>
      <c r="I170" s="119"/>
      <c r="J170" s="120"/>
      <c r="K170" s="120" t="str">
        <f>IF(L170="N3","SFAS-109","")</f>
        <v/>
      </c>
      <c r="L170" s="170" t="s">
        <v>1174</v>
      </c>
      <c r="M170" s="122" t="str">
        <f>LEFT(L170,1)</f>
        <v>T</v>
      </c>
      <c r="N170" s="116" t="str">
        <f>IF($L170&lt;&gt;"",VLOOKUP($L170,Categories!$E:$G,2,FALSE),IF($F170&lt;&gt;"","NO CAT",""))</f>
        <v>Def Tax Side Sched</v>
      </c>
      <c r="O170" s="116" t="str">
        <f>IF($L170&lt;&gt;"",VLOOKUP($L170,Categories!$E:$G,3,FALSE),IF($F170&lt;&gt;"","NO CAT",""))</f>
        <v>Def Taxes</v>
      </c>
      <c r="P170" s="170" t="s">
        <v>1186</v>
      </c>
      <c r="Q170" s="123" t="s">
        <v>1187</v>
      </c>
      <c r="R170" s="124">
        <v>0</v>
      </c>
      <c r="S170" s="124">
        <v>0</v>
      </c>
      <c r="T170" s="124">
        <v>1</v>
      </c>
      <c r="U170" s="121">
        <f>IF(ABS(X170)=0,"",IF($R170="NO ALLOC","NO ALLOC",ROUND($R170*X170,15)))</f>
        <v>0</v>
      </c>
      <c r="V170" s="121">
        <f>IF(ABS(X170)=0,"",IF($S170="NO ALLOC","NO ALLOC",ROUND($S170*X170,15)))</f>
        <v>0</v>
      </c>
      <c r="W170" s="121">
        <f>IF(ABS(X170)=0,"",IF($T170="NO ALLOC","NO ALLOC",ROUND($T170*X170,15)))</f>
        <v>807.88100499999996</v>
      </c>
      <c r="X170" s="121">
        <f t="shared" si="63"/>
        <v>807.88100499999996</v>
      </c>
      <c r="Y170" s="121">
        <f>IF(ABS(AB170)=0,"",IF($R170="NO ALLOC","NO ALLOC",ROUND($R170*AB170,15)))</f>
        <v>0</v>
      </c>
      <c r="Z170" s="121">
        <f>IF(ABS(AB170)=0,"",IF($S170="NO ALLOC","NO ALLOC",ROUND($S170*AB170,15)))</f>
        <v>0</v>
      </c>
      <c r="AA170" s="121">
        <f>IF(ABS(AB170)=0,"",IF($T170="NO ALLOC","NO ALLOC",ROUND($T170*AB170,15)))</f>
        <v>1135.9423099999999</v>
      </c>
      <c r="AB170" s="121">
        <f t="shared" si="64"/>
        <v>1135.9423100000001</v>
      </c>
      <c r="AC170" s="121">
        <v>870.61731000000009</v>
      </c>
      <c r="AD170" s="121">
        <v>864.40569999999991</v>
      </c>
      <c r="AE170" s="121">
        <v>843.56233999999995</v>
      </c>
      <c r="AF170" s="121">
        <v>830.03485000000001</v>
      </c>
      <c r="AG170" s="121">
        <v>816.50737000000004</v>
      </c>
      <c r="AH170" s="121">
        <v>802.97987999999998</v>
      </c>
      <c r="AI170" s="121">
        <v>789.45240000000001</v>
      </c>
      <c r="AJ170" s="121">
        <v>775.92491000000007</v>
      </c>
      <c r="AK170" s="121">
        <v>762.3974300000001</v>
      </c>
      <c r="AL170" s="121">
        <v>748.86993999999993</v>
      </c>
      <c r="AM170" s="121">
        <v>735.34245999999996</v>
      </c>
      <c r="AN170" s="121">
        <v>721.81497000000002</v>
      </c>
      <c r="AO170" s="121">
        <v>1135.9423100000001</v>
      </c>
      <c r="AP170" s="125" t="str">
        <f>CONCATENATE(A170,M170)</f>
        <v>GLT</v>
      </c>
      <c r="AQ170" s="125" t="str">
        <f>CONCATENATE(AP170,L170,H170)</f>
        <v>GLTT0</v>
      </c>
      <c r="AS170" s="125" t="str">
        <f>CONCATENATE(L170,H170,J170)</f>
        <v>T0</v>
      </c>
    </row>
    <row r="171" spans="1:45" s="125" customFormat="1" ht="25.5" customHeight="1">
      <c r="A171" s="216" t="s">
        <v>2493</v>
      </c>
      <c r="B171" s="217" t="str">
        <f t="shared" ref="B171:B225" si="71">CONCATENATE(A171,C171,D171,E171)</f>
        <v>GL190031</v>
      </c>
      <c r="C171" s="186">
        <v>190031</v>
      </c>
      <c r="D171" s="201"/>
      <c r="E171" s="162"/>
      <c r="F171" s="169" t="s">
        <v>3097</v>
      </c>
      <c r="G171" s="117"/>
      <c r="H171" s="118">
        <v>0</v>
      </c>
      <c r="I171" s="119"/>
      <c r="J171" s="120"/>
      <c r="K171" s="120" t="str">
        <f>IF(L171="N3","SFAS-109","")</f>
        <v/>
      </c>
      <c r="L171" s="170" t="s">
        <v>1174</v>
      </c>
      <c r="M171" s="122" t="str">
        <f>LEFT(L171,1)</f>
        <v>T</v>
      </c>
      <c r="N171" s="116" t="str">
        <f>IF($L171&lt;&gt;"",VLOOKUP($L171,Categories!$E:$G,2,FALSE),IF($F171&lt;&gt;"","NO CAT",""))</f>
        <v>Def Tax Side Sched</v>
      </c>
      <c r="O171" s="116" t="str">
        <f>IF($L171&lt;&gt;"",VLOOKUP($L171,Categories!$E:$G,3,FALSE),IF($F171&lt;&gt;"","NO CAT",""))</f>
        <v>Def Taxes</v>
      </c>
      <c r="P171" s="170" t="s">
        <v>1186</v>
      </c>
      <c r="Q171" s="123" t="s">
        <v>1187</v>
      </c>
      <c r="R171" s="124">
        <v>0</v>
      </c>
      <c r="S171" s="124">
        <v>0</v>
      </c>
      <c r="T171" s="124">
        <v>1</v>
      </c>
      <c r="U171" s="121">
        <f>IF(ABS(X171)=0,"",IF($R171="NO ALLOC","NO ALLOC",ROUND($R171*X171,15)))</f>
        <v>0</v>
      </c>
      <c r="V171" s="121">
        <f>IF(ABS(X171)=0,"",IF($S171="NO ALLOC","NO ALLOC",ROUND($S171*X171,15)))</f>
        <v>0</v>
      </c>
      <c r="W171" s="121">
        <f>IF(ABS(X171)=0,"",IF($T171="NO ALLOC","NO ALLOC",ROUND($T171*X171,15)))</f>
        <v>36553.233912083298</v>
      </c>
      <c r="X171" s="121">
        <f t="shared" si="63"/>
        <v>36553.233912083298</v>
      </c>
      <c r="Y171" s="121">
        <f>IF(ABS(AB171)=0,"",IF($R171="NO ALLOC","NO ALLOC",ROUND($R171*AB171,15)))</f>
        <v>0</v>
      </c>
      <c r="Z171" s="121">
        <f>IF(ABS(AB171)=0,"",IF($S171="NO ALLOC","NO ALLOC",ROUND($S171*AB171,15)))</f>
        <v>0</v>
      </c>
      <c r="AA171" s="121">
        <f>IF(ABS(AB171)=0,"",IF($T171="NO ALLOC","NO ALLOC",ROUND($T171*AB171,15)))</f>
        <v>105132.17156</v>
      </c>
      <c r="AB171" s="121">
        <f t="shared" si="64"/>
        <v>105132.17156</v>
      </c>
      <c r="AC171" s="121">
        <v>38171.014869999999</v>
      </c>
      <c r="AD171" s="121">
        <v>37578.40698</v>
      </c>
      <c r="AE171" s="121">
        <v>36842.67727</v>
      </c>
      <c r="AF171" s="121">
        <v>36041.86449</v>
      </c>
      <c r="AG171" s="121">
        <v>35391.930039999999</v>
      </c>
      <c r="AH171" s="121">
        <v>34558.617729999998</v>
      </c>
      <c r="AI171" s="121">
        <v>33635.862810000006</v>
      </c>
      <c r="AJ171" s="121">
        <v>32052.970410000002</v>
      </c>
      <c r="AK171" s="121">
        <v>31102.547469999998</v>
      </c>
      <c r="AL171" s="121">
        <v>30926.657739999999</v>
      </c>
      <c r="AM171" s="121">
        <v>30132.409600000003</v>
      </c>
      <c r="AN171" s="121">
        <v>28723.269190000003</v>
      </c>
      <c r="AO171" s="121">
        <v>105132.17156</v>
      </c>
      <c r="AP171" s="125" t="str">
        <f>CONCATENATE(A171,M171)</f>
        <v>GLT</v>
      </c>
      <c r="AQ171" s="125" t="str">
        <f>CONCATENATE(AP171,L171,H171)</f>
        <v>GLTT0</v>
      </c>
      <c r="AS171" s="125" t="str">
        <f>CONCATENATE(L171,H171,J171)</f>
        <v>T0</v>
      </c>
    </row>
    <row r="172" spans="1:45" s="125" customFormat="1" ht="25.5" customHeight="1">
      <c r="A172" s="216" t="s">
        <v>2493</v>
      </c>
      <c r="B172" s="217" t="str">
        <f t="shared" si="71"/>
        <v>GL190032</v>
      </c>
      <c r="C172" s="186">
        <v>190032</v>
      </c>
      <c r="D172" s="201"/>
      <c r="E172" s="162"/>
      <c r="F172" s="169" t="s">
        <v>3098</v>
      </c>
      <c r="G172" s="117"/>
      <c r="H172" s="118">
        <v>0</v>
      </c>
      <c r="I172" s="119"/>
      <c r="J172" s="120"/>
      <c r="K172" s="120" t="str">
        <f t="shared" ref="K172:K179" si="72">IF(L172="N3","SFAS-109","")</f>
        <v/>
      </c>
      <c r="L172" s="170" t="s">
        <v>1174</v>
      </c>
      <c r="M172" s="122" t="str">
        <f t="shared" ref="M172:M179" si="73">LEFT(L172,1)</f>
        <v>T</v>
      </c>
      <c r="N172" s="116" t="str">
        <f>IF($L172&lt;&gt;"",VLOOKUP($L172,Categories!$E:$G,2,FALSE),IF($F172&lt;&gt;"","NO CAT",""))</f>
        <v>Def Tax Side Sched</v>
      </c>
      <c r="O172" s="116" t="str">
        <f>IF($L172&lt;&gt;"",VLOOKUP($L172,Categories!$E:$G,3,FALSE),IF($F172&lt;&gt;"","NO CAT",""))</f>
        <v>Def Taxes</v>
      </c>
      <c r="P172" s="170" t="s">
        <v>1186</v>
      </c>
      <c r="Q172" s="123" t="s">
        <v>1187</v>
      </c>
      <c r="R172" s="124">
        <v>0</v>
      </c>
      <c r="S172" s="124">
        <v>0</v>
      </c>
      <c r="T172" s="124">
        <v>1</v>
      </c>
      <c r="U172" s="121">
        <f t="shared" ref="U172:U179" si="74">IF(ABS(X172)=0,"",IF($R172="NO ALLOC","NO ALLOC",ROUND($R172*X172,15)))</f>
        <v>0</v>
      </c>
      <c r="V172" s="121">
        <f t="shared" ref="V172:V179" si="75">IF(ABS(X172)=0,"",IF($S172="NO ALLOC","NO ALLOC",ROUND($S172*X172,15)))</f>
        <v>0</v>
      </c>
      <c r="W172" s="121">
        <f t="shared" ref="W172:W179" si="76">IF(ABS(X172)=0,"",IF($T172="NO ALLOC","NO ALLOC",ROUND($T172*X172,15)))</f>
        <v>9845.22080166667</v>
      </c>
      <c r="X172" s="121">
        <f t="shared" si="63"/>
        <v>9845.22080166667</v>
      </c>
      <c r="Y172" s="121">
        <f t="shared" ref="Y172:Y179" si="77">IF(ABS(AB172)=0,"",IF($R172="NO ALLOC","NO ALLOC",ROUND($R172*AB172,15)))</f>
        <v>0</v>
      </c>
      <c r="Z172" s="121">
        <f t="shared" ref="Z172:Z179" si="78">IF(ABS(AB172)=0,"",IF($S172="NO ALLOC","NO ALLOC",ROUND($S172*AB172,15)))</f>
        <v>0</v>
      </c>
      <c r="AA172" s="121">
        <f t="shared" ref="AA172:AA179" si="79">IF(ABS(AB172)=0,"",IF($T172="NO ALLOC","NO ALLOC",ROUND($T172*AB172,15)))</f>
        <v>30083.806809999998</v>
      </c>
      <c r="AB172" s="121">
        <f t="shared" si="64"/>
        <v>30083.806809999998</v>
      </c>
      <c r="AC172" s="121">
        <v>10345.12665</v>
      </c>
      <c r="AD172" s="121">
        <v>10169.61441</v>
      </c>
      <c r="AE172" s="121">
        <v>9953.8084699999999</v>
      </c>
      <c r="AF172" s="121">
        <v>9717.6354900000006</v>
      </c>
      <c r="AG172" s="121">
        <v>9525.5750700000008</v>
      </c>
      <c r="AH172" s="121">
        <v>9280.5027200000004</v>
      </c>
      <c r="AI172" s="121">
        <v>9009.3243399999992</v>
      </c>
      <c r="AJ172" s="121">
        <v>8553.6768100000008</v>
      </c>
      <c r="AK172" s="121">
        <v>8279.0825499999992</v>
      </c>
      <c r="AL172" s="121">
        <v>8104.3531900000007</v>
      </c>
      <c r="AM172" s="121">
        <v>7870.2599299999993</v>
      </c>
      <c r="AN172" s="121">
        <v>7464.3499099999999</v>
      </c>
      <c r="AO172" s="121">
        <v>30083.806809999998</v>
      </c>
      <c r="AP172" s="125" t="str">
        <f>CONCATENATE(A172,M172)</f>
        <v>GLT</v>
      </c>
      <c r="AQ172" s="125" t="str">
        <f>CONCATENATE(AP172,L172,H172)</f>
        <v>GLTT0</v>
      </c>
      <c r="AS172" s="125" t="str">
        <f>CONCATENATE(L172,H172,J172)</f>
        <v>T0</v>
      </c>
    </row>
    <row r="173" spans="1:45" s="125" customFormat="1" ht="25.5" customHeight="1">
      <c r="A173" s="216" t="s">
        <v>2493</v>
      </c>
      <c r="B173" s="217" t="str">
        <f t="shared" si="71"/>
        <v>GL190036</v>
      </c>
      <c r="C173" s="186">
        <v>190036</v>
      </c>
      <c r="D173" s="201"/>
      <c r="E173" s="162"/>
      <c r="F173" s="169" t="s">
        <v>3099</v>
      </c>
      <c r="G173" s="117"/>
      <c r="H173" s="118">
        <v>0</v>
      </c>
      <c r="I173" s="119"/>
      <c r="J173" s="120"/>
      <c r="K173" s="120" t="str">
        <f t="shared" si="72"/>
        <v/>
      </c>
      <c r="L173" s="170" t="s">
        <v>1174</v>
      </c>
      <c r="M173" s="122" t="str">
        <f t="shared" si="73"/>
        <v>T</v>
      </c>
      <c r="N173" s="116" t="str">
        <f>IF($L173&lt;&gt;"",VLOOKUP($L173,Categories!$E:$G,2,FALSE),IF($F173&lt;&gt;"","NO CAT",""))</f>
        <v>Def Tax Side Sched</v>
      </c>
      <c r="O173" s="116" t="str">
        <f>IF($L173&lt;&gt;"",VLOOKUP($L173,Categories!$E:$G,3,FALSE),IF($F173&lt;&gt;"","NO CAT",""))</f>
        <v>Def Taxes</v>
      </c>
      <c r="P173" s="170" t="s">
        <v>1186</v>
      </c>
      <c r="Q173" s="123" t="s">
        <v>1187</v>
      </c>
      <c r="R173" s="124">
        <v>0</v>
      </c>
      <c r="S173" s="124">
        <v>0</v>
      </c>
      <c r="T173" s="124">
        <v>1</v>
      </c>
      <c r="U173" s="121">
        <f t="shared" si="74"/>
        <v>0</v>
      </c>
      <c r="V173" s="121">
        <f t="shared" si="75"/>
        <v>0</v>
      </c>
      <c r="W173" s="121">
        <f t="shared" si="76"/>
        <v>1907.2998229166701</v>
      </c>
      <c r="X173" s="121">
        <f t="shared" si="63"/>
        <v>1907.2998229166701</v>
      </c>
      <c r="Y173" s="121">
        <f t="shared" si="77"/>
        <v>0</v>
      </c>
      <c r="Z173" s="121">
        <f t="shared" si="78"/>
        <v>0</v>
      </c>
      <c r="AA173" s="121">
        <f t="shared" si="79"/>
        <v>1952.32781</v>
      </c>
      <c r="AB173" s="121">
        <f t="shared" si="64"/>
        <v>1952.32781</v>
      </c>
      <c r="AC173" s="121">
        <v>1884.8189</v>
      </c>
      <c r="AD173" s="121">
        <v>1884.8189</v>
      </c>
      <c r="AE173" s="121">
        <v>1884.8189</v>
      </c>
      <c r="AF173" s="121">
        <v>1884.8189</v>
      </c>
      <c r="AG173" s="121">
        <v>1884.8189</v>
      </c>
      <c r="AH173" s="121">
        <v>1884.8189</v>
      </c>
      <c r="AI173" s="121">
        <v>1884.8189</v>
      </c>
      <c r="AJ173" s="121">
        <v>1884.8189</v>
      </c>
      <c r="AK173" s="121">
        <v>1884.8189</v>
      </c>
      <c r="AL173" s="121">
        <v>1969.6414299999999</v>
      </c>
      <c r="AM173" s="121">
        <v>1969.6414299999999</v>
      </c>
      <c r="AN173" s="121">
        <v>1951.19046</v>
      </c>
      <c r="AO173" s="121">
        <v>1952.32781</v>
      </c>
      <c r="AP173" s="125" t="str">
        <f>CONCATENATE(A173,M173)</f>
        <v>GLT</v>
      </c>
      <c r="AQ173" s="125" t="str">
        <f>CONCATENATE(AP173,L173,H173)</f>
        <v>GLTT0</v>
      </c>
      <c r="AS173" s="125" t="str">
        <f>CONCATENATE(L173,H173,J173)</f>
        <v>T0</v>
      </c>
    </row>
    <row r="174" spans="1:45" s="125" customFormat="1" ht="25.5" customHeight="1">
      <c r="A174" s="216" t="s">
        <v>2493</v>
      </c>
      <c r="B174" s="217" t="str">
        <f t="shared" si="71"/>
        <v>GL190037</v>
      </c>
      <c r="C174" s="186">
        <v>190037</v>
      </c>
      <c r="D174" s="201"/>
      <c r="E174" s="162"/>
      <c r="F174" s="169" t="s">
        <v>3100</v>
      </c>
      <c r="G174" s="117"/>
      <c r="H174" s="118">
        <v>0</v>
      </c>
      <c r="I174" s="119"/>
      <c r="J174" s="120"/>
      <c r="K174" s="120" t="str">
        <f t="shared" si="72"/>
        <v/>
      </c>
      <c r="L174" s="170" t="s">
        <v>1174</v>
      </c>
      <c r="M174" s="122" t="str">
        <f t="shared" si="73"/>
        <v>T</v>
      </c>
      <c r="N174" s="116" t="str">
        <f>IF($L174&lt;&gt;"",VLOOKUP($L174,Categories!$E:$G,2,FALSE),IF($F174&lt;&gt;"","NO CAT",""))</f>
        <v>Def Tax Side Sched</v>
      </c>
      <c r="O174" s="116" t="str">
        <f>IF($L174&lt;&gt;"",VLOOKUP($L174,Categories!$E:$G,3,FALSE),IF($F174&lt;&gt;"","NO CAT",""))</f>
        <v>Def Taxes</v>
      </c>
      <c r="P174" s="170" t="s">
        <v>1186</v>
      </c>
      <c r="Q174" s="123" t="s">
        <v>1187</v>
      </c>
      <c r="R174" s="124">
        <v>0</v>
      </c>
      <c r="S174" s="124">
        <v>0</v>
      </c>
      <c r="T174" s="124">
        <v>1</v>
      </c>
      <c r="U174" s="121">
        <f t="shared" si="74"/>
        <v>0</v>
      </c>
      <c r="V174" s="121">
        <f t="shared" si="75"/>
        <v>0</v>
      </c>
      <c r="W174" s="121">
        <f t="shared" si="76"/>
        <v>425.53408416666701</v>
      </c>
      <c r="X174" s="121">
        <f t="shared" si="63"/>
        <v>425.53408416666701</v>
      </c>
      <c r="Y174" s="121">
        <f t="shared" si="77"/>
        <v>0</v>
      </c>
      <c r="Z174" s="121">
        <f t="shared" si="78"/>
        <v>0</v>
      </c>
      <c r="AA174" s="121">
        <f t="shared" si="79"/>
        <v>439.45596</v>
      </c>
      <c r="AB174" s="121">
        <f t="shared" si="64"/>
        <v>439.45596</v>
      </c>
      <c r="AC174" s="121">
        <v>421.31011999999998</v>
      </c>
      <c r="AD174" s="121">
        <v>421.31011999999998</v>
      </c>
      <c r="AE174" s="121">
        <v>421.31011999999998</v>
      </c>
      <c r="AF174" s="121">
        <v>421.31011999999998</v>
      </c>
      <c r="AG174" s="121">
        <v>421.31011999999998</v>
      </c>
      <c r="AH174" s="121">
        <v>421.31011999999998</v>
      </c>
      <c r="AI174" s="121">
        <v>421.31011999999998</v>
      </c>
      <c r="AJ174" s="121">
        <v>421.31011999999998</v>
      </c>
      <c r="AK174" s="121">
        <v>421.31011999999998</v>
      </c>
      <c r="AL174" s="121">
        <v>436.26702</v>
      </c>
      <c r="AM174" s="121">
        <v>436.26702</v>
      </c>
      <c r="AN174" s="121">
        <v>433.01096999999999</v>
      </c>
      <c r="AO174" s="121">
        <v>439.45596</v>
      </c>
      <c r="AP174" s="125" t="str">
        <f>CONCATENATE(A174,M174)</f>
        <v>GLT</v>
      </c>
      <c r="AQ174" s="125" t="str">
        <f>CONCATENATE(AP174,L174,H174)</f>
        <v>GLTT0</v>
      </c>
      <c r="AS174" s="125" t="str">
        <f>CONCATENATE(L174,H174,J174)</f>
        <v>T0</v>
      </c>
    </row>
    <row r="175" spans="1:45" s="125" customFormat="1" ht="25.5" customHeight="1">
      <c r="A175" s="216" t="s">
        <v>2493</v>
      </c>
      <c r="B175" s="217" t="str">
        <f>CONCATENATE(A175,C175,D175,E175)</f>
        <v>GL190040</v>
      </c>
      <c r="C175" s="186">
        <v>190040</v>
      </c>
      <c r="D175" s="201"/>
      <c r="E175" s="162"/>
      <c r="F175" s="169" t="s">
        <v>4556</v>
      </c>
      <c r="G175" s="117"/>
      <c r="H175" s="118">
        <v>0</v>
      </c>
      <c r="I175" s="119"/>
      <c r="J175" s="120"/>
      <c r="K175" s="120" t="str">
        <f t="shared" si="72"/>
        <v/>
      </c>
      <c r="L175" s="170" t="s">
        <v>1174</v>
      </c>
      <c r="M175" s="122" t="str">
        <f t="shared" si="73"/>
        <v>T</v>
      </c>
      <c r="N175" s="116" t="str">
        <f>IF($L175&lt;&gt;"",VLOOKUP($L175,Categories!$E:$G,2,FALSE),IF($F175&lt;&gt;"","NO CAT",""))</f>
        <v>Def Tax Side Sched</v>
      </c>
      <c r="O175" s="116" t="str">
        <f>IF($L175&lt;&gt;"",VLOOKUP($L175,Categories!$E:$G,3,FALSE),IF($F175&lt;&gt;"","NO CAT",""))</f>
        <v>Def Taxes</v>
      </c>
      <c r="P175" s="170" t="s">
        <v>1186</v>
      </c>
      <c r="Q175" s="123" t="s">
        <v>1187</v>
      </c>
      <c r="R175" s="124">
        <v>0</v>
      </c>
      <c r="S175" s="124">
        <v>0</v>
      </c>
      <c r="T175" s="124">
        <v>1</v>
      </c>
      <c r="U175" s="121">
        <f t="shared" si="74"/>
        <v>0</v>
      </c>
      <c r="V175" s="121">
        <f t="shared" si="75"/>
        <v>0</v>
      </c>
      <c r="W175" s="121">
        <f t="shared" si="76"/>
        <v>176.410079166667</v>
      </c>
      <c r="X175" s="121">
        <f t="shared" si="63"/>
        <v>176.410079166667</v>
      </c>
      <c r="Y175" s="121">
        <f t="shared" si="77"/>
        <v>0</v>
      </c>
      <c r="Z175" s="121">
        <f t="shared" si="78"/>
        <v>0</v>
      </c>
      <c r="AA175" s="121">
        <f t="shared" si="79"/>
        <v>248.04579000000001</v>
      </c>
      <c r="AB175" s="121">
        <f t="shared" si="64"/>
        <v>248.04579000000001</v>
      </c>
      <c r="AC175" s="121">
        <v>190.10923</v>
      </c>
      <c r="AD175" s="121">
        <v>188.75285</v>
      </c>
      <c r="AE175" s="121">
        <v>184.20148</v>
      </c>
      <c r="AF175" s="121">
        <v>181.24760999999998</v>
      </c>
      <c r="AG175" s="121">
        <v>178.29373999999999</v>
      </c>
      <c r="AH175" s="121">
        <v>175.33986999999999</v>
      </c>
      <c r="AI175" s="121">
        <v>172.38598999999999</v>
      </c>
      <c r="AJ175" s="121">
        <v>169.43212</v>
      </c>
      <c r="AK175" s="121">
        <v>166.47825</v>
      </c>
      <c r="AL175" s="121">
        <v>163.52438000000001</v>
      </c>
      <c r="AM175" s="121">
        <v>160.57051000000001</v>
      </c>
      <c r="AN175" s="121">
        <v>157.61664000000002</v>
      </c>
      <c r="AO175" s="121">
        <v>248.04579000000001</v>
      </c>
      <c r="AP175" s="125" t="str">
        <f>CONCATENATE(A175,M175)</f>
        <v>GLT</v>
      </c>
      <c r="AQ175" s="125" t="str">
        <f>CONCATENATE(AP175,L175,H175)</f>
        <v>GLTT0</v>
      </c>
      <c r="AS175" s="125" t="str">
        <f>CONCATENATE(L175,H175,J175)</f>
        <v>T0</v>
      </c>
    </row>
    <row r="176" spans="1:45" s="125" customFormat="1" ht="25.5" customHeight="1">
      <c r="A176" s="216" t="s">
        <v>2493</v>
      </c>
      <c r="B176" s="217" t="str">
        <f t="shared" si="71"/>
        <v>GL190041</v>
      </c>
      <c r="C176" s="186">
        <v>190041</v>
      </c>
      <c r="D176" s="201"/>
      <c r="E176" s="162"/>
      <c r="F176" s="169" t="s">
        <v>3101</v>
      </c>
      <c r="G176" s="117"/>
      <c r="H176" s="118">
        <v>0</v>
      </c>
      <c r="I176" s="119"/>
      <c r="J176" s="120"/>
      <c r="K176" s="120" t="str">
        <f t="shared" si="72"/>
        <v/>
      </c>
      <c r="L176" s="170" t="s">
        <v>1174</v>
      </c>
      <c r="M176" s="122" t="str">
        <f t="shared" si="73"/>
        <v>T</v>
      </c>
      <c r="N176" s="116" t="str">
        <f>IF($L176&lt;&gt;"",VLOOKUP($L176,Categories!$E:$G,2,FALSE),IF($F176&lt;&gt;"","NO CAT",""))</f>
        <v>Def Tax Side Sched</v>
      </c>
      <c r="O176" s="116" t="str">
        <f>IF($L176&lt;&gt;"",VLOOKUP($L176,Categories!$E:$G,3,FALSE),IF($F176&lt;&gt;"","NO CAT",""))</f>
        <v>Def Taxes</v>
      </c>
      <c r="P176" s="170" t="s">
        <v>1186</v>
      </c>
      <c r="Q176" s="123" t="s">
        <v>1187</v>
      </c>
      <c r="R176" s="124">
        <v>0</v>
      </c>
      <c r="S176" s="124">
        <v>0</v>
      </c>
      <c r="T176" s="124">
        <v>1</v>
      </c>
      <c r="U176" s="121">
        <f t="shared" si="74"/>
        <v>0</v>
      </c>
      <c r="V176" s="121">
        <f t="shared" si="75"/>
        <v>0</v>
      </c>
      <c r="W176" s="121">
        <f t="shared" si="76"/>
        <v>9861.6608550000001</v>
      </c>
      <c r="X176" s="121">
        <f t="shared" si="63"/>
        <v>9861.6608550000001</v>
      </c>
      <c r="Y176" s="121">
        <f t="shared" si="77"/>
        <v>0</v>
      </c>
      <c r="Z176" s="121">
        <f t="shared" si="78"/>
        <v>0</v>
      </c>
      <c r="AA176" s="121">
        <f t="shared" si="79"/>
        <v>24836.609550000001</v>
      </c>
      <c r="AB176" s="121">
        <f t="shared" si="64"/>
        <v>24836.609550000001</v>
      </c>
      <c r="AC176" s="121">
        <v>10214.92073</v>
      </c>
      <c r="AD176" s="121">
        <v>10085.51842</v>
      </c>
      <c r="AE176" s="121">
        <v>9924.8639299999995</v>
      </c>
      <c r="AF176" s="121">
        <v>9749.9978499999997</v>
      </c>
      <c r="AG176" s="121">
        <v>9608.0776700000006</v>
      </c>
      <c r="AH176" s="121">
        <v>9426.1149499999992</v>
      </c>
      <c r="AI176" s="121">
        <v>9224.6214999999993</v>
      </c>
      <c r="AJ176" s="121">
        <v>8878.97991</v>
      </c>
      <c r="AK176" s="121">
        <v>8671.4448400000001</v>
      </c>
      <c r="AL176" s="121">
        <v>8633.0374200000006</v>
      </c>
      <c r="AM176" s="121">
        <v>8459.604800000001</v>
      </c>
      <c r="AN176" s="121">
        <v>8151.9038300000002</v>
      </c>
      <c r="AO176" s="121">
        <v>24836.609550000001</v>
      </c>
      <c r="AP176" s="125" t="str">
        <f>CONCATENATE(A176,M176)</f>
        <v>GLT</v>
      </c>
      <c r="AQ176" s="125" t="str">
        <f>CONCATENATE(AP176,L176,H176)</f>
        <v>GLTT0</v>
      </c>
      <c r="AS176" s="125" t="str">
        <f>CONCATENATE(L176,H176,J176)</f>
        <v>T0</v>
      </c>
    </row>
    <row r="177" spans="1:45" s="125" customFormat="1" ht="25.5" customHeight="1">
      <c r="A177" s="216" t="s">
        <v>2493</v>
      </c>
      <c r="B177" s="217" t="str">
        <f t="shared" si="71"/>
        <v>GL190042</v>
      </c>
      <c r="C177" s="186">
        <v>190042</v>
      </c>
      <c r="D177" s="201"/>
      <c r="E177" s="162"/>
      <c r="F177" s="169" t="s">
        <v>3102</v>
      </c>
      <c r="G177" s="117"/>
      <c r="H177" s="118">
        <v>0</v>
      </c>
      <c r="I177" s="119"/>
      <c r="J177" s="120"/>
      <c r="K177" s="120" t="str">
        <f t="shared" si="72"/>
        <v/>
      </c>
      <c r="L177" s="170" t="s">
        <v>1174</v>
      </c>
      <c r="M177" s="122" t="str">
        <f t="shared" si="73"/>
        <v>T</v>
      </c>
      <c r="N177" s="116" t="str">
        <f>IF($L177&lt;&gt;"",VLOOKUP($L177,Categories!$E:$G,2,FALSE),IF($F177&lt;&gt;"","NO CAT",""))</f>
        <v>Def Tax Side Sched</v>
      </c>
      <c r="O177" s="116" t="str">
        <f>IF($L177&lt;&gt;"",VLOOKUP($L177,Categories!$E:$G,3,FALSE),IF($F177&lt;&gt;"","NO CAT",""))</f>
        <v>Def Taxes</v>
      </c>
      <c r="P177" s="170" t="s">
        <v>1186</v>
      </c>
      <c r="Q177" s="123" t="s">
        <v>1187</v>
      </c>
      <c r="R177" s="124">
        <v>0</v>
      </c>
      <c r="S177" s="124">
        <v>0</v>
      </c>
      <c r="T177" s="124">
        <v>1</v>
      </c>
      <c r="U177" s="121">
        <f t="shared" si="74"/>
        <v>0</v>
      </c>
      <c r="V177" s="121">
        <f t="shared" si="75"/>
        <v>0</v>
      </c>
      <c r="W177" s="121">
        <f t="shared" si="76"/>
        <v>2032.53955791667</v>
      </c>
      <c r="X177" s="121">
        <f t="shared" si="63"/>
        <v>2032.53955791667</v>
      </c>
      <c r="Y177" s="121">
        <f t="shared" si="77"/>
        <v>0</v>
      </c>
      <c r="Z177" s="121">
        <f t="shared" si="78"/>
        <v>0</v>
      </c>
      <c r="AA177" s="121">
        <f t="shared" si="79"/>
        <v>6451.8525099999997</v>
      </c>
      <c r="AB177" s="121">
        <f t="shared" si="64"/>
        <v>6451.8525099999997</v>
      </c>
      <c r="AC177" s="121">
        <v>2141.69938</v>
      </c>
      <c r="AD177" s="121">
        <v>2103.3743999999997</v>
      </c>
      <c r="AE177" s="121">
        <v>2056.2508400000002</v>
      </c>
      <c r="AF177" s="121">
        <v>2004.67993</v>
      </c>
      <c r="AG177" s="121">
        <v>1962.7414699999999</v>
      </c>
      <c r="AH177" s="121">
        <v>1909.22729</v>
      </c>
      <c r="AI177" s="121">
        <v>1850.0125800000001</v>
      </c>
      <c r="AJ177" s="121">
        <v>1750.51703</v>
      </c>
      <c r="AK177" s="121">
        <v>1690.5564199999999</v>
      </c>
      <c r="AL177" s="121">
        <v>1652.40239</v>
      </c>
      <c r="AM177" s="121">
        <v>1601.2856100000001</v>
      </c>
      <c r="AN177" s="121">
        <v>1512.6507900000001</v>
      </c>
      <c r="AO177" s="121">
        <v>6451.8525099999997</v>
      </c>
      <c r="AP177" s="125" t="str">
        <f>CONCATENATE(A177,M177)</f>
        <v>GLT</v>
      </c>
      <c r="AQ177" s="125" t="str">
        <f>CONCATENATE(AP177,L177,H177)</f>
        <v>GLTT0</v>
      </c>
      <c r="AS177" s="125" t="str">
        <f>CONCATENATE(L177,H177,J177)</f>
        <v>T0</v>
      </c>
    </row>
    <row r="178" spans="1:45" s="125" customFormat="1" ht="25.5" customHeight="1">
      <c r="A178" s="216" t="s">
        <v>2493</v>
      </c>
      <c r="B178" s="217" t="str">
        <f t="shared" si="71"/>
        <v>GL190046</v>
      </c>
      <c r="C178" s="186">
        <v>190046</v>
      </c>
      <c r="D178" s="201"/>
      <c r="E178" s="162"/>
      <c r="F178" s="169" t="s">
        <v>3103</v>
      </c>
      <c r="G178" s="117"/>
      <c r="H178" s="118">
        <v>0</v>
      </c>
      <c r="I178" s="119"/>
      <c r="J178" s="120"/>
      <c r="K178" s="120" t="str">
        <f t="shared" si="72"/>
        <v/>
      </c>
      <c r="L178" s="170" t="s">
        <v>1174</v>
      </c>
      <c r="M178" s="122" t="str">
        <f t="shared" si="73"/>
        <v>T</v>
      </c>
      <c r="N178" s="116" t="str">
        <f>IF($L178&lt;&gt;"",VLOOKUP($L178,Categories!$E:$G,2,FALSE),IF($F178&lt;&gt;"","NO CAT",""))</f>
        <v>Def Tax Side Sched</v>
      </c>
      <c r="O178" s="116" t="str">
        <f>IF($L178&lt;&gt;"",VLOOKUP($L178,Categories!$E:$G,3,FALSE),IF($F178&lt;&gt;"","NO CAT",""))</f>
        <v>Def Taxes</v>
      </c>
      <c r="P178" s="170" t="s">
        <v>1186</v>
      </c>
      <c r="Q178" s="123" t="s">
        <v>1187</v>
      </c>
      <c r="R178" s="124">
        <v>0</v>
      </c>
      <c r="S178" s="124">
        <v>0</v>
      </c>
      <c r="T178" s="124">
        <v>1</v>
      </c>
      <c r="U178" s="121">
        <f t="shared" si="74"/>
        <v>0</v>
      </c>
      <c r="V178" s="121">
        <f t="shared" si="75"/>
        <v>0</v>
      </c>
      <c r="W178" s="121">
        <f t="shared" si="76"/>
        <v>105.80189041666701</v>
      </c>
      <c r="X178" s="121">
        <f t="shared" si="63"/>
        <v>105.80189041666701</v>
      </c>
      <c r="Y178" s="121">
        <f t="shared" si="77"/>
        <v>0</v>
      </c>
      <c r="Z178" s="121">
        <f t="shared" si="78"/>
        <v>0</v>
      </c>
      <c r="AA178" s="121">
        <f t="shared" si="79"/>
        <v>115.63423</v>
      </c>
      <c r="AB178" s="121">
        <f t="shared" si="64"/>
        <v>115.63423</v>
      </c>
      <c r="AC178" s="121">
        <v>100.89294</v>
      </c>
      <c r="AD178" s="121">
        <v>100.89294</v>
      </c>
      <c r="AE178" s="121">
        <v>100.89294</v>
      </c>
      <c r="AF178" s="121">
        <v>100.89294</v>
      </c>
      <c r="AG178" s="121">
        <v>100.89294</v>
      </c>
      <c r="AH178" s="121">
        <v>100.89294</v>
      </c>
      <c r="AI178" s="121">
        <v>100.89294</v>
      </c>
      <c r="AJ178" s="121">
        <v>100.89294</v>
      </c>
      <c r="AK178" s="121">
        <v>100.89294</v>
      </c>
      <c r="AL178" s="121">
        <v>119.41485</v>
      </c>
      <c r="AM178" s="121">
        <v>119.41485</v>
      </c>
      <c r="AN178" s="121">
        <v>115.38588</v>
      </c>
      <c r="AO178" s="121">
        <v>115.63423</v>
      </c>
      <c r="AP178" s="125" t="str">
        <f>CONCATENATE(A178,M178)</f>
        <v>GLT</v>
      </c>
      <c r="AQ178" s="125" t="str">
        <f>CONCATENATE(AP178,L178,H178)</f>
        <v>GLTT0</v>
      </c>
      <c r="AS178" s="125" t="str">
        <f>CONCATENATE(L178,H178,J178)</f>
        <v>T0</v>
      </c>
    </row>
    <row r="179" spans="1:45" s="125" customFormat="1" ht="25.5" customHeight="1">
      <c r="A179" s="216" t="s">
        <v>2493</v>
      </c>
      <c r="B179" s="217" t="str">
        <f t="shared" si="71"/>
        <v>GL190047</v>
      </c>
      <c r="C179" s="186">
        <v>190047</v>
      </c>
      <c r="D179" s="201"/>
      <c r="E179" s="162"/>
      <c r="F179" s="169" t="s">
        <v>3104</v>
      </c>
      <c r="G179" s="117"/>
      <c r="H179" s="118">
        <v>0</v>
      </c>
      <c r="I179" s="119"/>
      <c r="J179" s="120"/>
      <c r="K179" s="120" t="str">
        <f t="shared" si="72"/>
        <v/>
      </c>
      <c r="L179" s="170" t="s">
        <v>1174</v>
      </c>
      <c r="M179" s="122" t="str">
        <f t="shared" si="73"/>
        <v>T</v>
      </c>
      <c r="N179" s="116" t="str">
        <f>IF($L179&lt;&gt;"",VLOOKUP($L179,Categories!$E:$G,2,FALSE),IF($F179&lt;&gt;"","NO CAT",""))</f>
        <v>Def Tax Side Sched</v>
      </c>
      <c r="O179" s="116" t="str">
        <f>IF($L179&lt;&gt;"",VLOOKUP($L179,Categories!$E:$G,3,FALSE),IF($F179&lt;&gt;"","NO CAT",""))</f>
        <v>Def Taxes</v>
      </c>
      <c r="P179" s="170" t="s">
        <v>1186</v>
      </c>
      <c r="Q179" s="123" t="s">
        <v>1187</v>
      </c>
      <c r="R179" s="124">
        <v>0</v>
      </c>
      <c r="S179" s="124">
        <v>0</v>
      </c>
      <c r="T179" s="124">
        <v>1</v>
      </c>
      <c r="U179" s="121">
        <f t="shared" si="74"/>
        <v>0</v>
      </c>
      <c r="V179" s="121">
        <f t="shared" si="75"/>
        <v>0</v>
      </c>
      <c r="W179" s="121">
        <f t="shared" si="76"/>
        <v>25.947188333333301</v>
      </c>
      <c r="X179" s="121">
        <f t="shared" si="63"/>
        <v>25.947188333333301</v>
      </c>
      <c r="Y179" s="121">
        <f t="shared" si="77"/>
        <v>0</v>
      </c>
      <c r="Z179" s="121">
        <f t="shared" si="78"/>
        <v>0</v>
      </c>
      <c r="AA179" s="121">
        <f t="shared" si="79"/>
        <v>28.987179999999999</v>
      </c>
      <c r="AB179" s="121">
        <f t="shared" si="64"/>
        <v>28.987179999999999</v>
      </c>
      <c r="AC179" s="121">
        <v>25.024840000000001</v>
      </c>
      <c r="AD179" s="121">
        <v>25.024840000000001</v>
      </c>
      <c r="AE179" s="121">
        <v>25.024840000000001</v>
      </c>
      <c r="AF179" s="121">
        <v>25.024840000000001</v>
      </c>
      <c r="AG179" s="121">
        <v>25.024840000000001</v>
      </c>
      <c r="AH179" s="121">
        <v>25.024840000000001</v>
      </c>
      <c r="AI179" s="121">
        <v>25.024840000000001</v>
      </c>
      <c r="AJ179" s="121">
        <v>25.024840000000001</v>
      </c>
      <c r="AK179" s="121">
        <v>25.024840000000001</v>
      </c>
      <c r="AL179" s="121">
        <v>28.290839999999999</v>
      </c>
      <c r="AM179" s="121">
        <v>28.290839999999999</v>
      </c>
      <c r="AN179" s="121">
        <v>27.579849999999997</v>
      </c>
      <c r="AO179" s="121">
        <v>28.987179999999999</v>
      </c>
      <c r="AP179" s="125" t="str">
        <f>CONCATENATE(A179,M179)</f>
        <v>GLT</v>
      </c>
      <c r="AQ179" s="125" t="str">
        <f>CONCATENATE(AP179,L179,H179)</f>
        <v>GLTT0</v>
      </c>
      <c r="AS179" s="125" t="str">
        <f>CONCATENATE(L179,H179,J179)</f>
        <v>T0</v>
      </c>
    </row>
    <row r="180" spans="1:45" s="125" customFormat="1" ht="25.5" customHeight="1">
      <c r="A180" s="216" t="s">
        <v>2493</v>
      </c>
      <c r="B180" s="217" t="str">
        <f t="shared" si="71"/>
        <v>GL190501</v>
      </c>
      <c r="C180" s="186">
        <v>190501</v>
      </c>
      <c r="D180" s="201"/>
      <c r="E180" s="162"/>
      <c r="F180" s="169" t="s">
        <v>1681</v>
      </c>
      <c r="G180" s="117"/>
      <c r="H180" s="118">
        <v>0</v>
      </c>
      <c r="I180" s="119"/>
      <c r="J180" s="120"/>
      <c r="K180" s="120" t="str">
        <f t="shared" si="62"/>
        <v/>
      </c>
      <c r="L180" s="170" t="s">
        <v>1174</v>
      </c>
      <c r="M180" s="122" t="str">
        <f t="shared" si="52"/>
        <v>T</v>
      </c>
      <c r="N180" s="116" t="str">
        <f>IF($L180&lt;&gt;"",VLOOKUP($L180,Categories!$E:$G,2,FALSE),IF($F180&lt;&gt;"","NO CAT",""))</f>
        <v>Def Tax Side Sched</v>
      </c>
      <c r="O180" s="116" t="str">
        <f>IF($L180&lt;&gt;"",VLOOKUP($L180,Categories!$E:$G,3,FALSE),IF($F180&lt;&gt;"","NO CAT",""))</f>
        <v>Def Taxes</v>
      </c>
      <c r="P180" s="170" t="s">
        <v>1186</v>
      </c>
      <c r="Q180" s="123" t="s">
        <v>1187</v>
      </c>
      <c r="R180" s="124">
        <v>0</v>
      </c>
      <c r="S180" s="124">
        <v>0</v>
      </c>
      <c r="T180" s="124">
        <v>1</v>
      </c>
      <c r="U180" s="121">
        <f t="shared" si="65"/>
        <v>0</v>
      </c>
      <c r="V180" s="121">
        <f t="shared" si="66"/>
        <v>0</v>
      </c>
      <c r="W180" s="121">
        <f t="shared" si="67"/>
        <v>13146.403813749999</v>
      </c>
      <c r="X180" s="121">
        <f t="shared" si="63"/>
        <v>13146.403813749999</v>
      </c>
      <c r="Y180" s="121">
        <f t="shared" si="68"/>
        <v>0</v>
      </c>
      <c r="Z180" s="121">
        <f t="shared" si="69"/>
        <v>0</v>
      </c>
      <c r="AA180" s="121">
        <f t="shared" si="70"/>
        <v>18999.717250000002</v>
      </c>
      <c r="AB180" s="121">
        <f t="shared" si="64"/>
        <v>18999.717250000002</v>
      </c>
      <c r="AC180" s="121">
        <v>7703.4586200000003</v>
      </c>
      <c r="AD180" s="121">
        <v>8798.1101300000009</v>
      </c>
      <c r="AE180" s="121">
        <v>9219.8062100000006</v>
      </c>
      <c r="AF180" s="121">
        <v>9513.6925700000011</v>
      </c>
      <c r="AG180" s="121">
        <v>9784.5577499999999</v>
      </c>
      <c r="AH180" s="121">
        <v>9925.0318800000005</v>
      </c>
      <c r="AI180" s="121">
        <v>14084.016619999999</v>
      </c>
      <c r="AJ180" s="121">
        <v>11728.914269999999</v>
      </c>
      <c r="AK180" s="121">
        <v>17375.815760000001</v>
      </c>
      <c r="AL180" s="121">
        <v>18060.771860000001</v>
      </c>
      <c r="AM180" s="121">
        <v>17683.70608</v>
      </c>
      <c r="AN180" s="121">
        <v>18230.834699999999</v>
      </c>
      <c r="AO180" s="121">
        <v>18999.717250000002</v>
      </c>
      <c r="AP180" s="125" t="str">
        <f>CONCATENATE(A180,M180)</f>
        <v>GLT</v>
      </c>
      <c r="AQ180" s="125" t="str">
        <f>CONCATENATE(AP180,L180,H180)</f>
        <v>GLTT0</v>
      </c>
      <c r="AS180" s="125" t="str">
        <f>CONCATENATE(L180,H180,J180)</f>
        <v>T0</v>
      </c>
    </row>
    <row r="181" spans="1:45" s="125" customFormat="1" ht="25.5" customHeight="1">
      <c r="A181" s="216" t="s">
        <v>2493</v>
      </c>
      <c r="B181" s="217" t="str">
        <f t="shared" si="71"/>
        <v>GL190502</v>
      </c>
      <c r="C181" s="186">
        <v>190502</v>
      </c>
      <c r="D181" s="201"/>
      <c r="E181" s="162"/>
      <c r="F181" s="169" t="s">
        <v>1682</v>
      </c>
      <c r="G181" s="117"/>
      <c r="H181" s="118">
        <v>0</v>
      </c>
      <c r="I181" s="119"/>
      <c r="J181" s="120"/>
      <c r="K181" s="120" t="str">
        <f t="shared" si="62"/>
        <v/>
      </c>
      <c r="L181" s="170" t="s">
        <v>1174</v>
      </c>
      <c r="M181" s="122" t="str">
        <f t="shared" si="52"/>
        <v>T</v>
      </c>
      <c r="N181" s="116" t="str">
        <f>IF($L181&lt;&gt;"",VLOOKUP($L181,Categories!$E:$G,2,FALSE),IF($F181&lt;&gt;"","NO CAT",""))</f>
        <v>Def Tax Side Sched</v>
      </c>
      <c r="O181" s="116" t="str">
        <f>IF($L181&lt;&gt;"",VLOOKUP($L181,Categories!$E:$G,3,FALSE),IF($F181&lt;&gt;"","NO CAT",""))</f>
        <v>Def Taxes</v>
      </c>
      <c r="P181" s="170" t="s">
        <v>1186</v>
      </c>
      <c r="Q181" s="123" t="s">
        <v>1187</v>
      </c>
      <c r="R181" s="124">
        <v>0</v>
      </c>
      <c r="S181" s="124">
        <v>0</v>
      </c>
      <c r="T181" s="124">
        <v>1</v>
      </c>
      <c r="U181" s="121">
        <f t="shared" si="65"/>
        <v>0</v>
      </c>
      <c r="V181" s="121">
        <f t="shared" si="66"/>
        <v>0</v>
      </c>
      <c r="W181" s="121">
        <f t="shared" si="67"/>
        <v>10033.532306249999</v>
      </c>
      <c r="X181" s="121">
        <f t="shared" si="63"/>
        <v>10033.532306249999</v>
      </c>
      <c r="Y181" s="121">
        <f t="shared" si="68"/>
        <v>0</v>
      </c>
      <c r="Z181" s="121">
        <f t="shared" si="69"/>
        <v>0</v>
      </c>
      <c r="AA181" s="121">
        <f t="shared" si="70"/>
        <v>9297.8532599999999</v>
      </c>
      <c r="AB181" s="121">
        <f t="shared" si="64"/>
        <v>9297.8532599999999</v>
      </c>
      <c r="AC181" s="121">
        <v>11616.45809</v>
      </c>
      <c r="AD181" s="121">
        <v>10999.62355</v>
      </c>
      <c r="AE181" s="121">
        <v>10198.639630000001</v>
      </c>
      <c r="AF181" s="121">
        <v>10699.696460000001</v>
      </c>
      <c r="AG181" s="121">
        <v>10839.61823</v>
      </c>
      <c r="AH181" s="121">
        <v>10278.308230000001</v>
      </c>
      <c r="AI181" s="121">
        <v>11103.520859999999</v>
      </c>
      <c r="AJ181" s="121">
        <v>9830.46342</v>
      </c>
      <c r="AK181" s="121">
        <v>9438.8700100000005</v>
      </c>
      <c r="AL181" s="121">
        <v>9026.2977200000005</v>
      </c>
      <c r="AM181" s="121">
        <v>8644.3622699999996</v>
      </c>
      <c r="AN181" s="121">
        <v>8885.831619999999</v>
      </c>
      <c r="AO181" s="121">
        <v>9297.8532599999999</v>
      </c>
      <c r="AP181" s="125" t="str">
        <f>CONCATENATE(A181,M181)</f>
        <v>GLT</v>
      </c>
      <c r="AQ181" s="125" t="str">
        <f>CONCATENATE(AP181,L181,H181)</f>
        <v>GLTT0</v>
      </c>
      <c r="AS181" s="125" t="str">
        <f>CONCATENATE(L181,H181,J181)</f>
        <v>T0</v>
      </c>
    </row>
    <row r="182" spans="1:45" s="125" customFormat="1" ht="25.5" customHeight="1">
      <c r="A182" s="216" t="s">
        <v>2493</v>
      </c>
      <c r="B182" s="217" t="str">
        <f t="shared" si="71"/>
        <v>GL190511</v>
      </c>
      <c r="C182" s="186">
        <v>190511</v>
      </c>
      <c r="D182" s="201"/>
      <c r="E182" s="162"/>
      <c r="F182" s="169" t="s">
        <v>1683</v>
      </c>
      <c r="G182" s="117"/>
      <c r="H182" s="118">
        <v>0</v>
      </c>
      <c r="I182" s="119"/>
      <c r="J182" s="120"/>
      <c r="K182" s="120" t="str">
        <f t="shared" si="62"/>
        <v/>
      </c>
      <c r="L182" s="170" t="s">
        <v>1174</v>
      </c>
      <c r="M182" s="122" t="str">
        <f t="shared" si="52"/>
        <v>T</v>
      </c>
      <c r="N182" s="116" t="str">
        <f>IF($L182&lt;&gt;"",VLOOKUP($L182,Categories!$E:$G,2,FALSE),IF($F182&lt;&gt;"","NO CAT",""))</f>
        <v>Def Tax Side Sched</v>
      </c>
      <c r="O182" s="116" t="str">
        <f>IF($L182&lt;&gt;"",VLOOKUP($L182,Categories!$E:$G,3,FALSE),IF($F182&lt;&gt;"","NO CAT",""))</f>
        <v>Def Taxes</v>
      </c>
      <c r="P182" s="170" t="s">
        <v>1186</v>
      </c>
      <c r="Q182" s="123" t="s">
        <v>1187</v>
      </c>
      <c r="R182" s="124">
        <v>0</v>
      </c>
      <c r="S182" s="124">
        <v>0</v>
      </c>
      <c r="T182" s="124">
        <v>1</v>
      </c>
      <c r="U182" s="121">
        <f t="shared" si="65"/>
        <v>0</v>
      </c>
      <c r="V182" s="121">
        <f t="shared" si="66"/>
        <v>0</v>
      </c>
      <c r="W182" s="121">
        <f t="shared" si="67"/>
        <v>2786.5871391666701</v>
      </c>
      <c r="X182" s="121">
        <f t="shared" si="63"/>
        <v>2786.5871391666701</v>
      </c>
      <c r="Y182" s="121">
        <f t="shared" si="68"/>
        <v>0</v>
      </c>
      <c r="Z182" s="121">
        <f t="shared" si="69"/>
        <v>0</v>
      </c>
      <c r="AA182" s="121">
        <f t="shared" si="70"/>
        <v>4008.2466199999999</v>
      </c>
      <c r="AB182" s="121">
        <f t="shared" si="64"/>
        <v>4008.2466199999999</v>
      </c>
      <c r="AC182" s="121">
        <v>1602.2763200000002</v>
      </c>
      <c r="AD182" s="121">
        <v>1844.2515000000001</v>
      </c>
      <c r="AE182" s="121">
        <v>1940.7603200000001</v>
      </c>
      <c r="AF182" s="121">
        <v>2002.90274</v>
      </c>
      <c r="AG182" s="121">
        <v>2062.5846000000001</v>
      </c>
      <c r="AH182" s="121">
        <v>2096.2650899999999</v>
      </c>
      <c r="AI182" s="121">
        <v>2965.5269500000004</v>
      </c>
      <c r="AJ182" s="121">
        <v>2509.6918900000001</v>
      </c>
      <c r="AK182" s="121">
        <v>3741.2433999999998</v>
      </c>
      <c r="AL182" s="121">
        <v>3846.8126400000001</v>
      </c>
      <c r="AM182" s="121">
        <v>3782.3232699999999</v>
      </c>
      <c r="AN182" s="121">
        <v>3841.4217999999996</v>
      </c>
      <c r="AO182" s="121">
        <v>4008.2466199999999</v>
      </c>
      <c r="AP182" s="125" t="str">
        <f>CONCATENATE(A182,M182)</f>
        <v>GLT</v>
      </c>
      <c r="AQ182" s="125" t="str">
        <f>CONCATENATE(AP182,L182,H182)</f>
        <v>GLTT0</v>
      </c>
      <c r="AS182" s="125" t="str">
        <f>CONCATENATE(L182,H182,J182)</f>
        <v>T0</v>
      </c>
    </row>
    <row r="183" spans="1:45" s="125" customFormat="1" ht="25.5" customHeight="1">
      <c r="A183" s="216" t="s">
        <v>2493</v>
      </c>
      <c r="B183" s="217" t="str">
        <f t="shared" si="71"/>
        <v>GL190512</v>
      </c>
      <c r="C183" s="186">
        <v>190512</v>
      </c>
      <c r="D183" s="201"/>
      <c r="E183" s="162"/>
      <c r="F183" s="169" t="s">
        <v>1684</v>
      </c>
      <c r="G183" s="117"/>
      <c r="H183" s="118">
        <v>0</v>
      </c>
      <c r="I183" s="119"/>
      <c r="J183" s="120"/>
      <c r="K183" s="120" t="str">
        <f t="shared" si="62"/>
        <v/>
      </c>
      <c r="L183" s="170" t="s">
        <v>1174</v>
      </c>
      <c r="M183" s="122" t="str">
        <f t="shared" si="52"/>
        <v>T</v>
      </c>
      <c r="N183" s="116" t="str">
        <f>IF($L183&lt;&gt;"",VLOOKUP($L183,Categories!$E:$G,2,FALSE),IF($F183&lt;&gt;"","NO CAT",""))</f>
        <v>Def Tax Side Sched</v>
      </c>
      <c r="O183" s="116" t="str">
        <f>IF($L183&lt;&gt;"",VLOOKUP($L183,Categories!$E:$G,3,FALSE),IF($F183&lt;&gt;"","NO CAT",""))</f>
        <v>Def Taxes</v>
      </c>
      <c r="P183" s="170" t="s">
        <v>1186</v>
      </c>
      <c r="Q183" s="123" t="s">
        <v>1187</v>
      </c>
      <c r="R183" s="124">
        <v>0</v>
      </c>
      <c r="S183" s="124">
        <v>0</v>
      </c>
      <c r="T183" s="124">
        <v>1</v>
      </c>
      <c r="U183" s="121">
        <f t="shared" si="65"/>
        <v>0</v>
      </c>
      <c r="V183" s="121">
        <f t="shared" si="66"/>
        <v>0</v>
      </c>
      <c r="W183" s="121">
        <f t="shared" si="67"/>
        <v>1322.9797454166701</v>
      </c>
      <c r="X183" s="121">
        <f t="shared" si="63"/>
        <v>1322.9797454166701</v>
      </c>
      <c r="Y183" s="121">
        <f t="shared" si="68"/>
        <v>0</v>
      </c>
      <c r="Z183" s="121">
        <f t="shared" si="69"/>
        <v>0</v>
      </c>
      <c r="AA183" s="121">
        <f t="shared" si="70"/>
        <v>1162.04547</v>
      </c>
      <c r="AB183" s="121">
        <f t="shared" si="64"/>
        <v>1162.04547</v>
      </c>
      <c r="AC183" s="121">
        <v>1668.4163799999999</v>
      </c>
      <c r="AD183" s="121">
        <v>1533.9353500000002</v>
      </c>
      <c r="AE183" s="121">
        <v>1359.26568</v>
      </c>
      <c r="AF183" s="121">
        <v>1468.9593799999998</v>
      </c>
      <c r="AG183" s="121">
        <v>1499.6058500000001</v>
      </c>
      <c r="AH183" s="121">
        <v>1377.00242</v>
      </c>
      <c r="AI183" s="121">
        <v>1557.25442</v>
      </c>
      <c r="AJ183" s="121">
        <v>1277.64878</v>
      </c>
      <c r="AK183" s="121">
        <v>1192.17607</v>
      </c>
      <c r="AL183" s="121">
        <v>1103.0133999999998</v>
      </c>
      <c r="AM183" s="121">
        <v>1019.56254</v>
      </c>
      <c r="AN183" s="121">
        <v>1072.10213</v>
      </c>
      <c r="AO183" s="121">
        <v>1162.04547</v>
      </c>
      <c r="AP183" s="125" t="str">
        <f>CONCATENATE(A183,M183)</f>
        <v>GLT</v>
      </c>
      <c r="AQ183" s="125" t="str">
        <f>CONCATENATE(AP183,L183,H183)</f>
        <v>GLTT0</v>
      </c>
      <c r="AS183" s="125" t="str">
        <f>CONCATENATE(L183,H183,J183)</f>
        <v>T0</v>
      </c>
    </row>
    <row r="184" spans="1:45" s="125" customFormat="1" ht="25.5" customHeight="1">
      <c r="A184" s="216" t="s">
        <v>2493</v>
      </c>
      <c r="B184" s="217" t="str">
        <f t="shared" si="71"/>
        <v>GL190531</v>
      </c>
      <c r="C184" s="186">
        <v>190531</v>
      </c>
      <c r="D184" s="201"/>
      <c r="E184" s="162"/>
      <c r="F184" s="169" t="s">
        <v>3105</v>
      </c>
      <c r="G184" s="117"/>
      <c r="H184" s="118">
        <v>0</v>
      </c>
      <c r="I184" s="119"/>
      <c r="J184" s="120"/>
      <c r="K184" s="120" t="str">
        <f>IF(L184="N3","SFAS-109","")</f>
        <v/>
      </c>
      <c r="L184" s="170" t="s">
        <v>1174</v>
      </c>
      <c r="M184" s="122" t="str">
        <f>LEFT(L184,1)</f>
        <v>T</v>
      </c>
      <c r="N184" s="116" t="str">
        <f>IF($L184&lt;&gt;"",VLOOKUP($L184,Categories!$E:$G,2,FALSE),IF($F184&lt;&gt;"","NO CAT",""))</f>
        <v>Def Tax Side Sched</v>
      </c>
      <c r="O184" s="116" t="str">
        <f>IF($L184&lt;&gt;"",VLOOKUP($L184,Categories!$E:$G,3,FALSE),IF($F184&lt;&gt;"","NO CAT",""))</f>
        <v>Def Taxes</v>
      </c>
      <c r="P184" s="170" t="s">
        <v>1186</v>
      </c>
      <c r="Q184" s="123" t="s">
        <v>1187</v>
      </c>
      <c r="R184" s="124">
        <v>0</v>
      </c>
      <c r="S184" s="124">
        <v>0</v>
      </c>
      <c r="T184" s="124">
        <v>1</v>
      </c>
      <c r="U184" s="121">
        <f>IF(ABS(X184)=0,"",IF($R184="NO ALLOC","NO ALLOC",ROUND($R184*X184,15)))</f>
        <v>0</v>
      </c>
      <c r="V184" s="121">
        <f>IF(ABS(X184)=0,"",IF($S184="NO ALLOC","NO ALLOC",ROUND($S184*X184,15)))</f>
        <v>0</v>
      </c>
      <c r="W184" s="121">
        <f>IF(ABS(X184)=0,"",IF($T184="NO ALLOC","NO ALLOC",ROUND($T184*X184,15)))</f>
        <v>-109125.585655</v>
      </c>
      <c r="X184" s="121">
        <f t="shared" si="63"/>
        <v>-109125.585655</v>
      </c>
      <c r="Y184" s="121">
        <f>IF(ABS(AB184)=0,"",IF($R184="NO ALLOC","NO ALLOC",ROUND($R184*AB184,15)))</f>
        <v>0</v>
      </c>
      <c r="Z184" s="121">
        <f>IF(ABS(AB184)=0,"",IF($S184="NO ALLOC","NO ALLOC",ROUND($S184*AB184,15)))</f>
        <v>0</v>
      </c>
      <c r="AA184" s="121">
        <f>IF(ABS(AB184)=0,"",IF($T184="NO ALLOC","NO ALLOC",ROUND($T184*AB184,15)))</f>
        <v>-173933.38946000001</v>
      </c>
      <c r="AB184" s="121">
        <f t="shared" si="64"/>
        <v>-173933.38946000001</v>
      </c>
      <c r="AC184" s="121">
        <v>-114272.82212000001</v>
      </c>
      <c r="AD184" s="121">
        <v>-113271.76056</v>
      </c>
      <c r="AE184" s="121">
        <v>-111987.26295999999</v>
      </c>
      <c r="AF184" s="121">
        <v>-110717.44038</v>
      </c>
      <c r="AG184" s="121">
        <v>-109512.18939</v>
      </c>
      <c r="AH184" s="121">
        <v>-108317.45998999999</v>
      </c>
      <c r="AI184" s="121">
        <v>-107039.92001</v>
      </c>
      <c r="AJ184" s="121">
        <v>-104878.17448</v>
      </c>
      <c r="AK184" s="121">
        <v>-103682.11417</v>
      </c>
      <c r="AL184" s="121">
        <v>-100008.57176000001</v>
      </c>
      <c r="AM184" s="121">
        <v>-98640.216480000003</v>
      </c>
      <c r="AN184" s="121">
        <v>-97348.811889999997</v>
      </c>
      <c r="AO184" s="121">
        <v>-173933.38946000001</v>
      </c>
      <c r="AP184" s="125" t="str">
        <f>CONCATENATE(A184,M184)</f>
        <v>GLT</v>
      </c>
      <c r="AQ184" s="125" t="str">
        <f>CONCATENATE(AP184,L184,H184)</f>
        <v>GLTT0</v>
      </c>
      <c r="AS184" s="125" t="str">
        <f>CONCATENATE(L184,H184,J184)</f>
        <v>T0</v>
      </c>
    </row>
    <row r="185" spans="1:45" s="125" customFormat="1" ht="25.5" customHeight="1">
      <c r="A185" s="216" t="s">
        <v>2493</v>
      </c>
      <c r="B185" s="217" t="str">
        <f t="shared" si="71"/>
        <v>GL190532</v>
      </c>
      <c r="C185" s="186">
        <v>190532</v>
      </c>
      <c r="D185" s="201"/>
      <c r="E185" s="162"/>
      <c r="F185" s="169" t="s">
        <v>3106</v>
      </c>
      <c r="G185" s="117"/>
      <c r="H185" s="118">
        <v>0</v>
      </c>
      <c r="I185" s="119"/>
      <c r="J185" s="120"/>
      <c r="K185" s="120" t="str">
        <f>IF(L185="N3","SFAS-109","")</f>
        <v/>
      </c>
      <c r="L185" s="170" t="s">
        <v>1174</v>
      </c>
      <c r="M185" s="122" t="str">
        <f>LEFT(L185,1)</f>
        <v>T</v>
      </c>
      <c r="N185" s="116" t="str">
        <f>IF($L185&lt;&gt;"",VLOOKUP($L185,Categories!$E:$G,2,FALSE),IF($F185&lt;&gt;"","NO CAT",""))</f>
        <v>Def Tax Side Sched</v>
      </c>
      <c r="O185" s="116" t="str">
        <f>IF($L185&lt;&gt;"",VLOOKUP($L185,Categories!$E:$G,3,FALSE),IF($F185&lt;&gt;"","NO CAT",""))</f>
        <v>Def Taxes</v>
      </c>
      <c r="P185" s="170" t="s">
        <v>1186</v>
      </c>
      <c r="Q185" s="123" t="s">
        <v>1187</v>
      </c>
      <c r="R185" s="124">
        <v>0</v>
      </c>
      <c r="S185" s="124">
        <v>0</v>
      </c>
      <c r="T185" s="124">
        <v>1</v>
      </c>
      <c r="U185" s="121">
        <f>IF(ABS(X185)=0,"",IF($R185="NO ALLOC","NO ALLOC",ROUND($R185*X185,15)))</f>
        <v>0</v>
      </c>
      <c r="V185" s="121">
        <f>IF(ABS(X185)=0,"",IF($S185="NO ALLOC","NO ALLOC",ROUND($S185*X185,15)))</f>
        <v>0</v>
      </c>
      <c r="W185" s="121">
        <f>IF(ABS(X185)=0,"",IF($T185="NO ALLOC","NO ALLOC",ROUND($T185*X185,15)))</f>
        <v>-33506.213752916701</v>
      </c>
      <c r="X185" s="121">
        <f t="shared" si="63"/>
        <v>-33506.213752916701</v>
      </c>
      <c r="Y185" s="121">
        <f>IF(ABS(AB185)=0,"",IF($R185="NO ALLOC","NO ALLOC",ROUND($R185*AB185,15)))</f>
        <v>0</v>
      </c>
      <c r="Z185" s="121">
        <f>IF(ABS(AB185)=0,"",IF($S185="NO ALLOC","NO ALLOC",ROUND($S185*AB185,15)))</f>
        <v>0</v>
      </c>
      <c r="AA185" s="121">
        <f>IF(ABS(AB185)=0,"",IF($T185="NO ALLOC","NO ALLOC",ROUND($T185*AB185,15)))</f>
        <v>-53303.711620000002</v>
      </c>
      <c r="AB185" s="121">
        <f t="shared" si="64"/>
        <v>-53303.711619999995</v>
      </c>
      <c r="AC185" s="121">
        <v>-35717.238090000006</v>
      </c>
      <c r="AD185" s="121">
        <v>-34661.027959999999</v>
      </c>
      <c r="AE185" s="121">
        <v>-33711.149380000003</v>
      </c>
      <c r="AF185" s="121">
        <v>-32978.578750000001</v>
      </c>
      <c r="AG185" s="121">
        <v>-32387.753989999997</v>
      </c>
      <c r="AH185" s="121">
        <v>-31688.599469999997</v>
      </c>
      <c r="AI185" s="121">
        <v>-31172.875620000003</v>
      </c>
      <c r="AJ185" s="121">
        <v>-31706.067050000001</v>
      </c>
      <c r="AK185" s="121">
        <v>-31310.165010000001</v>
      </c>
      <c r="AL185" s="121">
        <v>-33200.94255</v>
      </c>
      <c r="AM185" s="121">
        <v>-32729.271000000001</v>
      </c>
      <c r="AN185" s="121">
        <v>-32017.659399999997</v>
      </c>
      <c r="AO185" s="121">
        <v>-53303.711619999995</v>
      </c>
      <c r="AP185" s="125" t="str">
        <f>CONCATENATE(A185,M185)</f>
        <v>GLT</v>
      </c>
      <c r="AQ185" s="125" t="str">
        <f>CONCATENATE(AP185,L185,H185)</f>
        <v>GLTT0</v>
      </c>
      <c r="AS185" s="125" t="str">
        <f>CONCATENATE(L185,H185,J185)</f>
        <v>T0</v>
      </c>
    </row>
    <row r="186" spans="1:45" s="125" customFormat="1" ht="25.5" customHeight="1">
      <c r="A186" s="216" t="s">
        <v>2493</v>
      </c>
      <c r="B186" s="217" t="str">
        <f t="shared" si="71"/>
        <v>GL190541</v>
      </c>
      <c r="C186" s="186">
        <v>190541</v>
      </c>
      <c r="D186" s="201"/>
      <c r="E186" s="162"/>
      <c r="F186" s="169" t="s">
        <v>3107</v>
      </c>
      <c r="G186" s="117"/>
      <c r="H186" s="118">
        <v>0</v>
      </c>
      <c r="I186" s="119"/>
      <c r="J186" s="120"/>
      <c r="K186" s="120" t="str">
        <f>IF(L186="N3","SFAS-109","")</f>
        <v/>
      </c>
      <c r="L186" s="170" t="s">
        <v>1174</v>
      </c>
      <c r="M186" s="122" t="str">
        <f>LEFT(L186,1)</f>
        <v>T</v>
      </c>
      <c r="N186" s="116" t="str">
        <f>IF($L186&lt;&gt;"",VLOOKUP($L186,Categories!$E:$G,2,FALSE),IF($F186&lt;&gt;"","NO CAT",""))</f>
        <v>Def Tax Side Sched</v>
      </c>
      <c r="O186" s="116" t="str">
        <f>IF($L186&lt;&gt;"",VLOOKUP($L186,Categories!$E:$G,3,FALSE),IF($F186&lt;&gt;"","NO CAT",""))</f>
        <v>Def Taxes</v>
      </c>
      <c r="P186" s="170" t="s">
        <v>1186</v>
      </c>
      <c r="Q186" s="123" t="s">
        <v>1187</v>
      </c>
      <c r="R186" s="124">
        <v>0</v>
      </c>
      <c r="S186" s="124">
        <v>0</v>
      </c>
      <c r="T186" s="124">
        <v>1</v>
      </c>
      <c r="U186" s="121">
        <f>IF(ABS(X186)=0,"",IF($R186="NO ALLOC","NO ALLOC",ROUND($R186*X186,15)))</f>
        <v>0</v>
      </c>
      <c r="V186" s="121">
        <f>IF(ABS(X186)=0,"",IF($S186="NO ALLOC","NO ALLOC",ROUND($S186*X186,15)))</f>
        <v>0</v>
      </c>
      <c r="W186" s="121">
        <f>IF(ABS(X186)=0,"",IF($T186="NO ALLOC","NO ALLOC",ROUND($T186*X186,15)))</f>
        <v>-24161.297742083301</v>
      </c>
      <c r="X186" s="121">
        <f t="shared" si="63"/>
        <v>-24161.297742083301</v>
      </c>
      <c r="Y186" s="121">
        <f>IF(ABS(AB186)=0,"",IF($R186="NO ALLOC","NO ALLOC",ROUND($R186*AB186,15)))</f>
        <v>0</v>
      </c>
      <c r="Z186" s="121">
        <f>IF(ABS(AB186)=0,"",IF($S186="NO ALLOC","NO ALLOC",ROUND($S186*AB186,15)))</f>
        <v>0</v>
      </c>
      <c r="AA186" s="121">
        <f>IF(ABS(AB186)=0,"",IF($T186="NO ALLOC","NO ALLOC",ROUND($T186*AB186,15)))</f>
        <v>-38312.77882</v>
      </c>
      <c r="AB186" s="121">
        <f t="shared" si="64"/>
        <v>-38312.77882</v>
      </c>
      <c r="AC186" s="121">
        <v>-25285.252190000003</v>
      </c>
      <c r="AD186" s="121">
        <v>-25066.659629999998</v>
      </c>
      <c r="AE186" s="121">
        <v>-24786.175760000002</v>
      </c>
      <c r="AF186" s="121">
        <v>-24508.896339999999</v>
      </c>
      <c r="AG186" s="121">
        <v>-24245.716829999998</v>
      </c>
      <c r="AH186" s="121">
        <v>-23984.83481</v>
      </c>
      <c r="AI186" s="121">
        <v>-23705.870219999997</v>
      </c>
      <c r="AJ186" s="121">
        <v>-23233.829819999999</v>
      </c>
      <c r="AK186" s="121">
        <v>-22972.657190000002</v>
      </c>
      <c r="AL186" s="121">
        <v>-22170.499680000001</v>
      </c>
      <c r="AM186" s="121">
        <v>-21871.704610000001</v>
      </c>
      <c r="AN186" s="121">
        <v>-21589.712510000001</v>
      </c>
      <c r="AO186" s="121">
        <v>-38312.77882</v>
      </c>
      <c r="AP186" s="125" t="str">
        <f>CONCATENATE(A186,M186)</f>
        <v>GLT</v>
      </c>
      <c r="AQ186" s="125" t="str">
        <f>CONCATENATE(AP186,L186,H186)</f>
        <v>GLTT0</v>
      </c>
      <c r="AS186" s="125" t="str">
        <f>CONCATENATE(L186,H186,J186)</f>
        <v>T0</v>
      </c>
    </row>
    <row r="187" spans="1:45" s="125" customFormat="1" ht="25.5" customHeight="1">
      <c r="A187" s="216" t="s">
        <v>2493</v>
      </c>
      <c r="B187" s="217" t="str">
        <f t="shared" si="71"/>
        <v>GL190542</v>
      </c>
      <c r="C187" s="186">
        <v>190542</v>
      </c>
      <c r="D187" s="201"/>
      <c r="E187" s="162"/>
      <c r="F187" s="169" t="s">
        <v>3108</v>
      </c>
      <c r="G187" s="117"/>
      <c r="H187" s="118">
        <v>0</v>
      </c>
      <c r="I187" s="119"/>
      <c r="J187" s="120"/>
      <c r="K187" s="120" t="str">
        <f>IF(L187="N3","SFAS-109","")</f>
        <v/>
      </c>
      <c r="L187" s="170" t="s">
        <v>1174</v>
      </c>
      <c r="M187" s="122" t="str">
        <f>LEFT(L187,1)</f>
        <v>T</v>
      </c>
      <c r="N187" s="116" t="str">
        <f>IF($L187&lt;&gt;"",VLOOKUP($L187,Categories!$E:$G,2,FALSE),IF($F187&lt;&gt;"","NO CAT",""))</f>
        <v>Def Tax Side Sched</v>
      </c>
      <c r="O187" s="116" t="str">
        <f>IF($L187&lt;&gt;"",VLOOKUP($L187,Categories!$E:$G,3,FALSE),IF($F187&lt;&gt;"","NO CAT",""))</f>
        <v>Def Taxes</v>
      </c>
      <c r="P187" s="170" t="s">
        <v>1186</v>
      </c>
      <c r="Q187" s="123" t="s">
        <v>1187</v>
      </c>
      <c r="R187" s="124">
        <v>0</v>
      </c>
      <c r="S187" s="124">
        <v>0</v>
      </c>
      <c r="T187" s="124">
        <v>1</v>
      </c>
      <c r="U187" s="121">
        <f>IF(ABS(X187)=0,"",IF($R187="NO ALLOC","NO ALLOC",ROUND($R187*X187,15)))</f>
        <v>0</v>
      </c>
      <c r="V187" s="121">
        <f>IF(ABS(X187)=0,"",IF($S187="NO ALLOC","NO ALLOC",ROUND($S187*X187,15)))</f>
        <v>0</v>
      </c>
      <c r="W187" s="121">
        <f>IF(ABS(X187)=0,"",IF($T187="NO ALLOC","NO ALLOC",ROUND($T187*X187,15)))</f>
        <v>-7410.7878533333296</v>
      </c>
      <c r="X187" s="121">
        <f t="shared" si="63"/>
        <v>-7410.7878533333296</v>
      </c>
      <c r="Y187" s="121">
        <f>IF(ABS(AB187)=0,"",IF($R187="NO ALLOC","NO ALLOC",ROUND($R187*AB187,15)))</f>
        <v>0</v>
      </c>
      <c r="Z187" s="121">
        <f>IF(ABS(AB187)=0,"",IF($S187="NO ALLOC","NO ALLOC",ROUND($S187*AB187,15)))</f>
        <v>0</v>
      </c>
      <c r="AA187" s="121">
        <f>IF(ABS(AB187)=0,"",IF($T187="NO ALLOC","NO ALLOC",ROUND($T187*AB187,15)))</f>
        <v>-11733.78448</v>
      </c>
      <c r="AB187" s="121">
        <f t="shared" si="64"/>
        <v>-11733.78448</v>
      </c>
      <c r="AC187" s="121">
        <v>-7893.5887999999995</v>
      </c>
      <c r="AD187" s="121">
        <v>-7662.9539500000001</v>
      </c>
      <c r="AE187" s="121">
        <v>-7455.5377500000004</v>
      </c>
      <c r="AF187" s="121">
        <v>-7295.5730899999999</v>
      </c>
      <c r="AG187" s="121">
        <v>-7166.5601399999996</v>
      </c>
      <c r="AH187" s="121">
        <v>-7013.8922300000004</v>
      </c>
      <c r="AI187" s="121">
        <v>-6901.27837</v>
      </c>
      <c r="AJ187" s="121">
        <v>-7017.7064600000003</v>
      </c>
      <c r="AK187" s="121">
        <v>-6931.2569800000001</v>
      </c>
      <c r="AL187" s="121">
        <v>-7344.1286</v>
      </c>
      <c r="AM187" s="121">
        <v>-7241.1340399999999</v>
      </c>
      <c r="AN187" s="121">
        <v>-7085.7459900000003</v>
      </c>
      <c r="AO187" s="121">
        <v>-11733.78448</v>
      </c>
      <c r="AP187" s="125" t="str">
        <f>CONCATENATE(A187,M187)</f>
        <v>GLT</v>
      </c>
      <c r="AQ187" s="125" t="str">
        <f>CONCATENATE(AP187,L187,H187)</f>
        <v>GLTT0</v>
      </c>
      <c r="AS187" s="125" t="str">
        <f>CONCATENATE(L187,H187,J187)</f>
        <v>T0</v>
      </c>
    </row>
    <row r="188" spans="1:45" s="125" customFormat="1" ht="25.5" customHeight="1">
      <c r="A188" s="216" t="s">
        <v>2493</v>
      </c>
      <c r="B188" s="217" t="str">
        <f t="shared" si="71"/>
        <v>GL190990</v>
      </c>
      <c r="C188" s="186">
        <v>190990</v>
      </c>
      <c r="D188" s="201"/>
      <c r="E188" s="162"/>
      <c r="F188" s="169" t="s">
        <v>1150</v>
      </c>
      <c r="G188" s="117"/>
      <c r="H188" s="118" t="s">
        <v>1180</v>
      </c>
      <c r="I188" s="119"/>
      <c r="J188" s="120"/>
      <c r="K188" s="120" t="str">
        <f t="shared" si="62"/>
        <v/>
      </c>
      <c r="L188" s="170" t="s">
        <v>1174</v>
      </c>
      <c r="M188" s="122" t="str">
        <f t="shared" si="52"/>
        <v>T</v>
      </c>
      <c r="N188" s="116" t="str">
        <f>IF($L188&lt;&gt;"",VLOOKUP($L188,Categories!$E:$G,2,FALSE),IF($F188&lt;&gt;"","NO CAT",""))</f>
        <v>Def Tax Side Sched</v>
      </c>
      <c r="O188" s="116" t="str">
        <f>IF($L188&lt;&gt;"",VLOOKUP($L188,Categories!$E:$G,3,FALSE),IF($F188&lt;&gt;"","NO CAT",""))</f>
        <v>Def Taxes</v>
      </c>
      <c r="P188" s="170" t="s">
        <v>1186</v>
      </c>
      <c r="Q188" s="123" t="s">
        <v>1187</v>
      </c>
      <c r="R188" s="124">
        <v>0</v>
      </c>
      <c r="S188" s="124">
        <v>0</v>
      </c>
      <c r="T188" s="124">
        <v>1</v>
      </c>
      <c r="U188" s="121">
        <f t="shared" si="65"/>
        <v>0</v>
      </c>
      <c r="V188" s="121">
        <f t="shared" si="66"/>
        <v>0</v>
      </c>
      <c r="W188" s="121">
        <f t="shared" si="67"/>
        <v>-118197.11520833299</v>
      </c>
      <c r="X188" s="121">
        <f t="shared" si="63"/>
        <v>-118197.11520833299</v>
      </c>
      <c r="Y188" s="121">
        <f t="shared" si="68"/>
        <v>0</v>
      </c>
      <c r="Z188" s="121">
        <f t="shared" si="69"/>
        <v>0</v>
      </c>
      <c r="AA188" s="121">
        <f t="shared" si="70"/>
        <v>-130188.497</v>
      </c>
      <c r="AB188" s="121">
        <f t="shared" si="64"/>
        <v>-130188.497</v>
      </c>
      <c r="AC188" s="121">
        <v>-113127.946</v>
      </c>
      <c r="AD188" s="121">
        <v>-113127.946</v>
      </c>
      <c r="AE188" s="121">
        <v>-113127.946</v>
      </c>
      <c r="AF188" s="121">
        <v>-114876.186</v>
      </c>
      <c r="AG188" s="121">
        <v>-114876.186</v>
      </c>
      <c r="AH188" s="121">
        <v>-115977.22900000001</v>
      </c>
      <c r="AI188" s="121">
        <v>-117576.89</v>
      </c>
      <c r="AJ188" s="121">
        <v>-121146.84</v>
      </c>
      <c r="AK188" s="121">
        <v>-121146.84</v>
      </c>
      <c r="AL188" s="121">
        <v>-121146.84</v>
      </c>
      <c r="AM188" s="121">
        <v>-121852.129</v>
      </c>
      <c r="AN188" s="121">
        <v>-121852.129</v>
      </c>
      <c r="AO188" s="121">
        <v>-130188.497</v>
      </c>
      <c r="AP188" s="125" t="str">
        <f>CONCATENATE(A188,M188)</f>
        <v>GLT</v>
      </c>
      <c r="AQ188" s="125" t="str">
        <f>CONCATENATE(AP188,L188,H188)</f>
        <v>GLTT</v>
      </c>
      <c r="AS188" s="125" t="str">
        <f>CONCATENATE(L188,H188,J188)</f>
        <v>T</v>
      </c>
    </row>
    <row r="189" spans="1:45" s="125" customFormat="1" ht="25.5" customHeight="1">
      <c r="A189" s="216" t="s">
        <v>2493</v>
      </c>
      <c r="B189" s="217" t="str">
        <f t="shared" si="71"/>
        <v>GL190991</v>
      </c>
      <c r="C189" s="186">
        <v>190991</v>
      </c>
      <c r="D189" s="201"/>
      <c r="E189" s="162"/>
      <c r="F189" s="169" t="s">
        <v>981</v>
      </c>
      <c r="G189" s="117"/>
      <c r="H189" s="118">
        <v>0</v>
      </c>
      <c r="I189" s="119"/>
      <c r="J189" s="120"/>
      <c r="K189" s="120" t="str">
        <f t="shared" si="62"/>
        <v/>
      </c>
      <c r="L189" s="170" t="s">
        <v>1174</v>
      </c>
      <c r="M189" s="122" t="str">
        <f t="shared" si="52"/>
        <v>T</v>
      </c>
      <c r="N189" s="116" t="str">
        <f>IF($L189&lt;&gt;"",VLOOKUP($L189,Categories!$E:$G,2,FALSE),IF($F189&lt;&gt;"","NO CAT",""))</f>
        <v>Def Tax Side Sched</v>
      </c>
      <c r="O189" s="116" t="str">
        <f>IF($L189&lt;&gt;"",VLOOKUP($L189,Categories!$E:$G,3,FALSE),IF($F189&lt;&gt;"","NO CAT",""))</f>
        <v>Def Taxes</v>
      </c>
      <c r="P189" s="170" t="s">
        <v>1186</v>
      </c>
      <c r="Q189" s="123" t="s">
        <v>1187</v>
      </c>
      <c r="R189" s="124">
        <v>0</v>
      </c>
      <c r="S189" s="124">
        <v>0</v>
      </c>
      <c r="T189" s="124">
        <v>1</v>
      </c>
      <c r="U189" s="121">
        <f t="shared" si="65"/>
        <v>0</v>
      </c>
      <c r="V189" s="121">
        <f t="shared" si="66"/>
        <v>0</v>
      </c>
      <c r="W189" s="121">
        <f t="shared" si="67"/>
        <v>-26670.092708333301</v>
      </c>
      <c r="X189" s="121">
        <f t="shared" si="63"/>
        <v>-26670.092708333301</v>
      </c>
      <c r="Y189" s="121">
        <f t="shared" si="68"/>
        <v>0</v>
      </c>
      <c r="Z189" s="121">
        <f t="shared" si="69"/>
        <v>0</v>
      </c>
      <c r="AA189" s="121">
        <f t="shared" si="70"/>
        <v>-29288.54</v>
      </c>
      <c r="AB189" s="121">
        <f t="shared" si="64"/>
        <v>-29288.54</v>
      </c>
      <c r="AC189" s="121">
        <v>-25563.185000000001</v>
      </c>
      <c r="AD189" s="121">
        <v>-25563.185000000001</v>
      </c>
      <c r="AE189" s="121">
        <v>-25563.185000000001</v>
      </c>
      <c r="AF189" s="121">
        <v>-25944.932000000001</v>
      </c>
      <c r="AG189" s="121">
        <v>-25944.932000000001</v>
      </c>
      <c r="AH189" s="121">
        <v>-26185.357</v>
      </c>
      <c r="AI189" s="121">
        <v>-26534.66</v>
      </c>
      <c r="AJ189" s="121">
        <v>-27314.197</v>
      </c>
      <c r="AK189" s="121">
        <v>-27314.197</v>
      </c>
      <c r="AL189" s="121">
        <v>-27314.197</v>
      </c>
      <c r="AM189" s="121">
        <v>-27468.204000000002</v>
      </c>
      <c r="AN189" s="121">
        <v>-27468.204000000002</v>
      </c>
      <c r="AO189" s="121">
        <v>-29288.54</v>
      </c>
      <c r="AP189" s="125" t="str">
        <f>CONCATENATE(A189,M189)</f>
        <v>GLT</v>
      </c>
      <c r="AQ189" s="125" t="str">
        <f>CONCATENATE(AP189,L189,H189)</f>
        <v>GLTT0</v>
      </c>
      <c r="AS189" s="125" t="str">
        <f>CONCATENATE(L189,H189,J189)</f>
        <v>T0</v>
      </c>
    </row>
    <row r="190" spans="1:45" s="125" customFormat="1" ht="25.5" customHeight="1">
      <c r="A190" s="216" t="s">
        <v>2493</v>
      </c>
      <c r="B190" s="217" t="str">
        <f t="shared" si="71"/>
        <v>GL190992</v>
      </c>
      <c r="C190" s="186">
        <v>190992</v>
      </c>
      <c r="D190" s="201"/>
      <c r="E190" s="162"/>
      <c r="F190" s="169" t="s">
        <v>1775</v>
      </c>
      <c r="G190" s="117"/>
      <c r="H190" s="118" t="s">
        <v>1180</v>
      </c>
      <c r="I190" s="119"/>
      <c r="J190" s="120"/>
      <c r="K190" s="120" t="str">
        <f t="shared" si="62"/>
        <v/>
      </c>
      <c r="L190" s="170" t="s">
        <v>1174</v>
      </c>
      <c r="M190" s="122" t="str">
        <f t="shared" si="52"/>
        <v>T</v>
      </c>
      <c r="N190" s="116" t="str">
        <f>IF($L190&lt;&gt;"",VLOOKUP($L190,Categories!$E:$G,2,FALSE),IF($F190&lt;&gt;"","NO CAT",""))</f>
        <v>Def Tax Side Sched</v>
      </c>
      <c r="O190" s="116" t="str">
        <f>IF($L190&lt;&gt;"",VLOOKUP($L190,Categories!$E:$G,3,FALSE),IF($F190&lt;&gt;"","NO CAT",""))</f>
        <v>Def Taxes</v>
      </c>
      <c r="P190" s="170" t="s">
        <v>1186</v>
      </c>
      <c r="Q190" s="123" t="s">
        <v>1187</v>
      </c>
      <c r="R190" s="124">
        <v>0</v>
      </c>
      <c r="S190" s="124">
        <v>0</v>
      </c>
      <c r="T190" s="124">
        <v>1</v>
      </c>
      <c r="U190" s="121">
        <f t="shared" si="65"/>
        <v>0</v>
      </c>
      <c r="V190" s="121">
        <f t="shared" si="66"/>
        <v>0</v>
      </c>
      <c r="W190" s="121">
        <f t="shared" si="67"/>
        <v>-71173.154958333296</v>
      </c>
      <c r="X190" s="121">
        <f t="shared" si="63"/>
        <v>-71173.154958333296</v>
      </c>
      <c r="Y190" s="121">
        <f t="shared" si="68"/>
        <v>0</v>
      </c>
      <c r="Z190" s="121">
        <f t="shared" si="69"/>
        <v>0</v>
      </c>
      <c r="AA190" s="121">
        <f t="shared" si="70"/>
        <v>-74920.941999999995</v>
      </c>
      <c r="AB190" s="121">
        <f t="shared" si="64"/>
        <v>-74920.941999999995</v>
      </c>
      <c r="AC190" s="121">
        <v>-69757.236999999994</v>
      </c>
      <c r="AD190" s="121">
        <v>-69757.236999999994</v>
      </c>
      <c r="AE190" s="121">
        <v>-69757.236999999994</v>
      </c>
      <c r="AF190" s="121">
        <v>-70194.297000000006</v>
      </c>
      <c r="AG190" s="121">
        <v>-70194.297000000006</v>
      </c>
      <c r="AH190" s="121">
        <v>-70469.558000000005</v>
      </c>
      <c r="AI190" s="121">
        <v>-70869.472999999998</v>
      </c>
      <c r="AJ190" s="121">
        <v>-71956.361000000004</v>
      </c>
      <c r="AK190" s="121">
        <v>-71956.361000000004</v>
      </c>
      <c r="AL190" s="121">
        <v>-71956.361000000004</v>
      </c>
      <c r="AM190" s="121">
        <v>-72313.793999999994</v>
      </c>
      <c r="AN190" s="121">
        <v>-72313.793999999994</v>
      </c>
      <c r="AO190" s="121">
        <v>-74920.941999999995</v>
      </c>
      <c r="AP190" s="125" t="str">
        <f>CONCATENATE(A190,M190)</f>
        <v>GLT</v>
      </c>
      <c r="AQ190" s="125" t="str">
        <f>CONCATENATE(AP190,L190,H190)</f>
        <v>GLTT</v>
      </c>
      <c r="AS190" s="125" t="str">
        <f>CONCATENATE(L190,H190,J190)</f>
        <v>T</v>
      </c>
    </row>
    <row r="191" spans="1:45" s="125" customFormat="1" ht="25.5" customHeight="1">
      <c r="A191" s="216" t="s">
        <v>2493</v>
      </c>
      <c r="B191" s="217" t="str">
        <f t="shared" si="71"/>
        <v>GL190993</v>
      </c>
      <c r="C191" s="186">
        <v>190993</v>
      </c>
      <c r="D191" s="201"/>
      <c r="E191" s="162"/>
      <c r="F191" s="169" t="s">
        <v>982</v>
      </c>
      <c r="G191" s="117"/>
      <c r="H191" s="118">
        <v>0</v>
      </c>
      <c r="I191" s="119"/>
      <c r="J191" s="120"/>
      <c r="K191" s="120" t="str">
        <f t="shared" si="62"/>
        <v/>
      </c>
      <c r="L191" s="170" t="s">
        <v>1174</v>
      </c>
      <c r="M191" s="122" t="str">
        <f t="shared" si="52"/>
        <v>T</v>
      </c>
      <c r="N191" s="116" t="str">
        <f>IF($L191&lt;&gt;"",VLOOKUP($L191,Categories!$E:$G,2,FALSE),IF($F191&lt;&gt;"","NO CAT",""))</f>
        <v>Def Tax Side Sched</v>
      </c>
      <c r="O191" s="116" t="str">
        <f>IF($L191&lt;&gt;"",VLOOKUP($L191,Categories!$E:$G,3,FALSE),IF($F191&lt;&gt;"","NO CAT",""))</f>
        <v>Def Taxes</v>
      </c>
      <c r="P191" s="170" t="s">
        <v>1186</v>
      </c>
      <c r="Q191" s="123" t="s">
        <v>1187</v>
      </c>
      <c r="R191" s="124">
        <v>0</v>
      </c>
      <c r="S191" s="124">
        <v>0</v>
      </c>
      <c r="T191" s="124">
        <v>1</v>
      </c>
      <c r="U191" s="121">
        <f t="shared" si="65"/>
        <v>0</v>
      </c>
      <c r="V191" s="121">
        <f t="shared" si="66"/>
        <v>0</v>
      </c>
      <c r="W191" s="121">
        <f t="shared" si="67"/>
        <v>-15768.7484166667</v>
      </c>
      <c r="X191" s="121">
        <f t="shared" si="63"/>
        <v>-15768.7484166667</v>
      </c>
      <c r="Y191" s="121">
        <f t="shared" si="68"/>
        <v>0</v>
      </c>
      <c r="Z191" s="121">
        <f t="shared" si="69"/>
        <v>0</v>
      </c>
      <c r="AA191" s="121">
        <f t="shared" si="70"/>
        <v>-16587.118999999999</v>
      </c>
      <c r="AB191" s="121">
        <f t="shared" si="64"/>
        <v>-16587.118999999999</v>
      </c>
      <c r="AC191" s="121">
        <v>-15459.566999999999</v>
      </c>
      <c r="AD191" s="121">
        <v>-15459.566999999999</v>
      </c>
      <c r="AE191" s="121">
        <v>-15459.566999999999</v>
      </c>
      <c r="AF191" s="121">
        <v>-15555.004000000001</v>
      </c>
      <c r="AG191" s="121">
        <v>-15555.004000000001</v>
      </c>
      <c r="AH191" s="121">
        <v>-15615.11</v>
      </c>
      <c r="AI191" s="121">
        <v>-15702.436</v>
      </c>
      <c r="AJ191" s="121">
        <v>-15939.77</v>
      </c>
      <c r="AK191" s="121">
        <v>-15939.77</v>
      </c>
      <c r="AL191" s="121">
        <v>-15939.77</v>
      </c>
      <c r="AM191" s="121">
        <v>-16017.82</v>
      </c>
      <c r="AN191" s="121">
        <v>-16017.82</v>
      </c>
      <c r="AO191" s="121">
        <v>-16587.118999999999</v>
      </c>
      <c r="AP191" s="125" t="str">
        <f>CONCATENATE(A191,M191)</f>
        <v>GLT</v>
      </c>
      <c r="AQ191" s="125" t="str">
        <f>CONCATENATE(AP191,L191,H191)</f>
        <v>GLTT0</v>
      </c>
      <c r="AS191" s="125" t="str">
        <f>CONCATENATE(L191,H191,J191)</f>
        <v>T0</v>
      </c>
    </row>
    <row r="192" spans="1:45" s="125" customFormat="1" ht="25.5" customHeight="1">
      <c r="A192" s="216" t="s">
        <v>2493</v>
      </c>
      <c r="B192" s="217" t="str">
        <f t="shared" si="71"/>
        <v>GL201200</v>
      </c>
      <c r="C192" s="186">
        <v>201200</v>
      </c>
      <c r="D192" s="201"/>
      <c r="E192" s="162"/>
      <c r="F192" s="169" t="s">
        <v>1777</v>
      </c>
      <c r="G192" s="117"/>
      <c r="H192" s="118" t="s">
        <v>1180</v>
      </c>
      <c r="I192" s="119"/>
      <c r="J192" s="120"/>
      <c r="K192" s="120" t="str">
        <f t="shared" si="62"/>
        <v/>
      </c>
      <c r="L192" s="170" t="s">
        <v>266</v>
      </c>
      <c r="M192" s="122" t="str">
        <f t="shared" si="52"/>
        <v>C</v>
      </c>
      <c r="N192" s="116" t="str">
        <f>IF($L192&lt;&gt;"",VLOOKUP($L192,Categories!$E:$G,2,FALSE),IF($F192&lt;&gt;"","NO CAT",""))</f>
        <v>Capitalization</v>
      </c>
      <c r="O192" s="116" t="str">
        <f>IF($L192&lt;&gt;"",VLOOKUP($L192,Categories!$E:$G,3,FALSE),IF($F192&lt;&gt;"","NO CAT",""))</f>
        <v>Common Equity</v>
      </c>
      <c r="P192" s="170" t="s">
        <v>1186</v>
      </c>
      <c r="Q192" s="123" t="s">
        <v>1187</v>
      </c>
      <c r="R192" s="124">
        <v>0</v>
      </c>
      <c r="S192" s="124">
        <v>0</v>
      </c>
      <c r="T192" s="124">
        <v>1</v>
      </c>
      <c r="U192" s="121">
        <f t="shared" si="65"/>
        <v>0</v>
      </c>
      <c r="V192" s="121">
        <f t="shared" si="66"/>
        <v>0</v>
      </c>
      <c r="W192" s="121">
        <f t="shared" si="67"/>
        <v>-430056.62809000001</v>
      </c>
      <c r="X192" s="121">
        <f t="shared" si="63"/>
        <v>-430056.62809000001</v>
      </c>
      <c r="Y192" s="121">
        <f t="shared" si="68"/>
        <v>0</v>
      </c>
      <c r="Z192" s="121">
        <f t="shared" si="69"/>
        <v>0</v>
      </c>
      <c r="AA192" s="121">
        <f t="shared" si="70"/>
        <v>-430056.62809000001</v>
      </c>
      <c r="AB192" s="121">
        <f t="shared" si="64"/>
        <v>-430056.62808999995</v>
      </c>
      <c r="AC192" s="121">
        <v>-430056.62808999995</v>
      </c>
      <c r="AD192" s="121">
        <v>-430056.62808999995</v>
      </c>
      <c r="AE192" s="121">
        <v>-430056.62808999995</v>
      </c>
      <c r="AF192" s="121">
        <v>-430056.62808999995</v>
      </c>
      <c r="AG192" s="121">
        <v>-430056.62808999995</v>
      </c>
      <c r="AH192" s="121">
        <v>-430056.62808999995</v>
      </c>
      <c r="AI192" s="121">
        <v>-430056.62808999995</v>
      </c>
      <c r="AJ192" s="121">
        <v>-430056.62808999995</v>
      </c>
      <c r="AK192" s="121">
        <v>-430056.62808999995</v>
      </c>
      <c r="AL192" s="121">
        <v>-430056.62808999995</v>
      </c>
      <c r="AM192" s="121">
        <v>-430056.62808999995</v>
      </c>
      <c r="AN192" s="121">
        <v>-430056.62808999995</v>
      </c>
      <c r="AO192" s="121">
        <v>-430056.62808999995</v>
      </c>
      <c r="AP192" s="125" t="str">
        <f>CONCATENATE(A192,M192)</f>
        <v>GLC</v>
      </c>
      <c r="AQ192" s="125" t="str">
        <f>CONCATENATE(AP192,L192,H192)</f>
        <v>GLCC15</v>
      </c>
      <c r="AS192" s="125" t="str">
        <f>CONCATENATE(L192,H192,J192)</f>
        <v>C15</v>
      </c>
    </row>
    <row r="193" spans="1:45" s="125" customFormat="1" ht="25.5" customHeight="1">
      <c r="A193" s="216" t="s">
        <v>2493</v>
      </c>
      <c r="B193" s="217" t="str">
        <f t="shared" si="71"/>
        <v>GL201210</v>
      </c>
      <c r="C193" s="186">
        <v>201210</v>
      </c>
      <c r="D193" s="201"/>
      <c r="E193" s="162"/>
      <c r="F193" s="169" t="s">
        <v>1779</v>
      </c>
      <c r="G193" s="117"/>
      <c r="H193" s="118" t="s">
        <v>1180</v>
      </c>
      <c r="I193" s="119"/>
      <c r="J193" s="120"/>
      <c r="K193" s="120" t="str">
        <f t="shared" si="62"/>
        <v/>
      </c>
      <c r="L193" s="170" t="s">
        <v>266</v>
      </c>
      <c r="M193" s="122" t="str">
        <f t="shared" si="52"/>
        <v>C</v>
      </c>
      <c r="N193" s="116" t="str">
        <f>IF($L193&lt;&gt;"",VLOOKUP($L193,Categories!$E:$G,2,FALSE),IF($F193&lt;&gt;"","NO CAT",""))</f>
        <v>Capitalization</v>
      </c>
      <c r="O193" s="116" t="str">
        <f>IF($L193&lt;&gt;"",VLOOKUP($L193,Categories!$E:$G,3,FALSE),IF($F193&lt;&gt;"","NO CAT",""))</f>
        <v>Common Equity</v>
      </c>
      <c r="P193" s="170" t="s">
        <v>1186</v>
      </c>
      <c r="Q193" s="123" t="s">
        <v>1187</v>
      </c>
      <c r="R193" s="124">
        <v>0</v>
      </c>
      <c r="S193" s="124">
        <v>0</v>
      </c>
      <c r="T193" s="124">
        <v>1</v>
      </c>
      <c r="U193" s="121">
        <f t="shared" si="65"/>
        <v>0</v>
      </c>
      <c r="V193" s="121">
        <f t="shared" si="66"/>
        <v>0</v>
      </c>
      <c r="W193" s="121">
        <f t="shared" si="67"/>
        <v>-462249.62815</v>
      </c>
      <c r="X193" s="121">
        <f t="shared" si="63"/>
        <v>-462249.62815</v>
      </c>
      <c r="Y193" s="121">
        <f t="shared" si="68"/>
        <v>0</v>
      </c>
      <c r="Z193" s="121">
        <f t="shared" si="69"/>
        <v>0</v>
      </c>
      <c r="AA193" s="121">
        <f t="shared" si="70"/>
        <v>-462249.62815</v>
      </c>
      <c r="AB193" s="121">
        <f t="shared" si="64"/>
        <v>-462249.62815</v>
      </c>
      <c r="AC193" s="121">
        <v>-462249.62815</v>
      </c>
      <c r="AD193" s="121">
        <v>-462249.62815</v>
      </c>
      <c r="AE193" s="121">
        <v>-462249.62815</v>
      </c>
      <c r="AF193" s="121">
        <v>-462249.62815</v>
      </c>
      <c r="AG193" s="121">
        <v>-462249.62815</v>
      </c>
      <c r="AH193" s="121">
        <v>-462249.62815</v>
      </c>
      <c r="AI193" s="121">
        <v>-462249.62815</v>
      </c>
      <c r="AJ193" s="121">
        <v>-462249.62815</v>
      </c>
      <c r="AK193" s="121">
        <v>-462249.62815</v>
      </c>
      <c r="AL193" s="121">
        <v>-462249.62815</v>
      </c>
      <c r="AM193" s="121">
        <v>-462249.62815</v>
      </c>
      <c r="AN193" s="121">
        <v>-462249.62815</v>
      </c>
      <c r="AO193" s="121">
        <v>-462249.62815</v>
      </c>
      <c r="AP193" s="125" t="str">
        <f>CONCATENATE(A193,M193)</f>
        <v>GLC</v>
      </c>
      <c r="AQ193" s="125" t="str">
        <f>CONCATENATE(AP193,L193,H193)</f>
        <v>GLCC15</v>
      </c>
      <c r="AS193" s="125" t="str">
        <f>CONCATENATE(L193,H193,J193)</f>
        <v>C15</v>
      </c>
    </row>
    <row r="194" spans="1:45" s="125" customFormat="1" ht="25.5" customHeight="1">
      <c r="A194" s="216" t="s">
        <v>2493</v>
      </c>
      <c r="B194" s="217" t="str">
        <f t="shared" si="71"/>
        <v>GL201220</v>
      </c>
      <c r="C194" s="186">
        <v>201220</v>
      </c>
      <c r="D194" s="201"/>
      <c r="E194" s="162"/>
      <c r="F194" s="169" t="s">
        <v>1781</v>
      </c>
      <c r="G194" s="117"/>
      <c r="H194" s="118" t="s">
        <v>1180</v>
      </c>
      <c r="I194" s="119"/>
      <c r="J194" s="120"/>
      <c r="K194" s="120" t="str">
        <f t="shared" si="62"/>
        <v/>
      </c>
      <c r="L194" s="170" t="s">
        <v>266</v>
      </c>
      <c r="M194" s="122" t="str">
        <f t="shared" ref="M194:M254" si="80">LEFT(L194,1)</f>
        <v>C</v>
      </c>
      <c r="N194" s="116" t="str">
        <f>IF($L194&lt;&gt;"",VLOOKUP($L194,Categories!$E:$G,2,FALSE),IF($F194&lt;&gt;"","NO CAT",""))</f>
        <v>Capitalization</v>
      </c>
      <c r="O194" s="116" t="str">
        <f>IF($L194&lt;&gt;"",VLOOKUP($L194,Categories!$E:$G,3,FALSE),IF($F194&lt;&gt;"","NO CAT",""))</f>
        <v>Common Equity</v>
      </c>
      <c r="P194" s="170" t="s">
        <v>1186</v>
      </c>
      <c r="Q194" s="123" t="s">
        <v>1187</v>
      </c>
      <c r="R194" s="124">
        <v>0</v>
      </c>
      <c r="S194" s="124">
        <v>0</v>
      </c>
      <c r="T194" s="124">
        <v>1</v>
      </c>
      <c r="U194" s="121">
        <f t="shared" si="65"/>
        <v>0</v>
      </c>
      <c r="V194" s="121">
        <f t="shared" si="66"/>
        <v>0</v>
      </c>
      <c r="W194" s="121">
        <f t="shared" si="67"/>
        <v>462249.62815</v>
      </c>
      <c r="X194" s="121">
        <f t="shared" si="63"/>
        <v>462249.62815</v>
      </c>
      <c r="Y194" s="121">
        <f t="shared" si="68"/>
        <v>0</v>
      </c>
      <c r="Z194" s="121">
        <f t="shared" si="69"/>
        <v>0</v>
      </c>
      <c r="AA194" s="121">
        <f t="shared" si="70"/>
        <v>462249.62815</v>
      </c>
      <c r="AB194" s="121">
        <f t="shared" si="64"/>
        <v>462249.62815</v>
      </c>
      <c r="AC194" s="121">
        <v>462249.62815</v>
      </c>
      <c r="AD194" s="121">
        <v>462249.62815</v>
      </c>
      <c r="AE194" s="121">
        <v>462249.62815</v>
      </c>
      <c r="AF194" s="121">
        <v>462249.62815</v>
      </c>
      <c r="AG194" s="121">
        <v>462249.62815</v>
      </c>
      <c r="AH194" s="121">
        <v>462249.62815</v>
      </c>
      <c r="AI194" s="121">
        <v>462249.62815</v>
      </c>
      <c r="AJ194" s="121">
        <v>462249.62815</v>
      </c>
      <c r="AK194" s="121">
        <v>462249.62815</v>
      </c>
      <c r="AL194" s="121">
        <v>462249.62815</v>
      </c>
      <c r="AM194" s="121">
        <v>462249.62815</v>
      </c>
      <c r="AN194" s="121">
        <v>462249.62815</v>
      </c>
      <c r="AO194" s="121">
        <v>462249.62815</v>
      </c>
      <c r="AP194" s="125" t="str">
        <f>CONCATENATE(A194,M194)</f>
        <v>GLC</v>
      </c>
      <c r="AQ194" s="125" t="str">
        <f>CONCATENATE(AP194,L194,H194)</f>
        <v>GLCC15</v>
      </c>
      <c r="AS194" s="125" t="str">
        <f>CONCATENATE(L194,H194,J194)</f>
        <v>C15</v>
      </c>
    </row>
    <row r="195" spans="1:45" s="125" customFormat="1" ht="25.5" customHeight="1">
      <c r="A195" s="216" t="s">
        <v>2493</v>
      </c>
      <c r="B195" s="217" t="str">
        <f t="shared" si="71"/>
        <v>GL204010</v>
      </c>
      <c r="C195" s="186">
        <v>204010</v>
      </c>
      <c r="D195" s="201"/>
      <c r="E195" s="162"/>
      <c r="F195" s="169" t="s">
        <v>1783</v>
      </c>
      <c r="G195" s="117"/>
      <c r="H195" s="118" t="s">
        <v>1180</v>
      </c>
      <c r="I195" s="119"/>
      <c r="J195" s="120"/>
      <c r="K195" s="120" t="str">
        <f t="shared" si="62"/>
        <v/>
      </c>
      <c r="L195" s="170" t="s">
        <v>1430</v>
      </c>
      <c r="M195" s="122" t="str">
        <f t="shared" si="80"/>
        <v>C</v>
      </c>
      <c r="N195" s="116" t="str">
        <f>IF($L195&lt;&gt;"",VLOOKUP($L195,Categories!$E:$G,2,FALSE),IF($F195&lt;&gt;"","NO CAT",""))</f>
        <v>Capitalization</v>
      </c>
      <c r="O195" s="116" t="str">
        <f>IF($L195&lt;&gt;"",VLOOKUP($L195,Categories!$E:$G,3,FALSE),IF($F195&lt;&gt;"","NO CAT",""))</f>
        <v>Preferred Stock</v>
      </c>
      <c r="P195" s="170" t="s">
        <v>1186</v>
      </c>
      <c r="Q195" s="123" t="s">
        <v>1187</v>
      </c>
      <c r="R195" s="124">
        <v>0</v>
      </c>
      <c r="S195" s="124">
        <v>0</v>
      </c>
      <c r="T195" s="124">
        <v>1</v>
      </c>
      <c r="U195" s="121">
        <f t="shared" si="65"/>
        <v>0</v>
      </c>
      <c r="V195" s="121">
        <f t="shared" si="66"/>
        <v>0</v>
      </c>
      <c r="W195" s="121">
        <f t="shared" si="67"/>
        <v>-5.4166666666700003E-4</v>
      </c>
      <c r="X195" s="121">
        <f t="shared" si="63"/>
        <v>-5.4166666666700003E-4</v>
      </c>
      <c r="Y195" s="121" t="str">
        <f t="shared" si="68"/>
        <v/>
      </c>
      <c r="Z195" s="121" t="str">
        <f t="shared" si="69"/>
        <v/>
      </c>
      <c r="AA195" s="121" t="str">
        <f t="shared" si="70"/>
        <v/>
      </c>
      <c r="AB195" s="121">
        <f t="shared" si="64"/>
        <v>0</v>
      </c>
      <c r="AC195" s="121">
        <v>-1E-3</v>
      </c>
      <c r="AD195" s="121">
        <v>-1E-3</v>
      </c>
      <c r="AE195" s="121">
        <v>-1E-3</v>
      </c>
      <c r="AF195" s="121">
        <v>-1E-3</v>
      </c>
      <c r="AG195" s="121">
        <v>-1E-3</v>
      </c>
      <c r="AH195" s="121">
        <v>-1E-3</v>
      </c>
      <c r="AI195" s="121">
        <v>-1E-3</v>
      </c>
      <c r="AJ195" s="121">
        <v>0</v>
      </c>
      <c r="AK195" s="121">
        <v>0</v>
      </c>
      <c r="AL195" s="121">
        <v>0</v>
      </c>
      <c r="AM195" s="121">
        <v>0</v>
      </c>
      <c r="AN195" s="121">
        <v>0</v>
      </c>
      <c r="AO195" s="121">
        <v>0</v>
      </c>
      <c r="AP195" s="125" t="str">
        <f>CONCATENATE(A195,M195)</f>
        <v>GLC</v>
      </c>
      <c r="AQ195" s="125" t="str">
        <f>CONCATENATE(AP195,L195,H195)</f>
        <v>GLCC14</v>
      </c>
      <c r="AS195" s="125" t="str">
        <f>CONCATENATE(L195,H195,J195)</f>
        <v>C14</v>
      </c>
    </row>
    <row r="196" spans="1:45" s="125" customFormat="1" ht="25.5" customHeight="1">
      <c r="A196" s="216" t="s">
        <v>2493</v>
      </c>
      <c r="B196" s="217" t="str">
        <f t="shared" si="71"/>
        <v>GL207130</v>
      </c>
      <c r="C196" s="186">
        <v>207130</v>
      </c>
      <c r="D196" s="201"/>
      <c r="E196" s="162"/>
      <c r="F196" s="169" t="s">
        <v>1785</v>
      </c>
      <c r="G196" s="117"/>
      <c r="H196" s="118" t="s">
        <v>1180</v>
      </c>
      <c r="I196" s="119"/>
      <c r="J196" s="120"/>
      <c r="K196" s="120" t="str">
        <f t="shared" si="62"/>
        <v/>
      </c>
      <c r="L196" s="170" t="s">
        <v>266</v>
      </c>
      <c r="M196" s="122" t="str">
        <f t="shared" si="80"/>
        <v>C</v>
      </c>
      <c r="N196" s="116" t="str">
        <f>IF($L196&lt;&gt;"",VLOOKUP($L196,Categories!$E:$G,2,FALSE),IF($F196&lt;&gt;"","NO CAT",""))</f>
        <v>Capitalization</v>
      </c>
      <c r="O196" s="116" t="str">
        <f>IF($L196&lt;&gt;"",VLOOKUP($L196,Categories!$E:$G,3,FALSE),IF($F196&lt;&gt;"","NO CAT",""))</f>
        <v>Common Equity</v>
      </c>
      <c r="P196" s="170" t="s">
        <v>1186</v>
      </c>
      <c r="Q196" s="123" t="s">
        <v>1187</v>
      </c>
      <c r="R196" s="124">
        <v>0</v>
      </c>
      <c r="S196" s="124">
        <v>0</v>
      </c>
      <c r="T196" s="124">
        <v>1</v>
      </c>
      <c r="U196" s="121">
        <f t="shared" si="65"/>
        <v>0</v>
      </c>
      <c r="V196" s="121">
        <f t="shared" si="66"/>
        <v>0</v>
      </c>
      <c r="W196" s="121">
        <f t="shared" si="67"/>
        <v>-10.6082</v>
      </c>
      <c r="X196" s="121">
        <f t="shared" si="63"/>
        <v>-10.6082</v>
      </c>
      <c r="Y196" s="121">
        <f t="shared" si="68"/>
        <v>0</v>
      </c>
      <c r="Z196" s="121">
        <f t="shared" si="69"/>
        <v>0</v>
      </c>
      <c r="AA196" s="121">
        <f t="shared" si="70"/>
        <v>-10.6082</v>
      </c>
      <c r="AB196" s="121">
        <f t="shared" si="64"/>
        <v>-10.6082</v>
      </c>
      <c r="AC196" s="121">
        <v>-10.6082</v>
      </c>
      <c r="AD196" s="121">
        <v>-10.6082</v>
      </c>
      <c r="AE196" s="121">
        <v>-10.6082</v>
      </c>
      <c r="AF196" s="121">
        <v>-10.6082</v>
      </c>
      <c r="AG196" s="121">
        <v>-10.6082</v>
      </c>
      <c r="AH196" s="121">
        <v>-10.6082</v>
      </c>
      <c r="AI196" s="121">
        <v>-10.6082</v>
      </c>
      <c r="AJ196" s="121">
        <v>-10.6082</v>
      </c>
      <c r="AK196" s="121">
        <v>-10.6082</v>
      </c>
      <c r="AL196" s="121">
        <v>-10.6082</v>
      </c>
      <c r="AM196" s="121">
        <v>-10.6082</v>
      </c>
      <c r="AN196" s="121">
        <v>-10.6082</v>
      </c>
      <c r="AO196" s="121">
        <v>-10.6082</v>
      </c>
      <c r="AP196" s="125" t="str">
        <f>CONCATENATE(A196,M196)</f>
        <v>GLC</v>
      </c>
      <c r="AQ196" s="125" t="str">
        <f>CONCATENATE(AP196,L196,H196)</f>
        <v>GLCC15</v>
      </c>
      <c r="AS196" s="125" t="str">
        <f>CONCATENATE(L196,H196,J196)</f>
        <v>C15</v>
      </c>
    </row>
    <row r="197" spans="1:45" s="125" customFormat="1" ht="25.5" customHeight="1">
      <c r="A197" s="216" t="s">
        <v>2493</v>
      </c>
      <c r="B197" s="217" t="str">
        <f t="shared" si="71"/>
        <v>GL207135</v>
      </c>
      <c r="C197" s="186">
        <v>207135</v>
      </c>
      <c r="D197" s="201"/>
      <c r="E197" s="162"/>
      <c r="F197" s="169" t="s">
        <v>1787</v>
      </c>
      <c r="G197" s="117"/>
      <c r="H197" s="118" t="s">
        <v>1180</v>
      </c>
      <c r="I197" s="119"/>
      <c r="J197" s="120"/>
      <c r="K197" s="120" t="str">
        <f t="shared" ref="K197:K252" si="81">IF(L197="N3","SFAS-109","")</f>
        <v/>
      </c>
      <c r="L197" s="170" t="s">
        <v>266</v>
      </c>
      <c r="M197" s="122" t="str">
        <f t="shared" si="80"/>
        <v>C</v>
      </c>
      <c r="N197" s="116" t="str">
        <f>IF($L197&lt;&gt;"",VLOOKUP($L197,Categories!$E:$G,2,FALSE),IF($F197&lt;&gt;"","NO CAT",""))</f>
        <v>Capitalization</v>
      </c>
      <c r="O197" s="116" t="str">
        <f>IF($L197&lt;&gt;"",VLOOKUP($L197,Categories!$E:$G,3,FALSE),IF($F197&lt;&gt;"","NO CAT",""))</f>
        <v>Common Equity</v>
      </c>
      <c r="P197" s="170" t="s">
        <v>1186</v>
      </c>
      <c r="Q197" s="123" t="s">
        <v>1187</v>
      </c>
      <c r="R197" s="124">
        <v>0</v>
      </c>
      <c r="S197" s="124">
        <v>0</v>
      </c>
      <c r="T197" s="124">
        <v>1</v>
      </c>
      <c r="U197" s="121">
        <f t="shared" si="65"/>
        <v>0</v>
      </c>
      <c r="V197" s="121">
        <f t="shared" si="66"/>
        <v>0</v>
      </c>
      <c r="W197" s="121">
        <f t="shared" si="67"/>
        <v>-10.894690000000001</v>
      </c>
      <c r="X197" s="121">
        <f t="shared" si="63"/>
        <v>-10.894690000000001</v>
      </c>
      <c r="Y197" s="121">
        <f t="shared" si="68"/>
        <v>0</v>
      </c>
      <c r="Z197" s="121">
        <f t="shared" si="69"/>
        <v>0</v>
      </c>
      <c r="AA197" s="121">
        <f t="shared" si="70"/>
        <v>-10.894690000000001</v>
      </c>
      <c r="AB197" s="121">
        <f t="shared" si="64"/>
        <v>-10.894690000000001</v>
      </c>
      <c r="AC197" s="121">
        <v>-10.894690000000001</v>
      </c>
      <c r="AD197" s="121">
        <v>-10.894690000000001</v>
      </c>
      <c r="AE197" s="121">
        <v>-10.894690000000001</v>
      </c>
      <c r="AF197" s="121">
        <v>-10.894690000000001</v>
      </c>
      <c r="AG197" s="121">
        <v>-10.894690000000001</v>
      </c>
      <c r="AH197" s="121">
        <v>-10.894690000000001</v>
      </c>
      <c r="AI197" s="121">
        <v>-10.894690000000001</v>
      </c>
      <c r="AJ197" s="121">
        <v>-10.894690000000001</v>
      </c>
      <c r="AK197" s="121">
        <v>-10.894690000000001</v>
      </c>
      <c r="AL197" s="121">
        <v>-10.894690000000001</v>
      </c>
      <c r="AM197" s="121">
        <v>-10.894690000000001</v>
      </c>
      <c r="AN197" s="121">
        <v>-10.894690000000001</v>
      </c>
      <c r="AO197" s="121">
        <v>-10.894690000000001</v>
      </c>
      <c r="AP197" s="125" t="str">
        <f>CONCATENATE(A197,M197)</f>
        <v>GLC</v>
      </c>
      <c r="AQ197" s="125" t="str">
        <f>CONCATENATE(AP197,L197,H197)</f>
        <v>GLCC15</v>
      </c>
      <c r="AS197" s="125" t="str">
        <f>CONCATENATE(L197,H197,J197)</f>
        <v>C15</v>
      </c>
    </row>
    <row r="198" spans="1:45" s="125" customFormat="1" ht="25.5" customHeight="1">
      <c r="A198" s="216" t="s">
        <v>2493</v>
      </c>
      <c r="B198" s="217" t="str">
        <f t="shared" si="71"/>
        <v>GL207200</v>
      </c>
      <c r="C198" s="186">
        <v>207200</v>
      </c>
      <c r="D198" s="201"/>
      <c r="E198" s="162"/>
      <c r="F198" s="169" t="s">
        <v>1789</v>
      </c>
      <c r="G198" s="117"/>
      <c r="H198" s="118" t="s">
        <v>1180</v>
      </c>
      <c r="I198" s="119"/>
      <c r="J198" s="120"/>
      <c r="K198" s="120" t="str">
        <f t="shared" si="81"/>
        <v/>
      </c>
      <c r="L198" s="170" t="s">
        <v>266</v>
      </c>
      <c r="M198" s="122" t="str">
        <f t="shared" si="80"/>
        <v>C</v>
      </c>
      <c r="N198" s="116" t="str">
        <f>IF($L198&lt;&gt;"",VLOOKUP($L198,Categories!$E:$G,2,FALSE),IF($F198&lt;&gt;"","NO CAT",""))</f>
        <v>Capitalization</v>
      </c>
      <c r="O198" s="116" t="str">
        <f>IF($L198&lt;&gt;"",VLOOKUP($L198,Categories!$E:$G,3,FALSE),IF($F198&lt;&gt;"","NO CAT",""))</f>
        <v>Common Equity</v>
      </c>
      <c r="P198" s="170" t="s">
        <v>1186</v>
      </c>
      <c r="Q198" s="123" t="s">
        <v>1187</v>
      </c>
      <c r="R198" s="124">
        <v>0</v>
      </c>
      <c r="S198" s="124">
        <v>0</v>
      </c>
      <c r="T198" s="124">
        <v>1</v>
      </c>
      <c r="U198" s="121">
        <f t="shared" si="65"/>
        <v>0</v>
      </c>
      <c r="V198" s="121">
        <f t="shared" si="66"/>
        <v>0</v>
      </c>
      <c r="W198" s="121">
        <f t="shared" si="67"/>
        <v>-148678.03167999999</v>
      </c>
      <c r="X198" s="121">
        <f t="shared" si="63"/>
        <v>-148678.03167999999</v>
      </c>
      <c r="Y198" s="121">
        <f t="shared" si="68"/>
        <v>0</v>
      </c>
      <c r="Z198" s="121">
        <f t="shared" si="69"/>
        <v>0</v>
      </c>
      <c r="AA198" s="121">
        <f t="shared" si="70"/>
        <v>-148678.03167999999</v>
      </c>
      <c r="AB198" s="121">
        <f t="shared" si="64"/>
        <v>-148678.03168000001</v>
      </c>
      <c r="AC198" s="121">
        <v>-148678.03168000001</v>
      </c>
      <c r="AD198" s="121">
        <v>-148678.03168000001</v>
      </c>
      <c r="AE198" s="121">
        <v>-148678.03168000001</v>
      </c>
      <c r="AF198" s="121">
        <v>-148678.03168000001</v>
      </c>
      <c r="AG198" s="121">
        <v>-148678.03168000001</v>
      </c>
      <c r="AH198" s="121">
        <v>-148678.03168000001</v>
      </c>
      <c r="AI198" s="121">
        <v>-148678.03168000001</v>
      </c>
      <c r="AJ198" s="121">
        <v>-148678.03168000001</v>
      </c>
      <c r="AK198" s="121">
        <v>-148678.03168000001</v>
      </c>
      <c r="AL198" s="121">
        <v>-148678.03168000001</v>
      </c>
      <c r="AM198" s="121">
        <v>-148678.03168000001</v>
      </c>
      <c r="AN198" s="121">
        <v>-148678.03168000001</v>
      </c>
      <c r="AO198" s="121">
        <v>-148678.03168000001</v>
      </c>
      <c r="AP198" s="125" t="str">
        <f>CONCATENATE(A198,M198)</f>
        <v>GLC</v>
      </c>
      <c r="AQ198" s="125" t="str">
        <f>CONCATENATE(AP198,L198,H198)</f>
        <v>GLCC15</v>
      </c>
      <c r="AS198" s="125" t="str">
        <f>CONCATENATE(L198,H198,J198)</f>
        <v>C15</v>
      </c>
    </row>
    <row r="199" spans="1:45" s="125" customFormat="1" ht="25.5" customHeight="1">
      <c r="A199" s="216" t="s">
        <v>2493</v>
      </c>
      <c r="B199" s="217" t="str">
        <f t="shared" si="71"/>
        <v>GL209000</v>
      </c>
      <c r="C199" s="186">
        <v>209000</v>
      </c>
      <c r="D199" s="201"/>
      <c r="E199" s="162"/>
      <c r="F199" s="169" t="s">
        <v>1791</v>
      </c>
      <c r="G199" s="117"/>
      <c r="H199" s="118" t="s">
        <v>1180</v>
      </c>
      <c r="I199" s="119"/>
      <c r="J199" s="120"/>
      <c r="K199" s="120" t="str">
        <f t="shared" si="81"/>
        <v/>
      </c>
      <c r="L199" s="170" t="s">
        <v>266</v>
      </c>
      <c r="M199" s="122" t="str">
        <f t="shared" si="80"/>
        <v>C</v>
      </c>
      <c r="N199" s="116" t="str">
        <f>IF($L199&lt;&gt;"",VLOOKUP($L199,Categories!$E:$G,2,FALSE),IF($F199&lt;&gt;"","NO CAT",""))</f>
        <v>Capitalization</v>
      </c>
      <c r="O199" s="116" t="str">
        <f>IF($L199&lt;&gt;"",VLOOKUP($L199,Categories!$E:$G,3,FALSE),IF($F199&lt;&gt;"","NO CAT",""))</f>
        <v>Common Equity</v>
      </c>
      <c r="P199" s="170" t="s">
        <v>1186</v>
      </c>
      <c r="Q199" s="123" t="s">
        <v>1187</v>
      </c>
      <c r="R199" s="124">
        <v>0</v>
      </c>
      <c r="S199" s="124">
        <v>0</v>
      </c>
      <c r="T199" s="124">
        <v>1</v>
      </c>
      <c r="U199" s="121">
        <f t="shared" si="65"/>
        <v>0</v>
      </c>
      <c r="V199" s="121">
        <f t="shared" si="66"/>
        <v>0</v>
      </c>
      <c r="W199" s="121">
        <f t="shared" si="67"/>
        <v>-26574.942029999998</v>
      </c>
      <c r="X199" s="121">
        <f t="shared" si="63"/>
        <v>-26574.942029999998</v>
      </c>
      <c r="Y199" s="121">
        <f t="shared" si="68"/>
        <v>0</v>
      </c>
      <c r="Z199" s="121">
        <f t="shared" si="69"/>
        <v>0</v>
      </c>
      <c r="AA199" s="121">
        <f t="shared" si="70"/>
        <v>-26574.942029999998</v>
      </c>
      <c r="AB199" s="121">
        <f t="shared" si="64"/>
        <v>-26574.942030000002</v>
      </c>
      <c r="AC199" s="121">
        <v>-26574.942030000002</v>
      </c>
      <c r="AD199" s="121">
        <v>-26574.942030000002</v>
      </c>
      <c r="AE199" s="121">
        <v>-26574.942030000002</v>
      </c>
      <c r="AF199" s="121">
        <v>-26574.942030000002</v>
      </c>
      <c r="AG199" s="121">
        <v>-26574.942030000002</v>
      </c>
      <c r="AH199" s="121">
        <v>-26574.942030000002</v>
      </c>
      <c r="AI199" s="121">
        <v>-26574.942030000002</v>
      </c>
      <c r="AJ199" s="121">
        <v>-26574.942030000002</v>
      </c>
      <c r="AK199" s="121">
        <v>-26574.942030000002</v>
      </c>
      <c r="AL199" s="121">
        <v>-26574.942030000002</v>
      </c>
      <c r="AM199" s="121">
        <v>-26574.942030000002</v>
      </c>
      <c r="AN199" s="121">
        <v>-26574.942030000002</v>
      </c>
      <c r="AO199" s="121">
        <v>-26574.942030000002</v>
      </c>
      <c r="AP199" s="125" t="str">
        <f>CONCATENATE(A199,M199)</f>
        <v>GLC</v>
      </c>
      <c r="AQ199" s="125" t="str">
        <f>CONCATENATE(AP199,L199,H199)</f>
        <v>GLCC15</v>
      </c>
      <c r="AS199" s="125" t="str">
        <f>CONCATENATE(L199,H199,J199)</f>
        <v>C15</v>
      </c>
    </row>
    <row r="200" spans="1:45" s="125" customFormat="1" ht="25.5" customHeight="1">
      <c r="A200" s="216" t="s">
        <v>2493</v>
      </c>
      <c r="B200" s="217" t="str">
        <f t="shared" si="71"/>
        <v>GL211205</v>
      </c>
      <c r="C200" s="186">
        <v>211205</v>
      </c>
      <c r="D200" s="201"/>
      <c r="E200" s="162"/>
      <c r="F200" s="169" t="s">
        <v>321</v>
      </c>
      <c r="G200" s="117"/>
      <c r="H200" s="118" t="e">
        <v>#N/A</v>
      </c>
      <c r="I200" s="119"/>
      <c r="J200" s="120"/>
      <c r="K200" s="120" t="str">
        <f t="shared" si="81"/>
        <v/>
      </c>
      <c r="L200" s="170" t="s">
        <v>266</v>
      </c>
      <c r="M200" s="122" t="str">
        <f t="shared" si="80"/>
        <v>C</v>
      </c>
      <c r="N200" s="116" t="str">
        <f>IF($L200&lt;&gt;"",VLOOKUP($L200,Categories!$E:$G,2,FALSE),IF($F200&lt;&gt;"","NO CAT",""))</f>
        <v>Capitalization</v>
      </c>
      <c r="O200" s="116" t="str">
        <f>IF($L200&lt;&gt;"",VLOOKUP($L200,Categories!$E:$G,3,FALSE),IF($F200&lt;&gt;"","NO CAT",""))</f>
        <v>Common Equity</v>
      </c>
      <c r="P200" s="170" t="s">
        <v>1186</v>
      </c>
      <c r="Q200" s="123" t="s">
        <v>1187</v>
      </c>
      <c r="R200" s="124">
        <v>0</v>
      </c>
      <c r="S200" s="124">
        <v>0</v>
      </c>
      <c r="T200" s="124">
        <v>1</v>
      </c>
      <c r="U200" s="121">
        <f t="shared" si="65"/>
        <v>0</v>
      </c>
      <c r="V200" s="121">
        <f t="shared" si="66"/>
        <v>0</v>
      </c>
      <c r="W200" s="121">
        <f t="shared" si="67"/>
        <v>11198.844059999999</v>
      </c>
      <c r="X200" s="121">
        <f t="shared" si="63"/>
        <v>11198.844059999999</v>
      </c>
      <c r="Y200" s="121">
        <f t="shared" si="68"/>
        <v>0</v>
      </c>
      <c r="Z200" s="121">
        <f t="shared" si="69"/>
        <v>0</v>
      </c>
      <c r="AA200" s="121">
        <f t="shared" si="70"/>
        <v>11198.844059999999</v>
      </c>
      <c r="AB200" s="121">
        <f t="shared" si="64"/>
        <v>11198.844060000001</v>
      </c>
      <c r="AC200" s="121">
        <v>11198.844060000001</v>
      </c>
      <c r="AD200" s="121">
        <v>11198.844060000001</v>
      </c>
      <c r="AE200" s="121">
        <v>11198.844060000001</v>
      </c>
      <c r="AF200" s="121">
        <v>11198.844060000001</v>
      </c>
      <c r="AG200" s="121">
        <v>11198.844060000001</v>
      </c>
      <c r="AH200" s="121">
        <v>11198.844060000001</v>
      </c>
      <c r="AI200" s="121">
        <v>11198.844060000001</v>
      </c>
      <c r="AJ200" s="121">
        <v>11198.844060000001</v>
      </c>
      <c r="AK200" s="121">
        <v>11198.844060000001</v>
      </c>
      <c r="AL200" s="121">
        <v>11198.844060000001</v>
      </c>
      <c r="AM200" s="121">
        <v>11198.844060000001</v>
      </c>
      <c r="AN200" s="121">
        <v>11198.844060000001</v>
      </c>
      <c r="AO200" s="121">
        <v>11198.844060000001</v>
      </c>
      <c r="AP200" s="125" t="str">
        <f>CONCATENATE(A200,M200)</f>
        <v>GLC</v>
      </c>
      <c r="AQ200" s="125" t="e">
        <f>CONCATENATE(AP200,L200,H200)</f>
        <v>#N/A</v>
      </c>
      <c r="AS200" s="125" t="e">
        <f>CONCATENATE(L200,H200,J200)</f>
        <v>#N/A</v>
      </c>
    </row>
    <row r="201" spans="1:45" s="125" customFormat="1" ht="25.5" customHeight="1">
      <c r="A201" s="216" t="s">
        <v>2493</v>
      </c>
      <c r="B201" s="217" t="str">
        <f t="shared" si="71"/>
        <v>GL211290</v>
      </c>
      <c r="C201" s="186">
        <v>211290</v>
      </c>
      <c r="D201" s="201"/>
      <c r="E201" s="162"/>
      <c r="F201" s="169" t="s">
        <v>1581</v>
      </c>
      <c r="G201" s="117"/>
      <c r="H201" s="118" t="s">
        <v>1180</v>
      </c>
      <c r="I201" s="119"/>
      <c r="J201" s="120"/>
      <c r="K201" s="120" t="str">
        <f t="shared" si="81"/>
        <v/>
      </c>
      <c r="L201" s="170" t="s">
        <v>266</v>
      </c>
      <c r="M201" s="122" t="str">
        <f t="shared" si="80"/>
        <v>C</v>
      </c>
      <c r="N201" s="116" t="str">
        <f>IF($L201&lt;&gt;"",VLOOKUP($L201,Categories!$E:$G,2,FALSE),IF($F201&lt;&gt;"","NO CAT",""))</f>
        <v>Capitalization</v>
      </c>
      <c r="O201" s="116" t="str">
        <f>IF($L201&lt;&gt;"",VLOOKUP($L201,Categories!$E:$G,3,FALSE),IF($F201&lt;&gt;"","NO CAT",""))</f>
        <v>Common Equity</v>
      </c>
      <c r="P201" s="170" t="s">
        <v>1186</v>
      </c>
      <c r="Q201" s="123" t="s">
        <v>1187</v>
      </c>
      <c r="R201" s="124">
        <v>0</v>
      </c>
      <c r="S201" s="124">
        <v>0</v>
      </c>
      <c r="T201" s="124">
        <v>1</v>
      </c>
      <c r="U201" s="121">
        <f t="shared" si="65"/>
        <v>0</v>
      </c>
      <c r="V201" s="121">
        <f t="shared" si="66"/>
        <v>0</v>
      </c>
      <c r="W201" s="121">
        <f t="shared" si="67"/>
        <v>-6462</v>
      </c>
      <c r="X201" s="121">
        <f t="shared" si="63"/>
        <v>-6462</v>
      </c>
      <c r="Y201" s="121">
        <f t="shared" si="68"/>
        <v>0</v>
      </c>
      <c r="Z201" s="121">
        <f t="shared" si="69"/>
        <v>0</v>
      </c>
      <c r="AA201" s="121">
        <f t="shared" si="70"/>
        <v>-6462</v>
      </c>
      <c r="AB201" s="121">
        <f t="shared" si="64"/>
        <v>-6462</v>
      </c>
      <c r="AC201" s="121">
        <v>-6462</v>
      </c>
      <c r="AD201" s="121">
        <v>-6462</v>
      </c>
      <c r="AE201" s="121">
        <v>-6462</v>
      </c>
      <c r="AF201" s="121">
        <v>-6462</v>
      </c>
      <c r="AG201" s="121">
        <v>-6462</v>
      </c>
      <c r="AH201" s="121">
        <v>-6462</v>
      </c>
      <c r="AI201" s="121">
        <v>-6462</v>
      </c>
      <c r="AJ201" s="121">
        <v>-6462</v>
      </c>
      <c r="AK201" s="121">
        <v>-6462</v>
      </c>
      <c r="AL201" s="121">
        <v>-6462</v>
      </c>
      <c r="AM201" s="121">
        <v>-6462</v>
      </c>
      <c r="AN201" s="121">
        <v>-6462</v>
      </c>
      <c r="AO201" s="121">
        <v>-6462</v>
      </c>
      <c r="AP201" s="125" t="str">
        <f>CONCATENATE(A201,M201)</f>
        <v>GLC</v>
      </c>
      <c r="AQ201" s="125" t="str">
        <f>CONCATENATE(AP201,L201,H201)</f>
        <v>GLCC15</v>
      </c>
      <c r="AS201" s="125" t="str">
        <f>CONCATENATE(L201,H201,J201)</f>
        <v>C15</v>
      </c>
    </row>
    <row r="202" spans="1:45" s="125" customFormat="1" ht="25.5" customHeight="1">
      <c r="A202" s="216" t="s">
        <v>2493</v>
      </c>
      <c r="B202" s="217" t="str">
        <f t="shared" si="71"/>
        <v>GL211310</v>
      </c>
      <c r="C202" s="186">
        <v>211310</v>
      </c>
      <c r="D202" s="201"/>
      <c r="E202" s="162"/>
      <c r="F202" s="169" t="s">
        <v>1583</v>
      </c>
      <c r="G202" s="117"/>
      <c r="H202" s="118" t="s">
        <v>1180</v>
      </c>
      <c r="I202" s="119"/>
      <c r="J202" s="120"/>
      <c r="K202" s="120" t="str">
        <f t="shared" si="81"/>
        <v/>
      </c>
      <c r="L202" s="170" t="s">
        <v>266</v>
      </c>
      <c r="M202" s="122" t="str">
        <f t="shared" si="80"/>
        <v>C</v>
      </c>
      <c r="N202" s="116" t="str">
        <f>IF($L202&lt;&gt;"",VLOOKUP($L202,Categories!$E:$G,2,FALSE),IF($F202&lt;&gt;"","NO CAT",""))</f>
        <v>Capitalization</v>
      </c>
      <c r="O202" s="116" t="str">
        <f>IF($L202&lt;&gt;"",VLOOKUP($L202,Categories!$E:$G,3,FALSE),IF($F202&lt;&gt;"","NO CAT",""))</f>
        <v>Common Equity</v>
      </c>
      <c r="P202" s="170" t="s">
        <v>1186</v>
      </c>
      <c r="Q202" s="123" t="s">
        <v>1187</v>
      </c>
      <c r="R202" s="124">
        <v>0</v>
      </c>
      <c r="S202" s="124">
        <v>0</v>
      </c>
      <c r="T202" s="124">
        <v>1</v>
      </c>
      <c r="U202" s="121">
        <f t="shared" si="65"/>
        <v>0</v>
      </c>
      <c r="V202" s="121">
        <f t="shared" si="66"/>
        <v>0</v>
      </c>
      <c r="W202" s="121">
        <f t="shared" si="67"/>
        <v>-100000</v>
      </c>
      <c r="X202" s="121">
        <f t="shared" si="63"/>
        <v>-100000</v>
      </c>
      <c r="Y202" s="121">
        <f t="shared" si="68"/>
        <v>0</v>
      </c>
      <c r="Z202" s="121">
        <f t="shared" si="69"/>
        <v>0</v>
      </c>
      <c r="AA202" s="121">
        <f t="shared" si="70"/>
        <v>-100000</v>
      </c>
      <c r="AB202" s="121">
        <f t="shared" si="64"/>
        <v>-100000</v>
      </c>
      <c r="AC202" s="121">
        <v>-100000</v>
      </c>
      <c r="AD202" s="121">
        <v>-100000</v>
      </c>
      <c r="AE202" s="121">
        <v>-100000</v>
      </c>
      <c r="AF202" s="121">
        <v>-100000</v>
      </c>
      <c r="AG202" s="121">
        <v>-100000</v>
      </c>
      <c r="AH202" s="121">
        <v>-100000</v>
      </c>
      <c r="AI202" s="121">
        <v>-100000</v>
      </c>
      <c r="AJ202" s="121">
        <v>-100000</v>
      </c>
      <c r="AK202" s="121">
        <v>-100000</v>
      </c>
      <c r="AL202" s="121">
        <v>-100000</v>
      </c>
      <c r="AM202" s="121">
        <v>-100000</v>
      </c>
      <c r="AN202" s="121">
        <v>-100000</v>
      </c>
      <c r="AO202" s="121">
        <v>-100000</v>
      </c>
      <c r="AP202" s="125" t="str">
        <f>CONCATENATE(A202,M202)</f>
        <v>GLC</v>
      </c>
      <c r="AQ202" s="125" t="str">
        <f>CONCATENATE(AP202,L202,H202)</f>
        <v>GLCC15</v>
      </c>
      <c r="AS202" s="125" t="str">
        <f>CONCATENATE(L202,H202,J202)</f>
        <v>C15</v>
      </c>
    </row>
    <row r="203" spans="1:45" s="125" customFormat="1" ht="25.5" customHeight="1">
      <c r="A203" s="216" t="s">
        <v>2493</v>
      </c>
      <c r="B203" s="217" t="str">
        <f t="shared" si="71"/>
        <v>GL211320</v>
      </c>
      <c r="C203" s="186">
        <v>211320</v>
      </c>
      <c r="D203" s="201"/>
      <c r="E203" s="162"/>
      <c r="F203" s="169" t="s">
        <v>1585</v>
      </c>
      <c r="G203" s="117"/>
      <c r="H203" s="118" t="s">
        <v>1586</v>
      </c>
      <c r="I203" s="119"/>
      <c r="J203" s="120"/>
      <c r="K203" s="120" t="str">
        <f t="shared" si="81"/>
        <v/>
      </c>
      <c r="L203" s="170" t="s">
        <v>266</v>
      </c>
      <c r="M203" s="122" t="str">
        <f t="shared" si="80"/>
        <v>C</v>
      </c>
      <c r="N203" s="116" t="str">
        <f>IF($L203&lt;&gt;"",VLOOKUP($L203,Categories!$E:$G,2,FALSE),IF($F203&lt;&gt;"","NO CAT",""))</f>
        <v>Capitalization</v>
      </c>
      <c r="O203" s="116" t="str">
        <f>IF($L203&lt;&gt;"",VLOOKUP($L203,Categories!$E:$G,3,FALSE),IF($F203&lt;&gt;"","NO CAT",""))</f>
        <v>Common Equity</v>
      </c>
      <c r="P203" s="170" t="s">
        <v>1186</v>
      </c>
      <c r="Q203" s="123" t="s">
        <v>1187</v>
      </c>
      <c r="R203" s="124">
        <v>0</v>
      </c>
      <c r="S203" s="124">
        <v>0</v>
      </c>
      <c r="T203" s="124">
        <v>1</v>
      </c>
      <c r="U203" s="121">
        <f t="shared" si="65"/>
        <v>0</v>
      </c>
      <c r="V203" s="121">
        <f t="shared" si="66"/>
        <v>0</v>
      </c>
      <c r="W203" s="121">
        <f t="shared" si="67"/>
        <v>-2266.1494899999998</v>
      </c>
      <c r="X203" s="121">
        <f t="shared" si="63"/>
        <v>-2266.1494899999998</v>
      </c>
      <c r="Y203" s="121">
        <f t="shared" si="68"/>
        <v>0</v>
      </c>
      <c r="Z203" s="121">
        <f t="shared" si="69"/>
        <v>0</v>
      </c>
      <c r="AA203" s="121">
        <f t="shared" si="70"/>
        <v>-2266.1494899999998</v>
      </c>
      <c r="AB203" s="121">
        <f t="shared" si="64"/>
        <v>-2266.1494900000002</v>
      </c>
      <c r="AC203" s="121">
        <v>-2266.1494900000002</v>
      </c>
      <c r="AD203" s="121">
        <v>-2266.1494900000002</v>
      </c>
      <c r="AE203" s="121">
        <v>-2266.1494900000002</v>
      </c>
      <c r="AF203" s="121">
        <v>-2266.1494900000002</v>
      </c>
      <c r="AG203" s="121">
        <v>-2266.1494900000002</v>
      </c>
      <c r="AH203" s="121">
        <v>-2266.1494900000002</v>
      </c>
      <c r="AI203" s="121">
        <v>-2266.1494900000002</v>
      </c>
      <c r="AJ203" s="121">
        <v>-2266.1494900000002</v>
      </c>
      <c r="AK203" s="121">
        <v>-2266.1494900000002</v>
      </c>
      <c r="AL203" s="121">
        <v>-2266.1494900000002</v>
      </c>
      <c r="AM203" s="121">
        <v>-2266.1494900000002</v>
      </c>
      <c r="AN203" s="121">
        <v>-2266.1494900000002</v>
      </c>
      <c r="AO203" s="121">
        <v>-2266.1494900000002</v>
      </c>
      <c r="AP203" s="125" t="str">
        <f>CONCATENATE(A203,M203)</f>
        <v>GLC</v>
      </c>
      <c r="AQ203" s="125" t="str">
        <f>CONCATENATE(AP203,L203,H203)</f>
        <v>GLCC15Restricted Stock</v>
      </c>
      <c r="AS203" s="125" t="str">
        <f>CONCATENATE(L203,H203,J203)</f>
        <v>C15Restricted Stock</v>
      </c>
    </row>
    <row r="204" spans="1:45" s="125" customFormat="1" ht="25.5" customHeight="1">
      <c r="A204" s="216" t="s">
        <v>2493</v>
      </c>
      <c r="B204" s="217" t="str">
        <f t="shared" si="71"/>
        <v>GL214000</v>
      </c>
      <c r="C204" s="186">
        <v>214000</v>
      </c>
      <c r="D204" s="201"/>
      <c r="E204" s="162"/>
      <c r="F204" s="169" t="s">
        <v>1588</v>
      </c>
      <c r="G204" s="117"/>
      <c r="H204" s="118" t="s">
        <v>1180</v>
      </c>
      <c r="I204" s="119"/>
      <c r="J204" s="120"/>
      <c r="K204" s="120" t="str">
        <f t="shared" si="81"/>
        <v/>
      </c>
      <c r="L204" s="170" t="s">
        <v>266</v>
      </c>
      <c r="M204" s="122" t="str">
        <f t="shared" si="80"/>
        <v>C</v>
      </c>
      <c r="N204" s="116" t="str">
        <f>IF($L204&lt;&gt;"",VLOOKUP($L204,Categories!$E:$G,2,FALSE),IF($F204&lt;&gt;"","NO CAT",""))</f>
        <v>Capitalization</v>
      </c>
      <c r="O204" s="116" t="str">
        <f>IF($L204&lt;&gt;"",VLOOKUP($L204,Categories!$E:$G,3,FALSE),IF($F204&lt;&gt;"","NO CAT",""))</f>
        <v>Common Equity</v>
      </c>
      <c r="P204" s="170" t="s">
        <v>1186</v>
      </c>
      <c r="Q204" s="123" t="s">
        <v>1187</v>
      </c>
      <c r="R204" s="124">
        <v>0</v>
      </c>
      <c r="S204" s="124">
        <v>0</v>
      </c>
      <c r="T204" s="124">
        <v>1</v>
      </c>
      <c r="U204" s="121">
        <f t="shared" si="65"/>
        <v>0</v>
      </c>
      <c r="V204" s="121">
        <f t="shared" si="66"/>
        <v>0</v>
      </c>
      <c r="W204" s="121">
        <f t="shared" si="67"/>
        <v>4382.3346799999999</v>
      </c>
      <c r="X204" s="121">
        <f t="shared" si="63"/>
        <v>4382.3346799999999</v>
      </c>
      <c r="Y204" s="121">
        <f t="shared" si="68"/>
        <v>0</v>
      </c>
      <c r="Z204" s="121">
        <f t="shared" si="69"/>
        <v>0</v>
      </c>
      <c r="AA204" s="121">
        <f t="shared" si="70"/>
        <v>4382.3346799999999</v>
      </c>
      <c r="AB204" s="121">
        <f t="shared" si="64"/>
        <v>4382.3346799999999</v>
      </c>
      <c r="AC204" s="121">
        <v>4382.3346799999999</v>
      </c>
      <c r="AD204" s="121">
        <v>4382.3346799999999</v>
      </c>
      <c r="AE204" s="121">
        <v>4382.3346799999999</v>
      </c>
      <c r="AF204" s="121">
        <v>4382.3346799999999</v>
      </c>
      <c r="AG204" s="121">
        <v>4382.3346799999999</v>
      </c>
      <c r="AH204" s="121">
        <v>4382.3346799999999</v>
      </c>
      <c r="AI204" s="121">
        <v>4382.3346799999999</v>
      </c>
      <c r="AJ204" s="121">
        <v>4382.3346799999999</v>
      </c>
      <c r="AK204" s="121">
        <v>4382.3346799999999</v>
      </c>
      <c r="AL204" s="121">
        <v>4382.3346799999999</v>
      </c>
      <c r="AM204" s="121">
        <v>4382.3346799999999</v>
      </c>
      <c r="AN204" s="121">
        <v>4382.3346799999999</v>
      </c>
      <c r="AO204" s="121">
        <v>4382.3346799999999</v>
      </c>
      <c r="AP204" s="125" t="str">
        <f>CONCATENATE(A204,M204)</f>
        <v>GLC</v>
      </c>
      <c r="AQ204" s="125" t="str">
        <f>CONCATENATE(AP204,L204,H204)</f>
        <v>GLCC15</v>
      </c>
      <c r="AS204" s="125" t="str">
        <f>CONCATENATE(L204,H204,J204)</f>
        <v>C15</v>
      </c>
    </row>
    <row r="205" spans="1:45" s="125" customFormat="1" ht="25.5" customHeight="1">
      <c r="A205" s="216" t="s">
        <v>2493</v>
      </c>
      <c r="B205" s="217" t="str">
        <f t="shared" si="71"/>
        <v>GL214100</v>
      </c>
      <c r="C205" s="186">
        <v>214100</v>
      </c>
      <c r="D205" s="201"/>
      <c r="E205" s="162"/>
      <c r="F205" s="169" t="s">
        <v>1590</v>
      </c>
      <c r="G205" s="117"/>
      <c r="H205" s="118" t="s">
        <v>1180</v>
      </c>
      <c r="I205" s="119"/>
      <c r="J205" s="120"/>
      <c r="K205" s="120" t="str">
        <f t="shared" si="81"/>
        <v/>
      </c>
      <c r="L205" s="170" t="s">
        <v>266</v>
      </c>
      <c r="M205" s="122" t="str">
        <f t="shared" si="80"/>
        <v>C</v>
      </c>
      <c r="N205" s="116" t="str">
        <f>IF($L205&lt;&gt;"",VLOOKUP($L205,Categories!$E:$G,2,FALSE),IF($F205&lt;&gt;"","NO CAT",""))</f>
        <v>Capitalization</v>
      </c>
      <c r="O205" s="116" t="str">
        <f>IF($L205&lt;&gt;"",VLOOKUP($L205,Categories!$E:$G,3,FALSE),IF($F205&lt;&gt;"","NO CAT",""))</f>
        <v>Common Equity</v>
      </c>
      <c r="P205" s="170" t="s">
        <v>1186</v>
      </c>
      <c r="Q205" s="123" t="s">
        <v>1187</v>
      </c>
      <c r="R205" s="124">
        <v>0</v>
      </c>
      <c r="S205" s="124">
        <v>0</v>
      </c>
      <c r="T205" s="124">
        <v>1</v>
      </c>
      <c r="U205" s="121">
        <f t="shared" si="65"/>
        <v>0</v>
      </c>
      <c r="V205" s="121">
        <f t="shared" si="66"/>
        <v>0</v>
      </c>
      <c r="W205" s="121">
        <f t="shared" si="67"/>
        <v>56.79045</v>
      </c>
      <c r="X205" s="121">
        <f t="shared" si="63"/>
        <v>56.79045</v>
      </c>
      <c r="Y205" s="121">
        <f t="shared" si="68"/>
        <v>0</v>
      </c>
      <c r="Z205" s="121">
        <f t="shared" si="69"/>
        <v>0</v>
      </c>
      <c r="AA205" s="121">
        <f t="shared" si="70"/>
        <v>56.79045</v>
      </c>
      <c r="AB205" s="121">
        <f t="shared" si="64"/>
        <v>56.79045</v>
      </c>
      <c r="AC205" s="121">
        <v>56.79045</v>
      </c>
      <c r="AD205" s="121">
        <v>56.79045</v>
      </c>
      <c r="AE205" s="121">
        <v>56.79045</v>
      </c>
      <c r="AF205" s="121">
        <v>56.79045</v>
      </c>
      <c r="AG205" s="121">
        <v>56.79045</v>
      </c>
      <c r="AH205" s="121">
        <v>56.79045</v>
      </c>
      <c r="AI205" s="121">
        <v>56.79045</v>
      </c>
      <c r="AJ205" s="121">
        <v>56.79045</v>
      </c>
      <c r="AK205" s="121">
        <v>56.79045</v>
      </c>
      <c r="AL205" s="121">
        <v>56.79045</v>
      </c>
      <c r="AM205" s="121">
        <v>56.79045</v>
      </c>
      <c r="AN205" s="121">
        <v>56.79045</v>
      </c>
      <c r="AO205" s="121">
        <v>56.79045</v>
      </c>
      <c r="AP205" s="125" t="str">
        <f>CONCATENATE(A205,M205)</f>
        <v>GLC</v>
      </c>
      <c r="AQ205" s="125" t="str">
        <f>CONCATENATE(AP205,L205,H205)</f>
        <v>GLCC15</v>
      </c>
      <c r="AS205" s="125" t="str">
        <f>CONCATENATE(L205,H205,J205)</f>
        <v>C15</v>
      </c>
    </row>
    <row r="206" spans="1:45" s="125" customFormat="1" ht="25.5" customHeight="1">
      <c r="A206" s="216" t="s">
        <v>2493</v>
      </c>
      <c r="B206" s="217" t="str">
        <f t="shared" si="71"/>
        <v>GL215100</v>
      </c>
      <c r="C206" s="186">
        <v>215100</v>
      </c>
      <c r="D206" s="201"/>
      <c r="E206" s="162"/>
      <c r="F206" s="169" t="s">
        <v>1719</v>
      </c>
      <c r="G206" s="117"/>
      <c r="H206" s="118" t="s">
        <v>1180</v>
      </c>
      <c r="I206" s="119"/>
      <c r="J206" s="120"/>
      <c r="K206" s="120" t="str">
        <f t="shared" si="81"/>
        <v/>
      </c>
      <c r="L206" s="170" t="s">
        <v>266</v>
      </c>
      <c r="M206" s="122" t="str">
        <f t="shared" si="80"/>
        <v>C</v>
      </c>
      <c r="N206" s="116" t="str">
        <f>IF($L206&lt;&gt;"",VLOOKUP($L206,Categories!$E:$G,2,FALSE),IF($F206&lt;&gt;"","NO CAT",""))</f>
        <v>Capitalization</v>
      </c>
      <c r="O206" s="116" t="str">
        <f>IF($L206&lt;&gt;"",VLOOKUP($L206,Categories!$E:$G,3,FALSE),IF($F206&lt;&gt;"","NO CAT",""))</f>
        <v>Common Equity</v>
      </c>
      <c r="P206" s="170" t="s">
        <v>1186</v>
      </c>
      <c r="Q206" s="123" t="s">
        <v>1187</v>
      </c>
      <c r="R206" s="124">
        <v>0</v>
      </c>
      <c r="S206" s="124">
        <v>0</v>
      </c>
      <c r="T206" s="124">
        <v>1</v>
      </c>
      <c r="U206" s="121">
        <f t="shared" si="65"/>
        <v>0</v>
      </c>
      <c r="V206" s="121">
        <f t="shared" si="66"/>
        <v>0</v>
      </c>
      <c r="W206" s="121">
        <f t="shared" si="67"/>
        <v>-441.05500000000001</v>
      </c>
      <c r="X206" s="121">
        <f t="shared" si="63"/>
        <v>-441.05500000000001</v>
      </c>
      <c r="Y206" s="121">
        <f t="shared" si="68"/>
        <v>0</v>
      </c>
      <c r="Z206" s="121">
        <f t="shared" si="69"/>
        <v>0</v>
      </c>
      <c r="AA206" s="121">
        <f t="shared" si="70"/>
        <v>-441.05500000000001</v>
      </c>
      <c r="AB206" s="121">
        <f t="shared" si="64"/>
        <v>-441.05500000000001</v>
      </c>
      <c r="AC206" s="121">
        <v>-441.05500000000001</v>
      </c>
      <c r="AD206" s="121">
        <v>-441.05500000000001</v>
      </c>
      <c r="AE206" s="121">
        <v>-441.05500000000001</v>
      </c>
      <c r="AF206" s="121">
        <v>-441.05500000000001</v>
      </c>
      <c r="AG206" s="121">
        <v>-441.05500000000001</v>
      </c>
      <c r="AH206" s="121">
        <v>-441.05500000000001</v>
      </c>
      <c r="AI206" s="121">
        <v>-441.05500000000001</v>
      </c>
      <c r="AJ206" s="121">
        <v>-441.05500000000001</v>
      </c>
      <c r="AK206" s="121">
        <v>-441.05500000000001</v>
      </c>
      <c r="AL206" s="121">
        <v>-441.05500000000001</v>
      </c>
      <c r="AM206" s="121">
        <v>-441.05500000000001</v>
      </c>
      <c r="AN206" s="121">
        <v>-441.05500000000001</v>
      </c>
      <c r="AO206" s="121">
        <v>-441.05500000000001</v>
      </c>
      <c r="AP206" s="125" t="str">
        <f>CONCATENATE(A206,M206)</f>
        <v>GLC</v>
      </c>
      <c r="AQ206" s="125" t="str">
        <f>CONCATENATE(AP206,L206,H206)</f>
        <v>GLCC15</v>
      </c>
      <c r="AS206" s="125" t="str">
        <f>CONCATENATE(L206,H206,J206)</f>
        <v>C15</v>
      </c>
    </row>
    <row r="207" spans="1:45" s="125" customFormat="1" ht="25.5" customHeight="1">
      <c r="A207" s="216" t="s">
        <v>2493</v>
      </c>
      <c r="B207" s="217" t="str">
        <f t="shared" si="71"/>
        <v>GL216000</v>
      </c>
      <c r="C207" s="186">
        <v>216000</v>
      </c>
      <c r="D207" s="201"/>
      <c r="E207" s="162"/>
      <c r="F207" s="169" t="s">
        <v>2619</v>
      </c>
      <c r="G207" s="117"/>
      <c r="H207" s="118" t="s">
        <v>1180</v>
      </c>
      <c r="I207" s="119"/>
      <c r="J207" s="120"/>
      <c r="K207" s="120" t="str">
        <f t="shared" si="81"/>
        <v/>
      </c>
      <c r="L207" s="170" t="s">
        <v>266</v>
      </c>
      <c r="M207" s="122" t="str">
        <f t="shared" si="80"/>
        <v>C</v>
      </c>
      <c r="N207" s="116" t="str">
        <f>IF($L207&lt;&gt;"",VLOOKUP($L207,Categories!$E:$G,2,FALSE),IF($F207&lt;&gt;"","NO CAT",""))</f>
        <v>Capitalization</v>
      </c>
      <c r="O207" s="116" t="str">
        <f>IF($L207&lt;&gt;"",VLOOKUP($L207,Categories!$E:$G,3,FALSE),IF($F207&lt;&gt;"","NO CAT",""))</f>
        <v>Common Equity</v>
      </c>
      <c r="P207" s="170" t="s">
        <v>1186</v>
      </c>
      <c r="Q207" s="123" t="s">
        <v>1187</v>
      </c>
      <c r="R207" s="124">
        <v>0</v>
      </c>
      <c r="S207" s="124">
        <v>0</v>
      </c>
      <c r="T207" s="124">
        <v>1</v>
      </c>
      <c r="U207" s="121">
        <f t="shared" si="65"/>
        <v>0</v>
      </c>
      <c r="V207" s="121">
        <f t="shared" si="66"/>
        <v>0</v>
      </c>
      <c r="W207" s="121">
        <f t="shared" si="67"/>
        <v>-434014.87666541699</v>
      </c>
      <c r="X207" s="121">
        <f t="shared" si="63"/>
        <v>-434014.87666541699</v>
      </c>
      <c r="Y207" s="121">
        <f t="shared" si="68"/>
        <v>0</v>
      </c>
      <c r="Z207" s="121">
        <f t="shared" si="69"/>
        <v>0</v>
      </c>
      <c r="AA207" s="121">
        <f t="shared" si="70"/>
        <v>-437148.30109000002</v>
      </c>
      <c r="AB207" s="121">
        <f t="shared" si="64"/>
        <v>-437148.30108999996</v>
      </c>
      <c r="AC207" s="121">
        <v>-361946.11489999999</v>
      </c>
      <c r="AD207" s="121">
        <v>-437148.30108999996</v>
      </c>
      <c r="AE207" s="121">
        <v>-437148.30108999996</v>
      </c>
      <c r="AF207" s="121">
        <v>-437148.30108999996</v>
      </c>
      <c r="AG207" s="121">
        <v>-437148.30108999996</v>
      </c>
      <c r="AH207" s="121">
        <v>-437148.30108999996</v>
      </c>
      <c r="AI207" s="121">
        <v>-437148.30108999996</v>
      </c>
      <c r="AJ207" s="121">
        <v>-437148.30108999996</v>
      </c>
      <c r="AK207" s="121">
        <v>-437148.30108999996</v>
      </c>
      <c r="AL207" s="121">
        <v>-437148.30108999996</v>
      </c>
      <c r="AM207" s="121">
        <v>-437148.30108999996</v>
      </c>
      <c r="AN207" s="121">
        <v>-437148.30108999996</v>
      </c>
      <c r="AO207" s="121">
        <v>-437148.30108999996</v>
      </c>
      <c r="AP207" s="125" t="str">
        <f>CONCATENATE(A207,M207)</f>
        <v>GLC</v>
      </c>
      <c r="AQ207" s="125" t="str">
        <f>CONCATENATE(AP207,L207,H207)</f>
        <v>GLCC15</v>
      </c>
      <c r="AS207" s="125" t="str">
        <f>CONCATENATE(L207,H207,J207)</f>
        <v>C15</v>
      </c>
    </row>
    <row r="208" spans="1:45" s="125" customFormat="1" ht="25.5" customHeight="1">
      <c r="A208" s="216" t="s">
        <v>2493</v>
      </c>
      <c r="B208" s="217" t="str">
        <f t="shared" si="71"/>
        <v>GL216050</v>
      </c>
      <c r="C208" s="186">
        <v>216050</v>
      </c>
      <c r="D208" s="201"/>
      <c r="E208" s="162"/>
      <c r="F208" s="169" t="s">
        <v>2621</v>
      </c>
      <c r="G208" s="117"/>
      <c r="H208" s="118" t="s">
        <v>1180</v>
      </c>
      <c r="I208" s="119"/>
      <c r="J208" s="120"/>
      <c r="K208" s="120" t="str">
        <f t="shared" si="81"/>
        <v/>
      </c>
      <c r="L208" s="170" t="s">
        <v>266</v>
      </c>
      <c r="M208" s="122" t="str">
        <f t="shared" si="80"/>
        <v>C</v>
      </c>
      <c r="N208" s="116" t="str">
        <f>IF($L208&lt;&gt;"",VLOOKUP($L208,Categories!$E:$G,2,FALSE),IF($F208&lt;&gt;"","NO CAT",""))</f>
        <v>Capitalization</v>
      </c>
      <c r="O208" s="116" t="str">
        <f>IF($L208&lt;&gt;"",VLOOKUP($L208,Categories!$E:$G,3,FALSE),IF($F208&lt;&gt;"","NO CAT",""))</f>
        <v>Common Equity</v>
      </c>
      <c r="P208" s="170" t="s">
        <v>1186</v>
      </c>
      <c r="Q208" s="123" t="s">
        <v>1187</v>
      </c>
      <c r="R208" s="124">
        <v>0</v>
      </c>
      <c r="S208" s="124">
        <v>0</v>
      </c>
      <c r="T208" s="124">
        <v>1</v>
      </c>
      <c r="U208" s="121">
        <f t="shared" si="65"/>
        <v>0</v>
      </c>
      <c r="V208" s="121">
        <f t="shared" si="66"/>
        <v>0</v>
      </c>
      <c r="W208" s="121">
        <f t="shared" si="67"/>
        <v>5625</v>
      </c>
      <c r="X208" s="121">
        <f t="shared" si="63"/>
        <v>5625</v>
      </c>
      <c r="Y208" s="121">
        <f t="shared" si="68"/>
        <v>0</v>
      </c>
      <c r="Z208" s="121">
        <f t="shared" si="69"/>
        <v>0</v>
      </c>
      <c r="AA208" s="121">
        <f t="shared" si="70"/>
        <v>100000</v>
      </c>
      <c r="AB208" s="121">
        <f t="shared" si="64"/>
        <v>100000</v>
      </c>
      <c r="AC208" s="121">
        <v>35000</v>
      </c>
      <c r="AD208" s="121">
        <v>0</v>
      </c>
      <c r="AE208" s="121">
        <v>0</v>
      </c>
      <c r="AF208" s="121">
        <v>0</v>
      </c>
      <c r="AG208" s="121">
        <v>0</v>
      </c>
      <c r="AH208" s="121">
        <v>0</v>
      </c>
      <c r="AI208" s="121">
        <v>0</v>
      </c>
      <c r="AJ208" s="121">
        <v>0</v>
      </c>
      <c r="AK208" s="121">
        <v>0</v>
      </c>
      <c r="AL208" s="121">
        <v>0</v>
      </c>
      <c r="AM208" s="121">
        <v>0</v>
      </c>
      <c r="AN208" s="121">
        <v>0</v>
      </c>
      <c r="AO208" s="121">
        <v>100000</v>
      </c>
      <c r="AP208" s="125" t="str">
        <f>CONCATENATE(A208,M208)</f>
        <v>GLC</v>
      </c>
      <c r="AQ208" s="125" t="str">
        <f>CONCATENATE(AP208,L208,H208)</f>
        <v>GLCC15</v>
      </c>
      <c r="AS208" s="125" t="str">
        <f>CONCATENATE(L208,H208,J208)</f>
        <v>C15</v>
      </c>
    </row>
    <row r="209" spans="1:45" s="125" customFormat="1" ht="25.5" customHeight="1">
      <c r="A209" s="216" t="s">
        <v>2493</v>
      </c>
      <c r="B209" s="217" t="str">
        <f t="shared" si="71"/>
        <v>GL219500</v>
      </c>
      <c r="C209" s="186">
        <v>219500</v>
      </c>
      <c r="D209" s="201"/>
      <c r="E209" s="162"/>
      <c r="F209" s="169" t="s">
        <v>780</v>
      </c>
      <c r="G209" s="117"/>
      <c r="H209" s="118" t="s">
        <v>2860</v>
      </c>
      <c r="I209" s="119"/>
      <c r="J209" s="120"/>
      <c r="K209" s="120" t="str">
        <f t="shared" si="81"/>
        <v/>
      </c>
      <c r="L209" s="170" t="s">
        <v>2811</v>
      </c>
      <c r="M209" s="122" t="str">
        <f t="shared" si="80"/>
        <v>N</v>
      </c>
      <c r="N209" s="116" t="str">
        <f>IF($L209&lt;&gt;"",VLOOKUP($L209,Categories!$E:$G,2,FALSE),IF($F209&lt;&gt;"","NO CAT",""))</f>
        <v>Not in Rate Base</v>
      </c>
      <c r="O209" s="116" t="str">
        <f>IF($L209&lt;&gt;"",VLOOKUP($L209,Categories!$E:$G,3,FALSE),IF($F209&lt;&gt;"","NO CAT",""))</f>
        <v>Hedges &amp; OCI</v>
      </c>
      <c r="P209" s="170" t="s">
        <v>1186</v>
      </c>
      <c r="Q209" s="123" t="s">
        <v>1187</v>
      </c>
      <c r="R209" s="124">
        <v>0</v>
      </c>
      <c r="S209" s="124">
        <v>0</v>
      </c>
      <c r="T209" s="124">
        <v>1</v>
      </c>
      <c r="U209" s="121">
        <f t="shared" si="65"/>
        <v>0</v>
      </c>
      <c r="V209" s="121">
        <f t="shared" si="66"/>
        <v>0</v>
      </c>
      <c r="W209" s="121">
        <f t="shared" si="67"/>
        <v>1231.6202683333299</v>
      </c>
      <c r="X209" s="121">
        <f t="shared" si="63"/>
        <v>1231.6202683333299</v>
      </c>
      <c r="Y209" s="121">
        <f t="shared" si="68"/>
        <v>0</v>
      </c>
      <c r="Z209" s="121">
        <f t="shared" si="69"/>
        <v>0</v>
      </c>
      <c r="AA209" s="121">
        <f t="shared" si="70"/>
        <v>2377.4490000000001</v>
      </c>
      <c r="AB209" s="121">
        <f t="shared" si="64"/>
        <v>2377.4490000000001</v>
      </c>
      <c r="AC209" s="121">
        <v>1291.441</v>
      </c>
      <c r="AD209" s="121">
        <v>1272.33717</v>
      </c>
      <c r="AE209" s="121">
        <v>1253.23334</v>
      </c>
      <c r="AF209" s="121">
        <v>1234.12951</v>
      </c>
      <c r="AG209" s="121">
        <v>1215.02568</v>
      </c>
      <c r="AH209" s="121">
        <v>1195.9218500000002</v>
      </c>
      <c r="AI209" s="121">
        <v>1176.8180199999999</v>
      </c>
      <c r="AJ209" s="121">
        <v>1157.7141899999999</v>
      </c>
      <c r="AK209" s="121">
        <v>1138.6103600000001</v>
      </c>
      <c r="AL209" s="121">
        <v>1119.5065300000001</v>
      </c>
      <c r="AM209" s="121">
        <v>1100.4026999999999</v>
      </c>
      <c r="AN209" s="121">
        <v>1081.2988700000001</v>
      </c>
      <c r="AO209" s="121">
        <v>2377.4490000000001</v>
      </c>
      <c r="AP209" s="125" t="str">
        <f>CONCATENATE(A209,M209)</f>
        <v>GLN</v>
      </c>
      <c r="AQ209" s="125" t="str">
        <f>CONCATENATE(AP209,L209,H209)</f>
        <v>GLNN5Hedges &amp; OCI</v>
      </c>
      <c r="AS209" s="125" t="str">
        <f>CONCATENATE(L209,H209,J209)</f>
        <v>N5Hedges &amp; OCI</v>
      </c>
    </row>
    <row r="210" spans="1:45" s="125" customFormat="1" ht="25.5" customHeight="1">
      <c r="A210" s="216" t="s">
        <v>2493</v>
      </c>
      <c r="B210" s="217" t="str">
        <f>CONCATENATE(A210,C210,D210,E210)</f>
        <v>GL219508</v>
      </c>
      <c r="C210" s="186">
        <v>219508</v>
      </c>
      <c r="D210" s="201"/>
      <c r="E210" s="162"/>
      <c r="F210" s="169" t="s">
        <v>4536</v>
      </c>
      <c r="G210" s="117"/>
      <c r="H210" s="118" t="s">
        <v>2860</v>
      </c>
      <c r="I210" s="119"/>
      <c r="J210" s="120"/>
      <c r="K210" s="120" t="str">
        <f>IF(L210="N3","SFAS-109","")</f>
        <v/>
      </c>
      <c r="L210" s="170" t="s">
        <v>2811</v>
      </c>
      <c r="M210" s="122" t="str">
        <f>LEFT(L210,1)</f>
        <v>N</v>
      </c>
      <c r="N210" s="116" t="str">
        <f>IF($L210&lt;&gt;"",VLOOKUP($L210,Categories!$E:$G,2,FALSE),IF($F210&lt;&gt;"","NO CAT",""))</f>
        <v>Not in Rate Base</v>
      </c>
      <c r="O210" s="116" t="str">
        <f>IF($L210&lt;&gt;"",VLOOKUP($L210,Categories!$E:$G,3,FALSE),IF($F210&lt;&gt;"","NO CAT",""))</f>
        <v>Hedges &amp; OCI</v>
      </c>
      <c r="P210" s="170" t="s">
        <v>1186</v>
      </c>
      <c r="Q210" s="123" t="s">
        <v>1187</v>
      </c>
      <c r="R210" s="124">
        <v>0</v>
      </c>
      <c r="S210" s="124">
        <v>0</v>
      </c>
      <c r="T210" s="124">
        <v>1</v>
      </c>
      <c r="U210" s="121">
        <f>IF(ABS(X210)=0,"",IF($R210="NO ALLOC","NO ALLOC",ROUND($R210*X210,15)))</f>
        <v>0</v>
      </c>
      <c r="V210" s="121">
        <f>IF(ABS(X210)=0,"",IF($S210="NO ALLOC","NO ALLOC",ROUND($S210*X210,15)))</f>
        <v>0</v>
      </c>
      <c r="W210" s="121">
        <f>IF(ABS(X210)=0,"",IF($T210="NO ALLOC","NO ALLOC",ROUND($T210*X210,15)))</f>
        <v>1253.0219999999999</v>
      </c>
      <c r="X210" s="121">
        <f t="shared" si="63"/>
        <v>1253.0219999999999</v>
      </c>
      <c r="Y210" s="121">
        <f>IF(ABS(AB210)=0,"",IF($R210="NO ALLOC","NO ALLOC",ROUND($R210*AB210,15)))</f>
        <v>0</v>
      </c>
      <c r="Z210" s="121">
        <f>IF(ABS(AB210)=0,"",IF($S210="NO ALLOC","NO ALLOC",ROUND($S210*AB210,15)))</f>
        <v>0</v>
      </c>
      <c r="AA210" s="121">
        <f>IF(ABS(AB210)=0,"",IF($T210="NO ALLOC","NO ALLOC",ROUND($T210*AB210,15)))</f>
        <v>1116.1469999999999</v>
      </c>
      <c r="AB210" s="121">
        <f t="shared" si="64"/>
        <v>1116.1469999999999</v>
      </c>
      <c r="AC210" s="121">
        <v>1386.1469999999999</v>
      </c>
      <c r="AD210" s="121">
        <v>1386.1469999999999</v>
      </c>
      <c r="AE210" s="121">
        <v>1341.1469999999999</v>
      </c>
      <c r="AF210" s="121">
        <v>1318.6469999999999</v>
      </c>
      <c r="AG210" s="121">
        <v>1296.1469999999999</v>
      </c>
      <c r="AH210" s="121">
        <v>1273.6469999999999</v>
      </c>
      <c r="AI210" s="121">
        <v>1251.1469999999999</v>
      </c>
      <c r="AJ210" s="121">
        <v>1228.6469999999999</v>
      </c>
      <c r="AK210" s="121">
        <v>1206.1469999999999</v>
      </c>
      <c r="AL210" s="121">
        <v>1183.6469999999999</v>
      </c>
      <c r="AM210" s="121">
        <v>1161.1469999999999</v>
      </c>
      <c r="AN210" s="121">
        <v>1138.6469999999999</v>
      </c>
      <c r="AO210" s="121">
        <v>1116.1469999999999</v>
      </c>
      <c r="AP210" s="125" t="str">
        <f>CONCATENATE(A210,M210)</f>
        <v>GLN</v>
      </c>
      <c r="AQ210" s="125" t="str">
        <f>CONCATENATE(AP210,L210,H210)</f>
        <v>GLNN5Hedges &amp; OCI</v>
      </c>
      <c r="AS210" s="125" t="str">
        <f>CONCATENATE(L210,H210,J210)</f>
        <v>N5Hedges &amp; OCI</v>
      </c>
    </row>
    <row r="211" spans="1:45" s="125" customFormat="1" ht="25.5" customHeight="1">
      <c r="A211" s="216" t="s">
        <v>2493</v>
      </c>
      <c r="B211" s="217" t="str">
        <f t="shared" si="71"/>
        <v>GL219510</v>
      </c>
      <c r="C211" s="186">
        <v>219510</v>
      </c>
      <c r="D211" s="201"/>
      <c r="E211" s="162"/>
      <c r="F211" s="169" t="s">
        <v>781</v>
      </c>
      <c r="G211" s="117"/>
      <c r="H211" s="118" t="s">
        <v>2860</v>
      </c>
      <c r="I211" s="119"/>
      <c r="J211" s="120"/>
      <c r="K211" s="120" t="str">
        <f t="shared" si="81"/>
        <v/>
      </c>
      <c r="L211" s="170" t="s">
        <v>2811</v>
      </c>
      <c r="M211" s="122" t="str">
        <f t="shared" si="80"/>
        <v>N</v>
      </c>
      <c r="N211" s="116" t="str">
        <f>IF($L211&lt;&gt;"",VLOOKUP($L211,Categories!$E:$G,2,FALSE),IF($F211&lt;&gt;"","NO CAT",""))</f>
        <v>Not in Rate Base</v>
      </c>
      <c r="O211" s="116" t="str">
        <f>IF($L211&lt;&gt;"",VLOOKUP($L211,Categories!$E:$G,3,FALSE),IF($F211&lt;&gt;"","NO CAT",""))</f>
        <v>Hedges &amp; OCI</v>
      </c>
      <c r="P211" s="170" t="s">
        <v>1186</v>
      </c>
      <c r="Q211" s="123" t="s">
        <v>1187</v>
      </c>
      <c r="R211" s="124">
        <v>0</v>
      </c>
      <c r="S211" s="124">
        <v>0</v>
      </c>
      <c r="T211" s="124">
        <v>1</v>
      </c>
      <c r="U211" s="121">
        <f t="shared" si="65"/>
        <v>0</v>
      </c>
      <c r="V211" s="121">
        <f t="shared" si="66"/>
        <v>0</v>
      </c>
      <c r="W211" s="121">
        <f t="shared" si="67"/>
        <v>-400.46078083333299</v>
      </c>
      <c r="X211" s="121">
        <f t="shared" si="63"/>
        <v>-400.46078083333299</v>
      </c>
      <c r="Y211" s="121">
        <f t="shared" si="68"/>
        <v>0</v>
      </c>
      <c r="Z211" s="121">
        <f t="shared" si="69"/>
        <v>0</v>
      </c>
      <c r="AA211" s="121">
        <f t="shared" si="70"/>
        <v>-773.02698999999996</v>
      </c>
      <c r="AB211" s="121">
        <f t="shared" si="64"/>
        <v>-773.02698999999996</v>
      </c>
      <c r="AC211" s="121">
        <v>-419.91149000000001</v>
      </c>
      <c r="AD211" s="121">
        <v>-413.69988000000001</v>
      </c>
      <c r="AE211" s="121">
        <v>-407.48827</v>
      </c>
      <c r="AF211" s="121">
        <v>-401.27665999999999</v>
      </c>
      <c r="AG211" s="121">
        <v>-395.06504999999999</v>
      </c>
      <c r="AH211" s="121">
        <v>-388.85343999999998</v>
      </c>
      <c r="AI211" s="121">
        <v>-382.64183000000003</v>
      </c>
      <c r="AJ211" s="121">
        <v>-376.43021999999996</v>
      </c>
      <c r="AK211" s="121">
        <v>-370.21861000000001</v>
      </c>
      <c r="AL211" s="121">
        <v>-364.00700000000001</v>
      </c>
      <c r="AM211" s="121">
        <v>-357.79539</v>
      </c>
      <c r="AN211" s="121">
        <v>-351.58378000000005</v>
      </c>
      <c r="AO211" s="121">
        <v>-773.02698999999996</v>
      </c>
      <c r="AP211" s="125" t="str">
        <f>CONCATENATE(A211,M211)</f>
        <v>GLN</v>
      </c>
      <c r="AQ211" s="125" t="str">
        <f>CONCATENATE(AP211,L211,H211)</f>
        <v>GLNN5Hedges &amp; OCI</v>
      </c>
      <c r="AS211" s="125" t="str">
        <f>CONCATENATE(L211,H211,J211)</f>
        <v>N5Hedges &amp; OCI</v>
      </c>
    </row>
    <row r="212" spans="1:45" s="125" customFormat="1" ht="25.5" customHeight="1">
      <c r="A212" s="216" t="s">
        <v>2493</v>
      </c>
      <c r="B212" s="217" t="str">
        <f t="shared" si="71"/>
        <v>GL219518</v>
      </c>
      <c r="C212" s="186">
        <v>219518</v>
      </c>
      <c r="D212" s="201"/>
      <c r="E212" s="162"/>
      <c r="F212" s="169" t="s">
        <v>4537</v>
      </c>
      <c r="G212" s="117"/>
      <c r="H212" s="118" t="s">
        <v>2860</v>
      </c>
      <c r="I212" s="119"/>
      <c r="J212" s="120"/>
      <c r="K212" s="120" t="str">
        <f t="shared" si="81"/>
        <v/>
      </c>
      <c r="L212" s="170" t="s">
        <v>2811</v>
      </c>
      <c r="M212" s="122" t="str">
        <f t="shared" si="80"/>
        <v>N</v>
      </c>
      <c r="N212" s="116" t="str">
        <f>IF($L212&lt;&gt;"",VLOOKUP($L212,Categories!$E:$G,2,FALSE),IF($F212&lt;&gt;"","NO CAT",""))</f>
        <v>Not in Rate Base</v>
      </c>
      <c r="O212" s="116" t="str">
        <f>IF($L212&lt;&gt;"",VLOOKUP($L212,Categories!$E:$G,3,FALSE),IF($F212&lt;&gt;"","NO CAT",""))</f>
        <v>Hedges &amp; OCI</v>
      </c>
      <c r="P212" s="170" t="s">
        <v>1186</v>
      </c>
      <c r="Q212" s="123" t="s">
        <v>1187</v>
      </c>
      <c r="R212" s="124">
        <v>0</v>
      </c>
      <c r="S212" s="124">
        <v>0</v>
      </c>
      <c r="T212" s="124">
        <v>1</v>
      </c>
      <c r="U212" s="121">
        <f t="shared" si="65"/>
        <v>0</v>
      </c>
      <c r="V212" s="121">
        <f t="shared" si="66"/>
        <v>0</v>
      </c>
      <c r="W212" s="121">
        <f t="shared" si="67"/>
        <v>-407.42010416666699</v>
      </c>
      <c r="X212" s="121">
        <f t="shared" si="63"/>
        <v>-407.42010416666699</v>
      </c>
      <c r="Y212" s="121">
        <f t="shared" si="68"/>
        <v>0</v>
      </c>
      <c r="Z212" s="121">
        <f t="shared" si="69"/>
        <v>0</v>
      </c>
      <c r="AA212" s="121">
        <f t="shared" si="70"/>
        <v>-362.91520000000003</v>
      </c>
      <c r="AB212" s="121">
        <f t="shared" si="64"/>
        <v>-362.91520000000003</v>
      </c>
      <c r="AC212" s="121">
        <v>-450.70570000000004</v>
      </c>
      <c r="AD212" s="121">
        <v>-450.70570000000004</v>
      </c>
      <c r="AE212" s="121">
        <v>-436.07395000000002</v>
      </c>
      <c r="AF212" s="121">
        <v>-428.75807000000003</v>
      </c>
      <c r="AG212" s="121">
        <v>-421.44220000000001</v>
      </c>
      <c r="AH212" s="121">
        <v>-414.12632000000002</v>
      </c>
      <c r="AI212" s="121">
        <v>-406.81045</v>
      </c>
      <c r="AJ212" s="121">
        <v>-399.49457000000001</v>
      </c>
      <c r="AK212" s="121">
        <v>-392.17869999999999</v>
      </c>
      <c r="AL212" s="121">
        <v>-384.86282</v>
      </c>
      <c r="AM212" s="121">
        <v>-377.54695000000004</v>
      </c>
      <c r="AN212" s="121">
        <v>-370.23106999999999</v>
      </c>
      <c r="AO212" s="121">
        <v>-362.91520000000003</v>
      </c>
      <c r="AP212" s="125" t="str">
        <f>CONCATENATE(A212,M212)</f>
        <v>GLN</v>
      </c>
      <c r="AQ212" s="125" t="str">
        <f>CONCATENATE(AP212,L212,H212)</f>
        <v>GLNN5Hedges &amp; OCI</v>
      </c>
      <c r="AS212" s="125" t="str">
        <f>CONCATENATE(L212,H212,J212)</f>
        <v>N5Hedges &amp; OCI</v>
      </c>
    </row>
    <row r="213" spans="1:45" s="125" customFormat="1" ht="25.5" customHeight="1">
      <c r="A213" s="216" t="s">
        <v>2493</v>
      </c>
      <c r="B213" s="217" t="str">
        <f t="shared" si="71"/>
        <v>GL219530</v>
      </c>
      <c r="C213" s="186">
        <v>219530</v>
      </c>
      <c r="D213" s="201"/>
      <c r="E213" s="162"/>
      <c r="F213" s="169" t="s">
        <v>750</v>
      </c>
      <c r="G213" s="117"/>
      <c r="H213" s="118" t="s">
        <v>2860</v>
      </c>
      <c r="I213" s="119"/>
      <c r="J213" s="120"/>
      <c r="K213" s="120" t="str">
        <f t="shared" si="81"/>
        <v/>
      </c>
      <c r="L213" s="170" t="s">
        <v>2811</v>
      </c>
      <c r="M213" s="122" t="str">
        <f t="shared" si="80"/>
        <v>N</v>
      </c>
      <c r="N213" s="116" t="str">
        <f>IF($L213&lt;&gt;"",VLOOKUP($L213,Categories!$E:$G,2,FALSE),IF($F213&lt;&gt;"","NO CAT",""))</f>
        <v>Not in Rate Base</v>
      </c>
      <c r="O213" s="116" t="str">
        <f>IF($L213&lt;&gt;"",VLOOKUP($L213,Categories!$E:$G,3,FALSE),IF($F213&lt;&gt;"","NO CAT",""))</f>
        <v>Hedges &amp; OCI</v>
      </c>
      <c r="P213" s="170" t="s">
        <v>1186</v>
      </c>
      <c r="Q213" s="123" t="s">
        <v>1187</v>
      </c>
      <c r="R213" s="124">
        <v>0</v>
      </c>
      <c r="S213" s="124">
        <v>0</v>
      </c>
      <c r="T213" s="124">
        <v>1</v>
      </c>
      <c r="U213" s="121">
        <f t="shared" si="65"/>
        <v>0</v>
      </c>
      <c r="V213" s="121">
        <f t="shared" si="66"/>
        <v>0</v>
      </c>
      <c r="W213" s="121">
        <f t="shared" si="67"/>
        <v>684.74486208333303</v>
      </c>
      <c r="X213" s="121">
        <f t="shared" si="63"/>
        <v>684.74486208333303</v>
      </c>
      <c r="Y213" s="121">
        <f t="shared" si="68"/>
        <v>0</v>
      </c>
      <c r="Z213" s="121">
        <f t="shared" si="69"/>
        <v>0</v>
      </c>
      <c r="AA213" s="121">
        <f t="shared" si="70"/>
        <v>2093.5531099999998</v>
      </c>
      <c r="AB213" s="121">
        <f t="shared" si="64"/>
        <v>2093.5531100000003</v>
      </c>
      <c r="AC213" s="121">
        <v>509.399</v>
      </c>
      <c r="AD213" s="121">
        <v>448.53334999999998</v>
      </c>
      <c r="AE213" s="121">
        <v>316.57589000000002</v>
      </c>
      <c r="AF213" s="121">
        <v>388.96062000000001</v>
      </c>
      <c r="AG213" s="121">
        <v>389.92552000000001</v>
      </c>
      <c r="AH213" s="121">
        <v>397.42998999999998</v>
      </c>
      <c r="AI213" s="121">
        <v>268.68763999999999</v>
      </c>
      <c r="AJ213" s="121">
        <v>474.44847999999996</v>
      </c>
      <c r="AK213" s="121">
        <v>573.10843</v>
      </c>
      <c r="AL213" s="121">
        <v>847.12333999999998</v>
      </c>
      <c r="AM213" s="121">
        <v>1148.4759799999999</v>
      </c>
      <c r="AN213" s="121">
        <v>1662.1930500000001</v>
      </c>
      <c r="AO213" s="121">
        <v>2093.5531100000003</v>
      </c>
      <c r="AP213" s="125" t="str">
        <f>CONCATENATE(A213,M213)</f>
        <v>GLN</v>
      </c>
      <c r="AQ213" s="125" t="str">
        <f>CONCATENATE(AP213,L213,H213)</f>
        <v>GLNN5Hedges &amp; OCI</v>
      </c>
      <c r="AS213" s="125" t="str">
        <f>CONCATENATE(L213,H213,J213)</f>
        <v>N5Hedges &amp; OCI</v>
      </c>
    </row>
    <row r="214" spans="1:45" s="125" customFormat="1" ht="25.5" customHeight="1">
      <c r="A214" s="216" t="s">
        <v>2493</v>
      </c>
      <c r="B214" s="217" t="str">
        <f t="shared" si="71"/>
        <v>GL219533</v>
      </c>
      <c r="C214" s="186">
        <v>219533</v>
      </c>
      <c r="D214" s="201"/>
      <c r="E214" s="162"/>
      <c r="F214" s="169" t="s">
        <v>1685</v>
      </c>
      <c r="G214" s="117"/>
      <c r="H214" s="118" t="s">
        <v>1567</v>
      </c>
      <c r="I214" s="119"/>
      <c r="J214" s="120"/>
      <c r="K214" s="120" t="str">
        <f t="shared" si="81"/>
        <v/>
      </c>
      <c r="L214" s="170" t="s">
        <v>928</v>
      </c>
      <c r="M214" s="122" t="str">
        <f t="shared" si="80"/>
        <v>N</v>
      </c>
      <c r="N214" s="116" t="str">
        <f>IF($L214&lt;&gt;"",VLOOKUP($L214,Categories!$E:$G,2,FALSE),IF($F214&lt;&gt;"","NO CAT",""))</f>
        <v>Not in Rate Base</v>
      </c>
      <c r="O214" s="116" t="str">
        <f>IF($L214&lt;&gt;"",VLOOKUP($L214,Categories!$E:$G,3,FALSE),IF($F214&lt;&gt;"","NO CAT",""))</f>
        <v>Direct Assign Items Not in RB</v>
      </c>
      <c r="P214" s="170" t="s">
        <v>1186</v>
      </c>
      <c r="Q214" s="123" t="s">
        <v>1187</v>
      </c>
      <c r="R214" s="124">
        <v>0</v>
      </c>
      <c r="S214" s="124">
        <v>0</v>
      </c>
      <c r="T214" s="124">
        <v>1</v>
      </c>
      <c r="U214" s="121">
        <f t="shared" si="65"/>
        <v>0</v>
      </c>
      <c r="V214" s="121">
        <f t="shared" si="66"/>
        <v>0</v>
      </c>
      <c r="W214" s="121">
        <f t="shared" si="67"/>
        <v>2476.2658262499999</v>
      </c>
      <c r="X214" s="121">
        <f t="shared" si="63"/>
        <v>2476.2658262499999</v>
      </c>
      <c r="Y214" s="121">
        <f t="shared" si="68"/>
        <v>0</v>
      </c>
      <c r="Z214" s="121">
        <f t="shared" si="69"/>
        <v>0</v>
      </c>
      <c r="AA214" s="121">
        <f t="shared" si="70"/>
        <v>2339.4352800000001</v>
      </c>
      <c r="AB214" s="121">
        <f t="shared" si="64"/>
        <v>2339.4352799999997</v>
      </c>
      <c r="AC214" s="121">
        <v>5623.3683899999996</v>
      </c>
      <c r="AD214" s="121">
        <v>2339.4352799999997</v>
      </c>
      <c r="AE214" s="121">
        <v>2339.4352799999997</v>
      </c>
      <c r="AF214" s="121">
        <v>2339.4352799999997</v>
      </c>
      <c r="AG214" s="121">
        <v>2339.4352799999997</v>
      </c>
      <c r="AH214" s="121">
        <v>2339.4352799999997</v>
      </c>
      <c r="AI214" s="121">
        <v>2339.4352799999997</v>
      </c>
      <c r="AJ214" s="121">
        <v>2339.4352799999997</v>
      </c>
      <c r="AK214" s="121">
        <v>2339.4352799999997</v>
      </c>
      <c r="AL214" s="121">
        <v>2339.4352799999997</v>
      </c>
      <c r="AM214" s="121">
        <v>2339.4352799999997</v>
      </c>
      <c r="AN214" s="121">
        <v>2339.4352799999997</v>
      </c>
      <c r="AO214" s="121">
        <v>2339.4352799999997</v>
      </c>
      <c r="AP214" s="125" t="str">
        <f>CONCATENATE(A214,M214)</f>
        <v>GLN</v>
      </c>
      <c r="AQ214" s="125" t="str">
        <f>CONCATENATE(AP214,L214,H214)</f>
        <v>GLNN2Net (Gains) &amp; Losses on Hedges</v>
      </c>
      <c r="AS214" s="125" t="str">
        <f>CONCATENATE(L214,H214,J214)</f>
        <v>N2Net (Gains) &amp; Losses on Hedges</v>
      </c>
    </row>
    <row r="215" spans="1:45" s="125" customFormat="1" ht="25.5" customHeight="1">
      <c r="A215" s="216" t="s">
        <v>2493</v>
      </c>
      <c r="B215" s="217" t="str">
        <f t="shared" si="71"/>
        <v>GL219535</v>
      </c>
      <c r="C215" s="186">
        <v>219535</v>
      </c>
      <c r="D215" s="201"/>
      <c r="E215" s="162"/>
      <c r="F215" s="169" t="s">
        <v>2997</v>
      </c>
      <c r="G215" s="117"/>
      <c r="H215" s="118" t="s">
        <v>2860</v>
      </c>
      <c r="I215" s="119"/>
      <c r="J215" s="120"/>
      <c r="K215" s="120" t="str">
        <f t="shared" si="81"/>
        <v/>
      </c>
      <c r="L215" s="170" t="s">
        <v>2811</v>
      </c>
      <c r="M215" s="122" t="str">
        <f t="shared" si="80"/>
        <v>N</v>
      </c>
      <c r="N215" s="116" t="str">
        <f>IF($L215&lt;&gt;"",VLOOKUP($L215,Categories!$E:$G,2,FALSE),IF($F215&lt;&gt;"","NO CAT",""))</f>
        <v>Not in Rate Base</v>
      </c>
      <c r="O215" s="116" t="str">
        <f>IF($L215&lt;&gt;"",VLOOKUP($L215,Categories!$E:$G,3,FALSE),IF($F215&lt;&gt;"","NO CAT",""))</f>
        <v>Hedges &amp; OCI</v>
      </c>
      <c r="P215" s="170" t="s">
        <v>1186</v>
      </c>
      <c r="Q215" s="123" t="s">
        <v>1187</v>
      </c>
      <c r="R215" s="124">
        <v>0</v>
      </c>
      <c r="S215" s="124">
        <v>0</v>
      </c>
      <c r="T215" s="124">
        <v>1</v>
      </c>
      <c r="U215" s="121">
        <f t="shared" si="65"/>
        <v>0</v>
      </c>
      <c r="V215" s="121">
        <f t="shared" si="66"/>
        <v>0</v>
      </c>
      <c r="W215" s="121">
        <f t="shared" si="67"/>
        <v>-126.713019166667</v>
      </c>
      <c r="X215" s="121">
        <f t="shared" si="63"/>
        <v>-126.713019166667</v>
      </c>
      <c r="Y215" s="121">
        <f t="shared" si="68"/>
        <v>0</v>
      </c>
      <c r="Z215" s="121">
        <f t="shared" si="69"/>
        <v>0</v>
      </c>
      <c r="AA215" s="121">
        <f t="shared" si="70"/>
        <v>-374.23813999999999</v>
      </c>
      <c r="AB215" s="121">
        <f t="shared" si="64"/>
        <v>-374.23813999999999</v>
      </c>
      <c r="AC215" s="121">
        <v>-270.94130000000001</v>
      </c>
      <c r="AD215" s="121">
        <v>-28.448700000000002</v>
      </c>
      <c r="AE215" s="121">
        <v>-45.718800000000002</v>
      </c>
      <c r="AF215" s="121">
        <v>-61.531529999999997</v>
      </c>
      <c r="AG215" s="121">
        <v>-65.787449999999993</v>
      </c>
      <c r="AH215" s="121">
        <v>-68.864729999999994</v>
      </c>
      <c r="AI215" s="121">
        <v>-70.958550000000002</v>
      </c>
      <c r="AJ215" s="121">
        <v>-90.714950000000002</v>
      </c>
      <c r="AK215" s="121">
        <v>-136.76391000000001</v>
      </c>
      <c r="AL215" s="121">
        <v>-156.94329000000002</v>
      </c>
      <c r="AM215" s="121">
        <v>-201.26022</v>
      </c>
      <c r="AN215" s="121">
        <v>-270.97438</v>
      </c>
      <c r="AO215" s="121">
        <v>-374.23813999999999</v>
      </c>
      <c r="AP215" s="125" t="str">
        <f>CONCATENATE(A215,M215)</f>
        <v>GLN</v>
      </c>
      <c r="AQ215" s="125" t="str">
        <f>CONCATENATE(AP215,L215,H215)</f>
        <v>GLNN5Hedges &amp; OCI</v>
      </c>
      <c r="AS215" s="125" t="str">
        <f>CONCATENATE(L215,H215,J215)</f>
        <v>N5Hedges &amp; OCI</v>
      </c>
    </row>
    <row r="216" spans="1:45" s="125" customFormat="1" ht="25.5" customHeight="1">
      <c r="A216" s="216" t="s">
        <v>2493</v>
      </c>
      <c r="B216" s="217" t="str">
        <f t="shared" si="71"/>
        <v>GL219537</v>
      </c>
      <c r="C216" s="186">
        <v>219537</v>
      </c>
      <c r="D216" s="201"/>
      <c r="E216" s="162"/>
      <c r="F216" s="169" t="s">
        <v>2374</v>
      </c>
      <c r="G216" s="117"/>
      <c r="H216" s="118" t="s">
        <v>1567</v>
      </c>
      <c r="I216" s="119"/>
      <c r="J216" s="120"/>
      <c r="K216" s="120" t="str">
        <f t="shared" si="81"/>
        <v/>
      </c>
      <c r="L216" s="170" t="s">
        <v>928</v>
      </c>
      <c r="M216" s="122" t="str">
        <f t="shared" si="80"/>
        <v>N</v>
      </c>
      <c r="N216" s="116" t="str">
        <f>IF($L216&lt;&gt;"",VLOOKUP($L216,Categories!$E:$G,2,FALSE),IF($F216&lt;&gt;"","NO CAT",""))</f>
        <v>Not in Rate Base</v>
      </c>
      <c r="O216" s="116" t="str">
        <f>IF($L216&lt;&gt;"",VLOOKUP($L216,Categories!$E:$G,3,FALSE),IF($F216&lt;&gt;"","NO CAT",""))</f>
        <v>Direct Assign Items Not in RB</v>
      </c>
      <c r="P216" s="170" t="s">
        <v>1186</v>
      </c>
      <c r="Q216" s="123" t="s">
        <v>1187</v>
      </c>
      <c r="R216" s="124">
        <v>0</v>
      </c>
      <c r="S216" s="124">
        <v>0</v>
      </c>
      <c r="T216" s="124">
        <v>1</v>
      </c>
      <c r="U216" s="121">
        <f t="shared" si="65"/>
        <v>0</v>
      </c>
      <c r="V216" s="121">
        <f t="shared" si="66"/>
        <v>0</v>
      </c>
      <c r="W216" s="121">
        <f t="shared" si="67"/>
        <v>-603.43924916666697</v>
      </c>
      <c r="X216" s="121">
        <f t="shared" si="63"/>
        <v>-603.43924916666697</v>
      </c>
      <c r="Y216" s="121">
        <f t="shared" si="68"/>
        <v>0</v>
      </c>
      <c r="Z216" s="121">
        <f t="shared" si="69"/>
        <v>0</v>
      </c>
      <c r="AA216" s="121">
        <f t="shared" si="70"/>
        <v>-933.21725000000004</v>
      </c>
      <c r="AB216" s="121">
        <f t="shared" si="64"/>
        <v>-933.21725000000004</v>
      </c>
      <c r="AC216" s="121">
        <v>-3283.9331099999999</v>
      </c>
      <c r="AD216" s="121">
        <v>-77.768259999999998</v>
      </c>
      <c r="AE216" s="121">
        <v>-155.53635</v>
      </c>
      <c r="AF216" s="121">
        <v>-233.30444</v>
      </c>
      <c r="AG216" s="121">
        <v>-311.07253000000003</v>
      </c>
      <c r="AH216" s="121">
        <v>-388.84062</v>
      </c>
      <c r="AI216" s="121">
        <v>-466.60871000000003</v>
      </c>
      <c r="AJ216" s="121">
        <v>-544.3768</v>
      </c>
      <c r="AK216" s="121">
        <v>-622.14489000000003</v>
      </c>
      <c r="AL216" s="121">
        <v>-699.91297999999995</v>
      </c>
      <c r="AM216" s="121">
        <v>-777.68106999999998</v>
      </c>
      <c r="AN216" s="121">
        <v>-855.44916000000001</v>
      </c>
      <c r="AO216" s="121">
        <v>-933.21725000000004</v>
      </c>
      <c r="AP216" s="125" t="str">
        <f>CONCATENATE(A216,M216)</f>
        <v>GLN</v>
      </c>
      <c r="AQ216" s="125" t="str">
        <f>CONCATENATE(AP216,L216,H216)</f>
        <v>GLNN2Net (Gains) &amp; Losses on Hedges</v>
      </c>
      <c r="AS216" s="125" t="str">
        <f>CONCATENATE(L216,H216,J216)</f>
        <v>N2Net (Gains) &amp; Losses on Hedges</v>
      </c>
    </row>
    <row r="217" spans="1:45" s="125" customFormat="1" ht="25.5" customHeight="1">
      <c r="A217" s="216" t="s">
        <v>2493</v>
      </c>
      <c r="B217" s="217" t="str">
        <f t="shared" si="71"/>
        <v>GL219540</v>
      </c>
      <c r="C217" s="186">
        <v>219540</v>
      </c>
      <c r="D217" s="201"/>
      <c r="E217" s="162"/>
      <c r="F217" s="169" t="s">
        <v>2375</v>
      </c>
      <c r="G217" s="117"/>
      <c r="H217" s="118" t="s">
        <v>2860</v>
      </c>
      <c r="I217" s="119"/>
      <c r="J217" s="120"/>
      <c r="K217" s="120" t="str">
        <f t="shared" si="81"/>
        <v/>
      </c>
      <c r="L217" s="170" t="s">
        <v>2811</v>
      </c>
      <c r="M217" s="122" t="str">
        <f t="shared" si="80"/>
        <v>N</v>
      </c>
      <c r="N217" s="116" t="str">
        <f>IF($L217&lt;&gt;"",VLOOKUP($L217,Categories!$E:$G,2,FALSE),IF($F217&lt;&gt;"","NO CAT",""))</f>
        <v>Not in Rate Base</v>
      </c>
      <c r="O217" s="116" t="str">
        <f>IF($L217&lt;&gt;"",VLOOKUP($L217,Categories!$E:$G,3,FALSE),IF($F217&lt;&gt;"","NO CAT",""))</f>
        <v>Hedges &amp; OCI</v>
      </c>
      <c r="P217" s="170" t="s">
        <v>1186</v>
      </c>
      <c r="Q217" s="123" t="s">
        <v>1187</v>
      </c>
      <c r="R217" s="124">
        <v>0</v>
      </c>
      <c r="S217" s="124">
        <v>0</v>
      </c>
      <c r="T217" s="124">
        <v>1</v>
      </c>
      <c r="U217" s="121">
        <f t="shared" si="65"/>
        <v>0</v>
      </c>
      <c r="V217" s="121">
        <f t="shared" si="66"/>
        <v>0</v>
      </c>
      <c r="W217" s="121">
        <f t="shared" si="67"/>
        <v>-222.64456125000001</v>
      </c>
      <c r="X217" s="121">
        <f t="shared" si="63"/>
        <v>-222.64456125000001</v>
      </c>
      <c r="Y217" s="121">
        <f t="shared" si="68"/>
        <v>0</v>
      </c>
      <c r="Z217" s="121">
        <f t="shared" si="69"/>
        <v>0</v>
      </c>
      <c r="AA217" s="121">
        <f t="shared" si="70"/>
        <v>-680.71856000000002</v>
      </c>
      <c r="AB217" s="121">
        <f t="shared" si="64"/>
        <v>-680.71856000000002</v>
      </c>
      <c r="AC217" s="121">
        <v>-165.63085000000001</v>
      </c>
      <c r="AD217" s="121">
        <v>-145.84039000000001</v>
      </c>
      <c r="AE217" s="121">
        <v>-102.93442</v>
      </c>
      <c r="AF217" s="121">
        <v>-126.47032</v>
      </c>
      <c r="AG217" s="121">
        <v>-126.78405000000001</v>
      </c>
      <c r="AH217" s="121">
        <v>-129.22413</v>
      </c>
      <c r="AI217" s="121">
        <v>-87.363559999999993</v>
      </c>
      <c r="AJ217" s="121">
        <v>-154.26669000000001</v>
      </c>
      <c r="AK217" s="121">
        <v>-186.34598</v>
      </c>
      <c r="AL217" s="121">
        <v>-275.44191999999998</v>
      </c>
      <c r="AM217" s="121">
        <v>-373.42672999999996</v>
      </c>
      <c r="AN217" s="121">
        <v>-540.46183999999994</v>
      </c>
      <c r="AO217" s="121">
        <v>-680.71856000000002</v>
      </c>
      <c r="AP217" s="125" t="str">
        <f>CONCATENATE(A217,M217)</f>
        <v>GLN</v>
      </c>
      <c r="AQ217" s="125" t="str">
        <f>CONCATENATE(AP217,L217,H217)</f>
        <v>GLNN5Hedges &amp; OCI</v>
      </c>
      <c r="AS217" s="125" t="str">
        <f>CONCATENATE(L217,H217,J217)</f>
        <v>N5Hedges &amp; OCI</v>
      </c>
    </row>
    <row r="218" spans="1:45" s="125" customFormat="1" ht="25.5" customHeight="1">
      <c r="A218" s="216" t="s">
        <v>2493</v>
      </c>
      <c r="B218" s="217" t="str">
        <f t="shared" si="71"/>
        <v>GL219543</v>
      </c>
      <c r="C218" s="186">
        <v>219543</v>
      </c>
      <c r="D218" s="201"/>
      <c r="E218" s="162"/>
      <c r="F218" s="169" t="s">
        <v>806</v>
      </c>
      <c r="G218" s="117"/>
      <c r="H218" s="118" t="s">
        <v>2860</v>
      </c>
      <c r="I218" s="119"/>
      <c r="J218" s="120"/>
      <c r="K218" s="120" t="str">
        <f t="shared" si="81"/>
        <v/>
      </c>
      <c r="L218" s="170" t="s">
        <v>2811</v>
      </c>
      <c r="M218" s="122" t="str">
        <f t="shared" si="80"/>
        <v>N</v>
      </c>
      <c r="N218" s="116" t="str">
        <f>IF($L218&lt;&gt;"",VLOOKUP($L218,Categories!$E:$G,2,FALSE),IF($F218&lt;&gt;"","NO CAT",""))</f>
        <v>Not in Rate Base</v>
      </c>
      <c r="O218" s="116" t="str">
        <f>IF($L218&lt;&gt;"",VLOOKUP($L218,Categories!$E:$G,3,FALSE),IF($F218&lt;&gt;"","NO CAT",""))</f>
        <v>Hedges &amp; OCI</v>
      </c>
      <c r="P218" s="170" t="s">
        <v>1186</v>
      </c>
      <c r="Q218" s="123" t="s">
        <v>1187</v>
      </c>
      <c r="R218" s="124">
        <v>0</v>
      </c>
      <c r="S218" s="124">
        <v>0</v>
      </c>
      <c r="T218" s="124">
        <v>1</v>
      </c>
      <c r="U218" s="121">
        <f t="shared" si="65"/>
        <v>0</v>
      </c>
      <c r="V218" s="121">
        <f t="shared" si="66"/>
        <v>0</v>
      </c>
      <c r="W218" s="121">
        <f t="shared" si="67"/>
        <v>-805.15753208333297</v>
      </c>
      <c r="X218" s="121">
        <f t="shared" ref="X218:X260" si="82">IF(ISERROR(ROUND((SUM(AC218:AO218)-((AC218+AO218))/2)/12,15)),"",ROUND((SUM(AC218:AO218)-((AC218+AO218))/2)/12,15))</f>
        <v>-805.15753208333297</v>
      </c>
      <c r="Y218" s="121">
        <f t="shared" si="68"/>
        <v>0</v>
      </c>
      <c r="Z218" s="121">
        <f t="shared" si="69"/>
        <v>0</v>
      </c>
      <c r="AA218" s="121">
        <f t="shared" si="70"/>
        <v>-760.66708000000006</v>
      </c>
      <c r="AB218" s="121">
        <f t="shared" ref="AB218:AB260" si="83">IF(AO218="",0,+AO218)</f>
        <v>-760.66707999999994</v>
      </c>
      <c r="AC218" s="121">
        <v>-1828.4379299999998</v>
      </c>
      <c r="AD218" s="121">
        <v>-760.66707999999994</v>
      </c>
      <c r="AE218" s="121">
        <v>-760.66707999999994</v>
      </c>
      <c r="AF218" s="121">
        <v>-760.66707999999994</v>
      </c>
      <c r="AG218" s="121">
        <v>-760.66707999999994</v>
      </c>
      <c r="AH218" s="121">
        <v>-760.66707999999994</v>
      </c>
      <c r="AI218" s="121">
        <v>-760.66707999999994</v>
      </c>
      <c r="AJ218" s="121">
        <v>-760.66707999999994</v>
      </c>
      <c r="AK218" s="121">
        <v>-760.66707999999994</v>
      </c>
      <c r="AL218" s="121">
        <v>-760.66707999999994</v>
      </c>
      <c r="AM218" s="121">
        <v>-760.66707999999994</v>
      </c>
      <c r="AN218" s="121">
        <v>-760.66707999999994</v>
      </c>
      <c r="AO218" s="121">
        <v>-760.66707999999994</v>
      </c>
      <c r="AP218" s="125" t="str">
        <f>CONCATENATE(A218,M218)</f>
        <v>GLN</v>
      </c>
      <c r="AQ218" s="125" t="str">
        <f>CONCATENATE(AP218,L218,H218)</f>
        <v>GLNN5Hedges &amp; OCI</v>
      </c>
      <c r="AS218" s="125" t="str">
        <f>CONCATENATE(L218,H218,J218)</f>
        <v>N5Hedges &amp; OCI</v>
      </c>
    </row>
    <row r="219" spans="1:45" s="125" customFormat="1" ht="25.5" customHeight="1">
      <c r="A219" s="216" t="s">
        <v>2493</v>
      </c>
      <c r="B219" s="217" t="str">
        <f t="shared" si="71"/>
        <v>GL219545</v>
      </c>
      <c r="C219" s="186">
        <v>219545</v>
      </c>
      <c r="D219" s="201"/>
      <c r="E219" s="162"/>
      <c r="F219" s="169" t="s">
        <v>532</v>
      </c>
      <c r="G219" s="117"/>
      <c r="H219" s="118" t="s">
        <v>2860</v>
      </c>
      <c r="I219" s="119"/>
      <c r="J219" s="120"/>
      <c r="K219" s="120" t="str">
        <f t="shared" si="81"/>
        <v/>
      </c>
      <c r="L219" s="170" t="s">
        <v>2811</v>
      </c>
      <c r="M219" s="122" t="str">
        <f t="shared" si="80"/>
        <v>N</v>
      </c>
      <c r="N219" s="116" t="str">
        <f>IF($L219&lt;&gt;"",VLOOKUP($L219,Categories!$E:$G,2,FALSE),IF($F219&lt;&gt;"","NO CAT",""))</f>
        <v>Not in Rate Base</v>
      </c>
      <c r="O219" s="116" t="str">
        <f>IF($L219&lt;&gt;"",VLOOKUP($L219,Categories!$E:$G,3,FALSE),IF($F219&lt;&gt;"","NO CAT",""))</f>
        <v>Hedges &amp; OCI</v>
      </c>
      <c r="P219" s="170" t="s">
        <v>1186</v>
      </c>
      <c r="Q219" s="123" t="s">
        <v>1187</v>
      </c>
      <c r="R219" s="124">
        <v>0</v>
      </c>
      <c r="S219" s="124">
        <v>0</v>
      </c>
      <c r="T219" s="124">
        <v>1</v>
      </c>
      <c r="U219" s="121">
        <f t="shared" si="65"/>
        <v>0</v>
      </c>
      <c r="V219" s="121">
        <f t="shared" si="66"/>
        <v>0</v>
      </c>
      <c r="W219" s="121">
        <f t="shared" si="67"/>
        <v>41.200862916666701</v>
      </c>
      <c r="X219" s="121">
        <f t="shared" si="82"/>
        <v>41.200862916666701</v>
      </c>
      <c r="Y219" s="121">
        <f t="shared" si="68"/>
        <v>0</v>
      </c>
      <c r="Z219" s="121">
        <f t="shared" si="69"/>
        <v>0</v>
      </c>
      <c r="AA219" s="121">
        <f t="shared" si="70"/>
        <v>121.68366</v>
      </c>
      <c r="AB219" s="121">
        <f t="shared" si="83"/>
        <v>121.68366</v>
      </c>
      <c r="AC219" s="121">
        <v>88.096689999999995</v>
      </c>
      <c r="AD219" s="121">
        <v>9.2502199999999988</v>
      </c>
      <c r="AE219" s="121">
        <v>14.865590000000001</v>
      </c>
      <c r="AF219" s="121">
        <v>20.007099999999998</v>
      </c>
      <c r="AG219" s="121">
        <v>21.390909999999998</v>
      </c>
      <c r="AH219" s="121">
        <v>22.391490000000001</v>
      </c>
      <c r="AI219" s="121">
        <v>23.072299999999998</v>
      </c>
      <c r="AJ219" s="121">
        <v>29.496089999999999</v>
      </c>
      <c r="AK219" s="121">
        <v>44.468910000000001</v>
      </c>
      <c r="AL219" s="121">
        <v>51.030239999999999</v>
      </c>
      <c r="AM219" s="121">
        <v>65.439890000000005</v>
      </c>
      <c r="AN219" s="121">
        <v>88.107439999999997</v>
      </c>
      <c r="AO219" s="121">
        <v>121.68366</v>
      </c>
      <c r="AP219" s="125" t="str">
        <f>CONCATENATE(A219,M219)</f>
        <v>GLN</v>
      </c>
      <c r="AQ219" s="125" t="str">
        <f>CONCATENATE(AP219,L219,H219)</f>
        <v>GLNN5Hedges &amp; OCI</v>
      </c>
      <c r="AS219" s="125" t="str">
        <f>CONCATENATE(L219,H219,J219)</f>
        <v>N5Hedges &amp; OCI</v>
      </c>
    </row>
    <row r="220" spans="1:45" s="125" customFormat="1" ht="25.5" customHeight="1">
      <c r="A220" s="216" t="s">
        <v>2493</v>
      </c>
      <c r="B220" s="217" t="str">
        <f t="shared" si="71"/>
        <v>GL219547</v>
      </c>
      <c r="C220" s="186">
        <v>219547</v>
      </c>
      <c r="D220" s="201"/>
      <c r="E220" s="162"/>
      <c r="F220" s="169" t="s">
        <v>533</v>
      </c>
      <c r="G220" s="117"/>
      <c r="H220" s="118" t="s">
        <v>2860</v>
      </c>
      <c r="I220" s="119"/>
      <c r="J220" s="120"/>
      <c r="K220" s="120" t="str">
        <f t="shared" si="81"/>
        <v/>
      </c>
      <c r="L220" s="170" t="s">
        <v>2811</v>
      </c>
      <c r="M220" s="122" t="str">
        <f t="shared" si="80"/>
        <v>N</v>
      </c>
      <c r="N220" s="116" t="str">
        <f>IF($L220&lt;&gt;"",VLOOKUP($L220,Categories!$E:$G,2,FALSE),IF($F220&lt;&gt;"","NO CAT",""))</f>
        <v>Not in Rate Base</v>
      </c>
      <c r="O220" s="116" t="str">
        <f>IF($L220&lt;&gt;"",VLOOKUP($L220,Categories!$E:$G,3,FALSE),IF($F220&lt;&gt;"","NO CAT",""))</f>
        <v>Hedges &amp; OCI</v>
      </c>
      <c r="P220" s="170" t="s">
        <v>1186</v>
      </c>
      <c r="Q220" s="123" t="s">
        <v>1187</v>
      </c>
      <c r="R220" s="124">
        <v>0</v>
      </c>
      <c r="S220" s="124">
        <v>0</v>
      </c>
      <c r="T220" s="124">
        <v>1</v>
      </c>
      <c r="U220" s="121">
        <f t="shared" si="65"/>
        <v>0</v>
      </c>
      <c r="V220" s="121">
        <f t="shared" si="66"/>
        <v>0</v>
      </c>
      <c r="W220" s="121">
        <f t="shared" si="67"/>
        <v>196.208791666667</v>
      </c>
      <c r="X220" s="121">
        <f t="shared" si="82"/>
        <v>196.208791666667</v>
      </c>
      <c r="Y220" s="121">
        <f t="shared" si="68"/>
        <v>0</v>
      </c>
      <c r="Z220" s="121">
        <f t="shared" si="69"/>
        <v>0</v>
      </c>
      <c r="AA220" s="121">
        <f t="shared" si="70"/>
        <v>303.43610999999999</v>
      </c>
      <c r="AB220" s="121">
        <f t="shared" si="83"/>
        <v>303.43610999999999</v>
      </c>
      <c r="AC220" s="121">
        <v>1067.7713700000002</v>
      </c>
      <c r="AD220" s="121">
        <v>25.28687</v>
      </c>
      <c r="AE220" s="121">
        <v>50.573160000000001</v>
      </c>
      <c r="AF220" s="121">
        <v>75.859460000000013</v>
      </c>
      <c r="AG220" s="121">
        <v>101.14575000000001</v>
      </c>
      <c r="AH220" s="121">
        <v>126.43205</v>
      </c>
      <c r="AI220" s="121">
        <v>151.71833999999998</v>
      </c>
      <c r="AJ220" s="121">
        <v>177.00464000000002</v>
      </c>
      <c r="AK220" s="121">
        <v>202.29093</v>
      </c>
      <c r="AL220" s="121">
        <v>227.57723000000001</v>
      </c>
      <c r="AM220" s="121">
        <v>252.86351999999999</v>
      </c>
      <c r="AN220" s="121">
        <v>278.14981</v>
      </c>
      <c r="AO220" s="121">
        <v>303.43610999999999</v>
      </c>
      <c r="AP220" s="125" t="str">
        <f>CONCATENATE(A220,M220)</f>
        <v>GLN</v>
      </c>
      <c r="AQ220" s="125" t="str">
        <f>CONCATENATE(AP220,L220,H220)</f>
        <v>GLNN5Hedges &amp; OCI</v>
      </c>
      <c r="AS220" s="125" t="str">
        <f>CONCATENATE(L220,H220,J220)</f>
        <v>N5Hedges &amp; OCI</v>
      </c>
    </row>
    <row r="221" spans="1:45" s="125" customFormat="1" ht="25.5" customHeight="1">
      <c r="A221" s="216" t="s">
        <v>2493</v>
      </c>
      <c r="B221" s="217" t="str">
        <f t="shared" si="71"/>
        <v>GL219550</v>
      </c>
      <c r="C221" s="186">
        <v>219550</v>
      </c>
      <c r="D221" s="201"/>
      <c r="E221" s="162"/>
      <c r="F221" s="169" t="s">
        <v>1510</v>
      </c>
      <c r="G221" s="117"/>
      <c r="H221" s="118" t="s">
        <v>2860</v>
      </c>
      <c r="I221" s="119"/>
      <c r="J221" s="120"/>
      <c r="K221" s="120" t="str">
        <f t="shared" si="81"/>
        <v/>
      </c>
      <c r="L221" s="170" t="s">
        <v>2811</v>
      </c>
      <c r="M221" s="122" t="str">
        <f t="shared" si="80"/>
        <v>N</v>
      </c>
      <c r="N221" s="116" t="str">
        <f>IF($L221&lt;&gt;"",VLOOKUP($L221,Categories!$E:$G,2,FALSE),IF($F221&lt;&gt;"","NO CAT",""))</f>
        <v>Not in Rate Base</v>
      </c>
      <c r="O221" s="116" t="str">
        <f>IF($L221&lt;&gt;"",VLOOKUP($L221,Categories!$E:$G,3,FALSE),IF($F221&lt;&gt;"","NO CAT",""))</f>
        <v>Hedges &amp; OCI</v>
      </c>
      <c r="P221" s="170" t="s">
        <v>1186</v>
      </c>
      <c r="Q221" s="123" t="s">
        <v>1187</v>
      </c>
      <c r="R221" s="124">
        <v>0</v>
      </c>
      <c r="S221" s="124">
        <v>0</v>
      </c>
      <c r="T221" s="124">
        <v>1</v>
      </c>
      <c r="U221" s="121">
        <f t="shared" si="65"/>
        <v>0</v>
      </c>
      <c r="V221" s="121">
        <f t="shared" si="66"/>
        <v>0</v>
      </c>
      <c r="W221" s="121">
        <f t="shared" si="67"/>
        <v>-87.445514166666698</v>
      </c>
      <c r="X221" s="121">
        <f t="shared" si="82"/>
        <v>-87.445514166666698</v>
      </c>
      <c r="Y221" s="121">
        <f t="shared" si="68"/>
        <v>0</v>
      </c>
      <c r="Z221" s="121">
        <f t="shared" si="69"/>
        <v>0</v>
      </c>
      <c r="AA221" s="121">
        <f t="shared" si="70"/>
        <v>-168.79935</v>
      </c>
      <c r="AB221" s="121">
        <f t="shared" si="83"/>
        <v>-168.79935</v>
      </c>
      <c r="AC221" s="121">
        <v>-91.692789999999988</v>
      </c>
      <c r="AD221" s="121">
        <v>-90.336410000000001</v>
      </c>
      <c r="AE221" s="121">
        <v>-88.980039999999988</v>
      </c>
      <c r="AF221" s="121">
        <v>-87.623670000000004</v>
      </c>
      <c r="AG221" s="121">
        <v>-86.267300000000006</v>
      </c>
      <c r="AH221" s="121">
        <v>-84.910929999999993</v>
      </c>
      <c r="AI221" s="121">
        <v>-83.554550000000006</v>
      </c>
      <c r="AJ221" s="121">
        <v>-82.198179999999994</v>
      </c>
      <c r="AK221" s="121">
        <v>-80.841809999999995</v>
      </c>
      <c r="AL221" s="121">
        <v>-79.485439999999997</v>
      </c>
      <c r="AM221" s="121">
        <v>-78.129070000000013</v>
      </c>
      <c r="AN221" s="121">
        <v>-76.7727</v>
      </c>
      <c r="AO221" s="121">
        <v>-168.79935</v>
      </c>
      <c r="AP221" s="125" t="str">
        <f>CONCATENATE(A221,M221)</f>
        <v>GLN</v>
      </c>
      <c r="AQ221" s="125" t="str">
        <f>CONCATENATE(AP221,L221,H221)</f>
        <v>GLNN5Hedges &amp; OCI</v>
      </c>
      <c r="AS221" s="125" t="str">
        <f>CONCATENATE(L221,H221,J221)</f>
        <v>N5Hedges &amp; OCI</v>
      </c>
    </row>
    <row r="222" spans="1:45" s="125" customFormat="1" ht="25.5" customHeight="1">
      <c r="A222" s="216" t="s">
        <v>2493</v>
      </c>
      <c r="B222" s="217" t="str">
        <f t="shared" si="71"/>
        <v>GL219553</v>
      </c>
      <c r="C222" s="186">
        <v>219553</v>
      </c>
      <c r="D222" s="201"/>
      <c r="E222" s="162"/>
      <c r="F222" s="169" t="s">
        <v>108</v>
      </c>
      <c r="G222" s="117"/>
      <c r="H222" s="118" t="s">
        <v>2860</v>
      </c>
      <c r="I222" s="119"/>
      <c r="J222" s="120"/>
      <c r="K222" s="120" t="str">
        <f t="shared" si="81"/>
        <v/>
      </c>
      <c r="L222" s="170" t="s">
        <v>2811</v>
      </c>
      <c r="M222" s="122" t="str">
        <f t="shared" si="80"/>
        <v>N</v>
      </c>
      <c r="N222" s="116" t="str">
        <f>IF($L222&lt;&gt;"",VLOOKUP($L222,Categories!$E:$G,2,FALSE),IF($F222&lt;&gt;"","NO CAT",""))</f>
        <v>Not in Rate Base</v>
      </c>
      <c r="O222" s="116" t="str">
        <f>IF($L222&lt;&gt;"",VLOOKUP($L222,Categories!$E:$G,3,FALSE),IF($F222&lt;&gt;"","NO CAT",""))</f>
        <v>Hedges &amp; OCI</v>
      </c>
      <c r="P222" s="170" t="s">
        <v>1186</v>
      </c>
      <c r="Q222" s="123" t="s">
        <v>1187</v>
      </c>
      <c r="R222" s="124">
        <v>0</v>
      </c>
      <c r="S222" s="124">
        <v>0</v>
      </c>
      <c r="T222" s="124">
        <v>1</v>
      </c>
      <c r="U222" s="121">
        <f t="shared" si="65"/>
        <v>0</v>
      </c>
      <c r="V222" s="121">
        <f t="shared" si="66"/>
        <v>0</v>
      </c>
      <c r="W222" s="121">
        <f t="shared" si="67"/>
        <v>-175.814979166667</v>
      </c>
      <c r="X222" s="121">
        <f t="shared" si="82"/>
        <v>-175.814979166667</v>
      </c>
      <c r="Y222" s="121">
        <f t="shared" si="68"/>
        <v>0</v>
      </c>
      <c r="Z222" s="121">
        <f t="shared" si="69"/>
        <v>0</v>
      </c>
      <c r="AA222" s="121">
        <f t="shared" si="70"/>
        <v>-166.10001</v>
      </c>
      <c r="AB222" s="121">
        <f t="shared" si="83"/>
        <v>-166.10001</v>
      </c>
      <c r="AC222" s="121">
        <v>-399.25927000000001</v>
      </c>
      <c r="AD222" s="121">
        <v>-166.10001</v>
      </c>
      <c r="AE222" s="121">
        <v>-166.10001</v>
      </c>
      <c r="AF222" s="121">
        <v>-166.10001</v>
      </c>
      <c r="AG222" s="121">
        <v>-166.10001</v>
      </c>
      <c r="AH222" s="121">
        <v>-166.10001</v>
      </c>
      <c r="AI222" s="121">
        <v>-166.10001</v>
      </c>
      <c r="AJ222" s="121">
        <v>-166.10001</v>
      </c>
      <c r="AK222" s="121">
        <v>-166.10001</v>
      </c>
      <c r="AL222" s="121">
        <v>-166.10001</v>
      </c>
      <c r="AM222" s="121">
        <v>-166.10001</v>
      </c>
      <c r="AN222" s="121">
        <v>-166.10001</v>
      </c>
      <c r="AO222" s="121">
        <v>-166.10001</v>
      </c>
      <c r="AP222" s="125" t="str">
        <f>CONCATENATE(A222,M222)</f>
        <v>GLN</v>
      </c>
      <c r="AQ222" s="125" t="str">
        <f>CONCATENATE(AP222,L222,H222)</f>
        <v>GLNN5Hedges &amp; OCI</v>
      </c>
      <c r="AS222" s="125" t="str">
        <f>CONCATENATE(L222,H222,J222)</f>
        <v>N5Hedges &amp; OCI</v>
      </c>
    </row>
    <row r="223" spans="1:45" s="125" customFormat="1" ht="25.5" customHeight="1">
      <c r="A223" s="216" t="s">
        <v>2493</v>
      </c>
      <c r="B223" s="217" t="str">
        <f t="shared" si="71"/>
        <v>GL219565</v>
      </c>
      <c r="C223" s="186">
        <v>219565</v>
      </c>
      <c r="D223" s="201"/>
      <c r="E223" s="162"/>
      <c r="F223" s="169" t="s">
        <v>534</v>
      </c>
      <c r="G223" s="117"/>
      <c r="H223" s="118" t="s">
        <v>2860</v>
      </c>
      <c r="I223" s="119"/>
      <c r="J223" s="120"/>
      <c r="K223" s="120" t="str">
        <f t="shared" si="81"/>
        <v/>
      </c>
      <c r="L223" s="170" t="s">
        <v>2811</v>
      </c>
      <c r="M223" s="122" t="str">
        <f t="shared" si="80"/>
        <v>N</v>
      </c>
      <c r="N223" s="116" t="str">
        <f>IF($L223&lt;&gt;"",VLOOKUP($L223,Categories!$E:$G,2,FALSE),IF($F223&lt;&gt;"","NO CAT",""))</f>
        <v>Not in Rate Base</v>
      </c>
      <c r="O223" s="116" t="str">
        <f>IF($L223&lt;&gt;"",VLOOKUP($L223,Categories!$E:$G,3,FALSE),IF($F223&lt;&gt;"","NO CAT",""))</f>
        <v>Hedges &amp; OCI</v>
      </c>
      <c r="P223" s="170" t="s">
        <v>1186</v>
      </c>
      <c r="Q223" s="123" t="s">
        <v>1187</v>
      </c>
      <c r="R223" s="124">
        <v>0</v>
      </c>
      <c r="S223" s="124">
        <v>0</v>
      </c>
      <c r="T223" s="124">
        <v>1</v>
      </c>
      <c r="U223" s="121">
        <f t="shared" si="65"/>
        <v>0</v>
      </c>
      <c r="V223" s="121">
        <f t="shared" si="66"/>
        <v>0</v>
      </c>
      <c r="W223" s="121">
        <f t="shared" si="67"/>
        <v>-48.617035833333297</v>
      </c>
      <c r="X223" s="121">
        <f t="shared" si="82"/>
        <v>-48.617035833333297</v>
      </c>
      <c r="Y223" s="121">
        <f t="shared" si="68"/>
        <v>0</v>
      </c>
      <c r="Z223" s="121">
        <f t="shared" si="69"/>
        <v>0</v>
      </c>
      <c r="AA223" s="121">
        <f t="shared" si="70"/>
        <v>-148.64241999999999</v>
      </c>
      <c r="AB223" s="121">
        <f t="shared" si="83"/>
        <v>-148.64242000000002</v>
      </c>
      <c r="AC223" s="121">
        <v>-36.167480000000005</v>
      </c>
      <c r="AD223" s="121">
        <v>-31.846019999999999</v>
      </c>
      <c r="AE223" s="121">
        <v>-22.477040000000002</v>
      </c>
      <c r="AF223" s="121">
        <v>-27.616349999999997</v>
      </c>
      <c r="AG223" s="121">
        <v>-27.68486</v>
      </c>
      <c r="AH223" s="121">
        <v>-28.217680000000001</v>
      </c>
      <c r="AI223" s="121">
        <v>-19.076970000000003</v>
      </c>
      <c r="AJ223" s="121">
        <v>-33.685989999999997</v>
      </c>
      <c r="AK223" s="121">
        <v>-40.690849999999998</v>
      </c>
      <c r="AL223" s="121">
        <v>-60.145910000000001</v>
      </c>
      <c r="AM223" s="121">
        <v>-81.54195</v>
      </c>
      <c r="AN223" s="121">
        <v>-118.01586</v>
      </c>
      <c r="AO223" s="121">
        <v>-148.64242000000002</v>
      </c>
      <c r="AP223" s="125" t="str">
        <f>CONCATENATE(A223,M223)</f>
        <v>GLN</v>
      </c>
      <c r="AQ223" s="125" t="str">
        <f>CONCATENATE(AP223,L223,H223)</f>
        <v>GLNN5Hedges &amp; OCI</v>
      </c>
      <c r="AS223" s="125" t="str">
        <f>CONCATENATE(L223,H223,J223)</f>
        <v>N5Hedges &amp; OCI</v>
      </c>
    </row>
    <row r="224" spans="1:45" s="125" customFormat="1" ht="25.5" customHeight="1">
      <c r="A224" s="216" t="s">
        <v>2493</v>
      </c>
      <c r="B224" s="217" t="str">
        <f t="shared" si="71"/>
        <v>GL219570</v>
      </c>
      <c r="C224" s="186">
        <v>219570</v>
      </c>
      <c r="D224" s="201"/>
      <c r="E224" s="162"/>
      <c r="F224" s="169" t="s">
        <v>536</v>
      </c>
      <c r="G224" s="117"/>
      <c r="H224" s="118" t="s">
        <v>2860</v>
      </c>
      <c r="I224" s="119"/>
      <c r="J224" s="120"/>
      <c r="K224" s="120" t="str">
        <f t="shared" si="81"/>
        <v/>
      </c>
      <c r="L224" s="170" t="s">
        <v>2811</v>
      </c>
      <c r="M224" s="122" t="str">
        <f t="shared" si="80"/>
        <v>N</v>
      </c>
      <c r="N224" s="116" t="str">
        <f>IF($L224&lt;&gt;"",VLOOKUP($L224,Categories!$E:$G,2,FALSE),IF($F224&lt;&gt;"","NO CAT",""))</f>
        <v>Not in Rate Base</v>
      </c>
      <c r="O224" s="116" t="str">
        <f>IF($L224&lt;&gt;"",VLOOKUP($L224,Categories!$E:$G,3,FALSE),IF($F224&lt;&gt;"","NO CAT",""))</f>
        <v>Hedges &amp; OCI</v>
      </c>
      <c r="P224" s="170" t="s">
        <v>1186</v>
      </c>
      <c r="Q224" s="123" t="s">
        <v>1187</v>
      </c>
      <c r="R224" s="124">
        <v>0</v>
      </c>
      <c r="S224" s="124">
        <v>0</v>
      </c>
      <c r="T224" s="124">
        <v>1</v>
      </c>
      <c r="U224" s="121">
        <f t="shared" si="65"/>
        <v>0</v>
      </c>
      <c r="V224" s="121">
        <f t="shared" si="66"/>
        <v>0</v>
      </c>
      <c r="W224" s="121">
        <f t="shared" si="67"/>
        <v>8.9961424999999995</v>
      </c>
      <c r="X224" s="121">
        <f t="shared" si="82"/>
        <v>8.9961424999999995</v>
      </c>
      <c r="Y224" s="121">
        <f t="shared" si="68"/>
        <v>0</v>
      </c>
      <c r="Z224" s="121">
        <f t="shared" si="69"/>
        <v>0</v>
      </c>
      <c r="AA224" s="121">
        <f t="shared" si="70"/>
        <v>26.570430000000002</v>
      </c>
      <c r="AB224" s="121">
        <f t="shared" si="83"/>
        <v>26.570430000000002</v>
      </c>
      <c r="AC224" s="121">
        <v>19.236349999999998</v>
      </c>
      <c r="AD224" s="121">
        <v>2.01938</v>
      </c>
      <c r="AE224" s="121">
        <v>3.2455500000000002</v>
      </c>
      <c r="AF224" s="121">
        <v>4.3682600000000003</v>
      </c>
      <c r="AG224" s="121">
        <v>4.6704300000000005</v>
      </c>
      <c r="AH224" s="121">
        <v>4.8889100000000001</v>
      </c>
      <c r="AI224" s="121">
        <v>5.0375699999999997</v>
      </c>
      <c r="AJ224" s="121">
        <v>6.4402799999999996</v>
      </c>
      <c r="AK224" s="121">
        <v>9.7097600000000011</v>
      </c>
      <c r="AL224" s="121">
        <v>11.14249</v>
      </c>
      <c r="AM224" s="121">
        <v>14.28899</v>
      </c>
      <c r="AN224" s="121">
        <v>19.238700000000001</v>
      </c>
      <c r="AO224" s="121">
        <v>26.570430000000002</v>
      </c>
      <c r="AP224" s="125" t="str">
        <f>CONCATENATE(A224,M224)</f>
        <v>GLN</v>
      </c>
      <c r="AQ224" s="125" t="str">
        <f>CONCATENATE(AP224,L224,H224)</f>
        <v>GLNN5Hedges &amp; OCI</v>
      </c>
      <c r="AS224" s="125" t="str">
        <f>CONCATENATE(L224,H224,J224)</f>
        <v>N5Hedges &amp; OCI</v>
      </c>
    </row>
    <row r="225" spans="1:45" s="125" customFormat="1" ht="25.5" customHeight="1">
      <c r="A225" s="216" t="s">
        <v>2493</v>
      </c>
      <c r="B225" s="217" t="str">
        <f t="shared" si="71"/>
        <v>GL219572</v>
      </c>
      <c r="C225" s="186">
        <v>219572</v>
      </c>
      <c r="D225" s="201"/>
      <c r="E225" s="162"/>
      <c r="F225" s="169" t="s">
        <v>537</v>
      </c>
      <c r="G225" s="117"/>
      <c r="H225" s="118" t="s">
        <v>2860</v>
      </c>
      <c r="I225" s="119"/>
      <c r="J225" s="120"/>
      <c r="K225" s="120" t="str">
        <f t="shared" si="81"/>
        <v/>
      </c>
      <c r="L225" s="170" t="s">
        <v>2811</v>
      </c>
      <c r="M225" s="122" t="str">
        <f t="shared" si="80"/>
        <v>N</v>
      </c>
      <c r="N225" s="116" t="str">
        <f>IF($L225&lt;&gt;"",VLOOKUP($L225,Categories!$E:$G,2,FALSE),IF($F225&lt;&gt;"","NO CAT",""))</f>
        <v>Not in Rate Base</v>
      </c>
      <c r="O225" s="116" t="str">
        <f>IF($L225&lt;&gt;"",VLOOKUP($L225,Categories!$E:$G,3,FALSE),IF($F225&lt;&gt;"","NO CAT",""))</f>
        <v>Hedges &amp; OCI</v>
      </c>
      <c r="P225" s="170" t="s">
        <v>1186</v>
      </c>
      <c r="Q225" s="123" t="s">
        <v>1187</v>
      </c>
      <c r="R225" s="124">
        <v>0</v>
      </c>
      <c r="S225" s="124">
        <v>0</v>
      </c>
      <c r="T225" s="124">
        <v>1</v>
      </c>
      <c r="U225" s="121">
        <f t="shared" si="65"/>
        <v>0</v>
      </c>
      <c r="V225" s="121">
        <f t="shared" si="66"/>
        <v>0</v>
      </c>
      <c r="W225" s="121">
        <f t="shared" si="67"/>
        <v>42.843747083333298</v>
      </c>
      <c r="X225" s="121">
        <f t="shared" si="82"/>
        <v>42.843747083333298</v>
      </c>
      <c r="Y225" s="121">
        <f t="shared" si="68"/>
        <v>0</v>
      </c>
      <c r="Z225" s="121">
        <f t="shared" si="69"/>
        <v>0</v>
      </c>
      <c r="AA225" s="121">
        <f t="shared" si="70"/>
        <v>66.257980000000003</v>
      </c>
      <c r="AB225" s="121">
        <f t="shared" si="83"/>
        <v>66.257979999999989</v>
      </c>
      <c r="AC225" s="121">
        <v>233.15880999999999</v>
      </c>
      <c r="AD225" s="121">
        <v>5.5211099999999993</v>
      </c>
      <c r="AE225" s="121">
        <v>11.042639999999999</v>
      </c>
      <c r="AF225" s="121">
        <v>16.56418</v>
      </c>
      <c r="AG225" s="121">
        <v>22.085709999999999</v>
      </c>
      <c r="AH225" s="121">
        <v>27.607240000000001</v>
      </c>
      <c r="AI225" s="121">
        <v>33.128779999999999</v>
      </c>
      <c r="AJ225" s="121">
        <v>38.650309999999998</v>
      </c>
      <c r="AK225" s="121">
        <v>44.171849999999999</v>
      </c>
      <c r="AL225" s="121">
        <v>49.693379999999998</v>
      </c>
      <c r="AM225" s="121">
        <v>55.214919999999999</v>
      </c>
      <c r="AN225" s="121">
        <v>60.736449999999998</v>
      </c>
      <c r="AO225" s="121">
        <v>66.257979999999989</v>
      </c>
      <c r="AP225" s="125" t="str">
        <f>CONCATENATE(A225,M225)</f>
        <v>GLN</v>
      </c>
      <c r="AQ225" s="125" t="str">
        <f>CONCATENATE(AP225,L225,H225)</f>
        <v>GLNN5Hedges &amp; OCI</v>
      </c>
      <c r="AS225" s="125" t="str">
        <f>CONCATENATE(L225,H225,J225)</f>
        <v>N5Hedges &amp; OCI</v>
      </c>
    </row>
    <row r="226" spans="1:45" s="125" customFormat="1" ht="25.5" customHeight="1">
      <c r="A226" s="216" t="s">
        <v>2493</v>
      </c>
      <c r="B226" s="217" t="str">
        <f>CONCATENATE(A226,C226,D226,E226)</f>
        <v>GL219575</v>
      </c>
      <c r="C226" s="186">
        <v>219575</v>
      </c>
      <c r="D226" s="201"/>
      <c r="E226" s="162"/>
      <c r="F226" s="169" t="s">
        <v>4381</v>
      </c>
      <c r="G226" s="117"/>
      <c r="H226" s="118" t="s">
        <v>2860</v>
      </c>
      <c r="I226" s="119"/>
      <c r="J226" s="120"/>
      <c r="K226" s="120" t="str">
        <f>IF(L226="N3","SFAS-109","")</f>
        <v/>
      </c>
      <c r="L226" s="170" t="s">
        <v>2811</v>
      </c>
      <c r="M226" s="122" t="str">
        <f>LEFT(L226,1)</f>
        <v>N</v>
      </c>
      <c r="N226" s="116" t="str">
        <f>IF($L226&lt;&gt;"",VLOOKUP($L226,Categories!$E:$G,2,FALSE),IF($F226&lt;&gt;"","NO CAT",""))</f>
        <v>Not in Rate Base</v>
      </c>
      <c r="O226" s="116" t="str">
        <f>IF($L226&lt;&gt;"",VLOOKUP($L226,Categories!$E:$G,3,FALSE),IF($F226&lt;&gt;"","NO CAT",""))</f>
        <v>Hedges &amp; OCI</v>
      </c>
      <c r="P226" s="170" t="s">
        <v>1186</v>
      </c>
      <c r="Q226" s="123" t="s">
        <v>1187</v>
      </c>
      <c r="R226" s="124">
        <v>0</v>
      </c>
      <c r="S226" s="124">
        <v>0</v>
      </c>
      <c r="T226" s="124">
        <v>1</v>
      </c>
      <c r="U226" s="121">
        <f>IF(ABS(X226)=0,"",IF($R226="NO ALLOC","NO ALLOC",ROUND($R226*X226,15)))</f>
        <v>0</v>
      </c>
      <c r="V226" s="121">
        <f>IF(ABS(X226)=0,"",IF($S226="NO ALLOC","NO ALLOC",ROUND($S226*X226,15)))</f>
        <v>0</v>
      </c>
      <c r="W226" s="121">
        <f>IF(ABS(X226)=0,"",IF($T226="NO ALLOC","NO ALLOC",ROUND($T226*X226,15)))</f>
        <v>-1.875</v>
      </c>
      <c r="X226" s="121">
        <f t="shared" si="82"/>
        <v>-1.875</v>
      </c>
      <c r="Y226" s="121" t="str">
        <f>IF(ABS(AB226)=0,"",IF($R226="NO ALLOC","NO ALLOC",ROUND($R226*AB226,15)))</f>
        <v/>
      </c>
      <c r="Z226" s="121" t="str">
        <f>IF(ABS(AB226)=0,"",IF($S226="NO ALLOC","NO ALLOC",ROUND($S226*AB226,15)))</f>
        <v/>
      </c>
      <c r="AA226" s="121" t="str">
        <f>IF(ABS(AB226)=0,"",IF($T226="NO ALLOC","NO ALLOC",ROUND($T226*AB226,15)))</f>
        <v/>
      </c>
      <c r="AB226" s="121">
        <f t="shared" si="83"/>
        <v>0</v>
      </c>
      <c r="AC226" s="121">
        <v>0</v>
      </c>
      <c r="AD226" s="121">
        <v>-22.5</v>
      </c>
      <c r="AE226" s="121">
        <v>0</v>
      </c>
      <c r="AF226" s="121">
        <v>0</v>
      </c>
      <c r="AG226" s="121">
        <v>0</v>
      </c>
      <c r="AH226" s="121">
        <v>0</v>
      </c>
      <c r="AI226" s="121">
        <v>0</v>
      </c>
      <c r="AJ226" s="121">
        <v>0</v>
      </c>
      <c r="AK226" s="121">
        <v>0</v>
      </c>
      <c r="AL226" s="121">
        <v>0</v>
      </c>
      <c r="AM226" s="121">
        <v>0</v>
      </c>
      <c r="AN226" s="121">
        <v>0</v>
      </c>
      <c r="AO226" s="121">
        <v>0</v>
      </c>
      <c r="AP226" s="125" t="str">
        <f>CONCATENATE(A226,M226)</f>
        <v>GLN</v>
      </c>
      <c r="AQ226" s="125" t="str">
        <f>CONCATENATE(AP226,L226,H226)</f>
        <v>GLNN5Hedges &amp; OCI</v>
      </c>
      <c r="AS226" s="125" t="str">
        <f>CONCATENATE(L226,H226,J226)</f>
        <v>N5Hedges &amp; OCI</v>
      </c>
    </row>
    <row r="227" spans="1:45" s="125" customFormat="1" ht="25.5" customHeight="1">
      <c r="A227" s="216" t="s">
        <v>2493</v>
      </c>
      <c r="B227" s="217" t="str">
        <f>CONCATENATE(A227,C227,D227,E227)</f>
        <v>GL219580</v>
      </c>
      <c r="C227" s="186">
        <v>219580</v>
      </c>
      <c r="D227" s="201"/>
      <c r="E227" s="162"/>
      <c r="F227" s="169" t="s">
        <v>4382</v>
      </c>
      <c r="G227" s="117"/>
      <c r="H227" s="118" t="s">
        <v>2860</v>
      </c>
      <c r="I227" s="119"/>
      <c r="J227" s="120"/>
      <c r="K227" s="120" t="str">
        <f>IF(L227="N3","SFAS-109","")</f>
        <v/>
      </c>
      <c r="L227" s="170" t="s">
        <v>2811</v>
      </c>
      <c r="M227" s="122" t="str">
        <f>LEFT(L227,1)</f>
        <v>N</v>
      </c>
      <c r="N227" s="116" t="str">
        <f>IF($L227&lt;&gt;"",VLOOKUP($L227,Categories!$E:$G,2,FALSE),IF($F227&lt;&gt;"","NO CAT",""))</f>
        <v>Not in Rate Base</v>
      </c>
      <c r="O227" s="116" t="str">
        <f>IF($L227&lt;&gt;"",VLOOKUP($L227,Categories!$E:$G,3,FALSE),IF($F227&lt;&gt;"","NO CAT",""))</f>
        <v>Hedges &amp; OCI</v>
      </c>
      <c r="P227" s="170" t="s">
        <v>1186</v>
      </c>
      <c r="Q227" s="123" t="s">
        <v>1187</v>
      </c>
      <c r="R227" s="124">
        <v>0</v>
      </c>
      <c r="S227" s="124">
        <v>0</v>
      </c>
      <c r="T227" s="124">
        <v>1</v>
      </c>
      <c r="U227" s="121">
        <f>IF(ABS(X227)=0,"",IF($R227="NO ALLOC","NO ALLOC",ROUND($R227*X227,15)))</f>
        <v>0</v>
      </c>
      <c r="V227" s="121">
        <f>IF(ABS(X227)=0,"",IF($S227="NO ALLOC","NO ALLOC",ROUND($S227*X227,15)))</f>
        <v>0</v>
      </c>
      <c r="W227" s="121">
        <f>IF(ABS(X227)=0,"",IF($T227="NO ALLOC","NO ALLOC",ROUND($T227*X227,15)))</f>
        <v>0.60965666666666696</v>
      </c>
      <c r="X227" s="121">
        <f t="shared" si="82"/>
        <v>0.60965666666666696</v>
      </c>
      <c r="Y227" s="121" t="str">
        <f>IF(ABS(AB227)=0,"",IF($R227="NO ALLOC","NO ALLOC",ROUND($R227*AB227,15)))</f>
        <v/>
      </c>
      <c r="Z227" s="121" t="str">
        <f>IF(ABS(AB227)=0,"",IF($S227="NO ALLOC","NO ALLOC",ROUND($S227*AB227,15)))</f>
        <v/>
      </c>
      <c r="AA227" s="121" t="str">
        <f>IF(ABS(AB227)=0,"",IF($T227="NO ALLOC","NO ALLOC",ROUND($T227*AB227,15)))</f>
        <v/>
      </c>
      <c r="AB227" s="121">
        <f t="shared" si="83"/>
        <v>0</v>
      </c>
      <c r="AC227" s="121">
        <v>0</v>
      </c>
      <c r="AD227" s="121">
        <v>7.3158799999999999</v>
      </c>
      <c r="AE227" s="121">
        <v>0</v>
      </c>
      <c r="AF227" s="121">
        <v>0</v>
      </c>
      <c r="AG227" s="121">
        <v>0</v>
      </c>
      <c r="AH227" s="121">
        <v>0</v>
      </c>
      <c r="AI227" s="121">
        <v>0</v>
      </c>
      <c r="AJ227" s="121">
        <v>0</v>
      </c>
      <c r="AK227" s="121">
        <v>0</v>
      </c>
      <c r="AL227" s="121">
        <v>0</v>
      </c>
      <c r="AM227" s="121">
        <v>0</v>
      </c>
      <c r="AN227" s="121">
        <v>0</v>
      </c>
      <c r="AO227" s="121">
        <v>0</v>
      </c>
      <c r="AP227" s="125" t="str">
        <f>CONCATENATE(A227,M227)</f>
        <v>GLN</v>
      </c>
      <c r="AQ227" s="125" t="str">
        <f>CONCATENATE(AP227,L227,H227)</f>
        <v>GLNN5Hedges &amp; OCI</v>
      </c>
      <c r="AS227" s="125" t="str">
        <f>CONCATENATE(L227,H227,J227)</f>
        <v>N5Hedges &amp; OCI</v>
      </c>
    </row>
    <row r="228" spans="1:45" s="125" customFormat="1" ht="25.5" customHeight="1">
      <c r="A228" s="216" t="s">
        <v>2493</v>
      </c>
      <c r="B228" s="217" t="str">
        <f>CONCATENATE(A228,C228,D228,E228)</f>
        <v>GL219582</v>
      </c>
      <c r="C228" s="186">
        <v>219582</v>
      </c>
      <c r="D228" s="201"/>
      <c r="E228" s="162"/>
      <c r="F228" s="169" t="s">
        <v>4383</v>
      </c>
      <c r="G228" s="117"/>
      <c r="H228" s="118" t="s">
        <v>2860</v>
      </c>
      <c r="I228" s="119"/>
      <c r="J228" s="120"/>
      <c r="K228" s="120" t="str">
        <f>IF(L228="N3","SFAS-109","")</f>
        <v/>
      </c>
      <c r="L228" s="170" t="s">
        <v>2811</v>
      </c>
      <c r="M228" s="122" t="str">
        <f>LEFT(L228,1)</f>
        <v>N</v>
      </c>
      <c r="N228" s="116" t="str">
        <f>IF($L228&lt;&gt;"",VLOOKUP($L228,Categories!$E:$G,2,FALSE),IF($F228&lt;&gt;"","NO CAT",""))</f>
        <v>Not in Rate Base</v>
      </c>
      <c r="O228" s="116" t="str">
        <f>IF($L228&lt;&gt;"",VLOOKUP($L228,Categories!$E:$G,3,FALSE),IF($F228&lt;&gt;"","NO CAT",""))</f>
        <v>Hedges &amp; OCI</v>
      </c>
      <c r="P228" s="170" t="s">
        <v>1186</v>
      </c>
      <c r="Q228" s="123" t="s">
        <v>1187</v>
      </c>
      <c r="R228" s="124">
        <v>0</v>
      </c>
      <c r="S228" s="124">
        <v>0</v>
      </c>
      <c r="T228" s="124">
        <v>1</v>
      </c>
      <c r="U228" s="121">
        <f>IF(ABS(X228)=0,"",IF($R228="NO ALLOC","NO ALLOC",ROUND($R228*X228,15)))</f>
        <v>0</v>
      </c>
      <c r="V228" s="121">
        <f>IF(ABS(X228)=0,"",IF($S228="NO ALLOC","NO ALLOC",ROUND($S228*X228,15)))</f>
        <v>0</v>
      </c>
      <c r="W228" s="121">
        <f>IF(ABS(X228)=0,"",IF($T228="NO ALLOC","NO ALLOC",ROUND($T228*X228,15)))</f>
        <v>0.13312499999999999</v>
      </c>
      <c r="X228" s="121">
        <f t="shared" si="82"/>
        <v>0.13312499999999999</v>
      </c>
      <c r="Y228" s="121" t="str">
        <f>IF(ABS(AB228)=0,"",IF($R228="NO ALLOC","NO ALLOC",ROUND($R228*AB228,15)))</f>
        <v/>
      </c>
      <c r="Z228" s="121" t="str">
        <f>IF(ABS(AB228)=0,"",IF($S228="NO ALLOC","NO ALLOC",ROUND($S228*AB228,15)))</f>
        <v/>
      </c>
      <c r="AA228" s="121" t="str">
        <f>IF(ABS(AB228)=0,"",IF($T228="NO ALLOC","NO ALLOC",ROUND($T228*AB228,15)))</f>
        <v/>
      </c>
      <c r="AB228" s="121">
        <f t="shared" si="83"/>
        <v>0</v>
      </c>
      <c r="AC228" s="121">
        <v>0</v>
      </c>
      <c r="AD228" s="121">
        <v>1.5974999999999999</v>
      </c>
      <c r="AE228" s="121">
        <v>0</v>
      </c>
      <c r="AF228" s="121">
        <v>0</v>
      </c>
      <c r="AG228" s="121">
        <v>0</v>
      </c>
      <c r="AH228" s="121">
        <v>0</v>
      </c>
      <c r="AI228" s="121">
        <v>0</v>
      </c>
      <c r="AJ228" s="121">
        <v>0</v>
      </c>
      <c r="AK228" s="121">
        <v>0</v>
      </c>
      <c r="AL228" s="121">
        <v>0</v>
      </c>
      <c r="AM228" s="121">
        <v>0</v>
      </c>
      <c r="AN228" s="121">
        <v>0</v>
      </c>
      <c r="AO228" s="121">
        <v>0</v>
      </c>
      <c r="AP228" s="125" t="str">
        <f>CONCATENATE(A228,M228)</f>
        <v>GLN</v>
      </c>
      <c r="AQ228" s="125" t="str">
        <f>CONCATENATE(AP228,L228,H228)</f>
        <v>GLNN5Hedges &amp; OCI</v>
      </c>
      <c r="AS228" s="125" t="str">
        <f>CONCATENATE(L228,H228,J228)</f>
        <v>N5Hedges &amp; OCI</v>
      </c>
    </row>
    <row r="229" spans="1:45" s="125" customFormat="1" ht="25.5" customHeight="1">
      <c r="A229" s="216" t="s">
        <v>2493</v>
      </c>
      <c r="B229" s="217" t="str">
        <f>CONCATENATE(A229,C229,D229,E229)</f>
        <v>GL219588</v>
      </c>
      <c r="C229" s="186">
        <v>219588</v>
      </c>
      <c r="D229" s="201"/>
      <c r="E229" s="162"/>
      <c r="F229" s="169" t="s">
        <v>4538</v>
      </c>
      <c r="G229" s="117"/>
      <c r="H229" s="118" t="s">
        <v>2860</v>
      </c>
      <c r="I229" s="119"/>
      <c r="J229" s="120"/>
      <c r="K229" s="120" t="str">
        <f>IF(L229="N3","SFAS-109","")</f>
        <v/>
      </c>
      <c r="L229" s="170" t="s">
        <v>2811</v>
      </c>
      <c r="M229" s="122" t="str">
        <f>LEFT(L229,1)</f>
        <v>N</v>
      </c>
      <c r="N229" s="116" t="str">
        <f>IF($L229&lt;&gt;"",VLOOKUP($L229,Categories!$E:$G,2,FALSE),IF($F229&lt;&gt;"","NO CAT",""))</f>
        <v>Not in Rate Base</v>
      </c>
      <c r="O229" s="116" t="str">
        <f>IF($L229&lt;&gt;"",VLOOKUP($L229,Categories!$E:$G,3,FALSE),IF($F229&lt;&gt;"","NO CAT",""))</f>
        <v>Hedges &amp; OCI</v>
      </c>
      <c r="P229" s="170" t="s">
        <v>1186</v>
      </c>
      <c r="Q229" s="123" t="s">
        <v>1187</v>
      </c>
      <c r="R229" s="124">
        <v>0</v>
      </c>
      <c r="S229" s="124">
        <v>0</v>
      </c>
      <c r="T229" s="124">
        <v>1</v>
      </c>
      <c r="U229" s="121">
        <f>IF(ABS(X229)=0,"",IF($R229="NO ALLOC","NO ALLOC",ROUND($R229*X229,15)))</f>
        <v>0</v>
      </c>
      <c r="V229" s="121">
        <f>IF(ABS(X229)=0,"",IF($S229="NO ALLOC","NO ALLOC",ROUND($S229*X229,15)))</f>
        <v>0</v>
      </c>
      <c r="W229" s="121">
        <f>IF(ABS(X229)=0,"",IF($T229="NO ALLOC","NO ALLOC",ROUND($T229*X229,15)))</f>
        <v>-88.964564999999993</v>
      </c>
      <c r="X229" s="121">
        <f t="shared" si="82"/>
        <v>-88.964564999999993</v>
      </c>
      <c r="Y229" s="121">
        <f>IF(ABS(AB229)=0,"",IF($R229="NO ALLOC","NO ALLOC",ROUND($R229*AB229,15)))</f>
        <v>0</v>
      </c>
      <c r="Z229" s="121">
        <f>IF(ABS(AB229)=0,"",IF($S229="NO ALLOC","NO ALLOC",ROUND($S229*AB229,15)))</f>
        <v>0</v>
      </c>
      <c r="AA229" s="121">
        <f>IF(ABS(AB229)=0,"",IF($T229="NO ALLOC","NO ALLOC",ROUND($T229*AB229,15)))</f>
        <v>-79.246440000000007</v>
      </c>
      <c r="AB229" s="121">
        <f t="shared" si="83"/>
        <v>-79.246440000000007</v>
      </c>
      <c r="AC229" s="121">
        <v>-98.416440000000009</v>
      </c>
      <c r="AD229" s="121">
        <v>-98.416440000000009</v>
      </c>
      <c r="AE229" s="121">
        <v>-95.221440000000001</v>
      </c>
      <c r="AF229" s="121">
        <v>-93.623940000000005</v>
      </c>
      <c r="AG229" s="121">
        <v>-92.026440000000008</v>
      </c>
      <c r="AH229" s="121">
        <v>-90.428939999999997</v>
      </c>
      <c r="AI229" s="121">
        <v>-88.831440000000001</v>
      </c>
      <c r="AJ229" s="121">
        <v>-87.233940000000004</v>
      </c>
      <c r="AK229" s="121">
        <v>-85.636440000000007</v>
      </c>
      <c r="AL229" s="121">
        <v>-84.038939999999997</v>
      </c>
      <c r="AM229" s="121">
        <v>-82.44144</v>
      </c>
      <c r="AN229" s="121">
        <v>-80.843940000000003</v>
      </c>
      <c r="AO229" s="121">
        <v>-79.246440000000007</v>
      </c>
      <c r="AP229" s="125" t="str">
        <f>CONCATENATE(A229,M229)</f>
        <v>GLN</v>
      </c>
      <c r="AQ229" s="125" t="str">
        <f>CONCATENATE(AP229,L229,H229)</f>
        <v>GLNN5Hedges &amp; OCI</v>
      </c>
      <c r="AS229" s="125" t="str">
        <f>CONCATENATE(L229,H229,J229)</f>
        <v>N5Hedges &amp; OCI</v>
      </c>
    </row>
    <row r="230" spans="1:45" s="125" customFormat="1" ht="25.5" customHeight="1">
      <c r="A230" s="216" t="s">
        <v>2493</v>
      </c>
      <c r="B230" s="217" t="str">
        <f t="shared" ref="B230:B264" si="84">CONCATENATE(A230,C230,D230,E230)</f>
        <v>GL224000</v>
      </c>
      <c r="C230" s="186">
        <v>224000</v>
      </c>
      <c r="D230" s="201"/>
      <c r="E230" s="162"/>
      <c r="F230" s="169" t="s">
        <v>2879</v>
      </c>
      <c r="G230" s="117"/>
      <c r="H230" s="118" t="s">
        <v>1423</v>
      </c>
      <c r="I230" s="119"/>
      <c r="J230" s="120"/>
      <c r="K230" s="120" t="str">
        <f t="shared" si="81"/>
        <v/>
      </c>
      <c r="L230" s="170" t="s">
        <v>1421</v>
      </c>
      <c r="M230" s="122" t="str">
        <f t="shared" si="80"/>
        <v>C</v>
      </c>
      <c r="N230" s="116" t="str">
        <f>IF($L230&lt;&gt;"",VLOOKUP($L230,Categories!$E:$G,2,FALSE),IF($F230&lt;&gt;"","NO CAT",""))</f>
        <v>Capitalization</v>
      </c>
      <c r="O230" s="116" t="str">
        <f>IF($L230&lt;&gt;"",VLOOKUP($L230,Categories!$E:$G,3,FALSE),IF($F230&lt;&gt;"","NO CAT",""))</f>
        <v>Long Term Debt</v>
      </c>
      <c r="P230" s="170" t="s">
        <v>1186</v>
      </c>
      <c r="Q230" s="123" t="s">
        <v>1187</v>
      </c>
      <c r="R230" s="124">
        <v>0</v>
      </c>
      <c r="S230" s="124">
        <v>0</v>
      </c>
      <c r="T230" s="124">
        <v>1</v>
      </c>
      <c r="U230" s="121">
        <f t="shared" si="65"/>
        <v>0</v>
      </c>
      <c r="V230" s="121">
        <f t="shared" si="66"/>
        <v>0</v>
      </c>
      <c r="W230" s="121">
        <f t="shared" si="67"/>
        <v>-1238000</v>
      </c>
      <c r="X230" s="121">
        <f t="shared" si="82"/>
        <v>-1238000</v>
      </c>
      <c r="Y230" s="121">
        <f t="shared" si="68"/>
        <v>0</v>
      </c>
      <c r="Z230" s="121">
        <f t="shared" si="69"/>
        <v>0</v>
      </c>
      <c r="AA230" s="121">
        <f t="shared" si="70"/>
        <v>-1238000</v>
      </c>
      <c r="AB230" s="121">
        <f t="shared" si="83"/>
        <v>-1238000</v>
      </c>
      <c r="AC230" s="121">
        <v>-1238000</v>
      </c>
      <c r="AD230" s="121">
        <v>-1238000</v>
      </c>
      <c r="AE230" s="121">
        <v>-1238000</v>
      </c>
      <c r="AF230" s="121">
        <v>-1238000</v>
      </c>
      <c r="AG230" s="121">
        <v>-1238000</v>
      </c>
      <c r="AH230" s="121">
        <v>-1238000</v>
      </c>
      <c r="AI230" s="121">
        <v>-1238000</v>
      </c>
      <c r="AJ230" s="121">
        <v>-1238000</v>
      </c>
      <c r="AK230" s="121">
        <v>-1238000</v>
      </c>
      <c r="AL230" s="121">
        <v>-1238000</v>
      </c>
      <c r="AM230" s="121">
        <v>-1238000</v>
      </c>
      <c r="AN230" s="121">
        <v>-1238000</v>
      </c>
      <c r="AO230" s="121">
        <v>-1238000</v>
      </c>
      <c r="AP230" s="125" t="str">
        <f>CONCATENATE(A230,M230)</f>
        <v>GLC</v>
      </c>
      <c r="AQ230" s="125" t="str">
        <f>CONCATENATE(AP230,L230,H230)</f>
        <v>GLCC1Long Term Debt</v>
      </c>
      <c r="AS230" s="125" t="str">
        <f>CONCATENATE(L230,H230,J230)</f>
        <v>C1Long Term Debt</v>
      </c>
    </row>
    <row r="231" spans="1:45" s="125" customFormat="1" ht="25.5" customHeight="1">
      <c r="A231" s="216" t="s">
        <v>2493</v>
      </c>
      <c r="B231" s="217" t="str">
        <f t="shared" si="84"/>
        <v>GL224990</v>
      </c>
      <c r="C231" s="186">
        <v>224990</v>
      </c>
      <c r="D231" s="201"/>
      <c r="E231" s="162"/>
      <c r="F231" s="169" t="s">
        <v>322</v>
      </c>
      <c r="G231" s="117"/>
      <c r="H231" s="118" t="s">
        <v>1423</v>
      </c>
      <c r="I231" s="119"/>
      <c r="J231" s="120"/>
      <c r="K231" s="120" t="str">
        <f t="shared" si="81"/>
        <v/>
      </c>
      <c r="L231" s="170" t="s">
        <v>1421</v>
      </c>
      <c r="M231" s="122" t="str">
        <f t="shared" si="80"/>
        <v>C</v>
      </c>
      <c r="N231" s="116" t="str">
        <f>IF($L231&lt;&gt;"",VLOOKUP($L231,Categories!$E:$G,2,FALSE),IF($F231&lt;&gt;"","NO CAT",""))</f>
        <v>Capitalization</v>
      </c>
      <c r="O231" s="116" t="str">
        <f>IF($L231&lt;&gt;"",VLOOKUP($L231,Categories!$E:$G,3,FALSE),IF($F231&lt;&gt;"","NO CAT",""))</f>
        <v>Long Term Debt</v>
      </c>
      <c r="P231" s="170" t="s">
        <v>1186</v>
      </c>
      <c r="Q231" s="123" t="s">
        <v>1187</v>
      </c>
      <c r="R231" s="124">
        <v>0</v>
      </c>
      <c r="S231" s="124">
        <v>0</v>
      </c>
      <c r="T231" s="124">
        <v>1</v>
      </c>
      <c r="U231" s="121">
        <f t="shared" si="65"/>
        <v>0</v>
      </c>
      <c r="V231" s="121">
        <f t="shared" si="66"/>
        <v>0</v>
      </c>
      <c r="W231" s="121">
        <f t="shared" si="67"/>
        <v>53000</v>
      </c>
      <c r="X231" s="121">
        <f t="shared" si="82"/>
        <v>53000</v>
      </c>
      <c r="Y231" s="121">
        <f t="shared" si="68"/>
        <v>0</v>
      </c>
      <c r="Z231" s="121">
        <f t="shared" si="69"/>
        <v>0</v>
      </c>
      <c r="AA231" s="121">
        <f t="shared" si="70"/>
        <v>132000</v>
      </c>
      <c r="AB231" s="121">
        <f t="shared" si="83"/>
        <v>132000</v>
      </c>
      <c r="AC231" s="121">
        <v>0</v>
      </c>
      <c r="AD231" s="121">
        <v>0</v>
      </c>
      <c r="AE231" s="121">
        <v>0</v>
      </c>
      <c r="AF231" s="121">
        <v>60000</v>
      </c>
      <c r="AG231" s="121">
        <v>60000</v>
      </c>
      <c r="AH231" s="121">
        <v>60000</v>
      </c>
      <c r="AI231" s="121">
        <v>60000</v>
      </c>
      <c r="AJ231" s="121">
        <v>60000</v>
      </c>
      <c r="AK231" s="121">
        <v>60000</v>
      </c>
      <c r="AL231" s="121">
        <v>60000</v>
      </c>
      <c r="AM231" s="121">
        <v>60000</v>
      </c>
      <c r="AN231" s="121">
        <v>90000</v>
      </c>
      <c r="AO231" s="121">
        <v>132000</v>
      </c>
      <c r="AP231" s="125" t="str">
        <f>CONCATENATE(A231,M231)</f>
        <v>GLC</v>
      </c>
      <c r="AQ231" s="125" t="str">
        <f>CONCATENATE(AP231,L231,H231)</f>
        <v>GLCC1Long Term Debt</v>
      </c>
      <c r="AS231" s="125" t="str">
        <f>CONCATENATE(L231,H231,J231)</f>
        <v>C1Long Term Debt</v>
      </c>
    </row>
    <row r="232" spans="1:45" s="125" customFormat="1" ht="25.5" customHeight="1">
      <c r="A232" s="216" t="s">
        <v>2493</v>
      </c>
      <c r="B232" s="217" t="str">
        <f t="shared" si="84"/>
        <v>GL224991</v>
      </c>
      <c r="C232" s="186">
        <v>224991</v>
      </c>
      <c r="D232" s="201"/>
      <c r="E232" s="162"/>
      <c r="F232" s="169" t="s">
        <v>1963</v>
      </c>
      <c r="G232" s="117"/>
      <c r="H232" s="118" t="s">
        <v>1423</v>
      </c>
      <c r="I232" s="119"/>
      <c r="J232" s="120"/>
      <c r="K232" s="120" t="str">
        <f t="shared" si="81"/>
        <v/>
      </c>
      <c r="L232" s="170" t="s">
        <v>1421</v>
      </c>
      <c r="M232" s="122" t="str">
        <f t="shared" si="80"/>
        <v>C</v>
      </c>
      <c r="N232" s="116" t="str">
        <f>IF($L232&lt;&gt;"",VLOOKUP($L232,Categories!$E:$G,2,FALSE),IF($F232&lt;&gt;"","NO CAT",""))</f>
        <v>Capitalization</v>
      </c>
      <c r="O232" s="116" t="str">
        <f>IF($L232&lt;&gt;"",VLOOKUP($L232,Categories!$E:$G,3,FALSE),IF($F232&lt;&gt;"","NO CAT",""))</f>
        <v>Long Term Debt</v>
      </c>
      <c r="P232" s="170" t="s">
        <v>1186</v>
      </c>
      <c r="Q232" s="123" t="s">
        <v>1187</v>
      </c>
      <c r="R232" s="124">
        <v>0</v>
      </c>
      <c r="S232" s="124">
        <v>0</v>
      </c>
      <c r="T232" s="124">
        <v>1</v>
      </c>
      <c r="U232" s="121">
        <f t="shared" si="65"/>
        <v>0</v>
      </c>
      <c r="V232" s="121">
        <f t="shared" si="66"/>
        <v>0</v>
      </c>
      <c r="W232" s="121">
        <f t="shared" si="67"/>
        <v>-53000</v>
      </c>
      <c r="X232" s="121">
        <f t="shared" si="82"/>
        <v>-53000</v>
      </c>
      <c r="Y232" s="121">
        <f t="shared" si="68"/>
        <v>0</v>
      </c>
      <c r="Z232" s="121">
        <f t="shared" si="69"/>
        <v>0</v>
      </c>
      <c r="AA232" s="121">
        <f t="shared" si="70"/>
        <v>-132000</v>
      </c>
      <c r="AB232" s="121">
        <f t="shared" si="83"/>
        <v>-132000</v>
      </c>
      <c r="AC232" s="121">
        <v>0</v>
      </c>
      <c r="AD232" s="121">
        <v>0</v>
      </c>
      <c r="AE232" s="121">
        <v>0</v>
      </c>
      <c r="AF232" s="121">
        <v>-60000</v>
      </c>
      <c r="AG232" s="121">
        <v>-60000</v>
      </c>
      <c r="AH232" s="121">
        <v>-60000</v>
      </c>
      <c r="AI232" s="121">
        <v>-60000</v>
      </c>
      <c r="AJ232" s="121">
        <v>-60000</v>
      </c>
      <c r="AK232" s="121">
        <v>-60000</v>
      </c>
      <c r="AL232" s="121">
        <v>-60000</v>
      </c>
      <c r="AM232" s="121">
        <v>-60000</v>
      </c>
      <c r="AN232" s="121">
        <v>-90000</v>
      </c>
      <c r="AO232" s="121">
        <v>-132000</v>
      </c>
      <c r="AP232" s="125" t="str">
        <f>CONCATENATE(A232,M232)</f>
        <v>GLC</v>
      </c>
      <c r="AQ232" s="125" t="str">
        <f>CONCATENATE(AP232,L232,H232)</f>
        <v>GLCC1Long Term Debt</v>
      </c>
      <c r="AS232" s="125" t="str">
        <f>CONCATENATE(L232,H232,J232)</f>
        <v>C1Long Term Debt</v>
      </c>
    </row>
    <row r="233" spans="1:45" s="125" customFormat="1" ht="25.5" customHeight="1">
      <c r="A233" s="216" t="s">
        <v>2493</v>
      </c>
      <c r="B233" s="217" t="str">
        <f t="shared" si="84"/>
        <v>GL224992</v>
      </c>
      <c r="C233" s="186">
        <v>224992</v>
      </c>
      <c r="D233" s="201"/>
      <c r="E233" s="162"/>
      <c r="F233" s="169" t="s">
        <v>1650</v>
      </c>
      <c r="G233" s="117"/>
      <c r="H233" s="118" t="s">
        <v>1423</v>
      </c>
      <c r="I233" s="119"/>
      <c r="J233" s="120"/>
      <c r="K233" s="120" t="str">
        <f>IF(L233="N3","SFAS-109","")</f>
        <v/>
      </c>
      <c r="L233" s="170" t="s">
        <v>1421</v>
      </c>
      <c r="M233" s="122" t="str">
        <f t="shared" si="80"/>
        <v>C</v>
      </c>
      <c r="N233" s="116" t="str">
        <f>IF($L233&lt;&gt;"",VLOOKUP($L233,Categories!$E:$G,2,FALSE),IF($F233&lt;&gt;"","NO CAT",""))</f>
        <v>Capitalization</v>
      </c>
      <c r="O233" s="116" t="str">
        <f>IF($L233&lt;&gt;"",VLOOKUP($L233,Categories!$E:$G,3,FALSE),IF($F233&lt;&gt;"","NO CAT",""))</f>
        <v>Long Term Debt</v>
      </c>
      <c r="P233" s="170" t="s">
        <v>1186</v>
      </c>
      <c r="Q233" s="123" t="s">
        <v>1187</v>
      </c>
      <c r="R233" s="124">
        <v>0</v>
      </c>
      <c r="S233" s="124">
        <v>0</v>
      </c>
      <c r="T233" s="124">
        <v>1</v>
      </c>
      <c r="U233" s="121">
        <f t="shared" si="65"/>
        <v>0</v>
      </c>
      <c r="V233" s="121">
        <f t="shared" si="66"/>
        <v>0</v>
      </c>
      <c r="W233" s="121">
        <f t="shared" si="67"/>
        <v>357418.75</v>
      </c>
      <c r="X233" s="121">
        <f t="shared" si="82"/>
        <v>357418.75</v>
      </c>
      <c r="Y233" s="121">
        <f t="shared" si="68"/>
        <v>0</v>
      </c>
      <c r="Z233" s="121">
        <f t="shared" si="69"/>
        <v>0</v>
      </c>
      <c r="AA233" s="121">
        <f t="shared" si="70"/>
        <v>359125</v>
      </c>
      <c r="AB233" s="121">
        <f t="shared" si="83"/>
        <v>359125</v>
      </c>
      <c r="AC233" s="121">
        <v>355975</v>
      </c>
      <c r="AD233" s="121">
        <v>355975</v>
      </c>
      <c r="AE233" s="121">
        <v>355975</v>
      </c>
      <c r="AF233" s="121">
        <v>355975</v>
      </c>
      <c r="AG233" s="121">
        <v>355975</v>
      </c>
      <c r="AH233" s="121">
        <v>355975</v>
      </c>
      <c r="AI233" s="121">
        <v>355975</v>
      </c>
      <c r="AJ233" s="121">
        <v>359125</v>
      </c>
      <c r="AK233" s="121">
        <v>359125</v>
      </c>
      <c r="AL233" s="121">
        <v>359125</v>
      </c>
      <c r="AM233" s="121">
        <v>359125</v>
      </c>
      <c r="AN233" s="121">
        <v>359125</v>
      </c>
      <c r="AO233" s="121">
        <v>359125</v>
      </c>
      <c r="AP233" s="125" t="str">
        <f>CONCATENATE(A233,M233)</f>
        <v>GLC</v>
      </c>
      <c r="AQ233" s="125" t="str">
        <f>CONCATENATE(AP233,L233,H233)</f>
        <v>GLCC1Long Term Debt</v>
      </c>
      <c r="AS233" s="125" t="str">
        <f>CONCATENATE(L233,H233,J233)</f>
        <v>C1Long Term Debt</v>
      </c>
    </row>
    <row r="234" spans="1:45" s="125" customFormat="1" ht="25.5" customHeight="1">
      <c r="A234" s="216" t="s">
        <v>2493</v>
      </c>
      <c r="B234" s="217" t="str">
        <f t="shared" si="84"/>
        <v>GL226500</v>
      </c>
      <c r="C234" s="186">
        <v>226500</v>
      </c>
      <c r="D234" s="201"/>
      <c r="E234" s="162"/>
      <c r="F234" s="169" t="s">
        <v>630</v>
      </c>
      <c r="G234" s="117"/>
      <c r="H234" s="118" t="s">
        <v>1180</v>
      </c>
      <c r="I234" s="119"/>
      <c r="J234" s="120"/>
      <c r="K234" s="120" t="str">
        <f t="shared" si="81"/>
        <v/>
      </c>
      <c r="L234" s="170" t="s">
        <v>207</v>
      </c>
      <c r="M234" s="122" t="str">
        <f t="shared" si="80"/>
        <v>C</v>
      </c>
      <c r="N234" s="116" t="str">
        <f>IF($L234&lt;&gt;"",VLOOKUP($L234,Categories!$E:$G,2,FALSE),IF($F234&lt;&gt;"","NO CAT",""))</f>
        <v>Capitalization</v>
      </c>
      <c r="O234" s="116" t="str">
        <f>IF($L234&lt;&gt;"",VLOOKUP($L234,Categories!$E:$G,3,FALSE),IF($F234&lt;&gt;"","NO CAT",""))</f>
        <v>Unamortized Premium &amp; Discount</v>
      </c>
      <c r="P234" s="170" t="s">
        <v>1186</v>
      </c>
      <c r="Q234" s="123" t="s">
        <v>1187</v>
      </c>
      <c r="R234" s="124">
        <v>0</v>
      </c>
      <c r="S234" s="124">
        <v>0</v>
      </c>
      <c r="T234" s="124">
        <v>1</v>
      </c>
      <c r="U234" s="121">
        <f t="shared" si="65"/>
        <v>0</v>
      </c>
      <c r="V234" s="121">
        <f t="shared" si="66"/>
        <v>0</v>
      </c>
      <c r="W234" s="121">
        <f t="shared" si="67"/>
        <v>1489.1038100000001</v>
      </c>
      <c r="X234" s="121">
        <f t="shared" si="82"/>
        <v>1489.1038100000001</v>
      </c>
      <c r="Y234" s="121">
        <f t="shared" si="68"/>
        <v>0</v>
      </c>
      <c r="Z234" s="121">
        <f t="shared" si="69"/>
        <v>0</v>
      </c>
      <c r="AA234" s="121">
        <f t="shared" si="70"/>
        <v>1387.04141</v>
      </c>
      <c r="AB234" s="121">
        <f t="shared" si="83"/>
        <v>1387.0414099999998</v>
      </c>
      <c r="AC234" s="121">
        <v>1591.1662099999999</v>
      </c>
      <c r="AD234" s="121">
        <v>1574.15581</v>
      </c>
      <c r="AE234" s="121">
        <v>1557.1454099999999</v>
      </c>
      <c r="AF234" s="121">
        <v>1540.13501</v>
      </c>
      <c r="AG234" s="121">
        <v>1523.1246100000001</v>
      </c>
      <c r="AH234" s="121">
        <v>1506.11421</v>
      </c>
      <c r="AI234" s="121">
        <v>1489.1038100000001</v>
      </c>
      <c r="AJ234" s="121">
        <v>1472.0934099999999</v>
      </c>
      <c r="AK234" s="121">
        <v>1455.0830100000001</v>
      </c>
      <c r="AL234" s="121">
        <v>1438.0726100000002</v>
      </c>
      <c r="AM234" s="121">
        <v>1421.0622100000001</v>
      </c>
      <c r="AN234" s="121">
        <v>1404.0518100000002</v>
      </c>
      <c r="AO234" s="121">
        <v>1387.0414099999998</v>
      </c>
      <c r="AP234" s="125" t="str">
        <f>CONCATENATE(A234,M234)</f>
        <v>GLC</v>
      </c>
      <c r="AQ234" s="125" t="str">
        <f>CONCATENATE(AP234,L234,H234)</f>
        <v>GLCC3</v>
      </c>
      <c r="AS234" s="125" t="str">
        <f>CONCATENATE(L234,H234,J234)</f>
        <v>C3</v>
      </c>
    </row>
    <row r="235" spans="1:45" s="125" customFormat="1" ht="25.5" customHeight="1">
      <c r="A235" s="216" t="s">
        <v>2493</v>
      </c>
      <c r="B235" s="217" t="str">
        <f t="shared" si="84"/>
        <v>GL227070</v>
      </c>
      <c r="C235" s="186">
        <v>227070</v>
      </c>
      <c r="D235" s="201"/>
      <c r="E235" s="162"/>
      <c r="F235" s="169" t="s">
        <v>1909</v>
      </c>
      <c r="G235" s="117"/>
      <c r="H235" s="118" t="s">
        <v>1180</v>
      </c>
      <c r="I235" s="119"/>
      <c r="J235" s="120"/>
      <c r="K235" s="120" t="str">
        <f t="shared" si="81"/>
        <v/>
      </c>
      <c r="L235" s="170" t="s">
        <v>2809</v>
      </c>
      <c r="M235" s="122" t="str">
        <f t="shared" si="80"/>
        <v>N</v>
      </c>
      <c r="N235" s="116" t="str">
        <f>IF($L235&lt;&gt;"",VLOOKUP($L235,Categories!$E:$G,2,FALSE),IF($F235&lt;&gt;"","NO CAT",""))</f>
        <v>Not in Rate Base</v>
      </c>
      <c r="O235" s="116" t="str">
        <f>IF($L235&lt;&gt;"",VLOOKUP($L235,Categories!$E:$G,3,FALSE),IF($F235&lt;&gt;"","NO CAT",""))</f>
        <v>Capital Leases   (offsetting)</v>
      </c>
      <c r="P235" s="170" t="s">
        <v>1186</v>
      </c>
      <c r="Q235" s="123" t="s">
        <v>1187</v>
      </c>
      <c r="R235" s="124">
        <v>0</v>
      </c>
      <c r="S235" s="124">
        <v>0</v>
      </c>
      <c r="T235" s="124">
        <v>1</v>
      </c>
      <c r="U235" s="121">
        <f t="shared" ref="U235:U264" si="85">IF(ABS(X235)=0,"",IF($R235="NO ALLOC","NO ALLOC",ROUND($R235*X235,15)))</f>
        <v>0</v>
      </c>
      <c r="V235" s="121">
        <f t="shared" ref="V235:V264" si="86">IF(ABS(X235)=0,"",IF($S235="NO ALLOC","NO ALLOC",ROUND($S235*X235,15)))</f>
        <v>0</v>
      </c>
      <c r="W235" s="121">
        <f t="shared" ref="W235:W264" si="87">IF(ABS(X235)=0,"",IF($T235="NO ALLOC","NO ALLOC",ROUND($T235*X235,15)))</f>
        <v>-535.10945208333305</v>
      </c>
      <c r="X235" s="121">
        <f t="shared" si="82"/>
        <v>-535.10945208333305</v>
      </c>
      <c r="Y235" s="121">
        <f t="shared" ref="Y235:Y264" si="88">IF(ABS(AB235)=0,"",IF($R235="NO ALLOC","NO ALLOC",ROUND($R235*AB235,15)))</f>
        <v>0</v>
      </c>
      <c r="Z235" s="121">
        <f t="shared" ref="Z235:Z264" si="89">IF(ABS(AB235)=0,"",IF($S235="NO ALLOC","NO ALLOC",ROUND($S235*AB235,15)))</f>
        <v>0</v>
      </c>
      <c r="AA235" s="121">
        <f t="shared" ref="AA235:AA264" si="90">IF(ABS(AB235)=0,"",IF($T235="NO ALLOC","NO ALLOC",ROUND($T235*AB235,15)))</f>
        <v>-127.90268</v>
      </c>
      <c r="AB235" s="121">
        <f t="shared" si="83"/>
        <v>-127.90267999999999</v>
      </c>
      <c r="AC235" s="121">
        <v>-842.02706999999998</v>
      </c>
      <c r="AD235" s="121">
        <v>-814.8516800000001</v>
      </c>
      <c r="AE235" s="121">
        <v>-787.56531999999993</v>
      </c>
      <c r="AF235" s="121">
        <v>-760.16754000000003</v>
      </c>
      <c r="AG235" s="121">
        <v>-732.65789000000007</v>
      </c>
      <c r="AH235" s="121">
        <v>-703.65161999999998</v>
      </c>
      <c r="AI235" s="121">
        <v>-669.04581000000007</v>
      </c>
      <c r="AJ235" s="121">
        <v>-639.80217000000005</v>
      </c>
      <c r="AK235" s="121">
        <v>-255.80535999999998</v>
      </c>
      <c r="AL235" s="121">
        <v>-223.82969</v>
      </c>
      <c r="AM235" s="121">
        <v>-191.85401999999999</v>
      </c>
      <c r="AN235" s="121">
        <v>-157.11745000000002</v>
      </c>
      <c r="AO235" s="121">
        <v>-127.90267999999999</v>
      </c>
      <c r="AP235" s="125" t="str">
        <f>CONCATENATE(A235,M235)</f>
        <v>GLN</v>
      </c>
      <c r="AQ235" s="125" t="str">
        <f>CONCATENATE(AP235,L235,H235)</f>
        <v>GLNN4</v>
      </c>
      <c r="AS235" s="125" t="str">
        <f>CONCATENATE(L235,H235,J235)</f>
        <v>N4</v>
      </c>
    </row>
    <row r="236" spans="1:45" s="125" customFormat="1" ht="25.5" customHeight="1">
      <c r="A236" s="216" t="s">
        <v>2493</v>
      </c>
      <c r="B236" s="217" t="str">
        <f t="shared" si="84"/>
        <v>GL228200</v>
      </c>
      <c r="C236" s="186">
        <v>228200</v>
      </c>
      <c r="D236" s="201"/>
      <c r="E236" s="162"/>
      <c r="F236" s="169" t="s">
        <v>1920</v>
      </c>
      <c r="G236" s="117"/>
      <c r="H236" s="118" t="s">
        <v>2861</v>
      </c>
      <c r="I236" s="119"/>
      <c r="J236" s="120"/>
      <c r="K236" s="120" t="str">
        <f t="shared" si="81"/>
        <v/>
      </c>
      <c r="L236" s="170" t="s">
        <v>1893</v>
      </c>
      <c r="M236" s="122" t="str">
        <f t="shared" si="80"/>
        <v>R</v>
      </c>
      <c r="N236" s="116" t="str">
        <f>IF($L236&lt;&gt;"",VLOOKUP($L236,Categories!$E:$G,2,FALSE),IF($F236&lt;&gt;"","NO CAT",""))</f>
        <v>Rate Base</v>
      </c>
      <c r="O236" s="116" t="str">
        <f>IF($L236&lt;&gt;"",VLOOKUP($L236,Categories!$E:$G,3,FALSE),IF($F236&lt;&gt;"","NO CAT",""))</f>
        <v>Deferred Debits &amp; Credits</v>
      </c>
      <c r="P236" s="170" t="s">
        <v>1188</v>
      </c>
      <c r="Q236" s="123" t="s">
        <v>1843</v>
      </c>
      <c r="R236" s="124">
        <v>0.76071990262269951</v>
      </c>
      <c r="S236" s="124">
        <v>0.23928009737730072</v>
      </c>
      <c r="T236" s="124">
        <v>0</v>
      </c>
      <c r="U236" s="121">
        <f t="shared" si="85"/>
        <v>-5584.9519517549898</v>
      </c>
      <c r="V236" s="121">
        <f t="shared" si="86"/>
        <v>-1756.7147149116799</v>
      </c>
      <c r="W236" s="121">
        <f t="shared" si="87"/>
        <v>0</v>
      </c>
      <c r="X236" s="121">
        <f t="shared" si="82"/>
        <v>-7341.6666666666697</v>
      </c>
      <c r="Y236" s="121">
        <f t="shared" si="88"/>
        <v>-4488.24742547393</v>
      </c>
      <c r="Z236" s="121">
        <f t="shared" si="89"/>
        <v>-1411.75257452607</v>
      </c>
      <c r="AA236" s="121">
        <f t="shared" si="90"/>
        <v>0</v>
      </c>
      <c r="AB236" s="121">
        <f t="shared" si="83"/>
        <v>-5900</v>
      </c>
      <c r="AC236" s="121">
        <v>-6900</v>
      </c>
      <c r="AD236" s="121">
        <v>-6900</v>
      </c>
      <c r="AE236" s="121">
        <v>-7900</v>
      </c>
      <c r="AF236" s="121">
        <v>-8000</v>
      </c>
      <c r="AG236" s="121">
        <v>-9000</v>
      </c>
      <c r="AH236" s="121">
        <v>-9000</v>
      </c>
      <c r="AI236" s="121">
        <v>-7300</v>
      </c>
      <c r="AJ236" s="121">
        <v>-7400</v>
      </c>
      <c r="AK236" s="121">
        <v>-7400</v>
      </c>
      <c r="AL236" s="121">
        <v>-6800</v>
      </c>
      <c r="AM236" s="121">
        <v>-6100</v>
      </c>
      <c r="AN236" s="121">
        <v>-5900</v>
      </c>
      <c r="AO236" s="121">
        <v>-5900</v>
      </c>
      <c r="AP236" s="125" t="str">
        <f>CONCATENATE(A236,M236)</f>
        <v>GLR</v>
      </c>
      <c r="AQ236" s="125" t="str">
        <f>CONCATENATE(AP236,L236,H236)</f>
        <v>GLRR10Injuries &amp; Damages</v>
      </c>
      <c r="AS236" s="125" t="str">
        <f>CONCATENATE(L236,H236,J236)</f>
        <v>R10Injuries &amp; Damages</v>
      </c>
    </row>
    <row r="237" spans="1:45" s="125" customFormat="1" ht="25.5" customHeight="1">
      <c r="A237" s="216" t="s">
        <v>2493</v>
      </c>
      <c r="B237" s="217" t="str">
        <f t="shared" si="84"/>
        <v>GL228300</v>
      </c>
      <c r="C237" s="186">
        <v>228300</v>
      </c>
      <c r="D237" s="201"/>
      <c r="E237" s="162"/>
      <c r="F237" s="169" t="s">
        <v>2987</v>
      </c>
      <c r="G237" s="117"/>
      <c r="H237" s="118" t="s">
        <v>1217</v>
      </c>
      <c r="I237" s="119"/>
      <c r="J237" s="120"/>
      <c r="K237" s="120" t="str">
        <f t="shared" si="81"/>
        <v/>
      </c>
      <c r="L237" s="170" t="s">
        <v>1893</v>
      </c>
      <c r="M237" s="122" t="str">
        <f t="shared" si="80"/>
        <v>R</v>
      </c>
      <c r="N237" s="116" t="str">
        <f>IF($L237&lt;&gt;"",VLOOKUP($L237,Categories!$E:$G,2,FALSE),IF($F237&lt;&gt;"","NO CAT",""))</f>
        <v>Rate Base</v>
      </c>
      <c r="O237" s="116" t="str">
        <f>IF($L237&lt;&gt;"",VLOOKUP($L237,Categories!$E:$G,3,FALSE),IF($F237&lt;&gt;"","NO CAT",""))</f>
        <v>Deferred Debits &amp; Credits</v>
      </c>
      <c r="P237" s="170" t="s">
        <v>1188</v>
      </c>
      <c r="Q237" s="123" t="s">
        <v>1843</v>
      </c>
      <c r="R237" s="124">
        <v>0.76071990262269951</v>
      </c>
      <c r="S237" s="124">
        <v>0.23928009737730072</v>
      </c>
      <c r="T237" s="124">
        <v>0</v>
      </c>
      <c r="U237" s="121">
        <f t="shared" si="85"/>
        <v>-5401.1113086211699</v>
      </c>
      <c r="V237" s="121">
        <f t="shared" si="86"/>
        <v>-1698.8886913788399</v>
      </c>
      <c r="W237" s="121">
        <f t="shared" si="87"/>
        <v>0</v>
      </c>
      <c r="X237" s="121">
        <f t="shared" si="82"/>
        <v>-7100</v>
      </c>
      <c r="Y237" s="121">
        <f t="shared" si="88"/>
        <v>-5401.1113086211699</v>
      </c>
      <c r="Z237" s="121">
        <f t="shared" si="89"/>
        <v>-1698.8886913788399</v>
      </c>
      <c r="AA237" s="121">
        <f t="shared" si="90"/>
        <v>0</v>
      </c>
      <c r="AB237" s="121">
        <f t="shared" si="83"/>
        <v>-7100</v>
      </c>
      <c r="AC237" s="121">
        <v>-7100</v>
      </c>
      <c r="AD237" s="121">
        <v>-7100</v>
      </c>
      <c r="AE237" s="121">
        <v>-7100</v>
      </c>
      <c r="AF237" s="121">
        <v>-7100</v>
      </c>
      <c r="AG237" s="121">
        <v>-7100</v>
      </c>
      <c r="AH237" s="121">
        <v>-7100</v>
      </c>
      <c r="AI237" s="121">
        <v>-7100</v>
      </c>
      <c r="AJ237" s="121">
        <v>-7100</v>
      </c>
      <c r="AK237" s="121">
        <v>-7100</v>
      </c>
      <c r="AL237" s="121">
        <v>-7100</v>
      </c>
      <c r="AM237" s="121">
        <v>-7100</v>
      </c>
      <c r="AN237" s="121">
        <v>-7100</v>
      </c>
      <c r="AO237" s="121">
        <v>-7100</v>
      </c>
      <c r="AP237" s="125" t="str">
        <f>CONCATENATE(A237,M237)</f>
        <v>GLR</v>
      </c>
      <c r="AQ237" s="125" t="str">
        <f>CONCATENATE(AP237,L237,H237)</f>
        <v>GLRR10Workman's Comp Reserve</v>
      </c>
      <c r="AS237" s="125" t="str">
        <f>CONCATENATE(L237,H237,J237)</f>
        <v>R10Workman's Comp Reserve</v>
      </c>
    </row>
    <row r="238" spans="1:45" s="125" customFormat="1" ht="25.5" customHeight="1">
      <c r="A238" s="216" t="s">
        <v>2493</v>
      </c>
      <c r="B238" s="217" t="str">
        <f t="shared" si="84"/>
        <v>GL228305</v>
      </c>
      <c r="C238" s="186">
        <v>228305</v>
      </c>
      <c r="D238" s="201"/>
      <c r="E238" s="162"/>
      <c r="F238" s="169" t="s">
        <v>838</v>
      </c>
      <c r="G238" s="117"/>
      <c r="H238" s="118" t="s">
        <v>1002</v>
      </c>
      <c r="I238" s="119"/>
      <c r="J238" s="120"/>
      <c r="K238" s="120" t="str">
        <f>IF(L238="N3","SFAS-109","")</f>
        <v/>
      </c>
      <c r="L238" s="170" t="s">
        <v>1893</v>
      </c>
      <c r="M238" s="122" t="str">
        <f t="shared" si="80"/>
        <v>R</v>
      </c>
      <c r="N238" s="116" t="str">
        <f>IF($L238&lt;&gt;"",VLOOKUP($L238,Categories!$E:$G,2,FALSE),IF($F238&lt;&gt;"","NO CAT",""))</f>
        <v>Rate Base</v>
      </c>
      <c r="O238" s="116" t="str">
        <f>IF($L238&lt;&gt;"",VLOOKUP($L238,Categories!$E:$G,3,FALSE),IF($F238&lt;&gt;"","NO CAT",""))</f>
        <v>Deferred Debits &amp; Credits</v>
      </c>
      <c r="P238" s="170" t="s">
        <v>1553</v>
      </c>
      <c r="Q238" s="123" t="s">
        <v>2587</v>
      </c>
      <c r="R238" s="124">
        <v>0.81899999999999995</v>
      </c>
      <c r="S238" s="124">
        <v>0.18099999999999999</v>
      </c>
      <c r="T238" s="124">
        <v>0</v>
      </c>
      <c r="U238" s="121">
        <f t="shared" si="85"/>
        <v>-6606.2986892175004</v>
      </c>
      <c r="V238" s="121">
        <f t="shared" si="86"/>
        <v>-1460.00007661583</v>
      </c>
      <c r="W238" s="121">
        <f t="shared" si="87"/>
        <v>0</v>
      </c>
      <c r="X238" s="121">
        <f t="shared" si="82"/>
        <v>-8066.2987658333304</v>
      </c>
      <c r="Y238" s="121">
        <f t="shared" si="88"/>
        <v>-158551.16823000001</v>
      </c>
      <c r="Z238" s="121">
        <f t="shared" si="89"/>
        <v>-35040.001770000003</v>
      </c>
      <c r="AA238" s="121">
        <f t="shared" si="90"/>
        <v>0</v>
      </c>
      <c r="AB238" s="121">
        <f t="shared" si="83"/>
        <v>-193591.17</v>
      </c>
      <c r="AC238" s="121">
        <v>-2.0000000000000002E-5</v>
      </c>
      <c r="AD238" s="121">
        <v>-2.0000000000000002E-5</v>
      </c>
      <c r="AE238" s="121">
        <v>-2.0000000000000002E-5</v>
      </c>
      <c r="AF238" s="121">
        <v>-2.0000000000000002E-5</v>
      </c>
      <c r="AG238" s="121">
        <v>-2.0000000000000002E-5</v>
      </c>
      <c r="AH238" s="121">
        <v>-2.0000000000000002E-5</v>
      </c>
      <c r="AI238" s="121">
        <v>-2.0000000000000002E-5</v>
      </c>
      <c r="AJ238" s="121">
        <v>-2.0000000000000002E-5</v>
      </c>
      <c r="AK238" s="121">
        <v>-2.0000000000000002E-5</v>
      </c>
      <c r="AL238" s="121">
        <v>-2.0000000000000002E-5</v>
      </c>
      <c r="AM238" s="121">
        <v>0</v>
      </c>
      <c r="AN238" s="121">
        <v>0</v>
      </c>
      <c r="AO238" s="121">
        <v>-193591.17</v>
      </c>
      <c r="AP238" s="125" t="str">
        <f>CONCATENATE(A238,M238)</f>
        <v>GLR</v>
      </c>
      <c r="AQ238" s="125" t="str">
        <f>CONCATENATE(AP238,L238,H238)</f>
        <v>GLRR10Accrued Pension</v>
      </c>
      <c r="AS238" s="125" t="str">
        <f>CONCATENATE(L238,H238,J238)</f>
        <v>R10Accrued Pension</v>
      </c>
    </row>
    <row r="239" spans="1:45" s="125" customFormat="1" ht="25.5" customHeight="1">
      <c r="A239" s="216" t="s">
        <v>2493</v>
      </c>
      <c r="B239" s="217" t="str">
        <f t="shared" si="84"/>
        <v>GL228310</v>
      </c>
      <c r="C239" s="186">
        <v>228310</v>
      </c>
      <c r="D239" s="201"/>
      <c r="E239" s="162"/>
      <c r="F239" s="169" t="s">
        <v>2367</v>
      </c>
      <c r="G239" s="117"/>
      <c r="H239" s="118" t="s">
        <v>170</v>
      </c>
      <c r="I239" s="119"/>
      <c r="J239" s="120"/>
      <c r="K239" s="120" t="str">
        <f t="shared" si="81"/>
        <v/>
      </c>
      <c r="L239" s="170" t="s">
        <v>1893</v>
      </c>
      <c r="M239" s="122" t="str">
        <f t="shared" si="80"/>
        <v>R</v>
      </c>
      <c r="N239" s="116" t="str">
        <f>IF($L239&lt;&gt;"",VLOOKUP($L239,Categories!$E:$G,2,FALSE),IF($F239&lt;&gt;"","NO CAT",""))</f>
        <v>Rate Base</v>
      </c>
      <c r="O239" s="116" t="str">
        <f>IF($L239&lt;&gt;"",VLOOKUP($L239,Categories!$E:$G,3,FALSE),IF($F239&lt;&gt;"","NO CAT",""))</f>
        <v>Deferred Debits &amp; Credits</v>
      </c>
      <c r="P239" s="170" t="s">
        <v>1553</v>
      </c>
      <c r="Q239" s="123" t="s">
        <v>2587</v>
      </c>
      <c r="R239" s="124">
        <v>0.81899999999999995</v>
      </c>
      <c r="S239" s="124">
        <v>0.18099999999999999</v>
      </c>
      <c r="T239" s="124">
        <v>0</v>
      </c>
      <c r="U239" s="121">
        <f t="shared" si="85"/>
        <v>-78546.403031801194</v>
      </c>
      <c r="V239" s="121">
        <f t="shared" si="86"/>
        <v>-17358.850975282101</v>
      </c>
      <c r="W239" s="121">
        <f t="shared" si="87"/>
        <v>0</v>
      </c>
      <c r="X239" s="121">
        <f t="shared" si="82"/>
        <v>-95905.254007083306</v>
      </c>
      <c r="Y239" s="121">
        <f t="shared" si="88"/>
        <v>-97605.306981000002</v>
      </c>
      <c r="Z239" s="121">
        <f t="shared" si="89"/>
        <v>-21570.892018999999</v>
      </c>
      <c r="AA239" s="121">
        <f t="shared" si="90"/>
        <v>0</v>
      </c>
      <c r="AB239" s="121">
        <f t="shared" si="83"/>
        <v>-119176.19899999999</v>
      </c>
      <c r="AC239" s="121">
        <v>-100984.03926999999</v>
      </c>
      <c r="AD239" s="121">
        <v>-100745.89889</v>
      </c>
      <c r="AE239" s="121">
        <v>-100047.98218000001</v>
      </c>
      <c r="AF239" s="121">
        <v>-99613.262560000003</v>
      </c>
      <c r="AG239" s="121">
        <v>-99147.920969999992</v>
      </c>
      <c r="AH239" s="121">
        <v>-97953.59461</v>
      </c>
      <c r="AI239" s="121">
        <v>-96396.667530000006</v>
      </c>
      <c r="AJ239" s="121">
        <v>-92431.307079999999</v>
      </c>
      <c r="AK239" s="121">
        <v>-91233.863689999998</v>
      </c>
      <c r="AL239" s="121">
        <v>-89542.258589999998</v>
      </c>
      <c r="AM239" s="121">
        <v>-88492.167979999998</v>
      </c>
      <c r="AN239" s="121">
        <v>-85178.004870000004</v>
      </c>
      <c r="AO239" s="121">
        <v>-119176.19899999999</v>
      </c>
      <c r="AP239" s="125" t="str">
        <f>CONCATENATE(A239,M239)</f>
        <v>GLR</v>
      </c>
      <c r="AQ239" s="125" t="str">
        <f>CONCATENATE(AP239,L239,H239)</f>
        <v>GLRR10OPEBs</v>
      </c>
      <c r="AS239" s="125" t="str">
        <f>CONCATENATE(L239,H239,J239)</f>
        <v>R10OPEBs</v>
      </c>
    </row>
    <row r="240" spans="1:45" s="125" customFormat="1" ht="25.5" customHeight="1">
      <c r="A240" s="216" t="s">
        <v>2493</v>
      </c>
      <c r="B240" s="217" t="str">
        <f t="shared" si="84"/>
        <v>GL228420</v>
      </c>
      <c r="C240" s="186">
        <v>228420</v>
      </c>
      <c r="D240" s="201"/>
      <c r="E240" s="162"/>
      <c r="F240" s="169" t="s">
        <v>2368</v>
      </c>
      <c r="G240" s="117"/>
      <c r="H240" s="118" t="s">
        <v>2369</v>
      </c>
      <c r="I240" s="119"/>
      <c r="J240" s="120"/>
      <c r="K240" s="120" t="str">
        <f t="shared" si="81"/>
        <v/>
      </c>
      <c r="L240" s="170" t="s">
        <v>1893</v>
      </c>
      <c r="M240" s="122" t="str">
        <f t="shared" si="80"/>
        <v>R</v>
      </c>
      <c r="N240" s="116" t="str">
        <f>IF($L240&lt;&gt;"",VLOOKUP($L240,Categories!$E:$G,2,FALSE),IF($F240&lt;&gt;"","NO CAT",""))</f>
        <v>Rate Base</v>
      </c>
      <c r="O240" s="116" t="str">
        <f>IF($L240&lt;&gt;"",VLOOKUP($L240,Categories!$E:$G,3,FALSE),IF($F240&lt;&gt;"","NO CAT",""))</f>
        <v>Deferred Debits &amp; Credits</v>
      </c>
      <c r="P240" s="170" t="s">
        <v>1182</v>
      </c>
      <c r="Q240" s="123" t="s">
        <v>1693</v>
      </c>
      <c r="R240" s="124">
        <v>0.79196546646577504</v>
      </c>
      <c r="S240" s="124">
        <v>0.20803453353422496</v>
      </c>
      <c r="T240" s="124">
        <v>0</v>
      </c>
      <c r="U240" s="121">
        <f t="shared" si="85"/>
        <v>-145739.10371845399</v>
      </c>
      <c r="V240" s="121">
        <f t="shared" si="86"/>
        <v>-38282.940031546001</v>
      </c>
      <c r="W240" s="121">
        <f t="shared" si="87"/>
        <v>0</v>
      </c>
      <c r="X240" s="121">
        <f t="shared" si="82"/>
        <v>-184022.04375000001</v>
      </c>
      <c r="Y240" s="121">
        <f t="shared" si="88"/>
        <v>-138333.04360858299</v>
      </c>
      <c r="Z240" s="121">
        <f t="shared" si="89"/>
        <v>-36337.5063914165</v>
      </c>
      <c r="AA240" s="121">
        <f t="shared" si="90"/>
        <v>0</v>
      </c>
      <c r="AB240" s="121">
        <f t="shared" si="83"/>
        <v>-174670.55</v>
      </c>
      <c r="AC240" s="121">
        <v>-184478.6</v>
      </c>
      <c r="AD240" s="121">
        <v>-184478.6</v>
      </c>
      <c r="AE240" s="121">
        <v>-184478.6</v>
      </c>
      <c r="AF240" s="121">
        <v>-184478.6</v>
      </c>
      <c r="AG240" s="121">
        <v>-184478.6</v>
      </c>
      <c r="AH240" s="121">
        <v>-186017.5</v>
      </c>
      <c r="AI240" s="121">
        <v>-186017.5</v>
      </c>
      <c r="AJ240" s="121">
        <v>-186017.5</v>
      </c>
      <c r="AK240" s="121">
        <v>-186017.5</v>
      </c>
      <c r="AL240" s="121">
        <v>-186017.5</v>
      </c>
      <c r="AM240" s="121">
        <v>-186017.5</v>
      </c>
      <c r="AN240" s="121">
        <v>-174670.55</v>
      </c>
      <c r="AO240" s="121">
        <v>-174670.55</v>
      </c>
      <c r="AP240" s="125" t="str">
        <f>CONCATENATE(A240,M240)</f>
        <v>GLR</v>
      </c>
      <c r="AQ240" s="125" t="str">
        <f>CONCATENATE(AP240,L240,H240)</f>
        <v>GLRR10Environmental</v>
      </c>
      <c r="AS240" s="125" t="str">
        <f>CONCATENATE(L240,H240,J240)</f>
        <v>R10Environmental</v>
      </c>
    </row>
    <row r="241" spans="1:45" s="125" customFormat="1" ht="25.5" customHeight="1">
      <c r="A241" s="216" t="s">
        <v>2493</v>
      </c>
      <c r="B241" s="217" t="str">
        <f t="shared" si="84"/>
        <v>GL228460</v>
      </c>
      <c r="C241" s="186">
        <v>228460</v>
      </c>
      <c r="D241" s="201"/>
      <c r="E241" s="162"/>
      <c r="F241" s="169" t="s">
        <v>971</v>
      </c>
      <c r="G241" s="117"/>
      <c r="H241" s="118" t="s">
        <v>972</v>
      </c>
      <c r="I241" s="119"/>
      <c r="J241" s="120"/>
      <c r="K241" s="120" t="str">
        <f>IF(L241="N3","SFAS-109","")</f>
        <v/>
      </c>
      <c r="L241" s="170" t="s">
        <v>928</v>
      </c>
      <c r="M241" s="122" t="str">
        <f t="shared" si="80"/>
        <v>N</v>
      </c>
      <c r="N241" s="116" t="str">
        <f>IF($L241&lt;&gt;"",VLOOKUP($L241,Categories!$E:$G,2,FALSE),IF($F241&lt;&gt;"","NO CAT",""))</f>
        <v>Not in Rate Base</v>
      </c>
      <c r="O241" s="116" t="str">
        <f>IF($L241&lt;&gt;"",VLOOKUP($L241,Categories!$E:$G,3,FALSE),IF($F241&lt;&gt;"","NO CAT",""))</f>
        <v>Direct Assign Items Not in RB</v>
      </c>
      <c r="P241" s="170" t="s">
        <v>1186</v>
      </c>
      <c r="Q241" s="123" t="s">
        <v>1187</v>
      </c>
      <c r="R241" s="124">
        <v>0</v>
      </c>
      <c r="S241" s="124">
        <v>0</v>
      </c>
      <c r="T241" s="124">
        <v>1</v>
      </c>
      <c r="U241" s="121">
        <f t="shared" si="85"/>
        <v>0</v>
      </c>
      <c r="V241" s="121">
        <f t="shared" si="86"/>
        <v>0</v>
      </c>
      <c r="W241" s="121">
        <f t="shared" si="87"/>
        <v>2089.9270112499999</v>
      </c>
      <c r="X241" s="121">
        <f t="shared" si="82"/>
        <v>2089.9270112499999</v>
      </c>
      <c r="Y241" s="121">
        <f t="shared" si="88"/>
        <v>0</v>
      </c>
      <c r="Z241" s="121">
        <f t="shared" si="89"/>
        <v>0</v>
      </c>
      <c r="AA241" s="121">
        <f t="shared" si="90"/>
        <v>2093.4631399999998</v>
      </c>
      <c r="AB241" s="121">
        <f t="shared" si="83"/>
        <v>2093.4631399999998</v>
      </c>
      <c r="AC241" s="121">
        <v>2089.4218500000002</v>
      </c>
      <c r="AD241" s="121">
        <v>2089.4218500000002</v>
      </c>
      <c r="AE241" s="121">
        <v>2089.4218500000002</v>
      </c>
      <c r="AF241" s="121">
        <v>2089.4218500000002</v>
      </c>
      <c r="AG241" s="121">
        <v>2089.4218500000002</v>
      </c>
      <c r="AH241" s="121">
        <v>2089.4218500000002</v>
      </c>
      <c r="AI241" s="121">
        <v>2089.4218500000002</v>
      </c>
      <c r="AJ241" s="121">
        <v>2089.4218500000002</v>
      </c>
      <c r="AK241" s="121">
        <v>2089.4218500000002</v>
      </c>
      <c r="AL241" s="121">
        <v>2089.4218500000002</v>
      </c>
      <c r="AM241" s="121">
        <v>2089.4218500000002</v>
      </c>
      <c r="AN241" s="121">
        <v>2093.4631399999998</v>
      </c>
      <c r="AO241" s="121">
        <v>2093.4631399999998</v>
      </c>
      <c r="AP241" s="125" t="str">
        <f>CONCATENATE(A241,M241)</f>
        <v>GLN</v>
      </c>
      <c r="AQ241" s="125" t="str">
        <f>CONCATENATE(AP241,L241,H241)</f>
        <v>GLNN2Asset Retirement Obligation</v>
      </c>
      <c r="AS241" s="125" t="str">
        <f>CONCATENATE(L241,H241,J241)</f>
        <v>N2Asset Retirement Obligation</v>
      </c>
    </row>
    <row r="242" spans="1:45" s="125" customFormat="1" ht="25.5" customHeight="1">
      <c r="A242" s="216" t="s">
        <v>2493</v>
      </c>
      <c r="B242" s="217" t="str">
        <f t="shared" si="84"/>
        <v>GL228992</v>
      </c>
      <c r="C242" s="186">
        <v>228992</v>
      </c>
      <c r="D242" s="201"/>
      <c r="E242" s="162"/>
      <c r="F242" s="169" t="s">
        <v>747</v>
      </c>
      <c r="G242" s="117"/>
      <c r="H242" s="118" t="s">
        <v>1149</v>
      </c>
      <c r="I242" s="119"/>
      <c r="J242" s="120"/>
      <c r="K242" s="120" t="str">
        <f t="shared" si="81"/>
        <v>SFAS-109</v>
      </c>
      <c r="L242" s="170" t="s">
        <v>930</v>
      </c>
      <c r="M242" s="122" t="str">
        <f t="shared" si="80"/>
        <v>N</v>
      </c>
      <c r="N242" s="116" t="str">
        <f>IF($L242&lt;&gt;"",VLOOKUP($L242,Categories!$E:$G,2,FALSE),IF($F242&lt;&gt;"","NO CAT",""))</f>
        <v>Not in Rate Base</v>
      </c>
      <c r="O242" s="116" t="str">
        <f>IF($L242&lt;&gt;"",VLOOKUP($L242,Categories!$E:$G,3,FALSE),IF($F242&lt;&gt;"","NO CAT",""))</f>
        <v>SFAS-109   (offsetting)</v>
      </c>
      <c r="P242" s="170" t="s">
        <v>1186</v>
      </c>
      <c r="Q242" s="123" t="s">
        <v>1187</v>
      </c>
      <c r="R242" s="124">
        <v>0</v>
      </c>
      <c r="S242" s="124">
        <v>0</v>
      </c>
      <c r="T242" s="124">
        <v>1</v>
      </c>
      <c r="U242" s="121">
        <f t="shared" si="85"/>
        <v>0</v>
      </c>
      <c r="V242" s="121">
        <f t="shared" si="86"/>
        <v>0</v>
      </c>
      <c r="W242" s="121">
        <f t="shared" si="87"/>
        <v>-28601.283749999999</v>
      </c>
      <c r="X242" s="121">
        <f t="shared" si="82"/>
        <v>-28601.283749999999</v>
      </c>
      <c r="Y242" s="121">
        <f t="shared" si="88"/>
        <v>0</v>
      </c>
      <c r="Z242" s="121">
        <f t="shared" si="89"/>
        <v>0</v>
      </c>
      <c r="AA242" s="121">
        <f t="shared" si="90"/>
        <v>-28118.77</v>
      </c>
      <c r="AB242" s="121">
        <f t="shared" si="83"/>
        <v>-28118.77</v>
      </c>
      <c r="AC242" s="121">
        <v>-24872.5</v>
      </c>
      <c r="AD242" s="121">
        <v>-24872.5</v>
      </c>
      <c r="AE242" s="121">
        <v>-24872.5</v>
      </c>
      <c r="AF242" s="121">
        <v>-24872.5</v>
      </c>
      <c r="AG242" s="121">
        <v>-24872.5</v>
      </c>
      <c r="AH242" s="121">
        <v>-31518.5</v>
      </c>
      <c r="AI242" s="121">
        <v>-31518.5</v>
      </c>
      <c r="AJ242" s="121">
        <v>-31518.5</v>
      </c>
      <c r="AK242" s="121">
        <v>-31518.5</v>
      </c>
      <c r="AL242" s="121">
        <v>-31518.5</v>
      </c>
      <c r="AM242" s="121">
        <v>-31518.5</v>
      </c>
      <c r="AN242" s="121">
        <v>-28118.77</v>
      </c>
      <c r="AO242" s="121">
        <v>-28118.77</v>
      </c>
      <c r="AP242" s="125" t="str">
        <f>CONCATENATE(A242,M242)</f>
        <v>GLN</v>
      </c>
      <c r="AQ242" s="125" t="str">
        <f>CONCATENATE(AP242,L242,H242)</f>
        <v>GLNN3SFAS-109</v>
      </c>
      <c r="AS242" s="125" t="str">
        <f>CONCATENATE(L242,H242,J242)</f>
        <v>N3SFAS-109</v>
      </c>
    </row>
    <row r="243" spans="1:45" s="125" customFormat="1" ht="25.5" customHeight="1">
      <c r="A243" s="216" t="s">
        <v>2493</v>
      </c>
      <c r="B243" s="217" t="str">
        <f t="shared" si="84"/>
        <v>GL228993</v>
      </c>
      <c r="C243" s="186">
        <v>228993</v>
      </c>
      <c r="D243" s="201"/>
      <c r="E243" s="162"/>
      <c r="F243" s="169" t="s">
        <v>748</v>
      </c>
      <c r="G243" s="117"/>
      <c r="H243" s="118" t="s">
        <v>1149</v>
      </c>
      <c r="I243" s="119"/>
      <c r="J243" s="120"/>
      <c r="K243" s="120" t="str">
        <f t="shared" si="81"/>
        <v>SFAS-109</v>
      </c>
      <c r="L243" s="170" t="s">
        <v>930</v>
      </c>
      <c r="M243" s="122" t="str">
        <f t="shared" si="80"/>
        <v>N</v>
      </c>
      <c r="N243" s="116" t="str">
        <f>IF($L243&lt;&gt;"",VLOOKUP($L243,Categories!$E:$G,2,FALSE),IF($F243&lt;&gt;"","NO CAT",""))</f>
        <v>Not in Rate Base</v>
      </c>
      <c r="O243" s="116" t="str">
        <f>IF($L243&lt;&gt;"",VLOOKUP($L243,Categories!$E:$G,3,FALSE),IF($F243&lt;&gt;"","NO CAT",""))</f>
        <v>SFAS-109   (offsetting)</v>
      </c>
      <c r="P243" s="170" t="s">
        <v>1186</v>
      </c>
      <c r="Q243" s="123" t="s">
        <v>1187</v>
      </c>
      <c r="R243" s="124">
        <v>0</v>
      </c>
      <c r="S243" s="124">
        <v>0</v>
      </c>
      <c r="T243" s="124">
        <v>1</v>
      </c>
      <c r="U243" s="121">
        <f t="shared" si="85"/>
        <v>0</v>
      </c>
      <c r="V243" s="121">
        <f t="shared" si="86"/>
        <v>0</v>
      </c>
      <c r="W243" s="121">
        <f t="shared" si="87"/>
        <v>28601.283749999999</v>
      </c>
      <c r="X243" s="121">
        <f t="shared" si="82"/>
        <v>28601.283749999999</v>
      </c>
      <c r="Y243" s="121">
        <f t="shared" si="88"/>
        <v>0</v>
      </c>
      <c r="Z243" s="121">
        <f t="shared" si="89"/>
        <v>0</v>
      </c>
      <c r="AA243" s="121">
        <f t="shared" si="90"/>
        <v>28118.77</v>
      </c>
      <c r="AB243" s="121">
        <f t="shared" si="83"/>
        <v>28118.77</v>
      </c>
      <c r="AC243" s="121">
        <v>24872.5</v>
      </c>
      <c r="AD243" s="121">
        <v>24872.5</v>
      </c>
      <c r="AE243" s="121">
        <v>24872.5</v>
      </c>
      <c r="AF243" s="121">
        <v>24872.5</v>
      </c>
      <c r="AG243" s="121">
        <v>24872.5</v>
      </c>
      <c r="AH243" s="121">
        <v>31518.5</v>
      </c>
      <c r="AI243" s="121">
        <v>31518.5</v>
      </c>
      <c r="AJ243" s="121">
        <v>31518.5</v>
      </c>
      <c r="AK243" s="121">
        <v>31518.5</v>
      </c>
      <c r="AL243" s="121">
        <v>31518.5</v>
      </c>
      <c r="AM243" s="121">
        <v>31518.5</v>
      </c>
      <c r="AN243" s="121">
        <v>28118.77</v>
      </c>
      <c r="AO243" s="121">
        <v>28118.77</v>
      </c>
      <c r="AP243" s="125" t="str">
        <f>CONCATENATE(A243,M243)</f>
        <v>GLN</v>
      </c>
      <c r="AQ243" s="125" t="str">
        <f>CONCATENATE(AP243,L243,H243)</f>
        <v>GLNN3SFAS-109</v>
      </c>
      <c r="AS243" s="125" t="str">
        <f>CONCATENATE(L243,H243,J243)</f>
        <v>N3SFAS-109</v>
      </c>
    </row>
    <row r="244" spans="1:45" s="125" customFormat="1" ht="25.5" customHeight="1">
      <c r="A244" s="216" t="s">
        <v>2493</v>
      </c>
      <c r="B244" s="217" t="str">
        <f>CONCATENATE(A244,C244,D244,E244)</f>
        <v>GL229010</v>
      </c>
      <c r="C244" s="186">
        <v>229010</v>
      </c>
      <c r="D244" s="201"/>
      <c r="E244" s="162"/>
      <c r="F244" s="169" t="s">
        <v>4409</v>
      </c>
      <c r="G244" s="117"/>
      <c r="H244" s="118" t="s">
        <v>4429</v>
      </c>
      <c r="I244" s="119"/>
      <c r="J244" s="120"/>
      <c r="K244" s="120" t="str">
        <f>IF(L244="N3","SFAS-109","")</f>
        <v/>
      </c>
      <c r="L244" s="170" t="s">
        <v>928</v>
      </c>
      <c r="M244" s="122" t="str">
        <f>LEFT(L244,1)</f>
        <v>N</v>
      </c>
      <c r="N244" s="116" t="str">
        <f>IF($L244&lt;&gt;"",VLOOKUP($L244,Categories!$E:$G,2,FALSE),IF($F244&lt;&gt;"","NO CAT",""))</f>
        <v>Not in Rate Base</v>
      </c>
      <c r="O244" s="116" t="str">
        <f>IF($L244&lt;&gt;"",VLOOKUP($L244,Categories!$E:$G,3,FALSE),IF($F244&lt;&gt;"","NO CAT",""))</f>
        <v>Direct Assign Items Not in RB</v>
      </c>
      <c r="P244" s="170" t="s">
        <v>1186</v>
      </c>
      <c r="Q244" s="123" t="s">
        <v>1187</v>
      </c>
      <c r="R244" s="124">
        <v>0</v>
      </c>
      <c r="S244" s="124">
        <v>0</v>
      </c>
      <c r="T244" s="124">
        <v>1</v>
      </c>
      <c r="U244" s="121" t="str">
        <f>IF(ABS(X244)=0,"",IF($R244="NO ALLOC","NO ALLOC",ROUND($R244*X244,15)))</f>
        <v/>
      </c>
      <c r="V244" s="121" t="str">
        <f>IF(ABS(X244)=0,"",IF($S244="NO ALLOC","NO ALLOC",ROUND($S244*X244,15)))</f>
        <v/>
      </c>
      <c r="W244" s="121" t="str">
        <f>IF(ABS(X244)=0,"",IF($T244="NO ALLOC","NO ALLOC",ROUND($T244*X244,15)))</f>
        <v/>
      </c>
      <c r="X244" s="121">
        <f t="shared" si="82"/>
        <v>0</v>
      </c>
      <c r="Y244" s="121" t="str">
        <f>IF(ABS(AB244)=0,"",IF($R244="NO ALLOC","NO ALLOC",ROUND($R244*AB244,15)))</f>
        <v/>
      </c>
      <c r="Z244" s="121" t="str">
        <f>IF(ABS(AB244)=0,"",IF($S244="NO ALLOC","NO ALLOC",ROUND($S244*AB244,15)))</f>
        <v/>
      </c>
      <c r="AA244" s="121" t="str">
        <f>IF(ABS(AB244)=0,"",IF($T244="NO ALLOC","NO ALLOC",ROUND($T244*AB244,15)))</f>
        <v/>
      </c>
      <c r="AB244" s="121">
        <f t="shared" si="83"/>
        <v>0</v>
      </c>
      <c r="AC244" s="121">
        <v>0</v>
      </c>
      <c r="AD244" s="121">
        <v>0</v>
      </c>
      <c r="AE244" s="121">
        <v>0</v>
      </c>
      <c r="AF244" s="121">
        <v>0</v>
      </c>
      <c r="AG244" s="121">
        <v>0</v>
      </c>
      <c r="AH244" s="121">
        <v>0</v>
      </c>
      <c r="AI244" s="121">
        <v>0</v>
      </c>
      <c r="AJ244" s="121">
        <v>0</v>
      </c>
      <c r="AK244" s="121">
        <v>0</v>
      </c>
      <c r="AL244" s="121">
        <v>0</v>
      </c>
      <c r="AM244" s="121">
        <v>0</v>
      </c>
      <c r="AN244" s="121">
        <v>0</v>
      </c>
      <c r="AO244" s="121">
        <v>0</v>
      </c>
      <c r="AP244" s="125" t="str">
        <f>CONCATENATE(A244,M244)</f>
        <v>GLN</v>
      </c>
      <c r="AQ244" s="125" t="str">
        <f>CONCATENATE(AP244,L244,H244)</f>
        <v>GLNN2Hurricane Sandy Bill Credit</v>
      </c>
      <c r="AS244" s="125" t="str">
        <f>CONCATENATE(L244,H244,J244)</f>
        <v>N2Hurricane Sandy Bill Credit</v>
      </c>
    </row>
    <row r="245" spans="1:45" s="125" customFormat="1" ht="25.5" customHeight="1">
      <c r="A245" s="216" t="s">
        <v>2493</v>
      </c>
      <c r="B245" s="217" t="str">
        <f t="shared" si="84"/>
        <v>GL230010</v>
      </c>
      <c r="C245" s="186">
        <v>230010</v>
      </c>
      <c r="D245" s="201"/>
      <c r="E245" s="162"/>
      <c r="F245" s="169" t="s">
        <v>323</v>
      </c>
      <c r="G245" s="117"/>
      <c r="H245" s="118" t="s">
        <v>972</v>
      </c>
      <c r="I245" s="119"/>
      <c r="J245" s="120"/>
      <c r="K245" s="120" t="str">
        <f t="shared" si="81"/>
        <v/>
      </c>
      <c r="L245" s="170" t="s">
        <v>928</v>
      </c>
      <c r="M245" s="122" t="str">
        <f t="shared" si="80"/>
        <v>N</v>
      </c>
      <c r="N245" s="116" t="str">
        <f>IF($L245&lt;&gt;"",VLOOKUP($L245,Categories!$E:$G,2,FALSE),IF($F245&lt;&gt;"","NO CAT",""))</f>
        <v>Not in Rate Base</v>
      </c>
      <c r="O245" s="116" t="str">
        <f>IF($L245&lt;&gt;"",VLOOKUP($L245,Categories!$E:$G,3,FALSE),IF($F245&lt;&gt;"","NO CAT",""))</f>
        <v>Direct Assign Items Not in RB</v>
      </c>
      <c r="P245" s="170" t="s">
        <v>1186</v>
      </c>
      <c r="Q245" s="123" t="s">
        <v>1187</v>
      </c>
      <c r="R245" s="124">
        <v>0</v>
      </c>
      <c r="S245" s="124">
        <v>0</v>
      </c>
      <c r="T245" s="124">
        <v>1</v>
      </c>
      <c r="U245" s="121">
        <f t="shared" si="85"/>
        <v>0</v>
      </c>
      <c r="V245" s="121">
        <f t="shared" si="86"/>
        <v>0</v>
      </c>
      <c r="W245" s="121">
        <f t="shared" si="87"/>
        <v>-6842.8277591666701</v>
      </c>
      <c r="X245" s="121">
        <f t="shared" si="82"/>
        <v>-6842.8277591666701</v>
      </c>
      <c r="Y245" s="121">
        <f t="shared" si="88"/>
        <v>0</v>
      </c>
      <c r="Z245" s="121">
        <f t="shared" si="89"/>
        <v>0</v>
      </c>
      <c r="AA245" s="121">
        <f t="shared" si="90"/>
        <v>-6822.2443300000004</v>
      </c>
      <c r="AB245" s="121">
        <f t="shared" si="83"/>
        <v>-6822.2443300000004</v>
      </c>
      <c r="AC245" s="121">
        <v>-6696.7021500000001</v>
      </c>
      <c r="AD245" s="121">
        <v>-6725.31801</v>
      </c>
      <c r="AE245" s="121">
        <v>-6754.0561699999998</v>
      </c>
      <c r="AF245" s="121">
        <v>-6782.9171100000003</v>
      </c>
      <c r="AG245" s="121">
        <v>-6811.9013800000002</v>
      </c>
      <c r="AH245" s="121">
        <v>-6841.0095099999999</v>
      </c>
      <c r="AI245" s="121">
        <v>-6870.2420300000003</v>
      </c>
      <c r="AJ245" s="121">
        <v>-6899.5994700000001</v>
      </c>
      <c r="AK245" s="121">
        <v>-6929.0823600000003</v>
      </c>
      <c r="AL245" s="121">
        <v>-6958.69121</v>
      </c>
      <c r="AM245" s="121">
        <v>-6988.42659</v>
      </c>
      <c r="AN245" s="121">
        <v>-6793.2160300000005</v>
      </c>
      <c r="AO245" s="121">
        <v>-6822.2443300000004</v>
      </c>
      <c r="AP245" s="125" t="str">
        <f>CONCATENATE(A245,M245)</f>
        <v>GLN</v>
      </c>
      <c r="AQ245" s="125" t="str">
        <f>CONCATENATE(AP245,L245,H245)</f>
        <v>GLNN2Asset Retirement Obligation</v>
      </c>
      <c r="AS245" s="125" t="str">
        <f>CONCATENATE(L245,H245,J245)</f>
        <v>N2Asset Retirement Obligation</v>
      </c>
    </row>
    <row r="246" spans="1:45" s="125" customFormat="1" ht="25.5" customHeight="1">
      <c r="A246" s="216" t="s">
        <v>2493</v>
      </c>
      <c r="B246" s="217" t="str">
        <f t="shared" si="84"/>
        <v>GL230030</v>
      </c>
      <c r="C246" s="186">
        <v>230030</v>
      </c>
      <c r="D246" s="201"/>
      <c r="E246" s="162"/>
      <c r="F246" s="169" t="s">
        <v>971</v>
      </c>
      <c r="G246" s="117"/>
      <c r="H246" s="118" t="s">
        <v>972</v>
      </c>
      <c r="I246" s="119"/>
      <c r="J246" s="120"/>
      <c r="K246" s="120" t="str">
        <f t="shared" si="81"/>
        <v/>
      </c>
      <c r="L246" s="170" t="s">
        <v>928</v>
      </c>
      <c r="M246" s="122" t="str">
        <f t="shared" si="80"/>
        <v>N</v>
      </c>
      <c r="N246" s="116" t="str">
        <f>IF($L246&lt;&gt;"",VLOOKUP($L246,Categories!$E:$G,2,FALSE),IF($F246&lt;&gt;"","NO CAT",""))</f>
        <v>Not in Rate Base</v>
      </c>
      <c r="O246" s="116" t="str">
        <f>IF($L246&lt;&gt;"",VLOOKUP($L246,Categories!$E:$G,3,FALSE),IF($F246&lt;&gt;"","NO CAT",""))</f>
        <v>Direct Assign Items Not in RB</v>
      </c>
      <c r="P246" s="170" t="s">
        <v>1186</v>
      </c>
      <c r="Q246" s="123" t="s">
        <v>1187</v>
      </c>
      <c r="R246" s="124">
        <v>0</v>
      </c>
      <c r="S246" s="124">
        <v>0</v>
      </c>
      <c r="T246" s="124">
        <v>1</v>
      </c>
      <c r="U246" s="121">
        <f t="shared" si="85"/>
        <v>0</v>
      </c>
      <c r="V246" s="121">
        <f t="shared" si="86"/>
        <v>0</v>
      </c>
      <c r="W246" s="121">
        <f t="shared" si="87"/>
        <v>-8997.9112616666698</v>
      </c>
      <c r="X246" s="121">
        <f t="shared" si="82"/>
        <v>-8997.9112616666698</v>
      </c>
      <c r="Y246" s="121">
        <f t="shared" si="88"/>
        <v>0</v>
      </c>
      <c r="Z246" s="121">
        <f t="shared" si="89"/>
        <v>0</v>
      </c>
      <c r="AA246" s="121">
        <f t="shared" si="90"/>
        <v>-8438.1449300000004</v>
      </c>
      <c r="AB246" s="121">
        <f t="shared" si="83"/>
        <v>-8438.1449300000004</v>
      </c>
      <c r="AC246" s="121">
        <v>-8871.9219499999999</v>
      </c>
      <c r="AD246" s="121">
        <v>-8911.3861699999998</v>
      </c>
      <c r="AE246" s="121">
        <v>-8951.0263599999998</v>
      </c>
      <c r="AF246" s="121">
        <v>-8990.8434399999987</v>
      </c>
      <c r="AG246" s="121">
        <v>-9030.8380899999993</v>
      </c>
      <c r="AH246" s="121">
        <v>-9071.0111899999993</v>
      </c>
      <c r="AI246" s="121">
        <v>-9111.3634700000002</v>
      </c>
      <c r="AJ246" s="121">
        <v>-9151.8957200000004</v>
      </c>
      <c r="AK246" s="121">
        <v>-9192.6088</v>
      </c>
      <c r="AL246" s="121">
        <v>-9233.5035399999997</v>
      </c>
      <c r="AM246" s="121">
        <v>-9274.5807399999994</v>
      </c>
      <c r="AN246" s="121">
        <v>-8400.8441800000001</v>
      </c>
      <c r="AO246" s="121">
        <v>-8438.1449300000004</v>
      </c>
      <c r="AP246" s="125" t="str">
        <f>CONCATENATE(A246,M246)</f>
        <v>GLN</v>
      </c>
      <c r="AQ246" s="125" t="str">
        <f>CONCATENATE(AP246,L246,H246)</f>
        <v>GLNN2Asset Retirement Obligation</v>
      </c>
      <c r="AS246" s="125" t="str">
        <f>CONCATENATE(L246,H246,J246)</f>
        <v>N2Asset Retirement Obligation</v>
      </c>
    </row>
    <row r="247" spans="1:45" s="125" customFormat="1" ht="25.5" customHeight="1">
      <c r="A247" s="216" t="s">
        <v>2493</v>
      </c>
      <c r="B247" s="217" t="str">
        <f t="shared" si="84"/>
        <v>GL231010</v>
      </c>
      <c r="C247" s="186">
        <v>231010</v>
      </c>
      <c r="D247" s="201"/>
      <c r="E247" s="162"/>
      <c r="F247" s="169" t="s">
        <v>974</v>
      </c>
      <c r="G247" s="117"/>
      <c r="H247" s="118" t="s">
        <v>1180</v>
      </c>
      <c r="I247" s="119"/>
      <c r="J247" s="120"/>
      <c r="K247" s="120" t="str">
        <f t="shared" si="81"/>
        <v/>
      </c>
      <c r="L247" s="170" t="s">
        <v>268</v>
      </c>
      <c r="M247" s="122" t="str">
        <f t="shared" si="80"/>
        <v>C</v>
      </c>
      <c r="N247" s="116" t="str">
        <f>IF($L247&lt;&gt;"",VLOOKUP($L247,Categories!$E:$G,2,FALSE),IF($F247&lt;&gt;"","NO CAT",""))</f>
        <v>Capitalization</v>
      </c>
      <c r="O247" s="116" t="str">
        <f>IF($L247&lt;&gt;"",VLOOKUP($L247,Categories!$E:$G,3,FALSE),IF($F247&lt;&gt;"","NO CAT",""))</f>
        <v>Short Term Notes</v>
      </c>
      <c r="P247" s="170" t="s">
        <v>1186</v>
      </c>
      <c r="Q247" s="123" t="s">
        <v>1187</v>
      </c>
      <c r="R247" s="124">
        <v>0</v>
      </c>
      <c r="S247" s="124">
        <v>0</v>
      </c>
      <c r="T247" s="124">
        <v>1</v>
      </c>
      <c r="U247" s="121">
        <f t="shared" si="85"/>
        <v>0</v>
      </c>
      <c r="V247" s="121">
        <f t="shared" si="86"/>
        <v>0</v>
      </c>
      <c r="W247" s="121">
        <f t="shared" si="87"/>
        <v>-20865.844700416699</v>
      </c>
      <c r="X247" s="121">
        <f t="shared" si="82"/>
        <v>-20865.844700416699</v>
      </c>
      <c r="Y247" s="121" t="str">
        <f t="shared" si="88"/>
        <v/>
      </c>
      <c r="Z247" s="121" t="str">
        <f t="shared" si="89"/>
        <v/>
      </c>
      <c r="AA247" s="121" t="str">
        <f t="shared" si="90"/>
        <v/>
      </c>
      <c r="AB247" s="121">
        <f t="shared" si="83"/>
        <v>0</v>
      </c>
      <c r="AC247" s="121">
        <v>-13799.82367</v>
      </c>
      <c r="AD247" s="121">
        <v>-83091.298939999993</v>
      </c>
      <c r="AE247" s="121">
        <v>-37212.484389999998</v>
      </c>
      <c r="AF247" s="121">
        <v>-54897.498719999996</v>
      </c>
      <c r="AG247" s="121">
        <v>0</v>
      </c>
      <c r="AH247" s="121">
        <v>-20799.670670000003</v>
      </c>
      <c r="AI247" s="121">
        <v>-23829.867610000001</v>
      </c>
      <c r="AJ247" s="121">
        <v>-15659.5998</v>
      </c>
      <c r="AK247" s="121">
        <v>-7999.8044400000008</v>
      </c>
      <c r="AL247" s="121">
        <v>0</v>
      </c>
      <c r="AM247" s="121">
        <v>0</v>
      </c>
      <c r="AN247" s="121">
        <v>0</v>
      </c>
      <c r="AO247" s="121">
        <v>0</v>
      </c>
      <c r="AP247" s="125" t="str">
        <f>CONCATENATE(A247,M247)</f>
        <v>GLC</v>
      </c>
      <c r="AQ247" s="125" t="str">
        <f>CONCATENATE(AP247,L247,H247)</f>
        <v>GLCC16</v>
      </c>
      <c r="AS247" s="125" t="str">
        <f>CONCATENATE(L247,H247,J247)</f>
        <v>C16</v>
      </c>
    </row>
    <row r="248" spans="1:45" s="125" customFormat="1" ht="25.5" customHeight="1">
      <c r="A248" s="216" t="s">
        <v>2493</v>
      </c>
      <c r="B248" s="217" t="str">
        <f t="shared" si="84"/>
        <v>GL231150</v>
      </c>
      <c r="C248" s="186">
        <v>231150</v>
      </c>
      <c r="D248" s="201"/>
      <c r="E248" s="162"/>
      <c r="F248" s="169" t="s">
        <v>1651</v>
      </c>
      <c r="G248" s="117"/>
      <c r="H248" s="118">
        <v>0</v>
      </c>
      <c r="I248" s="119"/>
      <c r="J248" s="120"/>
      <c r="K248" s="120" t="str">
        <f t="shared" si="81"/>
        <v/>
      </c>
      <c r="L248" s="170" t="s">
        <v>268</v>
      </c>
      <c r="M248" s="122" t="str">
        <f t="shared" si="80"/>
        <v>C</v>
      </c>
      <c r="N248" s="116" t="str">
        <f>IF($L248&lt;&gt;"",VLOOKUP($L248,Categories!$E:$G,2,FALSE),IF($F248&lt;&gt;"","NO CAT",""))</f>
        <v>Capitalization</v>
      </c>
      <c r="O248" s="116" t="str">
        <f>IF($L248&lt;&gt;"",VLOOKUP($L248,Categories!$E:$G,3,FALSE),IF($F248&lt;&gt;"","NO CAT",""))</f>
        <v>Short Term Notes</v>
      </c>
      <c r="P248" s="170" t="s">
        <v>1186</v>
      </c>
      <c r="Q248" s="123" t="s">
        <v>1187</v>
      </c>
      <c r="R248" s="124">
        <v>0</v>
      </c>
      <c r="S248" s="124">
        <v>0</v>
      </c>
      <c r="T248" s="124">
        <v>1</v>
      </c>
      <c r="U248" s="121">
        <f t="shared" si="85"/>
        <v>0</v>
      </c>
      <c r="V248" s="121">
        <f t="shared" si="86"/>
        <v>0</v>
      </c>
      <c r="W248" s="121">
        <f t="shared" si="87"/>
        <v>-260094.45833333299</v>
      </c>
      <c r="X248" s="121">
        <f t="shared" si="82"/>
        <v>-260094.45833333299</v>
      </c>
      <c r="Y248" s="121">
        <f t="shared" si="88"/>
        <v>0</v>
      </c>
      <c r="Z248" s="121">
        <f t="shared" si="89"/>
        <v>0</v>
      </c>
      <c r="AA248" s="121">
        <f t="shared" si="90"/>
        <v>-418055</v>
      </c>
      <c r="AB248" s="121">
        <f t="shared" si="83"/>
        <v>-418055</v>
      </c>
      <c r="AC248" s="121">
        <v>-218974</v>
      </c>
      <c r="AD248" s="121">
        <v>-248804</v>
      </c>
      <c r="AE248" s="121">
        <v>-245785</v>
      </c>
      <c r="AF248" s="121">
        <v>-250000</v>
      </c>
      <c r="AG248" s="121">
        <v>-250850</v>
      </c>
      <c r="AH248" s="121">
        <v>-221795</v>
      </c>
      <c r="AI248" s="121">
        <v>-214735</v>
      </c>
      <c r="AJ248" s="121">
        <v>-239945</v>
      </c>
      <c r="AK248" s="121">
        <v>-218965</v>
      </c>
      <c r="AL248" s="121">
        <v>-286455</v>
      </c>
      <c r="AM248" s="121">
        <v>-314030</v>
      </c>
      <c r="AN248" s="121">
        <v>-311255</v>
      </c>
      <c r="AO248" s="121">
        <v>-418055</v>
      </c>
      <c r="AP248" s="125" t="str">
        <f>CONCATENATE(A248,M248)</f>
        <v>GLC</v>
      </c>
      <c r="AQ248" s="125" t="str">
        <f>CONCATENATE(AP248,L248,H248)</f>
        <v>GLCC160</v>
      </c>
      <c r="AS248" s="125" t="str">
        <f>CONCATENATE(L248,H248,J248)</f>
        <v>C160</v>
      </c>
    </row>
    <row r="249" spans="1:45" s="125" customFormat="1" ht="25.5" customHeight="1">
      <c r="A249" s="216" t="s">
        <v>2493</v>
      </c>
      <c r="B249" s="217" t="str">
        <f t="shared" si="84"/>
        <v>GL232010</v>
      </c>
      <c r="C249" s="186">
        <v>232010</v>
      </c>
      <c r="D249" s="201"/>
      <c r="E249" s="162"/>
      <c r="F249" s="169" t="s">
        <v>975</v>
      </c>
      <c r="G249" s="117"/>
      <c r="H249" s="118" t="s">
        <v>976</v>
      </c>
      <c r="I249" s="119"/>
      <c r="J249" s="120"/>
      <c r="K249" s="120" t="str">
        <f t="shared" si="81"/>
        <v/>
      </c>
      <c r="L249" s="170" t="s">
        <v>1419</v>
      </c>
      <c r="M249" s="122" t="str">
        <f t="shared" si="80"/>
        <v>A</v>
      </c>
      <c r="N249" s="116" t="str">
        <f>IF($L249&lt;&gt;"",VLOOKUP($L249,Categories!$E:$G,2,FALSE),IF($F249&lt;&gt;"","NO CAT",""))</f>
        <v>All Other</v>
      </c>
      <c r="O249" s="116" t="str">
        <f>IF($L249&lt;&gt;"",VLOOKUP($L249,Categories!$E:$G,3,FALSE),IF($F249&lt;&gt;"","NO CAT",""))</f>
        <v>EB-Cap</v>
      </c>
      <c r="P249" s="170" t="s">
        <v>1557</v>
      </c>
      <c r="Q249" s="123" t="s">
        <v>1891</v>
      </c>
      <c r="R249" s="124">
        <v>0.77544352505021785</v>
      </c>
      <c r="S249" s="124">
        <v>0.22455647494978223</v>
      </c>
      <c r="T249" s="124">
        <v>0</v>
      </c>
      <c r="U249" s="121">
        <f t="shared" si="85"/>
        <v>-28074.669198523399</v>
      </c>
      <c r="V249" s="121">
        <f t="shared" si="86"/>
        <v>-8129.9908335599002</v>
      </c>
      <c r="W249" s="121">
        <f t="shared" si="87"/>
        <v>0</v>
      </c>
      <c r="X249" s="121">
        <f t="shared" si="82"/>
        <v>-36204.660032083302</v>
      </c>
      <c r="Y249" s="121">
        <f t="shared" si="88"/>
        <v>-32885.745162131301</v>
      </c>
      <c r="Z249" s="121">
        <f t="shared" si="89"/>
        <v>-9523.2041678687292</v>
      </c>
      <c r="AA249" s="121">
        <f t="shared" si="90"/>
        <v>0</v>
      </c>
      <c r="AB249" s="121">
        <f t="shared" si="83"/>
        <v>-42408.949329999996</v>
      </c>
      <c r="AC249" s="121">
        <v>-43695.433259999998</v>
      </c>
      <c r="AD249" s="121">
        <v>-48425.607509999994</v>
      </c>
      <c r="AE249" s="121">
        <v>-41105.904320000001</v>
      </c>
      <c r="AF249" s="121">
        <v>-42165.243549999999</v>
      </c>
      <c r="AG249" s="121">
        <v>-31484.014090000001</v>
      </c>
      <c r="AH249" s="121">
        <v>-10635.99163</v>
      </c>
      <c r="AI249" s="121">
        <v>-31317.081100000003</v>
      </c>
      <c r="AJ249" s="121">
        <v>-40889.116750000001</v>
      </c>
      <c r="AK249" s="121">
        <v>-36114.148590000004</v>
      </c>
      <c r="AL249" s="121">
        <v>-39470.717210000003</v>
      </c>
      <c r="AM249" s="121">
        <v>-35226.842710000004</v>
      </c>
      <c r="AN249" s="121">
        <v>-34569.061630000004</v>
      </c>
      <c r="AO249" s="121">
        <v>-42408.949329999996</v>
      </c>
      <c r="AP249" s="125" t="str">
        <f>CONCATENATE(A249,M249)</f>
        <v>GLA</v>
      </c>
      <c r="AQ249" s="125" t="str">
        <f>CONCATENATE(AP249,L249,H249)</f>
        <v>GLAA2Accounts Payable</v>
      </c>
      <c r="AS249" s="125" t="str">
        <f>CONCATENATE(L249,H249,J249)</f>
        <v>A2Accounts Payable</v>
      </c>
    </row>
    <row r="250" spans="1:45" s="125" customFormat="1" ht="25.5" customHeight="1">
      <c r="A250" s="216" t="s">
        <v>2493</v>
      </c>
      <c r="B250" s="217" t="str">
        <f t="shared" si="84"/>
        <v>GL232011</v>
      </c>
      <c r="C250" s="186">
        <v>232011</v>
      </c>
      <c r="D250" s="201"/>
      <c r="E250" s="162"/>
      <c r="F250" s="169" t="s">
        <v>977</v>
      </c>
      <c r="G250" s="117"/>
      <c r="H250" s="118" t="s">
        <v>976</v>
      </c>
      <c r="I250" s="119"/>
      <c r="J250" s="120"/>
      <c r="K250" s="120" t="str">
        <f t="shared" si="81"/>
        <v/>
      </c>
      <c r="L250" s="170" t="s">
        <v>1419</v>
      </c>
      <c r="M250" s="122" t="str">
        <f t="shared" si="80"/>
        <v>A</v>
      </c>
      <c r="N250" s="116" t="str">
        <f>IF($L250&lt;&gt;"",VLOOKUP($L250,Categories!$E:$G,2,FALSE),IF($F250&lt;&gt;"","NO CAT",""))</f>
        <v>All Other</v>
      </c>
      <c r="O250" s="116" t="str">
        <f>IF($L250&lt;&gt;"",VLOOKUP($L250,Categories!$E:$G,3,FALSE),IF($F250&lt;&gt;"","NO CAT",""))</f>
        <v>EB-Cap</v>
      </c>
      <c r="P250" s="170" t="s">
        <v>1557</v>
      </c>
      <c r="Q250" s="123" t="s">
        <v>1891</v>
      </c>
      <c r="R250" s="124">
        <v>0.77544352505021785</v>
      </c>
      <c r="S250" s="124">
        <v>0.22455647494978223</v>
      </c>
      <c r="T250" s="124">
        <v>0</v>
      </c>
      <c r="U250" s="121">
        <f t="shared" si="85"/>
        <v>-6.9551264816641298</v>
      </c>
      <c r="V250" s="121">
        <f t="shared" si="86"/>
        <v>-2.01409726833587</v>
      </c>
      <c r="W250" s="121">
        <f t="shared" si="87"/>
        <v>0</v>
      </c>
      <c r="X250" s="121">
        <f t="shared" si="82"/>
        <v>-8.9692237499999994</v>
      </c>
      <c r="Y250" s="121" t="str">
        <f t="shared" si="88"/>
        <v/>
      </c>
      <c r="Z250" s="121" t="str">
        <f t="shared" si="89"/>
        <v/>
      </c>
      <c r="AA250" s="121" t="str">
        <f t="shared" si="90"/>
        <v/>
      </c>
      <c r="AB250" s="121">
        <f t="shared" si="83"/>
        <v>0</v>
      </c>
      <c r="AC250" s="121">
        <v>-9.3591899999999999</v>
      </c>
      <c r="AD250" s="121">
        <v>-9.3591899999999999</v>
      </c>
      <c r="AE250" s="121">
        <v>-9.3591899999999999</v>
      </c>
      <c r="AF250" s="121">
        <v>-9.3591899999999999</v>
      </c>
      <c r="AG250" s="121">
        <v>-9.3591899999999999</v>
      </c>
      <c r="AH250" s="121">
        <v>-9.3591899999999999</v>
      </c>
      <c r="AI250" s="121">
        <v>-9.3591899999999999</v>
      </c>
      <c r="AJ250" s="121">
        <v>-9.3591899999999999</v>
      </c>
      <c r="AK250" s="121">
        <v>-9.3591899999999999</v>
      </c>
      <c r="AL250" s="121">
        <v>-9.3591899999999999</v>
      </c>
      <c r="AM250" s="121">
        <v>-9.3591899999999999</v>
      </c>
      <c r="AN250" s="121">
        <v>-9.3591899999999999</v>
      </c>
      <c r="AO250" s="121">
        <v>0</v>
      </c>
      <c r="AP250" s="125" t="str">
        <f>CONCATENATE(A250,M250)</f>
        <v>GLA</v>
      </c>
      <c r="AQ250" s="125" t="str">
        <f>CONCATENATE(AP250,L250,H250)</f>
        <v>GLAA2Accounts Payable</v>
      </c>
      <c r="AS250" s="125" t="str">
        <f>CONCATENATE(L250,H250,J250)</f>
        <v>A2Accounts Payable</v>
      </c>
    </row>
    <row r="251" spans="1:45" s="125" customFormat="1" ht="25.5" customHeight="1">
      <c r="A251" s="216" t="s">
        <v>2493</v>
      </c>
      <c r="B251" s="217" t="str">
        <f t="shared" si="84"/>
        <v>GL232015</v>
      </c>
      <c r="C251" s="186">
        <v>232015</v>
      </c>
      <c r="D251" s="201"/>
      <c r="E251" s="162"/>
      <c r="F251" s="169" t="s">
        <v>1760</v>
      </c>
      <c r="G251" s="117"/>
      <c r="H251" s="118" t="s">
        <v>976</v>
      </c>
      <c r="I251" s="119"/>
      <c r="J251" s="120"/>
      <c r="K251" s="120" t="str">
        <f t="shared" si="81"/>
        <v/>
      </c>
      <c r="L251" s="170" t="s">
        <v>1419</v>
      </c>
      <c r="M251" s="122" t="str">
        <f t="shared" si="80"/>
        <v>A</v>
      </c>
      <c r="N251" s="116" t="str">
        <f>IF($L251&lt;&gt;"",VLOOKUP($L251,Categories!$E:$G,2,FALSE),IF($F251&lt;&gt;"","NO CAT",""))</f>
        <v>All Other</v>
      </c>
      <c r="O251" s="116" t="str">
        <f>IF($L251&lt;&gt;"",VLOOKUP($L251,Categories!$E:$G,3,FALSE),IF($F251&lt;&gt;"","NO CAT",""))</f>
        <v>EB-Cap</v>
      </c>
      <c r="P251" s="170" t="s">
        <v>1557</v>
      </c>
      <c r="Q251" s="123" t="s">
        <v>1891</v>
      </c>
      <c r="R251" s="124">
        <v>0.77544352505021785</v>
      </c>
      <c r="S251" s="124">
        <v>0.22455647494978223</v>
      </c>
      <c r="T251" s="124">
        <v>0</v>
      </c>
      <c r="U251" s="121">
        <f t="shared" si="85"/>
        <v>8.5757795395104299</v>
      </c>
      <c r="V251" s="121">
        <f t="shared" si="86"/>
        <v>2.4834133771562699</v>
      </c>
      <c r="W251" s="121">
        <f t="shared" si="87"/>
        <v>0</v>
      </c>
      <c r="X251" s="121">
        <f t="shared" si="82"/>
        <v>11.059192916666699</v>
      </c>
      <c r="Y251" s="121">
        <f t="shared" si="88"/>
        <v>-439.57313534488998</v>
      </c>
      <c r="Z251" s="121">
        <f t="shared" si="89"/>
        <v>-127.29359465511</v>
      </c>
      <c r="AA251" s="121">
        <f t="shared" si="90"/>
        <v>0</v>
      </c>
      <c r="AB251" s="121">
        <f t="shared" si="83"/>
        <v>-566.86672999999996</v>
      </c>
      <c r="AC251" s="121">
        <v>192.21353999999999</v>
      </c>
      <c r="AD251" s="121">
        <v>0</v>
      </c>
      <c r="AE251" s="121">
        <v>43.491510000000005</v>
      </c>
      <c r="AF251" s="121">
        <v>0</v>
      </c>
      <c r="AG251" s="121">
        <v>0</v>
      </c>
      <c r="AH251" s="121">
        <v>0</v>
      </c>
      <c r="AI251" s="121">
        <v>0</v>
      </c>
      <c r="AJ251" s="121">
        <v>0</v>
      </c>
      <c r="AK251" s="121">
        <v>0</v>
      </c>
      <c r="AL251" s="121">
        <v>0</v>
      </c>
      <c r="AM251" s="121">
        <v>0</v>
      </c>
      <c r="AN251" s="121">
        <v>276.54540000000003</v>
      </c>
      <c r="AO251" s="121">
        <v>-566.86672999999996</v>
      </c>
      <c r="AP251" s="125" t="str">
        <f>CONCATENATE(A251,M251)</f>
        <v>GLA</v>
      </c>
      <c r="AQ251" s="125" t="str">
        <f>CONCATENATE(AP251,L251,H251)</f>
        <v>GLAA2Accounts Payable</v>
      </c>
      <c r="AS251" s="125" t="str">
        <f>CONCATENATE(L251,H251,J251)</f>
        <v>A2Accounts Payable</v>
      </c>
    </row>
    <row r="252" spans="1:45" s="125" customFormat="1" ht="25.5" customHeight="1">
      <c r="A252" s="216" t="s">
        <v>2493</v>
      </c>
      <c r="B252" s="217" t="str">
        <f t="shared" si="84"/>
        <v>GL232021</v>
      </c>
      <c r="C252" s="186">
        <v>232021</v>
      </c>
      <c r="D252" s="201"/>
      <c r="E252" s="162"/>
      <c r="F252" s="169" t="s">
        <v>2764</v>
      </c>
      <c r="G252" s="117"/>
      <c r="H252" s="118" t="s">
        <v>976</v>
      </c>
      <c r="I252" s="119"/>
      <c r="J252" s="120"/>
      <c r="K252" s="120" t="str">
        <f t="shared" si="81"/>
        <v/>
      </c>
      <c r="L252" s="170" t="s">
        <v>1419</v>
      </c>
      <c r="M252" s="122" t="str">
        <f t="shared" si="80"/>
        <v>A</v>
      </c>
      <c r="N252" s="116" t="str">
        <f>IF($L252&lt;&gt;"",VLOOKUP($L252,Categories!$E:$G,2,FALSE),IF($F252&lt;&gt;"","NO CAT",""))</f>
        <v>All Other</v>
      </c>
      <c r="O252" s="116" t="str">
        <f>IF($L252&lt;&gt;"",VLOOKUP($L252,Categories!$E:$G,3,FALSE),IF($F252&lt;&gt;"","NO CAT",""))</f>
        <v>EB-Cap</v>
      </c>
      <c r="P252" s="170" t="s">
        <v>1557</v>
      </c>
      <c r="Q252" s="123" t="s">
        <v>1891</v>
      </c>
      <c r="R252" s="124">
        <v>0.77544352505021785</v>
      </c>
      <c r="S252" s="124">
        <v>0.22455647494978223</v>
      </c>
      <c r="T252" s="124">
        <v>0</v>
      </c>
      <c r="U252" s="121">
        <f t="shared" si="85"/>
        <v>-16260.7513273739</v>
      </c>
      <c r="V252" s="121">
        <f t="shared" si="86"/>
        <v>-4708.8625801261296</v>
      </c>
      <c r="W252" s="121">
        <f t="shared" si="87"/>
        <v>0</v>
      </c>
      <c r="X252" s="121">
        <f t="shared" si="82"/>
        <v>-20969.613907499999</v>
      </c>
      <c r="Y252" s="121">
        <f t="shared" si="88"/>
        <v>-14699.260856696101</v>
      </c>
      <c r="Z252" s="121">
        <f t="shared" si="89"/>
        <v>-4256.6790433039296</v>
      </c>
      <c r="AA252" s="121">
        <f t="shared" si="90"/>
        <v>0</v>
      </c>
      <c r="AB252" s="121">
        <f t="shared" si="83"/>
        <v>-18955.939899999998</v>
      </c>
      <c r="AC252" s="121">
        <v>-10797.862080000001</v>
      </c>
      <c r="AD252" s="121">
        <v>-58151.195240000001</v>
      </c>
      <c r="AE252" s="121">
        <v>-27673.70264</v>
      </c>
      <c r="AF252" s="121">
        <v>-25106.382699999998</v>
      </c>
      <c r="AG252" s="121">
        <v>-20374.798320000002</v>
      </c>
      <c r="AH252" s="121">
        <v>-10613.25469</v>
      </c>
      <c r="AI252" s="121">
        <v>-19422.966969999998</v>
      </c>
      <c r="AJ252" s="121">
        <v>-13244.259169999999</v>
      </c>
      <c r="AK252" s="121">
        <v>-15979.59901</v>
      </c>
      <c r="AL252" s="121">
        <v>-13306.34419</v>
      </c>
      <c r="AM252" s="121">
        <v>-9340.4153100000003</v>
      </c>
      <c r="AN252" s="121">
        <v>-23545.54766</v>
      </c>
      <c r="AO252" s="121">
        <v>-18955.939899999998</v>
      </c>
      <c r="AP252" s="125" t="str">
        <f>CONCATENATE(A252,M252)</f>
        <v>GLA</v>
      </c>
      <c r="AQ252" s="125" t="str">
        <f>CONCATENATE(AP252,L252,H252)</f>
        <v>GLAA2Accounts Payable</v>
      </c>
      <c r="AS252" s="125" t="str">
        <f>CONCATENATE(L252,H252,J252)</f>
        <v>A2Accounts Payable</v>
      </c>
    </row>
    <row r="253" spans="1:45" s="125" customFormat="1" ht="25.5" customHeight="1">
      <c r="A253" s="216" t="s">
        <v>2493</v>
      </c>
      <c r="B253" s="217" t="str">
        <f t="shared" si="84"/>
        <v>GL232022</v>
      </c>
      <c r="C253" s="186">
        <v>232022</v>
      </c>
      <c r="D253" s="201"/>
      <c r="E253" s="162"/>
      <c r="F253" s="169" t="s">
        <v>2765</v>
      </c>
      <c r="G253" s="117"/>
      <c r="H253" s="118" t="s">
        <v>976</v>
      </c>
      <c r="I253" s="119"/>
      <c r="J253" s="120"/>
      <c r="K253" s="120" t="str">
        <f t="shared" ref="K253:K276" si="91">IF(L253="N3","SFAS-109","")</f>
        <v/>
      </c>
      <c r="L253" s="170" t="s">
        <v>1419</v>
      </c>
      <c r="M253" s="122" t="str">
        <f t="shared" si="80"/>
        <v>A</v>
      </c>
      <c r="N253" s="116" t="str">
        <f>IF($L253&lt;&gt;"",VLOOKUP($L253,Categories!$E:$G,2,FALSE),IF($F253&lt;&gt;"","NO CAT",""))</f>
        <v>All Other</v>
      </c>
      <c r="O253" s="116" t="str">
        <f>IF($L253&lt;&gt;"",VLOOKUP($L253,Categories!$E:$G,3,FALSE),IF($F253&lt;&gt;"","NO CAT",""))</f>
        <v>EB-Cap</v>
      </c>
      <c r="P253" s="170" t="s">
        <v>1557</v>
      </c>
      <c r="Q253" s="123" t="s">
        <v>1891</v>
      </c>
      <c r="R253" s="124">
        <v>0.77544352505021785</v>
      </c>
      <c r="S253" s="124">
        <v>0.22455647494978223</v>
      </c>
      <c r="T253" s="124">
        <v>0</v>
      </c>
      <c r="U253" s="121">
        <f t="shared" si="85"/>
        <v>-9591.0481568934993</v>
      </c>
      <c r="V253" s="121">
        <f t="shared" si="86"/>
        <v>-2777.4194968564998</v>
      </c>
      <c r="W253" s="121">
        <f t="shared" si="87"/>
        <v>0</v>
      </c>
      <c r="X253" s="121">
        <f t="shared" si="82"/>
        <v>-12368.46765375</v>
      </c>
      <c r="Y253" s="121">
        <f t="shared" si="88"/>
        <v>-7768.3489328645001</v>
      </c>
      <c r="Z253" s="121">
        <f t="shared" si="89"/>
        <v>-2249.5939371354998</v>
      </c>
      <c r="AA253" s="121">
        <f t="shared" si="90"/>
        <v>0</v>
      </c>
      <c r="AB253" s="121">
        <f t="shared" si="83"/>
        <v>-10017.942869999999</v>
      </c>
      <c r="AC253" s="121">
        <v>-12830.641320000001</v>
      </c>
      <c r="AD253" s="121">
        <v>-19705.254420000001</v>
      </c>
      <c r="AE253" s="121">
        <v>-19478.97208</v>
      </c>
      <c r="AF253" s="121">
        <v>-18596.783329999998</v>
      </c>
      <c r="AG253" s="121">
        <v>-15533.402029999999</v>
      </c>
      <c r="AH253" s="121">
        <v>-11541.07194</v>
      </c>
      <c r="AI253" s="121">
        <v>-9731.7712499999998</v>
      </c>
      <c r="AJ253" s="121">
        <v>-8847.95622</v>
      </c>
      <c r="AK253" s="121">
        <v>-7838.3789800000004</v>
      </c>
      <c r="AL253" s="121">
        <v>-6851.5769900000005</v>
      </c>
      <c r="AM253" s="121">
        <v>-7658.1777699999993</v>
      </c>
      <c r="AN253" s="121">
        <v>-11213.97474</v>
      </c>
      <c r="AO253" s="121">
        <v>-10017.942869999999</v>
      </c>
      <c r="AP253" s="125" t="str">
        <f>CONCATENATE(A253,M253)</f>
        <v>GLA</v>
      </c>
      <c r="AQ253" s="125" t="str">
        <f>CONCATENATE(AP253,L253,H253)</f>
        <v>GLAA2Accounts Payable</v>
      </c>
      <c r="AS253" s="125" t="str">
        <f>CONCATENATE(L253,H253,J253)</f>
        <v>A2Accounts Payable</v>
      </c>
    </row>
    <row r="254" spans="1:45" s="125" customFormat="1" ht="25.5" customHeight="1">
      <c r="A254" s="216" t="s">
        <v>2493</v>
      </c>
      <c r="B254" s="217" t="str">
        <f t="shared" si="84"/>
        <v>GL232024</v>
      </c>
      <c r="C254" s="186">
        <v>232024</v>
      </c>
      <c r="D254" s="201"/>
      <c r="E254" s="162"/>
      <c r="F254" s="169" t="s">
        <v>2766</v>
      </c>
      <c r="G254" s="117"/>
      <c r="H254" s="118" t="s">
        <v>976</v>
      </c>
      <c r="I254" s="119"/>
      <c r="J254" s="120"/>
      <c r="K254" s="120" t="str">
        <f t="shared" si="91"/>
        <v/>
      </c>
      <c r="L254" s="170" t="s">
        <v>1419</v>
      </c>
      <c r="M254" s="122" t="str">
        <f t="shared" si="80"/>
        <v>A</v>
      </c>
      <c r="N254" s="116" t="str">
        <f>IF($L254&lt;&gt;"",VLOOKUP($L254,Categories!$E:$G,2,FALSE),IF($F254&lt;&gt;"","NO CAT",""))</f>
        <v>All Other</v>
      </c>
      <c r="O254" s="116" t="str">
        <f>IF($L254&lt;&gt;"",VLOOKUP($L254,Categories!$E:$G,3,FALSE),IF($F254&lt;&gt;"","NO CAT",""))</f>
        <v>EB-Cap</v>
      </c>
      <c r="P254" s="170" t="s">
        <v>1557</v>
      </c>
      <c r="Q254" s="123" t="s">
        <v>1891</v>
      </c>
      <c r="R254" s="124">
        <v>0.77544352505021785</v>
      </c>
      <c r="S254" s="124">
        <v>0.22455647494978223</v>
      </c>
      <c r="T254" s="124">
        <v>0</v>
      </c>
      <c r="U254" s="121">
        <f t="shared" si="85"/>
        <v>-9180.3190298912796</v>
      </c>
      <c r="V254" s="121">
        <f t="shared" si="86"/>
        <v>-2658.4786817754198</v>
      </c>
      <c r="W254" s="121">
        <f t="shared" si="87"/>
        <v>0</v>
      </c>
      <c r="X254" s="121">
        <f t="shared" si="82"/>
        <v>-11838.797711666701</v>
      </c>
      <c r="Y254" s="121">
        <f t="shared" si="88"/>
        <v>-18345.098672994001</v>
      </c>
      <c r="Z254" s="121">
        <f t="shared" si="89"/>
        <v>-5312.4573970060201</v>
      </c>
      <c r="AA254" s="121">
        <f t="shared" si="90"/>
        <v>0</v>
      </c>
      <c r="AB254" s="121">
        <f t="shared" si="83"/>
        <v>-23657.556069999999</v>
      </c>
      <c r="AC254" s="121">
        <v>-31999.080269999999</v>
      </c>
      <c r="AD254" s="121">
        <v>-22733.245300000002</v>
      </c>
      <c r="AE254" s="121">
        <v>-10925.452499999999</v>
      </c>
      <c r="AF254" s="121">
        <v>-7268.8199599999998</v>
      </c>
      <c r="AG254" s="121">
        <v>-7579.6934199999996</v>
      </c>
      <c r="AH254" s="121">
        <v>-7695.5529000000006</v>
      </c>
      <c r="AI254" s="121">
        <v>-7936.9881299999997</v>
      </c>
      <c r="AJ254" s="121">
        <v>-11003.298650000001</v>
      </c>
      <c r="AK254" s="121">
        <v>-9056.4411999999993</v>
      </c>
      <c r="AL254" s="121">
        <v>-8520.9232100000008</v>
      </c>
      <c r="AM254" s="121">
        <v>-9259.2485899999992</v>
      </c>
      <c r="AN254" s="121">
        <v>-12257.59051</v>
      </c>
      <c r="AO254" s="121">
        <v>-23657.556069999999</v>
      </c>
      <c r="AP254" s="125" t="str">
        <f>CONCATENATE(A254,M254)</f>
        <v>GLA</v>
      </c>
      <c r="AQ254" s="125" t="str">
        <f>CONCATENATE(AP254,L254,H254)</f>
        <v>GLAA2Accounts Payable</v>
      </c>
      <c r="AS254" s="125" t="str">
        <f>CONCATENATE(L254,H254,J254)</f>
        <v>A2Accounts Payable</v>
      </c>
    </row>
    <row r="255" spans="1:45" s="125" customFormat="1" ht="25.5" customHeight="1">
      <c r="A255" s="216" t="s">
        <v>2493</v>
      </c>
      <c r="B255" s="217" t="str">
        <f t="shared" si="84"/>
        <v>GL232025</v>
      </c>
      <c r="C255" s="186">
        <v>232025</v>
      </c>
      <c r="D255" s="201"/>
      <c r="E255" s="162"/>
      <c r="F255" s="169" t="s">
        <v>2767</v>
      </c>
      <c r="G255" s="117"/>
      <c r="H255" s="118" t="s">
        <v>976</v>
      </c>
      <c r="I255" s="119"/>
      <c r="J255" s="120"/>
      <c r="K255" s="120" t="str">
        <f t="shared" si="91"/>
        <v/>
      </c>
      <c r="L255" s="170" t="s">
        <v>1419</v>
      </c>
      <c r="M255" s="122" t="str">
        <f t="shared" ref="M255:M279" si="92">LEFT(L255,1)</f>
        <v>A</v>
      </c>
      <c r="N255" s="116" t="str">
        <f>IF($L255&lt;&gt;"",VLOOKUP($L255,Categories!$E:$G,2,FALSE),IF($F255&lt;&gt;"","NO CAT",""))</f>
        <v>All Other</v>
      </c>
      <c r="O255" s="116" t="str">
        <f>IF($L255&lt;&gt;"",VLOOKUP($L255,Categories!$E:$G,3,FALSE),IF($F255&lt;&gt;"","NO CAT",""))</f>
        <v>EB-Cap</v>
      </c>
      <c r="P255" s="170" t="s">
        <v>1557</v>
      </c>
      <c r="Q255" s="123" t="s">
        <v>1891</v>
      </c>
      <c r="R255" s="124">
        <v>0.77544352505021785</v>
      </c>
      <c r="S255" s="124">
        <v>0.22455647494978223</v>
      </c>
      <c r="T255" s="124">
        <v>0</v>
      </c>
      <c r="U255" s="121">
        <f t="shared" si="85"/>
        <v>-3251.7161044673899</v>
      </c>
      <c r="V255" s="121">
        <f t="shared" si="86"/>
        <v>-941.646789699284</v>
      </c>
      <c r="W255" s="121">
        <f t="shared" si="87"/>
        <v>0</v>
      </c>
      <c r="X255" s="121">
        <f t="shared" si="82"/>
        <v>-4193.3628941666702</v>
      </c>
      <c r="Y255" s="121">
        <f t="shared" si="88"/>
        <v>-4383.7402127093701</v>
      </c>
      <c r="Z255" s="121">
        <f t="shared" si="89"/>
        <v>-1269.4634972906299</v>
      </c>
      <c r="AA255" s="121">
        <f t="shared" si="90"/>
        <v>0</v>
      </c>
      <c r="AB255" s="121">
        <f t="shared" si="83"/>
        <v>-5653.2037099999998</v>
      </c>
      <c r="AC255" s="121">
        <v>-5135.4791500000001</v>
      </c>
      <c r="AD255" s="121">
        <v>-2777.8397</v>
      </c>
      <c r="AE255" s="121">
        <v>-2756.0143700000003</v>
      </c>
      <c r="AF255" s="121">
        <v>-3881.6161000000002</v>
      </c>
      <c r="AG255" s="121">
        <v>-4867.8220999999994</v>
      </c>
      <c r="AH255" s="121">
        <v>-3857.8499100000004</v>
      </c>
      <c r="AI255" s="121">
        <v>-4695.5713399999995</v>
      </c>
      <c r="AJ255" s="121">
        <v>-6233.5775899999999</v>
      </c>
      <c r="AK255" s="121">
        <v>-3509.4101600000004</v>
      </c>
      <c r="AL255" s="121">
        <v>-4472.0101199999999</v>
      </c>
      <c r="AM255" s="121">
        <v>-3602.7827000000002</v>
      </c>
      <c r="AN255" s="121">
        <v>-4271.5192100000004</v>
      </c>
      <c r="AO255" s="121">
        <v>-5653.2037099999998</v>
      </c>
      <c r="AP255" s="125" t="str">
        <f>CONCATENATE(A255,M255)</f>
        <v>GLA</v>
      </c>
      <c r="AQ255" s="125" t="str">
        <f>CONCATENATE(AP255,L255,H255)</f>
        <v>GLAA2Accounts Payable</v>
      </c>
      <c r="AS255" s="125" t="str">
        <f>CONCATENATE(L255,H255,J255)</f>
        <v>A2Accounts Payable</v>
      </c>
    </row>
    <row r="256" spans="1:45" s="125" customFormat="1" ht="25.5" customHeight="1">
      <c r="A256" s="216" t="s">
        <v>2493</v>
      </c>
      <c r="B256" s="217" t="str">
        <f t="shared" si="84"/>
        <v>GL232029</v>
      </c>
      <c r="C256" s="186">
        <v>232029</v>
      </c>
      <c r="D256" s="201"/>
      <c r="E256" s="162"/>
      <c r="F256" s="169" t="s">
        <v>3031</v>
      </c>
      <c r="G256" s="117"/>
      <c r="H256" s="118" t="s">
        <v>2758</v>
      </c>
      <c r="I256" s="119"/>
      <c r="J256" s="120"/>
      <c r="K256" s="120" t="str">
        <f t="shared" si="91"/>
        <v>SFAS-109</v>
      </c>
      <c r="L256" s="170" t="s">
        <v>930</v>
      </c>
      <c r="M256" s="122" t="str">
        <f t="shared" si="92"/>
        <v>N</v>
      </c>
      <c r="N256" s="116" t="str">
        <f>IF($L256&lt;&gt;"",VLOOKUP($L256,Categories!$E:$G,2,FALSE),IF($F256&lt;&gt;"","NO CAT",""))</f>
        <v>Not in Rate Base</v>
      </c>
      <c r="O256" s="116" t="str">
        <f>IF($L256&lt;&gt;"",VLOOKUP($L256,Categories!$E:$G,3,FALSE),IF($F256&lt;&gt;"","NO CAT",""))</f>
        <v>SFAS-109   (offsetting)</v>
      </c>
      <c r="P256" s="170" t="s">
        <v>1186</v>
      </c>
      <c r="Q256" s="123" t="s">
        <v>1187</v>
      </c>
      <c r="R256" s="124">
        <v>0</v>
      </c>
      <c r="S256" s="124">
        <v>0</v>
      </c>
      <c r="T256" s="124">
        <v>1</v>
      </c>
      <c r="U256" s="121">
        <f t="shared" si="85"/>
        <v>0</v>
      </c>
      <c r="V256" s="121">
        <f t="shared" si="86"/>
        <v>0</v>
      </c>
      <c r="W256" s="121">
        <f t="shared" si="87"/>
        <v>-2800.8619699999999</v>
      </c>
      <c r="X256" s="121">
        <f t="shared" si="82"/>
        <v>-2800.8619699999999</v>
      </c>
      <c r="Y256" s="121" t="str">
        <f t="shared" si="88"/>
        <v/>
      </c>
      <c r="Z256" s="121" t="str">
        <f t="shared" si="89"/>
        <v/>
      </c>
      <c r="AA256" s="121" t="str">
        <f t="shared" si="90"/>
        <v/>
      </c>
      <c r="AB256" s="121">
        <f t="shared" si="83"/>
        <v>0</v>
      </c>
      <c r="AC256" s="121">
        <v>-22406.895760000003</v>
      </c>
      <c r="AD256" s="121">
        <v>0</v>
      </c>
      <c r="AE256" s="121">
        <v>0</v>
      </c>
      <c r="AF256" s="121">
        <v>-22406.895760000003</v>
      </c>
      <c r="AG256" s="121">
        <v>0</v>
      </c>
      <c r="AH256" s="121">
        <v>0</v>
      </c>
      <c r="AI256" s="121">
        <v>0</v>
      </c>
      <c r="AJ256" s="121">
        <v>0</v>
      </c>
      <c r="AK256" s="121">
        <v>0</v>
      </c>
      <c r="AL256" s="121">
        <v>0</v>
      </c>
      <c r="AM256" s="121">
        <v>0</v>
      </c>
      <c r="AN256" s="121">
        <v>0</v>
      </c>
      <c r="AO256" s="121">
        <v>0</v>
      </c>
      <c r="AP256" s="125" t="str">
        <f>CONCATENATE(A256,M256)</f>
        <v>GLN</v>
      </c>
      <c r="AQ256" s="125" t="str">
        <f>CONCATENATE(AP256,L256,H256)</f>
        <v>GLNN3Transfer Goods Receipt</v>
      </c>
      <c r="AS256" s="125" t="str">
        <f>CONCATENATE(L256,H256,J256)</f>
        <v>N3Transfer Goods Receipt</v>
      </c>
    </row>
    <row r="257" spans="1:45" s="125" customFormat="1" ht="25.5" customHeight="1">
      <c r="A257" s="216" t="s">
        <v>2493</v>
      </c>
      <c r="B257" s="217" t="str">
        <f t="shared" si="84"/>
        <v>GL232030</v>
      </c>
      <c r="C257" s="186">
        <v>232030</v>
      </c>
      <c r="D257" s="201"/>
      <c r="E257" s="162"/>
      <c r="F257" s="169" t="s">
        <v>486</v>
      </c>
      <c r="G257" s="117"/>
      <c r="H257" s="118" t="s">
        <v>976</v>
      </c>
      <c r="I257" s="119"/>
      <c r="J257" s="120"/>
      <c r="K257" s="120" t="str">
        <f t="shared" si="91"/>
        <v/>
      </c>
      <c r="L257" s="170" t="s">
        <v>1419</v>
      </c>
      <c r="M257" s="122" t="str">
        <f t="shared" si="92"/>
        <v>A</v>
      </c>
      <c r="N257" s="116" t="str">
        <f>IF($L257&lt;&gt;"",VLOOKUP($L257,Categories!$E:$G,2,FALSE),IF($F257&lt;&gt;"","NO CAT",""))</f>
        <v>All Other</v>
      </c>
      <c r="O257" s="116" t="str">
        <f>IF($L257&lt;&gt;"",VLOOKUP($L257,Categories!$E:$G,3,FALSE),IF($F257&lt;&gt;"","NO CAT",""))</f>
        <v>EB-Cap</v>
      </c>
      <c r="P257" s="170" t="s">
        <v>1557</v>
      </c>
      <c r="Q257" s="123" t="s">
        <v>1891</v>
      </c>
      <c r="R257" s="124">
        <v>0.77544352505021785</v>
      </c>
      <c r="S257" s="124">
        <v>0.22455647494978223</v>
      </c>
      <c r="T257" s="124">
        <v>0</v>
      </c>
      <c r="U257" s="121">
        <f t="shared" si="85"/>
        <v>106.660330862802</v>
      </c>
      <c r="V257" s="121">
        <f t="shared" si="86"/>
        <v>30.887185387197899</v>
      </c>
      <c r="W257" s="121">
        <f t="shared" si="87"/>
        <v>0</v>
      </c>
      <c r="X257" s="121">
        <f t="shared" si="82"/>
        <v>137.54751625</v>
      </c>
      <c r="Y257" s="121" t="str">
        <f t="shared" si="88"/>
        <v/>
      </c>
      <c r="Z257" s="121" t="str">
        <f t="shared" si="89"/>
        <v/>
      </c>
      <c r="AA257" s="121" t="str">
        <f t="shared" si="90"/>
        <v/>
      </c>
      <c r="AB257" s="121">
        <f t="shared" si="83"/>
        <v>0</v>
      </c>
      <c r="AC257" s="121">
        <v>3289.2995899999996</v>
      </c>
      <c r="AD257" s="121">
        <v>0</v>
      </c>
      <c r="AE257" s="121">
        <v>0</v>
      </c>
      <c r="AF257" s="121">
        <v>0</v>
      </c>
      <c r="AG257" s="121">
        <v>0</v>
      </c>
      <c r="AH257" s="121">
        <v>2.2357399999999998</v>
      </c>
      <c r="AI257" s="121">
        <v>2.2357399999999998</v>
      </c>
      <c r="AJ257" s="121">
        <v>4.1526800000000001</v>
      </c>
      <c r="AK257" s="121">
        <v>-1.9169400000000001</v>
      </c>
      <c r="AL257" s="121">
        <v>-0.16370999999999999</v>
      </c>
      <c r="AM257" s="121">
        <v>-0.16370999999999999</v>
      </c>
      <c r="AN257" s="121">
        <v>-0.45939999999999998</v>
      </c>
      <c r="AO257" s="121">
        <v>0</v>
      </c>
      <c r="AP257" s="125" t="str">
        <f>CONCATENATE(A257,M257)</f>
        <v>GLA</v>
      </c>
      <c r="AQ257" s="125" t="str">
        <f>CONCATENATE(AP257,L257,H257)</f>
        <v>GLAA2Accounts Payable</v>
      </c>
      <c r="AS257" s="125" t="str">
        <f>CONCATENATE(L257,H257,J257)</f>
        <v>A2Accounts Payable</v>
      </c>
    </row>
    <row r="258" spans="1:45" s="125" customFormat="1" ht="25.5" customHeight="1">
      <c r="A258" s="216" t="s">
        <v>2493</v>
      </c>
      <c r="B258" s="217" t="str">
        <f t="shared" si="84"/>
        <v>GL232060</v>
      </c>
      <c r="C258" s="186">
        <v>232060</v>
      </c>
      <c r="D258" s="201"/>
      <c r="E258" s="162"/>
      <c r="F258" s="169" t="s">
        <v>487</v>
      </c>
      <c r="G258" s="117"/>
      <c r="H258" s="118" t="s">
        <v>976</v>
      </c>
      <c r="I258" s="119"/>
      <c r="J258" s="120"/>
      <c r="K258" s="120" t="str">
        <f t="shared" si="91"/>
        <v/>
      </c>
      <c r="L258" s="170" t="s">
        <v>1419</v>
      </c>
      <c r="M258" s="122" t="str">
        <f t="shared" si="92"/>
        <v>A</v>
      </c>
      <c r="N258" s="116" t="str">
        <f>IF($L258&lt;&gt;"",VLOOKUP($L258,Categories!$E:$G,2,FALSE),IF($F258&lt;&gt;"","NO CAT",""))</f>
        <v>All Other</v>
      </c>
      <c r="O258" s="116" t="str">
        <f>IF($L258&lt;&gt;"",VLOOKUP($L258,Categories!$E:$G,3,FALSE),IF($F258&lt;&gt;"","NO CAT",""))</f>
        <v>EB-Cap</v>
      </c>
      <c r="P258" s="170" t="s">
        <v>1557</v>
      </c>
      <c r="Q258" s="123" t="s">
        <v>1891</v>
      </c>
      <c r="R258" s="124">
        <v>0.77544352505021785</v>
      </c>
      <c r="S258" s="124">
        <v>0.22455647494978223</v>
      </c>
      <c r="T258" s="124">
        <v>0</v>
      </c>
      <c r="U258" s="121" t="str">
        <f t="shared" si="85"/>
        <v/>
      </c>
      <c r="V258" s="121" t="str">
        <f t="shared" si="86"/>
        <v/>
      </c>
      <c r="W258" s="121" t="str">
        <f t="shared" si="87"/>
        <v/>
      </c>
      <c r="X258" s="121">
        <f t="shared" si="82"/>
        <v>0</v>
      </c>
      <c r="Y258" s="121" t="str">
        <f t="shared" si="88"/>
        <v/>
      </c>
      <c r="Z258" s="121" t="str">
        <f t="shared" si="89"/>
        <v/>
      </c>
      <c r="AA258" s="121" t="str">
        <f t="shared" si="90"/>
        <v/>
      </c>
      <c r="AB258" s="121">
        <f t="shared" si="83"/>
        <v>0</v>
      </c>
      <c r="AC258" s="121">
        <v>0</v>
      </c>
      <c r="AD258" s="121">
        <v>0</v>
      </c>
      <c r="AE258" s="121">
        <v>0</v>
      </c>
      <c r="AF258" s="121">
        <v>0</v>
      </c>
      <c r="AG258" s="121">
        <v>0</v>
      </c>
      <c r="AH258" s="121">
        <v>0</v>
      </c>
      <c r="AI258" s="121">
        <v>0</v>
      </c>
      <c r="AJ258" s="121">
        <v>0</v>
      </c>
      <c r="AK258" s="121">
        <v>0</v>
      </c>
      <c r="AL258" s="121">
        <v>0</v>
      </c>
      <c r="AM258" s="121">
        <v>0</v>
      </c>
      <c r="AN258" s="121">
        <v>0</v>
      </c>
      <c r="AO258" s="121">
        <v>0</v>
      </c>
      <c r="AP258" s="125" t="str">
        <f>CONCATENATE(A258,M258)</f>
        <v>GLA</v>
      </c>
      <c r="AQ258" s="125" t="str">
        <f>CONCATENATE(AP258,L258,H258)</f>
        <v>GLAA2Accounts Payable</v>
      </c>
      <c r="AS258" s="125" t="str">
        <f>CONCATENATE(L258,H258,J258)</f>
        <v>A2Accounts Payable</v>
      </c>
    </row>
    <row r="259" spans="1:45" s="125" customFormat="1" ht="25.5" customHeight="1">
      <c r="A259" s="216" t="s">
        <v>2493</v>
      </c>
      <c r="B259" s="217" t="str">
        <f t="shared" si="84"/>
        <v>GL232069</v>
      </c>
      <c r="C259" s="186">
        <v>232069</v>
      </c>
      <c r="D259" s="201"/>
      <c r="E259" s="162"/>
      <c r="F259" s="169" t="s">
        <v>2422</v>
      </c>
      <c r="G259" s="117"/>
      <c r="H259" s="118" t="s">
        <v>976</v>
      </c>
      <c r="I259" s="119"/>
      <c r="J259" s="120"/>
      <c r="K259" s="120" t="str">
        <f t="shared" si="91"/>
        <v/>
      </c>
      <c r="L259" s="170" t="s">
        <v>1419</v>
      </c>
      <c r="M259" s="122" t="str">
        <f t="shared" si="92"/>
        <v>A</v>
      </c>
      <c r="N259" s="116" t="str">
        <f>IF($L259&lt;&gt;"",VLOOKUP($L259,Categories!$E:$G,2,FALSE),IF($F259&lt;&gt;"","NO CAT",""))</f>
        <v>All Other</v>
      </c>
      <c r="O259" s="116" t="str">
        <f>IF($L259&lt;&gt;"",VLOOKUP($L259,Categories!$E:$G,3,FALSE),IF($F259&lt;&gt;"","NO CAT",""))</f>
        <v>EB-Cap</v>
      </c>
      <c r="P259" s="170" t="s">
        <v>1557</v>
      </c>
      <c r="Q259" s="123" t="s">
        <v>1891</v>
      </c>
      <c r="R259" s="124">
        <v>0.77544352505021785</v>
      </c>
      <c r="S259" s="124">
        <v>0.22455647494978223</v>
      </c>
      <c r="T259" s="124">
        <v>0</v>
      </c>
      <c r="U259" s="121">
        <f t="shared" si="85"/>
        <v>2.5332841741307499</v>
      </c>
      <c r="V259" s="121">
        <f t="shared" si="86"/>
        <v>0.73359999253592401</v>
      </c>
      <c r="W259" s="121">
        <f t="shared" si="87"/>
        <v>0</v>
      </c>
      <c r="X259" s="121">
        <f t="shared" si="82"/>
        <v>3.2668841666666699</v>
      </c>
      <c r="Y259" s="121" t="str">
        <f t="shared" si="88"/>
        <v/>
      </c>
      <c r="Z259" s="121" t="str">
        <f t="shared" si="89"/>
        <v/>
      </c>
      <c r="AA259" s="121" t="str">
        <f t="shared" si="90"/>
        <v/>
      </c>
      <c r="AB259" s="121">
        <f t="shared" si="83"/>
        <v>0</v>
      </c>
      <c r="AC259" s="121">
        <v>6.9590399999999999</v>
      </c>
      <c r="AD259" s="121">
        <v>0.27494999999999997</v>
      </c>
      <c r="AE259" s="121">
        <v>0.37063999999999997</v>
      </c>
      <c r="AF259" s="121">
        <v>-0.36624000000000001</v>
      </c>
      <c r="AG259" s="121">
        <v>-0.31644</v>
      </c>
      <c r="AH259" s="121">
        <v>0</v>
      </c>
      <c r="AI259" s="121">
        <v>0</v>
      </c>
      <c r="AJ259" s="121">
        <v>0</v>
      </c>
      <c r="AK259" s="121">
        <v>0</v>
      </c>
      <c r="AL259" s="121">
        <v>0</v>
      </c>
      <c r="AM259" s="121">
        <v>35.760179999999998</v>
      </c>
      <c r="AN259" s="121">
        <v>0</v>
      </c>
      <c r="AO259" s="121">
        <v>0</v>
      </c>
      <c r="AP259" s="125" t="str">
        <f>CONCATENATE(A259,M259)</f>
        <v>GLA</v>
      </c>
      <c r="AQ259" s="125" t="str">
        <f>CONCATENATE(AP259,L259,H259)</f>
        <v>GLAA2Accounts Payable</v>
      </c>
      <c r="AS259" s="125" t="str">
        <f>CONCATENATE(L259,H259,J259)</f>
        <v>A2Accounts Payable</v>
      </c>
    </row>
    <row r="260" spans="1:45" s="125" customFormat="1" ht="25.5" customHeight="1">
      <c r="A260" s="216" t="s">
        <v>2493</v>
      </c>
      <c r="B260" s="217" t="str">
        <f t="shared" si="84"/>
        <v>GL232070</v>
      </c>
      <c r="C260" s="186">
        <v>232070</v>
      </c>
      <c r="D260" s="201"/>
      <c r="E260" s="162"/>
      <c r="F260" s="169" t="s">
        <v>2423</v>
      </c>
      <c r="G260" s="117"/>
      <c r="H260" s="118" t="s">
        <v>976</v>
      </c>
      <c r="I260" s="119"/>
      <c r="J260" s="120"/>
      <c r="K260" s="120" t="str">
        <f t="shared" si="91"/>
        <v/>
      </c>
      <c r="L260" s="170" t="s">
        <v>1419</v>
      </c>
      <c r="M260" s="122" t="str">
        <f t="shared" si="92"/>
        <v>A</v>
      </c>
      <c r="N260" s="116" t="str">
        <f>IF($L260&lt;&gt;"",VLOOKUP($L260,Categories!$E:$G,2,FALSE),IF($F260&lt;&gt;"","NO CAT",""))</f>
        <v>All Other</v>
      </c>
      <c r="O260" s="116" t="str">
        <f>IF($L260&lt;&gt;"",VLOOKUP($L260,Categories!$E:$G,3,FALSE),IF($F260&lt;&gt;"","NO CAT",""))</f>
        <v>EB-Cap</v>
      </c>
      <c r="P260" s="170" t="s">
        <v>1557</v>
      </c>
      <c r="Q260" s="123" t="s">
        <v>1891</v>
      </c>
      <c r="R260" s="124">
        <v>0.77544352505021785</v>
      </c>
      <c r="S260" s="124">
        <v>0.22455647494978223</v>
      </c>
      <c r="T260" s="124">
        <v>0</v>
      </c>
      <c r="U260" s="121">
        <f t="shared" si="85"/>
        <v>3.4113053072839998E-3</v>
      </c>
      <c r="V260" s="121">
        <f t="shared" si="86"/>
        <v>9.8786135938299996E-4</v>
      </c>
      <c r="W260" s="121">
        <f t="shared" si="87"/>
        <v>0</v>
      </c>
      <c r="X260" s="121">
        <f t="shared" si="82"/>
        <v>4.3991666666669997E-3</v>
      </c>
      <c r="Y260" s="121" t="str">
        <f t="shared" si="88"/>
        <v/>
      </c>
      <c r="Z260" s="121" t="str">
        <f t="shared" si="89"/>
        <v/>
      </c>
      <c r="AA260" s="121" t="str">
        <f t="shared" si="90"/>
        <v/>
      </c>
      <c r="AB260" s="121">
        <f t="shared" si="83"/>
        <v>0</v>
      </c>
      <c r="AC260" s="121">
        <v>0</v>
      </c>
      <c r="AD260" s="121">
        <v>0</v>
      </c>
      <c r="AE260" s="121">
        <v>0</v>
      </c>
      <c r="AF260" s="121">
        <v>0</v>
      </c>
      <c r="AG260" s="121">
        <v>0</v>
      </c>
      <c r="AH260" s="121">
        <v>0</v>
      </c>
      <c r="AI260" s="121">
        <v>0</v>
      </c>
      <c r="AJ260" s="121">
        <v>-1.6280000000000003E-2</v>
      </c>
      <c r="AK260" s="121">
        <v>0</v>
      </c>
      <c r="AL260" s="121">
        <v>6.9069999999999993E-2</v>
      </c>
      <c r="AM260" s="121">
        <v>0</v>
      </c>
      <c r="AN260" s="121">
        <v>0</v>
      </c>
      <c r="AO260" s="121">
        <v>0</v>
      </c>
      <c r="AP260" s="125" t="str">
        <f>CONCATENATE(A260,M260)</f>
        <v>GLA</v>
      </c>
      <c r="AQ260" s="125" t="str">
        <f>CONCATENATE(AP260,L260,H260)</f>
        <v>GLAA2Accounts Payable</v>
      </c>
      <c r="AS260" s="125" t="str">
        <f>CONCATENATE(L260,H260,J260)</f>
        <v>A2Accounts Payable</v>
      </c>
    </row>
    <row r="261" spans="1:45" s="125" customFormat="1" ht="25.5" customHeight="1">
      <c r="A261" s="216" t="s">
        <v>2493</v>
      </c>
      <c r="B261" s="217" t="str">
        <f t="shared" si="84"/>
        <v>GL232101</v>
      </c>
      <c r="C261" s="186">
        <v>232101</v>
      </c>
      <c r="D261" s="201"/>
      <c r="E261" s="162"/>
      <c r="F261" s="169" t="s">
        <v>307</v>
      </c>
      <c r="G261" s="117"/>
      <c r="H261" s="118" t="s">
        <v>976</v>
      </c>
      <c r="I261" s="119"/>
      <c r="J261" s="120"/>
      <c r="K261" s="120" t="str">
        <f t="shared" si="91"/>
        <v/>
      </c>
      <c r="L261" s="170" t="s">
        <v>1419</v>
      </c>
      <c r="M261" s="122" t="str">
        <f t="shared" si="92"/>
        <v>A</v>
      </c>
      <c r="N261" s="116" t="str">
        <f>IF($L261&lt;&gt;"",VLOOKUP($L261,Categories!$E:$G,2,FALSE),IF($F261&lt;&gt;"","NO CAT",""))</f>
        <v>All Other</v>
      </c>
      <c r="O261" s="116" t="str">
        <f>IF($L261&lt;&gt;"",VLOOKUP($L261,Categories!$E:$G,3,FALSE),IF($F261&lt;&gt;"","NO CAT",""))</f>
        <v>EB-Cap</v>
      </c>
      <c r="P261" s="170" t="s">
        <v>1557</v>
      </c>
      <c r="Q261" s="123" t="s">
        <v>1891</v>
      </c>
      <c r="R261" s="124">
        <v>0.77544352505021785</v>
      </c>
      <c r="S261" s="124">
        <v>0.22455647494978223</v>
      </c>
      <c r="T261" s="124">
        <v>0</v>
      </c>
      <c r="U261" s="121">
        <f t="shared" si="85"/>
        <v>-6.8298157773203999E-2</v>
      </c>
      <c r="V261" s="121">
        <f t="shared" si="86"/>
        <v>-1.9778092226795999E-2</v>
      </c>
      <c r="W261" s="121">
        <f t="shared" si="87"/>
        <v>0</v>
      </c>
      <c r="X261" s="121">
        <f t="shared" ref="X261:X285" si="93">IF(ISERROR(ROUND((SUM(AC261:AO261)-((AC261+AO261))/2)/12,15)),"",ROUND((SUM(AC261:AO261)-((AC261+AO261))/2)/12,15))</f>
        <v>-8.8076249999999995E-2</v>
      </c>
      <c r="Y261" s="121" t="str">
        <f t="shared" si="88"/>
        <v/>
      </c>
      <c r="Z261" s="121" t="str">
        <f t="shared" si="89"/>
        <v/>
      </c>
      <c r="AA261" s="121" t="str">
        <f t="shared" si="90"/>
        <v/>
      </c>
      <c r="AB261" s="121">
        <f t="shared" ref="AB261:AB285" si="94">IF(AO261="",0,+AO261)</f>
        <v>0</v>
      </c>
      <c r="AC261" s="121">
        <v>-0.78230999999999995</v>
      </c>
      <c r="AD261" s="121">
        <v>-6.9349999999999995E-2</v>
      </c>
      <c r="AE261" s="121">
        <v>-5.5479999999999995E-2</v>
      </c>
      <c r="AF261" s="121">
        <v>-5.5479999999999995E-2</v>
      </c>
      <c r="AG261" s="121">
        <v>-5.5479999999999995E-2</v>
      </c>
      <c r="AH261" s="121">
        <v>-6.9349999999999995E-2</v>
      </c>
      <c r="AI261" s="121">
        <v>-5.5479999999999995E-2</v>
      </c>
      <c r="AJ261" s="121">
        <v>-5.5479999999999995E-2</v>
      </c>
      <c r="AK261" s="121">
        <v>-6.9349999999999995E-2</v>
      </c>
      <c r="AL261" s="121">
        <v>-5.5479999999999995E-2</v>
      </c>
      <c r="AM261" s="121">
        <v>-6.9349999999999995E-2</v>
      </c>
      <c r="AN261" s="121">
        <v>-5.5479999999999995E-2</v>
      </c>
      <c r="AO261" s="121">
        <v>0</v>
      </c>
      <c r="AP261" s="125" t="str">
        <f>CONCATENATE(A261,M261)</f>
        <v>GLA</v>
      </c>
      <c r="AQ261" s="125" t="str">
        <f>CONCATENATE(AP261,L261,H261)</f>
        <v>GLAA2Accounts Payable</v>
      </c>
      <c r="AS261" s="125" t="str">
        <f>CONCATENATE(L261,H261,J261)</f>
        <v>A2Accounts Payable</v>
      </c>
    </row>
    <row r="262" spans="1:45" s="125" customFormat="1" ht="25.5" customHeight="1">
      <c r="A262" s="216" t="s">
        <v>2493</v>
      </c>
      <c r="B262" s="217" t="str">
        <f t="shared" si="84"/>
        <v>GL232115</v>
      </c>
      <c r="C262" s="186">
        <v>232115</v>
      </c>
      <c r="D262" s="201"/>
      <c r="E262" s="162"/>
      <c r="F262" s="169" t="s">
        <v>1598</v>
      </c>
      <c r="G262" s="117"/>
      <c r="H262" s="118" t="s">
        <v>976</v>
      </c>
      <c r="I262" s="119"/>
      <c r="J262" s="120"/>
      <c r="K262" s="120" t="str">
        <f t="shared" si="91"/>
        <v/>
      </c>
      <c r="L262" s="170" t="s">
        <v>1419</v>
      </c>
      <c r="M262" s="122" t="str">
        <f t="shared" si="92"/>
        <v>A</v>
      </c>
      <c r="N262" s="116" t="str">
        <f>IF($L262&lt;&gt;"",VLOOKUP($L262,Categories!$E:$G,2,FALSE),IF($F262&lt;&gt;"","NO CAT",""))</f>
        <v>All Other</v>
      </c>
      <c r="O262" s="116" t="str">
        <f>IF($L262&lt;&gt;"",VLOOKUP($L262,Categories!$E:$G,3,FALSE),IF($F262&lt;&gt;"","NO CAT",""))</f>
        <v>EB-Cap</v>
      </c>
      <c r="P262" s="170" t="s">
        <v>1557</v>
      </c>
      <c r="Q262" s="123" t="s">
        <v>1891</v>
      </c>
      <c r="R262" s="124">
        <v>0.77544352505021785</v>
      </c>
      <c r="S262" s="124">
        <v>0.22455647494978223</v>
      </c>
      <c r="T262" s="124">
        <v>0</v>
      </c>
      <c r="U262" s="121" t="str">
        <f t="shared" si="85"/>
        <v/>
      </c>
      <c r="V262" s="121" t="str">
        <f t="shared" si="86"/>
        <v/>
      </c>
      <c r="W262" s="121" t="str">
        <f t="shared" si="87"/>
        <v/>
      </c>
      <c r="X262" s="121">
        <f t="shared" si="93"/>
        <v>0</v>
      </c>
      <c r="Y262" s="121" t="str">
        <f t="shared" si="88"/>
        <v/>
      </c>
      <c r="Z262" s="121" t="str">
        <f t="shared" si="89"/>
        <v/>
      </c>
      <c r="AA262" s="121" t="str">
        <f t="shared" si="90"/>
        <v/>
      </c>
      <c r="AB262" s="121">
        <f t="shared" si="94"/>
        <v>0</v>
      </c>
      <c r="AC262" s="121">
        <v>0</v>
      </c>
      <c r="AD262" s="121">
        <v>0</v>
      </c>
      <c r="AE262" s="121">
        <v>0</v>
      </c>
      <c r="AF262" s="121">
        <v>0</v>
      </c>
      <c r="AG262" s="121">
        <v>0</v>
      </c>
      <c r="AH262" s="121">
        <v>0</v>
      </c>
      <c r="AI262" s="121">
        <v>0</v>
      </c>
      <c r="AJ262" s="121">
        <v>0</v>
      </c>
      <c r="AK262" s="121">
        <v>0</v>
      </c>
      <c r="AL262" s="121">
        <v>0</v>
      </c>
      <c r="AM262" s="121">
        <v>0</v>
      </c>
      <c r="AN262" s="121">
        <v>0</v>
      </c>
      <c r="AO262" s="121">
        <v>0</v>
      </c>
      <c r="AP262" s="125" t="str">
        <f>CONCATENATE(A262,M262)</f>
        <v>GLA</v>
      </c>
      <c r="AQ262" s="125" t="str">
        <f>CONCATENATE(AP262,L262,H262)</f>
        <v>GLAA2Accounts Payable</v>
      </c>
      <c r="AS262" s="125" t="str">
        <f>CONCATENATE(L262,H262,J262)</f>
        <v>A2Accounts Payable</v>
      </c>
    </row>
    <row r="263" spans="1:45" s="125" customFormat="1" ht="25.5" customHeight="1">
      <c r="A263" s="216" t="s">
        <v>2493</v>
      </c>
      <c r="B263" s="217" t="str">
        <f t="shared" si="84"/>
        <v>GL232120</v>
      </c>
      <c r="C263" s="186">
        <v>232120</v>
      </c>
      <c r="D263" s="201"/>
      <c r="E263" s="162"/>
      <c r="F263" s="169" t="s">
        <v>1599</v>
      </c>
      <c r="G263" s="117"/>
      <c r="H263" s="118" t="s">
        <v>976</v>
      </c>
      <c r="I263" s="119"/>
      <c r="J263" s="120"/>
      <c r="K263" s="120" t="str">
        <f t="shared" si="91"/>
        <v/>
      </c>
      <c r="L263" s="170" t="s">
        <v>1419</v>
      </c>
      <c r="M263" s="122" t="str">
        <f t="shared" si="92"/>
        <v>A</v>
      </c>
      <c r="N263" s="116" t="str">
        <f>IF($L263&lt;&gt;"",VLOOKUP($L263,Categories!$E:$G,2,FALSE),IF($F263&lt;&gt;"","NO CAT",""))</f>
        <v>All Other</v>
      </c>
      <c r="O263" s="116" t="str">
        <f>IF($L263&lt;&gt;"",VLOOKUP($L263,Categories!$E:$G,3,FALSE),IF($F263&lt;&gt;"","NO CAT",""))</f>
        <v>EB-Cap</v>
      </c>
      <c r="P263" s="170" t="s">
        <v>1557</v>
      </c>
      <c r="Q263" s="123" t="s">
        <v>1891</v>
      </c>
      <c r="R263" s="124">
        <v>0.77544352505021785</v>
      </c>
      <c r="S263" s="124">
        <v>0.22455647494978223</v>
      </c>
      <c r="T263" s="124">
        <v>0</v>
      </c>
      <c r="U263" s="121" t="str">
        <f t="shared" si="85"/>
        <v/>
      </c>
      <c r="V263" s="121" t="str">
        <f t="shared" si="86"/>
        <v/>
      </c>
      <c r="W263" s="121" t="str">
        <f t="shared" si="87"/>
        <v/>
      </c>
      <c r="X263" s="121">
        <f t="shared" si="93"/>
        <v>0</v>
      </c>
      <c r="Y263" s="121" t="str">
        <f t="shared" si="88"/>
        <v/>
      </c>
      <c r="Z263" s="121" t="str">
        <f t="shared" si="89"/>
        <v/>
      </c>
      <c r="AA263" s="121" t="str">
        <f t="shared" si="90"/>
        <v/>
      </c>
      <c r="AB263" s="121">
        <f t="shared" si="94"/>
        <v>0</v>
      </c>
      <c r="AC263" s="121">
        <v>0</v>
      </c>
      <c r="AD263" s="121">
        <v>0</v>
      </c>
      <c r="AE263" s="121">
        <v>0</v>
      </c>
      <c r="AF263" s="121">
        <v>0</v>
      </c>
      <c r="AG263" s="121">
        <v>0</v>
      </c>
      <c r="AH263" s="121">
        <v>0</v>
      </c>
      <c r="AI263" s="121">
        <v>0</v>
      </c>
      <c r="AJ263" s="121">
        <v>0</v>
      </c>
      <c r="AK263" s="121">
        <v>0</v>
      </c>
      <c r="AL263" s="121">
        <v>0</v>
      </c>
      <c r="AM263" s="121">
        <v>0</v>
      </c>
      <c r="AN263" s="121">
        <v>0</v>
      </c>
      <c r="AO263" s="121">
        <v>0</v>
      </c>
      <c r="AP263" s="125" t="str">
        <f>CONCATENATE(A263,M263)</f>
        <v>GLA</v>
      </c>
      <c r="AQ263" s="125" t="str">
        <f>CONCATENATE(AP263,L263,H263)</f>
        <v>GLAA2Accounts Payable</v>
      </c>
      <c r="AS263" s="125" t="str">
        <f>CONCATENATE(L263,H263,J263)</f>
        <v>A2Accounts Payable</v>
      </c>
    </row>
    <row r="264" spans="1:45" s="125" customFormat="1" ht="25.5" customHeight="1">
      <c r="A264" s="216" t="s">
        <v>2493</v>
      </c>
      <c r="B264" s="217" t="str">
        <f t="shared" si="84"/>
        <v>GL232130</v>
      </c>
      <c r="C264" s="186">
        <v>232130</v>
      </c>
      <c r="D264" s="201"/>
      <c r="E264" s="162"/>
      <c r="F264" s="169" t="s">
        <v>2424</v>
      </c>
      <c r="G264" s="117"/>
      <c r="H264" s="118" t="s">
        <v>976</v>
      </c>
      <c r="I264" s="119"/>
      <c r="J264" s="120"/>
      <c r="K264" s="120" t="str">
        <f t="shared" si="91"/>
        <v/>
      </c>
      <c r="L264" s="170" t="s">
        <v>1419</v>
      </c>
      <c r="M264" s="122" t="str">
        <f t="shared" si="92"/>
        <v>A</v>
      </c>
      <c r="N264" s="116" t="str">
        <f>IF($L264&lt;&gt;"",VLOOKUP($L264,Categories!$E:$G,2,FALSE),IF($F264&lt;&gt;"","NO CAT",""))</f>
        <v>All Other</v>
      </c>
      <c r="O264" s="116" t="str">
        <f>IF($L264&lt;&gt;"",VLOOKUP($L264,Categories!$E:$G,3,FALSE),IF($F264&lt;&gt;"","NO CAT",""))</f>
        <v>EB-Cap</v>
      </c>
      <c r="P264" s="170" t="s">
        <v>1557</v>
      </c>
      <c r="Q264" s="123" t="s">
        <v>1891</v>
      </c>
      <c r="R264" s="124">
        <v>0.77544352505021785</v>
      </c>
      <c r="S264" s="124">
        <v>0.22455647494978223</v>
      </c>
      <c r="T264" s="124">
        <v>0</v>
      </c>
      <c r="U264" s="121">
        <f t="shared" si="85"/>
        <v>-77.994012172907603</v>
      </c>
      <c r="V264" s="121">
        <f t="shared" si="86"/>
        <v>-22.585861993759401</v>
      </c>
      <c r="W264" s="121">
        <f t="shared" si="87"/>
        <v>0</v>
      </c>
      <c r="X264" s="121">
        <f t="shared" si="93"/>
        <v>-100.579874166667</v>
      </c>
      <c r="Y264" s="121">
        <f t="shared" si="88"/>
        <v>-103.295870421968</v>
      </c>
      <c r="Z264" s="121">
        <f t="shared" si="89"/>
        <v>-29.912889578031599</v>
      </c>
      <c r="AA264" s="121">
        <f t="shared" si="90"/>
        <v>0</v>
      </c>
      <c r="AB264" s="121">
        <f t="shared" si="94"/>
        <v>-133.20876000000001</v>
      </c>
      <c r="AC264" s="121">
        <v>-105.98352</v>
      </c>
      <c r="AD264" s="121">
        <v>-113.0034</v>
      </c>
      <c r="AE264" s="121">
        <v>-98.498080000000002</v>
      </c>
      <c r="AF264" s="121">
        <v>-91.578279999999992</v>
      </c>
      <c r="AG264" s="121">
        <v>-76.060649999999995</v>
      </c>
      <c r="AH264" s="121">
        <v>-78.855329999999995</v>
      </c>
      <c r="AI264" s="121">
        <v>-81.735110000000006</v>
      </c>
      <c r="AJ264" s="121">
        <v>-87.565919999999991</v>
      </c>
      <c r="AK264" s="121">
        <v>-107.29539</v>
      </c>
      <c r="AL264" s="121">
        <v>-110.51407</v>
      </c>
      <c r="AM264" s="121">
        <v>-118.20715</v>
      </c>
      <c r="AN264" s="121">
        <v>-124.04897</v>
      </c>
      <c r="AO264" s="121">
        <v>-133.20876000000001</v>
      </c>
      <c r="AP264" s="125" t="str">
        <f>CONCATENATE(A264,M264)</f>
        <v>GLA</v>
      </c>
      <c r="AQ264" s="125" t="str">
        <f>CONCATENATE(AP264,L264,H264)</f>
        <v>GLAA2Accounts Payable</v>
      </c>
      <c r="AS264" s="125" t="str">
        <f>CONCATENATE(L264,H264,J264)</f>
        <v>A2Accounts Payable</v>
      </c>
    </row>
    <row r="265" spans="1:45" s="125" customFormat="1" ht="25.5" customHeight="1">
      <c r="A265" s="216" t="s">
        <v>2493</v>
      </c>
      <c r="B265" s="217" t="str">
        <f t="shared" ref="B265:B295" si="95">CONCATENATE(A265,C265,D265,E265)</f>
        <v>GL232260</v>
      </c>
      <c r="C265" s="186">
        <v>232260</v>
      </c>
      <c r="D265" s="201"/>
      <c r="E265" s="162"/>
      <c r="F265" s="169" t="s">
        <v>1507</v>
      </c>
      <c r="G265" s="117"/>
      <c r="H265" s="118" t="s">
        <v>976</v>
      </c>
      <c r="I265" s="119"/>
      <c r="J265" s="120"/>
      <c r="K265" s="120" t="str">
        <f t="shared" si="91"/>
        <v/>
      </c>
      <c r="L265" s="170" t="s">
        <v>1419</v>
      </c>
      <c r="M265" s="122" t="str">
        <f t="shared" si="92"/>
        <v>A</v>
      </c>
      <c r="N265" s="116" t="str">
        <f>IF($L265&lt;&gt;"",VLOOKUP($L265,Categories!$E:$G,2,FALSE),IF($F265&lt;&gt;"","NO CAT",""))</f>
        <v>All Other</v>
      </c>
      <c r="O265" s="116" t="str">
        <f>IF($L265&lt;&gt;"",VLOOKUP($L265,Categories!$E:$G,3,FALSE),IF($F265&lt;&gt;"","NO CAT",""))</f>
        <v>EB-Cap</v>
      </c>
      <c r="P265" s="170" t="s">
        <v>1557</v>
      </c>
      <c r="Q265" s="123" t="s">
        <v>1891</v>
      </c>
      <c r="R265" s="124">
        <v>0.77544352505021785</v>
      </c>
      <c r="S265" s="124">
        <v>0.22455647494978223</v>
      </c>
      <c r="T265" s="124">
        <v>0</v>
      </c>
      <c r="U265" s="121">
        <f t="shared" ref="U265:U299" si="96">IF(ABS(X265)=0,"",IF($R265="NO ALLOC","NO ALLOC",ROUND($R265*X265,15)))</f>
        <v>77.822194243148999</v>
      </c>
      <c r="V265" s="121">
        <f t="shared" ref="V265:V299" si="97">IF(ABS(X265)=0,"",IF($S265="NO ALLOC","NO ALLOC",ROUND($S265*X265,15)))</f>
        <v>22.536106173518</v>
      </c>
      <c r="W265" s="121">
        <f t="shared" ref="W265:W299" si="98">IF(ABS(X265)=0,"",IF($T265="NO ALLOC","NO ALLOC",ROUND($T265*X265,15)))</f>
        <v>0</v>
      </c>
      <c r="X265" s="121">
        <f t="shared" si="93"/>
        <v>100.35830041666701</v>
      </c>
      <c r="Y265" s="121" t="str">
        <f t="shared" ref="Y265:Y299" si="99">IF(ABS(AB265)=0,"",IF($R265="NO ALLOC","NO ALLOC",ROUND($R265*AB265,15)))</f>
        <v/>
      </c>
      <c r="Z265" s="121" t="str">
        <f t="shared" ref="Z265:Z299" si="100">IF(ABS(AB265)=0,"",IF($S265="NO ALLOC","NO ALLOC",ROUND($S265*AB265,15)))</f>
        <v/>
      </c>
      <c r="AA265" s="121" t="str">
        <f t="shared" ref="AA265:AA299" si="101">IF(ABS(AB265)=0,"",IF($T265="NO ALLOC","NO ALLOC",ROUND($T265*AB265,15)))</f>
        <v/>
      </c>
      <c r="AB265" s="121">
        <f t="shared" si="94"/>
        <v>0</v>
      </c>
      <c r="AC265" s="121">
        <v>12.400169999999999</v>
      </c>
      <c r="AD265" s="121">
        <v>52.956199999999995</v>
      </c>
      <c r="AE265" s="121">
        <v>16.000700000000002</v>
      </c>
      <c r="AF265" s="121">
        <v>7.51</v>
      </c>
      <c r="AG265" s="121">
        <v>18.86</v>
      </c>
      <c r="AH265" s="121">
        <v>10.45965</v>
      </c>
      <c r="AI265" s="121">
        <v>23.084199999999999</v>
      </c>
      <c r="AJ265" s="121">
        <v>55.998599999999996</v>
      </c>
      <c r="AK265" s="121">
        <v>46.753</v>
      </c>
      <c r="AL265" s="121">
        <v>20.885999999999999</v>
      </c>
      <c r="AM265" s="121">
        <v>15.414</v>
      </c>
      <c r="AN265" s="121">
        <v>930.17717000000005</v>
      </c>
      <c r="AO265" s="121">
        <v>0</v>
      </c>
      <c r="AP265" s="125" t="str">
        <f>CONCATENATE(A265,M265)</f>
        <v>GLA</v>
      </c>
      <c r="AQ265" s="125" t="str">
        <f>CONCATENATE(AP265,L265,H265)</f>
        <v>GLAA2Accounts Payable</v>
      </c>
      <c r="AS265" s="125" t="str">
        <f>CONCATENATE(L265,H265,J265)</f>
        <v>A2Accounts Payable</v>
      </c>
    </row>
    <row r="266" spans="1:45" s="125" customFormat="1" ht="25.5" customHeight="1">
      <c r="A266" s="216" t="s">
        <v>2493</v>
      </c>
      <c r="B266" s="217" t="str">
        <f t="shared" si="95"/>
        <v>GL232270</v>
      </c>
      <c r="C266" s="186">
        <v>232270</v>
      </c>
      <c r="D266" s="201"/>
      <c r="E266" s="162"/>
      <c r="F266" s="169" t="s">
        <v>1508</v>
      </c>
      <c r="G266" s="117"/>
      <c r="H266" s="118" t="s">
        <v>976</v>
      </c>
      <c r="I266" s="119"/>
      <c r="J266" s="120"/>
      <c r="K266" s="120" t="str">
        <f t="shared" si="91"/>
        <v/>
      </c>
      <c r="L266" s="170" t="s">
        <v>1419</v>
      </c>
      <c r="M266" s="122" t="str">
        <f t="shared" si="92"/>
        <v>A</v>
      </c>
      <c r="N266" s="116" t="str">
        <f>IF($L266&lt;&gt;"",VLOOKUP($L266,Categories!$E:$G,2,FALSE),IF($F266&lt;&gt;"","NO CAT",""))</f>
        <v>All Other</v>
      </c>
      <c r="O266" s="116" t="str">
        <f>IF($L266&lt;&gt;"",VLOOKUP($L266,Categories!$E:$G,3,FALSE),IF($F266&lt;&gt;"","NO CAT",""))</f>
        <v>EB-Cap</v>
      </c>
      <c r="P266" s="170" t="s">
        <v>1557</v>
      </c>
      <c r="Q266" s="123" t="s">
        <v>1891</v>
      </c>
      <c r="R266" s="124">
        <v>0.77544352505021785</v>
      </c>
      <c r="S266" s="124">
        <v>0.22455647494978223</v>
      </c>
      <c r="T266" s="124">
        <v>0</v>
      </c>
      <c r="U266" s="121">
        <f t="shared" si="96"/>
        <v>-529.35499798280205</v>
      </c>
      <c r="V266" s="121">
        <f t="shared" si="97"/>
        <v>-153.29303618386501</v>
      </c>
      <c r="W266" s="121">
        <f t="shared" si="98"/>
        <v>0</v>
      </c>
      <c r="X266" s="121">
        <f t="shared" si="93"/>
        <v>-682.648034166667</v>
      </c>
      <c r="Y266" s="121" t="str">
        <f t="shared" si="99"/>
        <v/>
      </c>
      <c r="Z266" s="121" t="str">
        <f t="shared" si="100"/>
        <v/>
      </c>
      <c r="AA266" s="121" t="str">
        <f t="shared" si="101"/>
        <v/>
      </c>
      <c r="AB266" s="121">
        <f t="shared" si="94"/>
        <v>0</v>
      </c>
      <c r="AC266" s="121">
        <v>0</v>
      </c>
      <c r="AD266" s="121">
        <v>-0.91342999999999996</v>
      </c>
      <c r="AE266" s="121">
        <v>0</v>
      </c>
      <c r="AF266" s="121">
        <v>0</v>
      </c>
      <c r="AG266" s="121">
        <v>0</v>
      </c>
      <c r="AH266" s="121">
        <v>0</v>
      </c>
      <c r="AI266" s="121">
        <v>0</v>
      </c>
      <c r="AJ266" s="121">
        <v>-8190.4002</v>
      </c>
      <c r="AK266" s="121">
        <v>0</v>
      </c>
      <c r="AL266" s="121">
        <v>0</v>
      </c>
      <c r="AM266" s="121">
        <v>-0.46277999999999997</v>
      </c>
      <c r="AN266" s="121">
        <v>0</v>
      </c>
      <c r="AO266" s="121">
        <v>0</v>
      </c>
      <c r="AP266" s="125" t="str">
        <f>CONCATENATE(A266,M266)</f>
        <v>GLA</v>
      </c>
      <c r="AQ266" s="125" t="str">
        <f>CONCATENATE(AP266,L266,H266)</f>
        <v>GLAA2Accounts Payable</v>
      </c>
      <c r="AS266" s="125" t="str">
        <f>CONCATENATE(L266,H266,J266)</f>
        <v>A2Accounts Payable</v>
      </c>
    </row>
    <row r="267" spans="1:45" s="125" customFormat="1" ht="25.5" customHeight="1">
      <c r="A267" s="216" t="s">
        <v>2493</v>
      </c>
      <c r="B267" s="217" t="str">
        <f t="shared" si="95"/>
        <v>GL232506</v>
      </c>
      <c r="C267" s="186">
        <v>232506</v>
      </c>
      <c r="D267" s="201"/>
      <c r="E267" s="162"/>
      <c r="F267" s="169" t="s">
        <v>802</v>
      </c>
      <c r="G267" s="117"/>
      <c r="H267" s="118" t="s">
        <v>976</v>
      </c>
      <c r="I267" s="119"/>
      <c r="J267" s="120"/>
      <c r="K267" s="120" t="str">
        <f t="shared" si="91"/>
        <v/>
      </c>
      <c r="L267" s="170" t="s">
        <v>1419</v>
      </c>
      <c r="M267" s="122" t="str">
        <f t="shared" si="92"/>
        <v>A</v>
      </c>
      <c r="N267" s="116" t="str">
        <f>IF($L267&lt;&gt;"",VLOOKUP($L267,Categories!$E:$G,2,FALSE),IF($F267&lt;&gt;"","NO CAT",""))</f>
        <v>All Other</v>
      </c>
      <c r="O267" s="116" t="str">
        <f>IF($L267&lt;&gt;"",VLOOKUP($L267,Categories!$E:$G,3,FALSE),IF($F267&lt;&gt;"","NO CAT",""))</f>
        <v>EB-Cap</v>
      </c>
      <c r="P267" s="170" t="s">
        <v>1557</v>
      </c>
      <c r="Q267" s="123" t="s">
        <v>1891</v>
      </c>
      <c r="R267" s="124">
        <v>0.77544352505021785</v>
      </c>
      <c r="S267" s="124">
        <v>0.22455647494978223</v>
      </c>
      <c r="T267" s="124">
        <v>0</v>
      </c>
      <c r="U267" s="121">
        <f t="shared" si="96"/>
        <v>-41.766177919194398</v>
      </c>
      <c r="V267" s="121">
        <f t="shared" si="97"/>
        <v>-12.094840414138901</v>
      </c>
      <c r="W267" s="121">
        <f t="shared" si="98"/>
        <v>0</v>
      </c>
      <c r="X267" s="121">
        <f t="shared" si="93"/>
        <v>-53.861018333333298</v>
      </c>
      <c r="Y267" s="121" t="str">
        <f t="shared" si="99"/>
        <v/>
      </c>
      <c r="Z267" s="121" t="str">
        <f t="shared" si="100"/>
        <v/>
      </c>
      <c r="AA267" s="121" t="str">
        <f t="shared" si="101"/>
        <v/>
      </c>
      <c r="AB267" s="121">
        <f t="shared" si="94"/>
        <v>0</v>
      </c>
      <c r="AC267" s="121">
        <v>0</v>
      </c>
      <c r="AD267" s="121">
        <v>-165.52068</v>
      </c>
      <c r="AE267" s="121">
        <v>-63.323860000000003</v>
      </c>
      <c r="AF267" s="121">
        <v>-100.78046000000001</v>
      </c>
      <c r="AG267" s="121">
        <v>-168.82314000000002</v>
      </c>
      <c r="AH267" s="121">
        <v>-114.72660999999999</v>
      </c>
      <c r="AI267" s="121">
        <v>-135.67114999999998</v>
      </c>
      <c r="AJ267" s="121">
        <v>6.8360000000000004E-2</v>
      </c>
      <c r="AK267" s="121">
        <v>0</v>
      </c>
      <c r="AL267" s="121">
        <v>-239.48685999999998</v>
      </c>
      <c r="AM267" s="121">
        <v>21.807839999999999</v>
      </c>
      <c r="AN267" s="121">
        <v>320.12434000000002</v>
      </c>
      <c r="AO267" s="121">
        <v>0</v>
      </c>
      <c r="AP267" s="125" t="str">
        <f>CONCATENATE(A267,M267)</f>
        <v>GLA</v>
      </c>
      <c r="AQ267" s="125" t="str">
        <f>CONCATENATE(AP267,L267,H267)</f>
        <v>GLAA2Accounts Payable</v>
      </c>
      <c r="AS267" s="125" t="str">
        <f>CONCATENATE(L267,H267,J267)</f>
        <v>A2Accounts Payable</v>
      </c>
    </row>
    <row r="268" spans="1:45" s="125" customFormat="1" ht="25.5" customHeight="1">
      <c r="A268" s="216" t="s">
        <v>2493</v>
      </c>
      <c r="B268" s="217" t="str">
        <f t="shared" si="95"/>
        <v>GL232509</v>
      </c>
      <c r="C268" s="186">
        <v>232509</v>
      </c>
      <c r="D268" s="201"/>
      <c r="E268" s="162"/>
      <c r="F268" s="169" t="s">
        <v>638</v>
      </c>
      <c r="G268" s="117"/>
      <c r="H268" s="118" t="s">
        <v>976</v>
      </c>
      <c r="I268" s="119"/>
      <c r="J268" s="120"/>
      <c r="K268" s="120" t="str">
        <f t="shared" si="91"/>
        <v/>
      </c>
      <c r="L268" s="170" t="s">
        <v>1817</v>
      </c>
      <c r="M268" s="122" t="str">
        <f t="shared" si="92"/>
        <v>R</v>
      </c>
      <c r="N268" s="116" t="str">
        <f>IF($L268&lt;&gt;"",VLOOKUP($L268,Categories!$E:$G,2,FALSE),IF($F268&lt;&gt;"","NO CAT",""))</f>
        <v>Rate Base</v>
      </c>
      <c r="O268" s="116" t="str">
        <f>IF($L268&lt;&gt;"",VLOOKUP($L268,Categories!$E:$G,3,FALSE),IF($F268&lt;&gt;"","NO CAT",""))</f>
        <v>Uncompleted CWIP</v>
      </c>
      <c r="P268" s="170" t="s">
        <v>1186</v>
      </c>
      <c r="Q268" s="123" t="s">
        <v>1187</v>
      </c>
      <c r="R268" s="124">
        <v>0</v>
      </c>
      <c r="S268" s="124">
        <v>0</v>
      </c>
      <c r="T268" s="124">
        <v>1</v>
      </c>
      <c r="U268" s="121">
        <f t="shared" si="96"/>
        <v>0</v>
      </c>
      <c r="V268" s="121">
        <f t="shared" si="97"/>
        <v>0</v>
      </c>
      <c r="W268" s="121">
        <f t="shared" si="98"/>
        <v>-248.70714583333299</v>
      </c>
      <c r="X268" s="121">
        <f t="shared" si="93"/>
        <v>-248.70714583333299</v>
      </c>
      <c r="Y268" s="121" t="str">
        <f t="shared" si="99"/>
        <v/>
      </c>
      <c r="Z268" s="121" t="str">
        <f t="shared" si="100"/>
        <v/>
      </c>
      <c r="AA268" s="121" t="str">
        <f t="shared" si="101"/>
        <v/>
      </c>
      <c r="AB268" s="121">
        <f t="shared" si="94"/>
        <v>0</v>
      </c>
      <c r="AC268" s="121">
        <v>-259.52050000000003</v>
      </c>
      <c r="AD268" s="121">
        <v>-259.52050000000003</v>
      </c>
      <c r="AE268" s="121">
        <v>-259.52050000000003</v>
      </c>
      <c r="AF268" s="121">
        <v>-259.52050000000003</v>
      </c>
      <c r="AG268" s="121">
        <v>-259.52050000000003</v>
      </c>
      <c r="AH268" s="121">
        <v>-259.52050000000003</v>
      </c>
      <c r="AI268" s="121">
        <v>-259.52050000000003</v>
      </c>
      <c r="AJ268" s="121">
        <v>-259.52050000000003</v>
      </c>
      <c r="AK268" s="121">
        <v>-259.52050000000003</v>
      </c>
      <c r="AL268" s="121">
        <v>-259.52050000000003</v>
      </c>
      <c r="AM268" s="121">
        <v>-259.52050000000003</v>
      </c>
      <c r="AN268" s="121">
        <v>-259.52050000000003</v>
      </c>
      <c r="AO268" s="121">
        <v>0</v>
      </c>
      <c r="AP268" s="125" t="str">
        <f>CONCATENATE(A268,M268)</f>
        <v>GLR</v>
      </c>
      <c r="AQ268" s="125" t="str">
        <f>CONCATENATE(AP268,L268,H268)</f>
        <v>GLRR2Accounts Payable</v>
      </c>
      <c r="AS268" s="125" t="str">
        <f>CONCATENATE(L268,H268,J268)</f>
        <v>R2Accounts Payable</v>
      </c>
    </row>
    <row r="269" spans="1:45" s="125" customFormat="1" ht="25.5" customHeight="1">
      <c r="A269" s="216" t="s">
        <v>2493</v>
      </c>
      <c r="B269" s="217" t="str">
        <f t="shared" si="95"/>
        <v>GL232515</v>
      </c>
      <c r="C269" s="186">
        <v>232515</v>
      </c>
      <c r="D269" s="201"/>
      <c r="E269" s="162"/>
      <c r="F269" s="169" t="s">
        <v>639</v>
      </c>
      <c r="G269" s="117"/>
      <c r="H269" s="118" t="s">
        <v>976</v>
      </c>
      <c r="I269" s="119"/>
      <c r="J269" s="120"/>
      <c r="K269" s="120" t="str">
        <f t="shared" si="91"/>
        <v/>
      </c>
      <c r="L269" s="170" t="s">
        <v>1419</v>
      </c>
      <c r="M269" s="122" t="str">
        <f t="shared" si="92"/>
        <v>A</v>
      </c>
      <c r="N269" s="116" t="str">
        <f>IF($L269&lt;&gt;"",VLOOKUP($L269,Categories!$E:$G,2,FALSE),IF($F269&lt;&gt;"","NO CAT",""))</f>
        <v>All Other</v>
      </c>
      <c r="O269" s="116" t="str">
        <f>IF($L269&lt;&gt;"",VLOOKUP($L269,Categories!$E:$G,3,FALSE),IF($F269&lt;&gt;"","NO CAT",""))</f>
        <v>EB-Cap</v>
      </c>
      <c r="P269" s="170" t="s">
        <v>1557</v>
      </c>
      <c r="Q269" s="123" t="s">
        <v>1891</v>
      </c>
      <c r="R269" s="124">
        <v>0.77544352505021785</v>
      </c>
      <c r="S269" s="124">
        <v>0.22455647494978223</v>
      </c>
      <c r="T269" s="124">
        <v>0</v>
      </c>
      <c r="U269" s="121">
        <f t="shared" si="96"/>
        <v>-13.328232517050401</v>
      </c>
      <c r="V269" s="121">
        <f t="shared" si="97"/>
        <v>-3.8596503996162599</v>
      </c>
      <c r="W269" s="121">
        <f t="shared" si="98"/>
        <v>0</v>
      </c>
      <c r="X269" s="121">
        <f t="shared" si="93"/>
        <v>-17.187882916666702</v>
      </c>
      <c r="Y269" s="121" t="str">
        <f t="shared" si="99"/>
        <v/>
      </c>
      <c r="Z269" s="121" t="str">
        <f t="shared" si="100"/>
        <v/>
      </c>
      <c r="AA269" s="121" t="str">
        <f t="shared" si="101"/>
        <v/>
      </c>
      <c r="AB269" s="121">
        <f t="shared" si="94"/>
        <v>0</v>
      </c>
      <c r="AC269" s="121">
        <v>-26.11177</v>
      </c>
      <c r="AD269" s="121">
        <v>-85.904259999999994</v>
      </c>
      <c r="AE269" s="121">
        <v>-45.35201</v>
      </c>
      <c r="AF269" s="121">
        <v>-61.942440000000005</v>
      </c>
      <c r="AG269" s="121">
        <v>0</v>
      </c>
      <c r="AH269" s="121">
        <v>0</v>
      </c>
      <c r="AI269" s="121">
        <v>0</v>
      </c>
      <c r="AJ269" s="121">
        <v>0</v>
      </c>
      <c r="AK269" s="121">
        <v>0</v>
      </c>
      <c r="AL269" s="121">
        <v>0</v>
      </c>
      <c r="AM269" s="121">
        <v>0</v>
      </c>
      <c r="AN269" s="121">
        <v>0</v>
      </c>
      <c r="AO269" s="121">
        <v>0</v>
      </c>
      <c r="AP269" s="125" t="str">
        <f>CONCATENATE(A269,M269)</f>
        <v>GLA</v>
      </c>
      <c r="AQ269" s="125" t="str">
        <f>CONCATENATE(AP269,L269,H269)</f>
        <v>GLAA2Accounts Payable</v>
      </c>
      <c r="AS269" s="125" t="str">
        <f>CONCATENATE(L269,H269,J269)</f>
        <v>A2Accounts Payable</v>
      </c>
    </row>
    <row r="270" spans="1:45" s="125" customFormat="1" ht="25.5" customHeight="1">
      <c r="A270" s="216" t="s">
        <v>2493</v>
      </c>
      <c r="B270" s="217" t="str">
        <f t="shared" si="95"/>
        <v>GL232970</v>
      </c>
      <c r="C270" s="186">
        <v>232970</v>
      </c>
      <c r="D270" s="201"/>
      <c r="E270" s="162"/>
      <c r="F270" s="169" t="s">
        <v>3109</v>
      </c>
      <c r="G270" s="117"/>
      <c r="H270" s="118">
        <v>0</v>
      </c>
      <c r="I270" s="119"/>
      <c r="J270" s="120"/>
      <c r="K270" s="120" t="str">
        <f>IF(L270="N3","SFAS-109","")</f>
        <v/>
      </c>
      <c r="L270" s="170" t="s">
        <v>1419</v>
      </c>
      <c r="M270" s="122" t="str">
        <f>LEFT(L270,1)</f>
        <v>A</v>
      </c>
      <c r="N270" s="116" t="str">
        <f>IF($L270&lt;&gt;"",VLOOKUP($L270,Categories!$E:$G,2,FALSE),IF($F270&lt;&gt;"","NO CAT",""))</f>
        <v>All Other</v>
      </c>
      <c r="O270" s="116" t="str">
        <f>IF($L270&lt;&gt;"",VLOOKUP($L270,Categories!$E:$G,3,FALSE),IF($F270&lt;&gt;"","NO CAT",""))</f>
        <v>EB-Cap</v>
      </c>
      <c r="P270" s="170" t="s">
        <v>1557</v>
      </c>
      <c r="Q270" s="123" t="s">
        <v>1891</v>
      </c>
      <c r="R270" s="124">
        <v>0.77544352505021785</v>
      </c>
      <c r="S270" s="124">
        <v>0.22455647494978223</v>
      </c>
      <c r="T270" s="124">
        <v>0</v>
      </c>
      <c r="U270" s="121">
        <f>IF(ABS(X270)=0,"",IF($R270="NO ALLOC","NO ALLOC",ROUND($R270*X270,15)))</f>
        <v>-11204.5393482292</v>
      </c>
      <c r="V270" s="121">
        <f>IF(ABS(X270)=0,"",IF($S270="NO ALLOC","NO ALLOC",ROUND($S270*X270,15)))</f>
        <v>-3244.6616396874902</v>
      </c>
      <c r="W270" s="121">
        <f>IF(ABS(X270)=0,"",IF($T270="NO ALLOC","NO ALLOC",ROUND($T270*X270,15)))</f>
        <v>0</v>
      </c>
      <c r="X270" s="121">
        <f t="shared" si="93"/>
        <v>-14449.2009879167</v>
      </c>
      <c r="Y270" s="121">
        <f>IF(ABS(AB270)=0,"",IF($R270="NO ALLOC","NO ALLOC",ROUND($R270*AB270,15)))</f>
        <v>-15141.9547800164</v>
      </c>
      <c r="Z270" s="121">
        <f>IF(ABS(AB270)=0,"",IF($S270="NO ALLOC","NO ALLOC",ROUND($S270*AB270,15)))</f>
        <v>-4384.8763699835999</v>
      </c>
      <c r="AA270" s="121">
        <f>IF(ABS(AB270)=0,"",IF($T270="NO ALLOC","NO ALLOC",ROUND($T270*AB270,15)))</f>
        <v>0</v>
      </c>
      <c r="AB270" s="121">
        <f t="shared" si="94"/>
        <v>-19526.831149999998</v>
      </c>
      <c r="AC270" s="121">
        <v>-12538.844660000001</v>
      </c>
      <c r="AD270" s="121">
        <v>1256.70632</v>
      </c>
      <c r="AE270" s="121">
        <v>2287.4184500000001</v>
      </c>
      <c r="AF270" s="121">
        <v>-169.17610000000002</v>
      </c>
      <c r="AG270" s="121">
        <v>-23062.682840000001</v>
      </c>
      <c r="AH270" s="121">
        <v>-15202.553890000001</v>
      </c>
      <c r="AI270" s="121">
        <v>-15439.207109999999</v>
      </c>
      <c r="AJ270" s="121">
        <v>-17349.711469999998</v>
      </c>
      <c r="AK270" s="121">
        <v>-19813.33311</v>
      </c>
      <c r="AL270" s="121">
        <v>-22300.67715</v>
      </c>
      <c r="AM270" s="121">
        <v>-22405.747199999998</v>
      </c>
      <c r="AN270" s="121">
        <v>-25158.609850000001</v>
      </c>
      <c r="AO270" s="121">
        <v>-19526.831149999998</v>
      </c>
      <c r="AP270" s="125" t="str">
        <f>CONCATENATE(A270,M270)</f>
        <v>GLA</v>
      </c>
      <c r="AQ270" s="125" t="str">
        <f>CONCATENATE(AP270,L270,H270)</f>
        <v>GLAA20</v>
      </c>
      <c r="AS270" s="125" t="str">
        <f>CONCATENATE(L270,H270,J270)</f>
        <v>A20</v>
      </c>
    </row>
    <row r="271" spans="1:45" s="125" customFormat="1" ht="25.5" customHeight="1">
      <c r="A271" s="216" t="s">
        <v>2493</v>
      </c>
      <c r="B271" s="217" t="str">
        <f t="shared" si="95"/>
        <v>GL234060</v>
      </c>
      <c r="C271" s="186">
        <v>234060</v>
      </c>
      <c r="D271" s="201"/>
      <c r="E271" s="162"/>
      <c r="F271" s="169" t="s">
        <v>640</v>
      </c>
      <c r="G271" s="117"/>
      <c r="H271" s="118" t="s">
        <v>976</v>
      </c>
      <c r="I271" s="119"/>
      <c r="J271" s="120"/>
      <c r="K271" s="120" t="str">
        <f t="shared" si="91"/>
        <v/>
      </c>
      <c r="L271" s="170" t="s">
        <v>1419</v>
      </c>
      <c r="M271" s="122" t="str">
        <f t="shared" si="92"/>
        <v>A</v>
      </c>
      <c r="N271" s="116" t="str">
        <f>IF($L271&lt;&gt;"",VLOOKUP($L271,Categories!$E:$G,2,FALSE),IF($F271&lt;&gt;"","NO CAT",""))</f>
        <v>All Other</v>
      </c>
      <c r="O271" s="116" t="str">
        <f>IF($L271&lt;&gt;"",VLOOKUP($L271,Categories!$E:$G,3,FALSE),IF($F271&lt;&gt;"","NO CAT",""))</f>
        <v>EB-Cap</v>
      </c>
      <c r="P271" s="170" t="s">
        <v>1557</v>
      </c>
      <c r="Q271" s="123" t="s">
        <v>1891</v>
      </c>
      <c r="R271" s="124">
        <v>0.77544352505021785</v>
      </c>
      <c r="S271" s="124">
        <v>0.22455647494978223</v>
      </c>
      <c r="T271" s="124">
        <v>0</v>
      </c>
      <c r="U271" s="121">
        <f t="shared" si="96"/>
        <v>-18724.507074146</v>
      </c>
      <c r="V271" s="121">
        <f t="shared" si="97"/>
        <v>-5422.3282133540097</v>
      </c>
      <c r="W271" s="121">
        <f t="shared" si="98"/>
        <v>0</v>
      </c>
      <c r="X271" s="121">
        <f t="shared" si="93"/>
        <v>-24146.835287499998</v>
      </c>
      <c r="Y271" s="121">
        <f t="shared" si="99"/>
        <v>-37323.411857796797</v>
      </c>
      <c r="Z271" s="121">
        <f t="shared" si="100"/>
        <v>-10808.283942203199</v>
      </c>
      <c r="AA271" s="121">
        <f t="shared" si="101"/>
        <v>0</v>
      </c>
      <c r="AB271" s="121">
        <f t="shared" si="94"/>
        <v>-48131.695799999994</v>
      </c>
      <c r="AC271" s="121">
        <v>-25573.87616</v>
      </c>
      <c r="AD271" s="121">
        <v>-26782.168890000001</v>
      </c>
      <c r="AE271" s="121">
        <v>-18002.569420000003</v>
      </c>
      <c r="AF271" s="121">
        <v>-17264.88348</v>
      </c>
      <c r="AG271" s="121">
        <v>-18152.996719999999</v>
      </c>
      <c r="AH271" s="121">
        <v>-27498.668000000001</v>
      </c>
      <c r="AI271" s="121">
        <v>-31015.703940000003</v>
      </c>
      <c r="AJ271" s="121">
        <v>-16645.900289999998</v>
      </c>
      <c r="AK271" s="121">
        <v>-30392.753760000003</v>
      </c>
      <c r="AL271" s="121">
        <v>-10784.5779</v>
      </c>
      <c r="AM271" s="121">
        <v>-21429.99021</v>
      </c>
      <c r="AN271" s="121">
        <v>-34939.024859999998</v>
      </c>
      <c r="AO271" s="121">
        <v>-48131.695799999994</v>
      </c>
      <c r="AP271" s="125" t="str">
        <f>CONCATENATE(A271,M271)</f>
        <v>GLA</v>
      </c>
      <c r="AQ271" s="125" t="str">
        <f>CONCATENATE(AP271,L271,H271)</f>
        <v>GLAA2Accounts Payable</v>
      </c>
      <c r="AS271" s="125" t="str">
        <f>CONCATENATE(L271,H271,J271)</f>
        <v>A2Accounts Payable</v>
      </c>
    </row>
    <row r="272" spans="1:45" s="125" customFormat="1" ht="25.5" customHeight="1">
      <c r="A272" s="216" t="s">
        <v>2493</v>
      </c>
      <c r="B272" s="217" t="str">
        <f t="shared" si="95"/>
        <v>GL234070</v>
      </c>
      <c r="C272" s="186">
        <v>234070</v>
      </c>
      <c r="D272" s="201"/>
      <c r="E272" s="162"/>
      <c r="F272" s="169" t="s">
        <v>2575</v>
      </c>
      <c r="G272" s="117"/>
      <c r="H272" s="118" t="s">
        <v>976</v>
      </c>
      <c r="I272" s="119"/>
      <c r="J272" s="120"/>
      <c r="K272" s="120" t="str">
        <f t="shared" si="91"/>
        <v/>
      </c>
      <c r="L272" s="170" t="s">
        <v>1419</v>
      </c>
      <c r="M272" s="122" t="str">
        <f t="shared" si="92"/>
        <v>A</v>
      </c>
      <c r="N272" s="116" t="str">
        <f>IF($L272&lt;&gt;"",VLOOKUP($L272,Categories!$E:$G,2,FALSE),IF($F272&lt;&gt;"","NO CAT",""))</f>
        <v>All Other</v>
      </c>
      <c r="O272" s="116" t="str">
        <f>IF($L272&lt;&gt;"",VLOOKUP($L272,Categories!$E:$G,3,FALSE),IF($F272&lt;&gt;"","NO CAT",""))</f>
        <v>EB-Cap</v>
      </c>
      <c r="P272" s="170" t="s">
        <v>1557</v>
      </c>
      <c r="Q272" s="123" t="s">
        <v>1891</v>
      </c>
      <c r="R272" s="124">
        <v>0.77544352505021785</v>
      </c>
      <c r="S272" s="124">
        <v>0.22455647494978223</v>
      </c>
      <c r="T272" s="124">
        <v>0</v>
      </c>
      <c r="U272" s="121" t="str">
        <f t="shared" si="96"/>
        <v/>
      </c>
      <c r="V272" s="121" t="str">
        <f t="shared" si="97"/>
        <v/>
      </c>
      <c r="W272" s="121" t="str">
        <f t="shared" si="98"/>
        <v/>
      </c>
      <c r="X272" s="121">
        <f t="shared" si="93"/>
        <v>0</v>
      </c>
      <c r="Y272" s="121" t="str">
        <f t="shared" si="99"/>
        <v/>
      </c>
      <c r="Z272" s="121" t="str">
        <f t="shared" si="100"/>
        <v/>
      </c>
      <c r="AA272" s="121" t="str">
        <f t="shared" si="101"/>
        <v/>
      </c>
      <c r="AB272" s="121">
        <f t="shared" si="94"/>
        <v>0</v>
      </c>
      <c r="AC272" s="121">
        <v>0</v>
      </c>
      <c r="AD272" s="121">
        <v>0</v>
      </c>
      <c r="AE272" s="121">
        <v>0</v>
      </c>
      <c r="AF272" s="121">
        <v>0</v>
      </c>
      <c r="AG272" s="121">
        <v>0</v>
      </c>
      <c r="AH272" s="121">
        <v>0</v>
      </c>
      <c r="AI272" s="121">
        <v>0</v>
      </c>
      <c r="AJ272" s="121">
        <v>0</v>
      </c>
      <c r="AK272" s="121">
        <v>0</v>
      </c>
      <c r="AL272" s="121">
        <v>0</v>
      </c>
      <c r="AM272" s="121">
        <v>0</v>
      </c>
      <c r="AN272" s="121">
        <v>0</v>
      </c>
      <c r="AO272" s="121">
        <v>0</v>
      </c>
      <c r="AP272" s="125" t="str">
        <f>CONCATENATE(A272,M272)</f>
        <v>GLA</v>
      </c>
      <c r="AQ272" s="125" t="str">
        <f>CONCATENATE(AP272,L272,H272)</f>
        <v>GLAA2Accounts Payable</v>
      </c>
      <c r="AS272" s="125" t="str">
        <f>CONCATENATE(L272,H272,J272)</f>
        <v>A2Accounts Payable</v>
      </c>
    </row>
    <row r="273" spans="1:45" s="125" customFormat="1" ht="25.5" customHeight="1">
      <c r="A273" s="216" t="s">
        <v>2493</v>
      </c>
      <c r="B273" s="217" t="str">
        <f t="shared" si="95"/>
        <v>GL235000</v>
      </c>
      <c r="C273" s="186">
        <v>235000</v>
      </c>
      <c r="D273" s="201"/>
      <c r="E273" s="162"/>
      <c r="F273" s="169" t="s">
        <v>1058</v>
      </c>
      <c r="G273" s="117"/>
      <c r="H273" s="118" t="s">
        <v>1059</v>
      </c>
      <c r="I273" s="119"/>
      <c r="J273" s="120"/>
      <c r="K273" s="120" t="str">
        <f t="shared" si="91"/>
        <v/>
      </c>
      <c r="L273" s="170" t="s">
        <v>1424</v>
      </c>
      <c r="M273" s="122" t="str">
        <f t="shared" si="92"/>
        <v>C</v>
      </c>
      <c r="N273" s="116" t="str">
        <f>IF($L273&lt;&gt;"",VLOOKUP($L273,Categories!$E:$G,2,FALSE),IF($F273&lt;&gt;"","NO CAT",""))</f>
        <v>Capitalization</v>
      </c>
      <c r="O273" s="116" t="str">
        <f>IF($L273&lt;&gt;"",VLOOKUP($L273,Categories!$E:$G,3,FALSE),IF($F273&lt;&gt;"","NO CAT",""))</f>
        <v>Customer Deposits &amp; Advances</v>
      </c>
      <c r="P273" s="170" t="s">
        <v>1186</v>
      </c>
      <c r="Q273" s="123" t="s">
        <v>1187</v>
      </c>
      <c r="R273" s="124">
        <v>0</v>
      </c>
      <c r="S273" s="124">
        <v>0</v>
      </c>
      <c r="T273" s="124">
        <v>1</v>
      </c>
      <c r="U273" s="121">
        <f t="shared" si="96"/>
        <v>0</v>
      </c>
      <c r="V273" s="121">
        <f t="shared" si="97"/>
        <v>0</v>
      </c>
      <c r="W273" s="121">
        <f t="shared" si="98"/>
        <v>-465.46181458333302</v>
      </c>
      <c r="X273" s="121">
        <f t="shared" si="93"/>
        <v>-465.46181458333302</v>
      </c>
      <c r="Y273" s="121">
        <f t="shared" si="99"/>
        <v>0</v>
      </c>
      <c r="Z273" s="121">
        <f t="shared" si="100"/>
        <v>0</v>
      </c>
      <c r="AA273" s="121">
        <f t="shared" si="101"/>
        <v>-492.92829</v>
      </c>
      <c r="AB273" s="121">
        <f t="shared" si="94"/>
        <v>-492.92829</v>
      </c>
      <c r="AC273" s="121">
        <v>-430.02762000000001</v>
      </c>
      <c r="AD273" s="121">
        <v>-430.02762000000001</v>
      </c>
      <c r="AE273" s="121">
        <v>-430.02762000000001</v>
      </c>
      <c r="AF273" s="121">
        <v>-430.02762000000001</v>
      </c>
      <c r="AG273" s="121">
        <v>-446.56761999999998</v>
      </c>
      <c r="AH273" s="121">
        <v>-446.56761999999998</v>
      </c>
      <c r="AI273" s="121">
        <v>-446.56761999999998</v>
      </c>
      <c r="AJ273" s="121">
        <v>-489.01562000000001</v>
      </c>
      <c r="AK273" s="121">
        <v>-489.01562000000001</v>
      </c>
      <c r="AL273" s="121">
        <v>-489.01562000000001</v>
      </c>
      <c r="AM273" s="121">
        <v>-511.21562</v>
      </c>
      <c r="AN273" s="121">
        <v>-516.01562000000001</v>
      </c>
      <c r="AO273" s="121">
        <v>-492.92829</v>
      </c>
      <c r="AP273" s="125" t="str">
        <f>CONCATENATE(A273,M273)</f>
        <v>GLC</v>
      </c>
      <c r="AQ273" s="125" t="str">
        <f>CONCATENATE(AP273,L273,H273)</f>
        <v>GLCC11Customer Deposits</v>
      </c>
      <c r="AS273" s="125" t="str">
        <f>CONCATENATE(L273,H273,J273)</f>
        <v>C11Customer Deposits</v>
      </c>
    </row>
    <row r="274" spans="1:45" s="125" customFormat="1" ht="25.5" customHeight="1">
      <c r="A274" s="216" t="s">
        <v>2493</v>
      </c>
      <c r="B274" s="217" t="str">
        <f t="shared" si="95"/>
        <v>GL235010</v>
      </c>
      <c r="C274" s="186">
        <v>235010</v>
      </c>
      <c r="D274" s="201"/>
      <c r="E274" s="162"/>
      <c r="F274" s="169" t="s">
        <v>983</v>
      </c>
      <c r="G274" s="117"/>
      <c r="H274" s="118" t="s">
        <v>1059</v>
      </c>
      <c r="I274" s="119"/>
      <c r="J274" s="120"/>
      <c r="K274" s="120" t="str">
        <f t="shared" si="91"/>
        <v/>
      </c>
      <c r="L274" s="170" t="s">
        <v>1424</v>
      </c>
      <c r="M274" s="122" t="str">
        <f t="shared" si="92"/>
        <v>C</v>
      </c>
      <c r="N274" s="116" t="str">
        <f>IF($L274&lt;&gt;"",VLOOKUP($L274,Categories!$E:$G,2,FALSE),IF($F274&lt;&gt;"","NO CAT",""))</f>
        <v>Capitalization</v>
      </c>
      <c r="O274" s="116" t="str">
        <f>IF($L274&lt;&gt;"",VLOOKUP($L274,Categories!$E:$G,3,FALSE),IF($F274&lt;&gt;"","NO CAT",""))</f>
        <v>Customer Deposits &amp; Advances</v>
      </c>
      <c r="P274" s="170" t="s">
        <v>1186</v>
      </c>
      <c r="Q274" s="123" t="s">
        <v>1187</v>
      </c>
      <c r="R274" s="124">
        <v>0</v>
      </c>
      <c r="S274" s="124">
        <v>0</v>
      </c>
      <c r="T274" s="124">
        <v>1</v>
      </c>
      <c r="U274" s="121">
        <f t="shared" si="96"/>
        <v>0</v>
      </c>
      <c r="V274" s="121">
        <f t="shared" si="97"/>
        <v>0</v>
      </c>
      <c r="W274" s="121">
        <f t="shared" si="98"/>
        <v>-12937.008489583301</v>
      </c>
      <c r="X274" s="121">
        <f t="shared" si="93"/>
        <v>-12937.008489583301</v>
      </c>
      <c r="Y274" s="121">
        <f t="shared" si="99"/>
        <v>0</v>
      </c>
      <c r="Z274" s="121">
        <f t="shared" si="100"/>
        <v>0</v>
      </c>
      <c r="AA274" s="121">
        <f t="shared" si="101"/>
        <v>-12851.990750000001</v>
      </c>
      <c r="AB274" s="121">
        <f t="shared" si="94"/>
        <v>-12851.990750000001</v>
      </c>
      <c r="AC274" s="121">
        <v>-12782.154039999999</v>
      </c>
      <c r="AD274" s="121">
        <v>-12661.28671</v>
      </c>
      <c r="AE274" s="121">
        <v>-12596.8325</v>
      </c>
      <c r="AF274" s="121">
        <v>-12569.9858</v>
      </c>
      <c r="AG274" s="121">
        <v>-12728.64201</v>
      </c>
      <c r="AH274" s="121">
        <v>-13040.85802</v>
      </c>
      <c r="AI274" s="121">
        <v>-13145.539130000001</v>
      </c>
      <c r="AJ274" s="121">
        <v>-13223.11765</v>
      </c>
      <c r="AK274" s="121">
        <v>-13356.784210000002</v>
      </c>
      <c r="AL274" s="121">
        <v>-13171.371880000001</v>
      </c>
      <c r="AM274" s="121">
        <v>-12972.46398</v>
      </c>
      <c r="AN274" s="121">
        <v>-12960.14759</v>
      </c>
      <c r="AO274" s="121">
        <v>-12851.990750000001</v>
      </c>
      <c r="AP274" s="125" t="str">
        <f>CONCATENATE(A274,M274)</f>
        <v>GLC</v>
      </c>
      <c r="AQ274" s="125" t="str">
        <f>CONCATENATE(AP274,L274,H274)</f>
        <v>GLCC11Customer Deposits</v>
      </c>
      <c r="AS274" s="125" t="str">
        <f>CONCATENATE(L274,H274,J274)</f>
        <v>C11Customer Deposits</v>
      </c>
    </row>
    <row r="275" spans="1:45" s="125" customFormat="1" ht="25.5" customHeight="1">
      <c r="A275" s="216" t="s">
        <v>2493</v>
      </c>
      <c r="B275" s="217" t="str">
        <f t="shared" si="95"/>
        <v>GL236005</v>
      </c>
      <c r="C275" s="186">
        <v>236005</v>
      </c>
      <c r="D275" s="201"/>
      <c r="E275" s="162"/>
      <c r="F275" s="169" t="s">
        <v>1062</v>
      </c>
      <c r="G275" s="117"/>
      <c r="H275" s="118" t="s">
        <v>976</v>
      </c>
      <c r="I275" s="119"/>
      <c r="J275" s="120"/>
      <c r="K275" s="120" t="str">
        <f t="shared" si="91"/>
        <v/>
      </c>
      <c r="L275" s="170" t="s">
        <v>1419</v>
      </c>
      <c r="M275" s="122" t="str">
        <f t="shared" si="92"/>
        <v>A</v>
      </c>
      <c r="N275" s="116" t="str">
        <f>IF($L275&lt;&gt;"",VLOOKUP($L275,Categories!$E:$G,2,FALSE),IF($F275&lt;&gt;"","NO CAT",""))</f>
        <v>All Other</v>
      </c>
      <c r="O275" s="116" t="str">
        <f>IF($L275&lt;&gt;"",VLOOKUP($L275,Categories!$E:$G,3,FALSE),IF($F275&lt;&gt;"","NO CAT",""))</f>
        <v>EB-Cap</v>
      </c>
      <c r="P275" s="170" t="s">
        <v>1557</v>
      </c>
      <c r="Q275" s="123" t="s">
        <v>1891</v>
      </c>
      <c r="R275" s="124">
        <v>0.77544352505021785</v>
      </c>
      <c r="S275" s="124">
        <v>0.22455647494978223</v>
      </c>
      <c r="T275" s="124">
        <v>0</v>
      </c>
      <c r="U275" s="121">
        <f t="shared" si="96"/>
        <v>-1531.56558226793</v>
      </c>
      <c r="V275" s="121">
        <f t="shared" si="97"/>
        <v>-443.51775106539799</v>
      </c>
      <c r="W275" s="121">
        <f t="shared" si="98"/>
        <v>0</v>
      </c>
      <c r="X275" s="121">
        <f t="shared" si="93"/>
        <v>-1975.0833333333301</v>
      </c>
      <c r="Y275" s="121">
        <f t="shared" si="99"/>
        <v>-1554.7642677256899</v>
      </c>
      <c r="Z275" s="121">
        <f t="shared" si="100"/>
        <v>-450.23573227431302</v>
      </c>
      <c r="AA275" s="121">
        <f t="shared" si="101"/>
        <v>0</v>
      </c>
      <c r="AB275" s="121">
        <f t="shared" si="94"/>
        <v>-2005</v>
      </c>
      <c r="AC275" s="121">
        <v>-1957</v>
      </c>
      <c r="AD275" s="121">
        <v>-1957</v>
      </c>
      <c r="AE275" s="121">
        <v>-1957</v>
      </c>
      <c r="AF275" s="121">
        <v>-1968</v>
      </c>
      <c r="AG275" s="121">
        <v>-1968</v>
      </c>
      <c r="AH275" s="121">
        <v>-1968</v>
      </c>
      <c r="AI275" s="121">
        <v>-1968</v>
      </c>
      <c r="AJ275" s="121">
        <v>-1979</v>
      </c>
      <c r="AK275" s="121">
        <v>-1979</v>
      </c>
      <c r="AL275" s="121">
        <v>-1992</v>
      </c>
      <c r="AM275" s="121">
        <v>-1992</v>
      </c>
      <c r="AN275" s="121">
        <v>-1992</v>
      </c>
      <c r="AO275" s="121">
        <v>-2005</v>
      </c>
      <c r="AP275" s="125" t="str">
        <f>CONCATENATE(A275,M275)</f>
        <v>GLA</v>
      </c>
      <c r="AQ275" s="125" t="str">
        <f>CONCATENATE(AP275,L275,H275)</f>
        <v>GLAA2Accounts Payable</v>
      </c>
      <c r="AS275" s="125" t="str">
        <f>CONCATENATE(L275,H275,J275)</f>
        <v>A2Accounts Payable</v>
      </c>
    </row>
    <row r="276" spans="1:45" s="125" customFormat="1" ht="25.5" customHeight="1">
      <c r="A276" s="216" t="s">
        <v>2493</v>
      </c>
      <c r="B276" s="217" t="str">
        <f t="shared" si="95"/>
        <v>GL236006</v>
      </c>
      <c r="C276" s="186">
        <v>236006</v>
      </c>
      <c r="D276" s="201"/>
      <c r="E276" s="162"/>
      <c r="F276" s="169" t="s">
        <v>1063</v>
      </c>
      <c r="G276" s="117"/>
      <c r="H276" s="118" t="s">
        <v>976</v>
      </c>
      <c r="I276" s="119"/>
      <c r="J276" s="120"/>
      <c r="K276" s="120" t="str">
        <f t="shared" si="91"/>
        <v/>
      </c>
      <c r="L276" s="170" t="s">
        <v>1419</v>
      </c>
      <c r="M276" s="122" t="str">
        <f t="shared" si="92"/>
        <v>A</v>
      </c>
      <c r="N276" s="116" t="str">
        <f>IF($L276&lt;&gt;"",VLOOKUP($L276,Categories!$E:$G,2,FALSE),IF($F276&lt;&gt;"","NO CAT",""))</f>
        <v>All Other</v>
      </c>
      <c r="O276" s="116" t="str">
        <f>IF($L276&lt;&gt;"",VLOOKUP($L276,Categories!$E:$G,3,FALSE),IF($F276&lt;&gt;"","NO CAT",""))</f>
        <v>EB-Cap</v>
      </c>
      <c r="P276" s="170" t="s">
        <v>1557</v>
      </c>
      <c r="Q276" s="123" t="s">
        <v>1891</v>
      </c>
      <c r="R276" s="124">
        <v>0.77544352505021785</v>
      </c>
      <c r="S276" s="124">
        <v>0.22455647494978223</v>
      </c>
      <c r="T276" s="124">
        <v>0</v>
      </c>
      <c r="U276" s="121">
        <f t="shared" si="96"/>
        <v>1531.56558226793</v>
      </c>
      <c r="V276" s="121">
        <f t="shared" si="97"/>
        <v>443.51775106539799</v>
      </c>
      <c r="W276" s="121">
        <f t="shared" si="98"/>
        <v>0</v>
      </c>
      <c r="X276" s="121">
        <f t="shared" si="93"/>
        <v>1975.0833333333301</v>
      </c>
      <c r="Y276" s="121">
        <f t="shared" si="99"/>
        <v>1554.7642677256899</v>
      </c>
      <c r="Z276" s="121">
        <f t="shared" si="100"/>
        <v>450.23573227431302</v>
      </c>
      <c r="AA276" s="121">
        <f t="shared" si="101"/>
        <v>0</v>
      </c>
      <c r="AB276" s="121">
        <f t="shared" si="94"/>
        <v>2005</v>
      </c>
      <c r="AC276" s="121">
        <v>1957</v>
      </c>
      <c r="AD276" s="121">
        <v>1957</v>
      </c>
      <c r="AE276" s="121">
        <v>1957</v>
      </c>
      <c r="AF276" s="121">
        <v>1968</v>
      </c>
      <c r="AG276" s="121">
        <v>1968</v>
      </c>
      <c r="AH276" s="121">
        <v>1968</v>
      </c>
      <c r="AI276" s="121">
        <v>1968</v>
      </c>
      <c r="AJ276" s="121">
        <v>1979</v>
      </c>
      <c r="AK276" s="121">
        <v>1979</v>
      </c>
      <c r="AL276" s="121">
        <v>1992</v>
      </c>
      <c r="AM276" s="121">
        <v>1992</v>
      </c>
      <c r="AN276" s="121">
        <v>1992</v>
      </c>
      <c r="AO276" s="121">
        <v>2005</v>
      </c>
      <c r="AP276" s="125" t="str">
        <f>CONCATENATE(A276,M276)</f>
        <v>GLA</v>
      </c>
      <c r="AQ276" s="125" t="str">
        <f>CONCATENATE(AP276,L276,H276)</f>
        <v>GLAA2Accounts Payable</v>
      </c>
      <c r="AS276" s="125" t="str">
        <f>CONCATENATE(L276,H276,J276)</f>
        <v>A2Accounts Payable</v>
      </c>
    </row>
    <row r="277" spans="1:45" s="125" customFormat="1" ht="25.5" customHeight="1">
      <c r="A277" s="216" t="s">
        <v>2493</v>
      </c>
      <c r="B277" s="217" t="str">
        <f t="shared" si="95"/>
        <v>GL236020</v>
      </c>
      <c r="C277" s="186">
        <v>236020</v>
      </c>
      <c r="D277" s="201"/>
      <c r="E277" s="162"/>
      <c r="F277" s="169" t="s">
        <v>1314</v>
      </c>
      <c r="G277" s="117"/>
      <c r="H277" s="118" t="s">
        <v>976</v>
      </c>
      <c r="I277" s="119"/>
      <c r="J277" s="120"/>
      <c r="K277" s="120" t="str">
        <f t="shared" ref="K277:K317" si="102">IF(L277="N3","SFAS-109","")</f>
        <v/>
      </c>
      <c r="L277" s="170" t="s">
        <v>1419</v>
      </c>
      <c r="M277" s="122" t="str">
        <f t="shared" si="92"/>
        <v>A</v>
      </c>
      <c r="N277" s="116" t="str">
        <f>IF($L277&lt;&gt;"",VLOOKUP($L277,Categories!$E:$G,2,FALSE),IF($F277&lt;&gt;"","NO CAT",""))</f>
        <v>All Other</v>
      </c>
      <c r="O277" s="116" t="str">
        <f>IF($L277&lt;&gt;"",VLOOKUP($L277,Categories!$E:$G,3,FALSE),IF($F277&lt;&gt;"","NO CAT",""))</f>
        <v>EB-Cap</v>
      </c>
      <c r="P277" s="170" t="s">
        <v>1557</v>
      </c>
      <c r="Q277" s="123" t="s">
        <v>1891</v>
      </c>
      <c r="R277" s="124">
        <v>0.77544352505021785</v>
      </c>
      <c r="S277" s="124">
        <v>0.22455647494978223</v>
      </c>
      <c r="T277" s="124">
        <v>0</v>
      </c>
      <c r="U277" s="121">
        <f t="shared" si="96"/>
        <v>-97.728232438719402</v>
      </c>
      <c r="V277" s="121">
        <f t="shared" si="97"/>
        <v>-28.300587561280601</v>
      </c>
      <c r="W277" s="121">
        <f t="shared" si="98"/>
        <v>0</v>
      </c>
      <c r="X277" s="121">
        <f t="shared" si="93"/>
        <v>-126.02882</v>
      </c>
      <c r="Y277" s="121" t="str">
        <f t="shared" si="99"/>
        <v/>
      </c>
      <c r="Z277" s="121" t="str">
        <f t="shared" si="100"/>
        <v/>
      </c>
      <c r="AA277" s="121" t="str">
        <f t="shared" si="101"/>
        <v/>
      </c>
      <c r="AB277" s="121">
        <f t="shared" si="94"/>
        <v>0</v>
      </c>
      <c r="AC277" s="121">
        <v>-232.41144</v>
      </c>
      <c r="AD277" s="121">
        <v>-249.66132000000002</v>
      </c>
      <c r="AE277" s="121">
        <v>-266.91120000000001</v>
      </c>
      <c r="AF277" s="121">
        <v>-275.93932000000001</v>
      </c>
      <c r="AG277" s="121">
        <v>-293.18920000000003</v>
      </c>
      <c r="AH277" s="121">
        <v>-310.43907999999999</v>
      </c>
      <c r="AI277" s="121">
        <v>0</v>
      </c>
      <c r="AJ277" s="121">
        <v>0</v>
      </c>
      <c r="AK277" s="121">
        <v>0</v>
      </c>
      <c r="AL277" s="121">
        <v>0</v>
      </c>
      <c r="AM277" s="121">
        <v>0</v>
      </c>
      <c r="AN277" s="121">
        <v>0</v>
      </c>
      <c r="AO277" s="121">
        <v>0</v>
      </c>
      <c r="AP277" s="125" t="str">
        <f>CONCATENATE(A277,M277)</f>
        <v>GLA</v>
      </c>
      <c r="AQ277" s="125" t="str">
        <f>CONCATENATE(AP277,L277,H277)</f>
        <v>GLAA2Accounts Payable</v>
      </c>
      <c r="AS277" s="125" t="str">
        <f>CONCATENATE(L277,H277,J277)</f>
        <v>A2Accounts Payable</v>
      </c>
    </row>
    <row r="278" spans="1:45" s="125" customFormat="1" ht="25.5" customHeight="1">
      <c r="A278" s="216" t="s">
        <v>2493</v>
      </c>
      <c r="B278" s="217" t="str">
        <f t="shared" si="95"/>
        <v>GL236030</v>
      </c>
      <c r="C278" s="186">
        <v>236030</v>
      </c>
      <c r="D278" s="201"/>
      <c r="E278" s="162"/>
      <c r="F278" s="169" t="s">
        <v>857</v>
      </c>
      <c r="G278" s="117"/>
      <c r="H278" s="118" t="s">
        <v>976</v>
      </c>
      <c r="I278" s="119"/>
      <c r="J278" s="120"/>
      <c r="K278" s="120" t="str">
        <f t="shared" si="102"/>
        <v/>
      </c>
      <c r="L278" s="170" t="s">
        <v>1419</v>
      </c>
      <c r="M278" s="122" t="str">
        <f t="shared" si="92"/>
        <v>A</v>
      </c>
      <c r="N278" s="116" t="str">
        <f>IF($L278&lt;&gt;"",VLOOKUP($L278,Categories!$E:$G,2,FALSE),IF($F278&lt;&gt;"","NO CAT",""))</f>
        <v>All Other</v>
      </c>
      <c r="O278" s="116" t="str">
        <f>IF($L278&lt;&gt;"",VLOOKUP($L278,Categories!$E:$G,3,FALSE),IF($F278&lt;&gt;"","NO CAT",""))</f>
        <v>EB-Cap</v>
      </c>
      <c r="P278" s="170" t="s">
        <v>1557</v>
      </c>
      <c r="Q278" s="123" t="s">
        <v>1891</v>
      </c>
      <c r="R278" s="124">
        <v>0.77544352505021785</v>
      </c>
      <c r="S278" s="124">
        <v>0.22455647494978223</v>
      </c>
      <c r="T278" s="124">
        <v>0</v>
      </c>
      <c r="U278" s="121">
        <f t="shared" si="96"/>
        <v>7.2341126451934796</v>
      </c>
      <c r="V278" s="121">
        <f t="shared" si="97"/>
        <v>2.0948873548065201</v>
      </c>
      <c r="W278" s="121">
        <f t="shared" si="98"/>
        <v>0</v>
      </c>
      <c r="X278" s="121">
        <f t="shared" si="93"/>
        <v>9.3290000000000006</v>
      </c>
      <c r="Y278" s="121" t="str">
        <f t="shared" si="99"/>
        <v/>
      </c>
      <c r="Z278" s="121" t="str">
        <f t="shared" si="100"/>
        <v/>
      </c>
      <c r="AA278" s="121" t="str">
        <f t="shared" si="101"/>
        <v/>
      </c>
      <c r="AB278" s="121">
        <f t="shared" si="94"/>
        <v>0</v>
      </c>
      <c r="AC278" s="121">
        <v>0</v>
      </c>
      <c r="AD278" s="121">
        <v>0</v>
      </c>
      <c r="AE278" s="121">
        <v>0</v>
      </c>
      <c r="AF278" s="121">
        <v>0</v>
      </c>
      <c r="AG278" s="121">
        <v>0</v>
      </c>
      <c r="AH278" s="121">
        <v>0</v>
      </c>
      <c r="AI278" s="121">
        <v>0</v>
      </c>
      <c r="AJ278" s="121">
        <v>0</v>
      </c>
      <c r="AK278" s="121">
        <v>55.973999999999997</v>
      </c>
      <c r="AL278" s="121">
        <v>55.973999999999997</v>
      </c>
      <c r="AM278" s="121">
        <v>0</v>
      </c>
      <c r="AN278" s="121">
        <v>0</v>
      </c>
      <c r="AO278" s="121">
        <v>0</v>
      </c>
      <c r="AP278" s="125" t="str">
        <f>CONCATENATE(A278,M278)</f>
        <v>GLA</v>
      </c>
      <c r="AQ278" s="125" t="str">
        <f>CONCATENATE(AP278,L278,H278)</f>
        <v>GLAA2Accounts Payable</v>
      </c>
      <c r="AS278" s="125" t="str">
        <f>CONCATENATE(L278,H278,J278)</f>
        <v>A2Accounts Payable</v>
      </c>
    </row>
    <row r="279" spans="1:45" s="125" customFormat="1" ht="25.5" customHeight="1">
      <c r="A279" s="216" t="s">
        <v>2493</v>
      </c>
      <c r="B279" s="217" t="str">
        <f t="shared" si="95"/>
        <v>GL236070</v>
      </c>
      <c r="C279" s="186">
        <v>236070</v>
      </c>
      <c r="D279" s="201"/>
      <c r="E279" s="162"/>
      <c r="F279" s="169" t="s">
        <v>1343</v>
      </c>
      <c r="G279" s="117"/>
      <c r="H279" s="118" t="s">
        <v>976</v>
      </c>
      <c r="I279" s="119"/>
      <c r="J279" s="120"/>
      <c r="K279" s="120" t="str">
        <f t="shared" si="102"/>
        <v/>
      </c>
      <c r="L279" s="170" t="s">
        <v>1419</v>
      </c>
      <c r="M279" s="122" t="str">
        <f t="shared" si="92"/>
        <v>A</v>
      </c>
      <c r="N279" s="116" t="str">
        <f>IF($L279&lt;&gt;"",VLOOKUP($L279,Categories!$E:$G,2,FALSE),IF($F279&lt;&gt;"","NO CAT",""))</f>
        <v>All Other</v>
      </c>
      <c r="O279" s="116" t="str">
        <f>IF($L279&lt;&gt;"",VLOOKUP($L279,Categories!$E:$G,3,FALSE),IF($F279&lt;&gt;"","NO CAT",""))</f>
        <v>EB-Cap</v>
      </c>
      <c r="P279" s="170" t="s">
        <v>1557</v>
      </c>
      <c r="Q279" s="123" t="s">
        <v>1891</v>
      </c>
      <c r="R279" s="124">
        <v>0.77544352505021785</v>
      </c>
      <c r="S279" s="124">
        <v>0.22455647494978223</v>
      </c>
      <c r="T279" s="124">
        <v>0</v>
      </c>
      <c r="U279" s="121" t="str">
        <f t="shared" si="96"/>
        <v/>
      </c>
      <c r="V279" s="121" t="str">
        <f t="shared" si="97"/>
        <v/>
      </c>
      <c r="W279" s="121" t="str">
        <f t="shared" si="98"/>
        <v/>
      </c>
      <c r="X279" s="121">
        <f t="shared" si="93"/>
        <v>0</v>
      </c>
      <c r="Y279" s="121" t="str">
        <f t="shared" si="99"/>
        <v/>
      </c>
      <c r="Z279" s="121" t="str">
        <f t="shared" si="100"/>
        <v/>
      </c>
      <c r="AA279" s="121" t="str">
        <f t="shared" si="101"/>
        <v/>
      </c>
      <c r="AB279" s="121">
        <f t="shared" si="94"/>
        <v>0</v>
      </c>
      <c r="AC279" s="121">
        <v>0</v>
      </c>
      <c r="AD279" s="121">
        <v>0</v>
      </c>
      <c r="AE279" s="121">
        <v>0</v>
      </c>
      <c r="AF279" s="121">
        <v>0</v>
      </c>
      <c r="AG279" s="121">
        <v>0</v>
      </c>
      <c r="AH279" s="121">
        <v>0</v>
      </c>
      <c r="AI279" s="121">
        <v>0</v>
      </c>
      <c r="AJ279" s="121">
        <v>0</v>
      </c>
      <c r="AK279" s="121">
        <v>0</v>
      </c>
      <c r="AL279" s="121">
        <v>0</v>
      </c>
      <c r="AM279" s="121">
        <v>0</v>
      </c>
      <c r="AN279" s="121">
        <v>0</v>
      </c>
      <c r="AO279" s="121">
        <v>0</v>
      </c>
      <c r="AP279" s="125" t="str">
        <f>CONCATENATE(A279,M279)</f>
        <v>GLA</v>
      </c>
      <c r="AQ279" s="125" t="str">
        <f>CONCATENATE(AP279,L279,H279)</f>
        <v>GLAA2Accounts Payable</v>
      </c>
      <c r="AS279" s="125" t="str">
        <f>CONCATENATE(L279,H279,J279)</f>
        <v>A2Accounts Payable</v>
      </c>
    </row>
    <row r="280" spans="1:45" s="125" customFormat="1" ht="25.5" customHeight="1">
      <c r="A280" s="216" t="s">
        <v>2493</v>
      </c>
      <c r="B280" s="217" t="str">
        <f t="shared" si="95"/>
        <v>GL236110</v>
      </c>
      <c r="C280" s="186">
        <v>236110</v>
      </c>
      <c r="D280" s="201"/>
      <c r="E280" s="162"/>
      <c r="F280" s="169" t="s">
        <v>1344</v>
      </c>
      <c r="G280" s="117"/>
      <c r="H280" s="118" t="s">
        <v>976</v>
      </c>
      <c r="I280" s="119"/>
      <c r="J280" s="120"/>
      <c r="K280" s="120" t="str">
        <f t="shared" si="102"/>
        <v/>
      </c>
      <c r="L280" s="170" t="s">
        <v>1419</v>
      </c>
      <c r="M280" s="122" t="str">
        <f t="shared" ref="M280:M324" si="103">LEFT(L280,1)</f>
        <v>A</v>
      </c>
      <c r="N280" s="116" t="str">
        <f>IF($L280&lt;&gt;"",VLOOKUP($L280,Categories!$E:$G,2,FALSE),IF($F280&lt;&gt;"","NO CAT",""))</f>
        <v>All Other</v>
      </c>
      <c r="O280" s="116" t="str">
        <f>IF($L280&lt;&gt;"",VLOOKUP($L280,Categories!$E:$G,3,FALSE),IF($F280&lt;&gt;"","NO CAT",""))</f>
        <v>EB-Cap</v>
      </c>
      <c r="P280" s="170" t="s">
        <v>1557</v>
      </c>
      <c r="Q280" s="123" t="s">
        <v>1891</v>
      </c>
      <c r="R280" s="124">
        <v>0.77544352505021785</v>
      </c>
      <c r="S280" s="124">
        <v>0.22455647494978223</v>
      </c>
      <c r="T280" s="124">
        <v>0</v>
      </c>
      <c r="U280" s="121">
        <f t="shared" si="96"/>
        <v>-1107.4267094176901</v>
      </c>
      <c r="V280" s="121">
        <f t="shared" si="97"/>
        <v>-320.69368058230799</v>
      </c>
      <c r="W280" s="121">
        <f t="shared" si="98"/>
        <v>0</v>
      </c>
      <c r="X280" s="121">
        <f t="shared" si="93"/>
        <v>-1428.12039</v>
      </c>
      <c r="Y280" s="121" t="str">
        <f t="shared" si="99"/>
        <v/>
      </c>
      <c r="Z280" s="121" t="str">
        <f t="shared" si="100"/>
        <v/>
      </c>
      <c r="AA280" s="121" t="str">
        <f t="shared" si="101"/>
        <v/>
      </c>
      <c r="AB280" s="121">
        <f t="shared" si="94"/>
        <v>0</v>
      </c>
      <c r="AC280" s="121">
        <v>0</v>
      </c>
      <c r="AD280" s="121">
        <v>4.7243399999999998</v>
      </c>
      <c r="AE280" s="121">
        <v>-1.39E-3</v>
      </c>
      <c r="AF280" s="121">
        <v>-25.26484</v>
      </c>
      <c r="AG280" s="121">
        <v>0</v>
      </c>
      <c r="AH280" s="121">
        <v>-5.5100000000000001E-3</v>
      </c>
      <c r="AI280" s="121">
        <v>0</v>
      </c>
      <c r="AJ280" s="121">
        <v>-5077.4961600000006</v>
      </c>
      <c r="AK280" s="121">
        <v>-10120.07797</v>
      </c>
      <c r="AL280" s="121">
        <v>-2271.6073500000002</v>
      </c>
      <c r="AM280" s="121">
        <v>352.39852000000002</v>
      </c>
      <c r="AN280" s="121">
        <v>-0.11431999999999999</v>
      </c>
      <c r="AO280" s="121">
        <v>0</v>
      </c>
      <c r="AP280" s="125" t="str">
        <f>CONCATENATE(A280,M280)</f>
        <v>GLA</v>
      </c>
      <c r="AQ280" s="125" t="str">
        <f>CONCATENATE(AP280,L280,H280)</f>
        <v>GLAA2Accounts Payable</v>
      </c>
      <c r="AS280" s="125" t="str">
        <f>CONCATENATE(L280,H280,J280)</f>
        <v>A2Accounts Payable</v>
      </c>
    </row>
    <row r="281" spans="1:45" s="125" customFormat="1" ht="25.5" customHeight="1">
      <c r="A281" s="216" t="s">
        <v>2493</v>
      </c>
      <c r="B281" s="217" t="str">
        <f t="shared" si="95"/>
        <v>GL236190</v>
      </c>
      <c r="C281" s="186">
        <v>236190</v>
      </c>
      <c r="D281" s="201"/>
      <c r="E281" s="162"/>
      <c r="F281" s="169" t="s">
        <v>1345</v>
      </c>
      <c r="G281" s="117"/>
      <c r="H281" s="118" t="s">
        <v>976</v>
      </c>
      <c r="I281" s="119"/>
      <c r="J281" s="120"/>
      <c r="K281" s="120" t="str">
        <f t="shared" si="102"/>
        <v/>
      </c>
      <c r="L281" s="170" t="s">
        <v>1419</v>
      </c>
      <c r="M281" s="122" t="str">
        <f t="shared" si="103"/>
        <v>A</v>
      </c>
      <c r="N281" s="116" t="str">
        <f>IF($L281&lt;&gt;"",VLOOKUP($L281,Categories!$E:$G,2,FALSE),IF($F281&lt;&gt;"","NO CAT",""))</f>
        <v>All Other</v>
      </c>
      <c r="O281" s="116" t="str">
        <f>IF($L281&lt;&gt;"",VLOOKUP($L281,Categories!$E:$G,3,FALSE),IF($F281&lt;&gt;"","NO CAT",""))</f>
        <v>EB-Cap</v>
      </c>
      <c r="P281" s="170" t="s">
        <v>1557</v>
      </c>
      <c r="Q281" s="123" t="s">
        <v>1891</v>
      </c>
      <c r="R281" s="124">
        <v>0.77544352505021785</v>
      </c>
      <c r="S281" s="124">
        <v>0.22455647494978223</v>
      </c>
      <c r="T281" s="124">
        <v>0</v>
      </c>
      <c r="U281" s="121">
        <f t="shared" si="96"/>
        <v>-279.817669682651</v>
      </c>
      <c r="V281" s="121">
        <f t="shared" si="97"/>
        <v>-81.030877817349094</v>
      </c>
      <c r="W281" s="121">
        <f t="shared" si="98"/>
        <v>0</v>
      </c>
      <c r="X281" s="121">
        <f t="shared" si="93"/>
        <v>-360.8485475</v>
      </c>
      <c r="Y281" s="121">
        <f t="shared" si="99"/>
        <v>-348.977385922971</v>
      </c>
      <c r="Z281" s="121">
        <f t="shared" si="100"/>
        <v>-101.058464077029</v>
      </c>
      <c r="AA281" s="121">
        <f t="shared" si="101"/>
        <v>0</v>
      </c>
      <c r="AB281" s="121">
        <f t="shared" si="94"/>
        <v>-450.03584999999998</v>
      </c>
      <c r="AC281" s="121">
        <v>-432.63031000000001</v>
      </c>
      <c r="AD281" s="121">
        <v>-452.87534999999997</v>
      </c>
      <c r="AE281" s="121">
        <v>-423.12849999999997</v>
      </c>
      <c r="AF281" s="121">
        <v>-411.30212999999998</v>
      </c>
      <c r="AG281" s="121">
        <v>-222.44944000000001</v>
      </c>
      <c r="AH281" s="121">
        <v>-234.20373000000001</v>
      </c>
      <c r="AI281" s="121">
        <v>-257.69267000000002</v>
      </c>
      <c r="AJ281" s="121">
        <v>-344.08224999999999</v>
      </c>
      <c r="AK281" s="121">
        <v>-371.36505999999997</v>
      </c>
      <c r="AL281" s="121">
        <v>-367.26534000000004</v>
      </c>
      <c r="AM281" s="121">
        <v>-399.72462000000002</v>
      </c>
      <c r="AN281" s="121">
        <v>-404.7604</v>
      </c>
      <c r="AO281" s="121">
        <v>-450.03584999999998</v>
      </c>
      <c r="AP281" s="125" t="str">
        <f>CONCATENATE(A281,M281)</f>
        <v>GLA</v>
      </c>
      <c r="AQ281" s="125" t="str">
        <f>CONCATENATE(AP281,L281,H281)</f>
        <v>GLAA2Accounts Payable</v>
      </c>
      <c r="AS281" s="125" t="str">
        <f>CONCATENATE(L281,H281,J281)</f>
        <v>A2Accounts Payable</v>
      </c>
    </row>
    <row r="282" spans="1:45" s="125" customFormat="1" ht="25.5" customHeight="1">
      <c r="A282" s="216" t="s">
        <v>2493</v>
      </c>
      <c r="B282" s="217" t="str">
        <f t="shared" si="95"/>
        <v>GL236200</v>
      </c>
      <c r="C282" s="186">
        <v>236200</v>
      </c>
      <c r="D282" s="201"/>
      <c r="E282" s="162"/>
      <c r="F282" s="169" t="s">
        <v>1346</v>
      </c>
      <c r="G282" s="117"/>
      <c r="H282" s="118" t="s">
        <v>976</v>
      </c>
      <c r="I282" s="119"/>
      <c r="J282" s="120"/>
      <c r="K282" s="120" t="str">
        <f t="shared" si="102"/>
        <v/>
      </c>
      <c r="L282" s="170" t="s">
        <v>1419</v>
      </c>
      <c r="M282" s="122" t="str">
        <f t="shared" si="103"/>
        <v>A</v>
      </c>
      <c r="N282" s="116" t="str">
        <f>IF($L282&lt;&gt;"",VLOOKUP($L282,Categories!$E:$G,2,FALSE),IF($F282&lt;&gt;"","NO CAT",""))</f>
        <v>All Other</v>
      </c>
      <c r="O282" s="116" t="str">
        <f>IF($L282&lt;&gt;"",VLOOKUP($L282,Categories!$E:$G,3,FALSE),IF($F282&lt;&gt;"","NO CAT",""))</f>
        <v>EB-Cap</v>
      </c>
      <c r="P282" s="170" t="s">
        <v>1557</v>
      </c>
      <c r="Q282" s="123" t="s">
        <v>1891</v>
      </c>
      <c r="R282" s="124">
        <v>0.77544352505021785</v>
      </c>
      <c r="S282" s="124">
        <v>0.22455647494978223</v>
      </c>
      <c r="T282" s="124">
        <v>0</v>
      </c>
      <c r="U282" s="121">
        <f t="shared" si="96"/>
        <v>-9154.3224899140696</v>
      </c>
      <c r="V282" s="121">
        <f t="shared" si="97"/>
        <v>-2650.9504850859298</v>
      </c>
      <c r="W282" s="121">
        <f t="shared" si="98"/>
        <v>0</v>
      </c>
      <c r="X282" s="121">
        <f t="shared" si="93"/>
        <v>-11805.272975</v>
      </c>
      <c r="Y282" s="121">
        <f t="shared" si="99"/>
        <v>12650.7669663654</v>
      </c>
      <c r="Z282" s="121">
        <f t="shared" si="100"/>
        <v>3663.4668336345899</v>
      </c>
      <c r="AA282" s="121">
        <f t="shared" si="101"/>
        <v>0</v>
      </c>
      <c r="AB282" s="121">
        <f t="shared" si="94"/>
        <v>16314.2338</v>
      </c>
      <c r="AC282" s="121">
        <v>-18302.442159999999</v>
      </c>
      <c r="AD282" s="121">
        <v>-24427.680130000001</v>
      </c>
      <c r="AE282" s="121">
        <v>-34519.784599999999</v>
      </c>
      <c r="AF282" s="121">
        <v>-24963.753100000002</v>
      </c>
      <c r="AG282" s="121">
        <v>-16482.917710000002</v>
      </c>
      <c r="AH282" s="121">
        <v>-22519.34791</v>
      </c>
      <c r="AI282" s="121">
        <v>-15268.420900000001</v>
      </c>
      <c r="AJ282" s="121">
        <v>-10681.064380000002</v>
      </c>
      <c r="AK282" s="121">
        <v>-23030.939489999997</v>
      </c>
      <c r="AL282" s="121">
        <v>5517.6424299999999</v>
      </c>
      <c r="AM282" s="121">
        <v>13772.67589</v>
      </c>
      <c r="AN282" s="121">
        <v>11934.418380000001</v>
      </c>
      <c r="AO282" s="121">
        <v>16314.2338</v>
      </c>
      <c r="AP282" s="125" t="str">
        <f>CONCATENATE(A282,M282)</f>
        <v>GLA</v>
      </c>
      <c r="AQ282" s="125" t="str">
        <f>CONCATENATE(AP282,L282,H282)</f>
        <v>GLAA2Accounts Payable</v>
      </c>
      <c r="AS282" s="125" t="str">
        <f>CONCATENATE(L282,H282,J282)</f>
        <v>A2Accounts Payable</v>
      </c>
    </row>
    <row r="283" spans="1:45" s="125" customFormat="1" ht="25.5" customHeight="1">
      <c r="A283" s="216" t="s">
        <v>2493</v>
      </c>
      <c r="B283" s="217" t="str">
        <f t="shared" si="95"/>
        <v>GL236210</v>
      </c>
      <c r="C283" s="186">
        <v>236210</v>
      </c>
      <c r="D283" s="201"/>
      <c r="E283" s="162"/>
      <c r="F283" s="169" t="s">
        <v>1347</v>
      </c>
      <c r="G283" s="117"/>
      <c r="H283" s="118" t="s">
        <v>976</v>
      </c>
      <c r="I283" s="119"/>
      <c r="J283" s="120"/>
      <c r="K283" s="120" t="str">
        <f t="shared" si="102"/>
        <v/>
      </c>
      <c r="L283" s="170" t="s">
        <v>1419</v>
      </c>
      <c r="M283" s="122" t="str">
        <f t="shared" si="103"/>
        <v>A</v>
      </c>
      <c r="N283" s="116" t="str">
        <f>IF($L283&lt;&gt;"",VLOOKUP($L283,Categories!$E:$G,2,FALSE),IF($F283&lt;&gt;"","NO CAT",""))</f>
        <v>All Other</v>
      </c>
      <c r="O283" s="116" t="str">
        <f>IF($L283&lt;&gt;"",VLOOKUP($L283,Categories!$E:$G,3,FALSE),IF($F283&lt;&gt;"","NO CAT",""))</f>
        <v>EB-Cap</v>
      </c>
      <c r="P283" s="170" t="s">
        <v>1557</v>
      </c>
      <c r="Q283" s="123" t="s">
        <v>1891</v>
      </c>
      <c r="R283" s="124">
        <v>0.77544352505021785</v>
      </c>
      <c r="S283" s="124">
        <v>0.22455647494978223</v>
      </c>
      <c r="T283" s="124">
        <v>0</v>
      </c>
      <c r="U283" s="121">
        <f t="shared" si="96"/>
        <v>-182.70793455362801</v>
      </c>
      <c r="V283" s="121">
        <f t="shared" si="97"/>
        <v>-52.909397529705501</v>
      </c>
      <c r="W283" s="121">
        <f t="shared" si="98"/>
        <v>0</v>
      </c>
      <c r="X283" s="121">
        <f t="shared" si="93"/>
        <v>-235.617332083333</v>
      </c>
      <c r="Y283" s="121">
        <f t="shared" si="99"/>
        <v>228.42368641029401</v>
      </c>
      <c r="Z283" s="121">
        <f t="shared" si="100"/>
        <v>66.147973589705799</v>
      </c>
      <c r="AA283" s="121">
        <f t="shared" si="101"/>
        <v>0</v>
      </c>
      <c r="AB283" s="121">
        <f t="shared" si="94"/>
        <v>294.57165999999995</v>
      </c>
      <c r="AC283" s="121">
        <v>-145.89464999999998</v>
      </c>
      <c r="AD283" s="121">
        <v>-439.36054999999999</v>
      </c>
      <c r="AE283" s="121">
        <v>-868.58070999999995</v>
      </c>
      <c r="AF283" s="121">
        <v>-441.17043000000001</v>
      </c>
      <c r="AG283" s="121">
        <v>-584.94941000000006</v>
      </c>
      <c r="AH283" s="121">
        <v>-829.58190000000002</v>
      </c>
      <c r="AI283" s="121">
        <v>-32.460140000000003</v>
      </c>
      <c r="AJ283" s="121">
        <v>-111.58958</v>
      </c>
      <c r="AK283" s="121">
        <v>-246.48882999999998</v>
      </c>
      <c r="AL283" s="121">
        <v>367.23412999999999</v>
      </c>
      <c r="AM283" s="121">
        <v>225.12154000000001</v>
      </c>
      <c r="AN283" s="121">
        <v>60.079389999999997</v>
      </c>
      <c r="AO283" s="121">
        <v>294.57165999999995</v>
      </c>
      <c r="AP283" s="125" t="str">
        <f>CONCATENATE(A283,M283)</f>
        <v>GLA</v>
      </c>
      <c r="AQ283" s="125" t="str">
        <f>CONCATENATE(AP283,L283,H283)</f>
        <v>GLAA2Accounts Payable</v>
      </c>
      <c r="AS283" s="125" t="str">
        <f>CONCATENATE(L283,H283,J283)</f>
        <v>A2Accounts Payable</v>
      </c>
    </row>
    <row r="284" spans="1:45" s="125" customFormat="1" ht="25.5" customHeight="1">
      <c r="A284" s="216" t="s">
        <v>2493</v>
      </c>
      <c r="B284" s="217" t="str">
        <f t="shared" si="95"/>
        <v>GL236225</v>
      </c>
      <c r="C284" s="186">
        <v>236225</v>
      </c>
      <c r="D284" s="201"/>
      <c r="E284" s="162"/>
      <c r="F284" s="169" t="s">
        <v>608</v>
      </c>
      <c r="G284" s="117"/>
      <c r="H284" s="118">
        <v>0</v>
      </c>
      <c r="I284" s="119"/>
      <c r="J284" s="120"/>
      <c r="K284" s="120" t="str">
        <f t="shared" si="102"/>
        <v/>
      </c>
      <c r="L284" s="170" t="s">
        <v>1419</v>
      </c>
      <c r="M284" s="122" t="str">
        <f t="shared" si="103"/>
        <v>A</v>
      </c>
      <c r="N284" s="116" t="str">
        <f>IF($L284&lt;&gt;"",VLOOKUP($L284,Categories!$E:$G,2,FALSE),IF($F284&lt;&gt;"","NO CAT",""))</f>
        <v>All Other</v>
      </c>
      <c r="O284" s="116" t="str">
        <f>IF($L284&lt;&gt;"",VLOOKUP($L284,Categories!$E:$G,3,FALSE),IF($F284&lt;&gt;"","NO CAT",""))</f>
        <v>EB-Cap</v>
      </c>
      <c r="P284" s="170" t="s">
        <v>1557</v>
      </c>
      <c r="Q284" s="123" t="s">
        <v>1891</v>
      </c>
      <c r="R284" s="124">
        <v>0.77544352505021785</v>
      </c>
      <c r="S284" s="124">
        <v>0.22455647494978223</v>
      </c>
      <c r="T284" s="124">
        <v>0</v>
      </c>
      <c r="U284" s="121">
        <f t="shared" si="96"/>
        <v>28.153688807456</v>
      </c>
      <c r="V284" s="121">
        <f t="shared" si="97"/>
        <v>8.1528736925439507</v>
      </c>
      <c r="W284" s="121">
        <f t="shared" si="98"/>
        <v>0</v>
      </c>
      <c r="X284" s="121">
        <f t="shared" si="93"/>
        <v>36.306562499999998</v>
      </c>
      <c r="Y284" s="121">
        <f t="shared" si="99"/>
        <v>-42.259345784661697</v>
      </c>
      <c r="Z284" s="121">
        <f t="shared" si="100"/>
        <v>-12.237654215338299</v>
      </c>
      <c r="AA284" s="121">
        <f t="shared" si="101"/>
        <v>0</v>
      </c>
      <c r="AB284" s="121">
        <f t="shared" si="94"/>
        <v>-54.497</v>
      </c>
      <c r="AC284" s="121">
        <v>15.978999999999999</v>
      </c>
      <c r="AD284" s="121">
        <v>9.4369200000000006</v>
      </c>
      <c r="AE284" s="121">
        <v>2.8948299999999998</v>
      </c>
      <c r="AF284" s="121">
        <v>23.745750000000001</v>
      </c>
      <c r="AG284" s="121">
        <v>17.203669999999999</v>
      </c>
      <c r="AH284" s="121">
        <v>10.661580000000001</v>
      </c>
      <c r="AI284" s="121">
        <v>86.6785</v>
      </c>
      <c r="AJ284" s="121">
        <v>80.136420000000001</v>
      </c>
      <c r="AK284" s="121">
        <v>73.594329999999999</v>
      </c>
      <c r="AL284" s="121">
        <v>194.75225</v>
      </c>
      <c r="AM284" s="121">
        <v>-8.9540000000000006</v>
      </c>
      <c r="AN284" s="121">
        <v>-35.212499999999999</v>
      </c>
      <c r="AO284" s="121">
        <v>-54.497</v>
      </c>
      <c r="AP284" s="125" t="str">
        <f>CONCATENATE(A284,M284)</f>
        <v>GLA</v>
      </c>
      <c r="AQ284" s="125" t="str">
        <f>CONCATENATE(AP284,L284,H284)</f>
        <v>GLAA20</v>
      </c>
      <c r="AS284" s="125" t="str">
        <f>CONCATENATE(L284,H284,J284)</f>
        <v>A20</v>
      </c>
    </row>
    <row r="285" spans="1:45" s="125" customFormat="1" ht="25.5" customHeight="1">
      <c r="A285" s="216" t="s">
        <v>2493</v>
      </c>
      <c r="B285" s="217" t="str">
        <f t="shared" si="95"/>
        <v>GL236240</v>
      </c>
      <c r="C285" s="186">
        <v>236240</v>
      </c>
      <c r="D285" s="201"/>
      <c r="E285" s="162"/>
      <c r="F285" s="169" t="s">
        <v>1348</v>
      </c>
      <c r="G285" s="117"/>
      <c r="H285" s="118" t="s">
        <v>976</v>
      </c>
      <c r="I285" s="119"/>
      <c r="J285" s="120"/>
      <c r="K285" s="120" t="str">
        <f t="shared" si="102"/>
        <v/>
      </c>
      <c r="L285" s="170" t="s">
        <v>1419</v>
      </c>
      <c r="M285" s="122" t="str">
        <f t="shared" si="103"/>
        <v>A</v>
      </c>
      <c r="N285" s="116" t="str">
        <f>IF($L285&lt;&gt;"",VLOOKUP($L285,Categories!$E:$G,2,FALSE),IF($F285&lt;&gt;"","NO CAT",""))</f>
        <v>All Other</v>
      </c>
      <c r="O285" s="116" t="str">
        <f>IF($L285&lt;&gt;"",VLOOKUP($L285,Categories!$E:$G,3,FALSE),IF($F285&lt;&gt;"","NO CAT",""))</f>
        <v>EB-Cap</v>
      </c>
      <c r="P285" s="170" t="s">
        <v>1557</v>
      </c>
      <c r="Q285" s="123" t="s">
        <v>1891</v>
      </c>
      <c r="R285" s="124">
        <v>0.77544352505021785</v>
      </c>
      <c r="S285" s="124">
        <v>0.22455647494978223</v>
      </c>
      <c r="T285" s="124">
        <v>0</v>
      </c>
      <c r="U285" s="121">
        <f t="shared" si="96"/>
        <v>192.39652078579101</v>
      </c>
      <c r="V285" s="121">
        <f t="shared" si="97"/>
        <v>55.715062547542402</v>
      </c>
      <c r="W285" s="121">
        <f t="shared" si="98"/>
        <v>0</v>
      </c>
      <c r="X285" s="121">
        <f t="shared" si="93"/>
        <v>248.11158333333299</v>
      </c>
      <c r="Y285" s="121">
        <f t="shared" si="99"/>
        <v>193.84459694852799</v>
      </c>
      <c r="Z285" s="121">
        <f t="shared" si="100"/>
        <v>56.134403051471601</v>
      </c>
      <c r="AA285" s="121">
        <f t="shared" si="101"/>
        <v>0</v>
      </c>
      <c r="AB285" s="121">
        <f t="shared" si="94"/>
        <v>249.97900000000001</v>
      </c>
      <c r="AC285" s="121">
        <v>244.07900000000001</v>
      </c>
      <c r="AD285" s="121">
        <v>244.07900000000001</v>
      </c>
      <c r="AE285" s="121">
        <v>244.07900000000001</v>
      </c>
      <c r="AF285" s="121">
        <v>247.42599999999999</v>
      </c>
      <c r="AG285" s="121">
        <v>247.42599999999999</v>
      </c>
      <c r="AH285" s="121">
        <v>247.42599999999999</v>
      </c>
      <c r="AI285" s="121">
        <v>249.97900000000001</v>
      </c>
      <c r="AJ285" s="121">
        <v>249.97900000000001</v>
      </c>
      <c r="AK285" s="121">
        <v>249.97900000000001</v>
      </c>
      <c r="AL285" s="121">
        <v>249.97900000000001</v>
      </c>
      <c r="AM285" s="121">
        <v>249.97900000000001</v>
      </c>
      <c r="AN285" s="121">
        <v>249.97900000000001</v>
      </c>
      <c r="AO285" s="121">
        <v>249.97900000000001</v>
      </c>
      <c r="AP285" s="125" t="str">
        <f>CONCATENATE(A285,M285)</f>
        <v>GLA</v>
      </c>
      <c r="AQ285" s="125" t="str">
        <f>CONCATENATE(AP285,L285,H285)</f>
        <v>GLAA2Accounts Payable</v>
      </c>
      <c r="AS285" s="125" t="str">
        <f>CONCATENATE(L285,H285,J285)</f>
        <v>A2Accounts Payable</v>
      </c>
    </row>
    <row r="286" spans="1:45" s="125" customFormat="1" ht="25.5" customHeight="1">
      <c r="A286" s="216" t="s">
        <v>2493</v>
      </c>
      <c r="B286" s="217" t="str">
        <f t="shared" si="95"/>
        <v>GL236250</v>
      </c>
      <c r="C286" s="186">
        <v>236250</v>
      </c>
      <c r="D286" s="201"/>
      <c r="E286" s="162"/>
      <c r="F286" s="169" t="s">
        <v>1349</v>
      </c>
      <c r="G286" s="117"/>
      <c r="H286" s="118" t="s">
        <v>976</v>
      </c>
      <c r="I286" s="119"/>
      <c r="J286" s="120"/>
      <c r="K286" s="120" t="str">
        <f t="shared" si="102"/>
        <v/>
      </c>
      <c r="L286" s="170" t="s">
        <v>1419</v>
      </c>
      <c r="M286" s="122" t="str">
        <f t="shared" si="103"/>
        <v>A</v>
      </c>
      <c r="N286" s="116" t="str">
        <f>IF($L286&lt;&gt;"",VLOOKUP($L286,Categories!$E:$G,2,FALSE),IF($F286&lt;&gt;"","NO CAT",""))</f>
        <v>All Other</v>
      </c>
      <c r="O286" s="116" t="str">
        <f>IF($L286&lt;&gt;"",VLOOKUP($L286,Categories!$E:$G,3,FALSE),IF($F286&lt;&gt;"","NO CAT",""))</f>
        <v>EB-Cap</v>
      </c>
      <c r="P286" s="170" t="s">
        <v>1557</v>
      </c>
      <c r="Q286" s="123" t="s">
        <v>1891</v>
      </c>
      <c r="R286" s="124">
        <v>0.77544352505021785</v>
      </c>
      <c r="S286" s="124">
        <v>0.22455647494978223</v>
      </c>
      <c r="T286" s="124">
        <v>0</v>
      </c>
      <c r="U286" s="121">
        <f t="shared" si="96"/>
        <v>-8.65827929924194</v>
      </c>
      <c r="V286" s="121">
        <f t="shared" si="97"/>
        <v>-2.5073040340913701</v>
      </c>
      <c r="W286" s="121">
        <f t="shared" si="98"/>
        <v>0</v>
      </c>
      <c r="X286" s="121">
        <f t="shared" ref="X286:X318" si="104">IF(ISERROR(ROUND((SUM(AC286:AO286)-((AC286+AO286))/2)/12,15)),"",ROUND((SUM(AC286:AO286)-((AC286+AO286))/2)/12,15))</f>
        <v>-11.1655833333333</v>
      </c>
      <c r="Y286" s="121">
        <f t="shared" si="99"/>
        <v>-11.883672021394601</v>
      </c>
      <c r="Z286" s="121">
        <f t="shared" si="100"/>
        <v>-3.4413279786054098</v>
      </c>
      <c r="AA286" s="121">
        <f t="shared" si="101"/>
        <v>0</v>
      </c>
      <c r="AB286" s="121">
        <f t="shared" ref="AB286:AB318" si="105">IF(AO286="",0,+AO286)</f>
        <v>-15.324999999999999</v>
      </c>
      <c r="AC286" s="121">
        <v>-10.071</v>
      </c>
      <c r="AD286" s="121">
        <v>-10.071</v>
      </c>
      <c r="AE286" s="121">
        <v>-10.071</v>
      </c>
      <c r="AF286" s="121">
        <v>-10.071</v>
      </c>
      <c r="AG286" s="121">
        <v>-10.071</v>
      </c>
      <c r="AH286" s="121">
        <v>-10.071</v>
      </c>
      <c r="AI286" s="121">
        <v>-10.071</v>
      </c>
      <c r="AJ286" s="121">
        <v>-10.071</v>
      </c>
      <c r="AK286" s="121">
        <v>-10.071</v>
      </c>
      <c r="AL286" s="121">
        <v>-10.071</v>
      </c>
      <c r="AM286" s="121">
        <v>-15.324999999999999</v>
      </c>
      <c r="AN286" s="121">
        <v>-15.324999999999999</v>
      </c>
      <c r="AO286" s="121">
        <v>-15.324999999999999</v>
      </c>
      <c r="AP286" s="125" t="str">
        <f>CONCATENATE(A286,M286)</f>
        <v>GLA</v>
      </c>
      <c r="AQ286" s="125" t="str">
        <f>CONCATENATE(AP286,L286,H286)</f>
        <v>GLAA2Accounts Payable</v>
      </c>
      <c r="AS286" s="125" t="str">
        <f>CONCATENATE(L286,H286,J286)</f>
        <v>A2Accounts Payable</v>
      </c>
    </row>
    <row r="287" spans="1:45" s="125" customFormat="1" ht="25.5" customHeight="1">
      <c r="A287" s="216" t="s">
        <v>2493</v>
      </c>
      <c r="B287" s="217" t="str">
        <f t="shared" si="95"/>
        <v>GL236260</v>
      </c>
      <c r="C287" s="186">
        <v>236260</v>
      </c>
      <c r="D287" s="201"/>
      <c r="E287" s="162"/>
      <c r="F287" s="169" t="s">
        <v>1919</v>
      </c>
      <c r="G287" s="117"/>
      <c r="H287" s="118" t="s">
        <v>976</v>
      </c>
      <c r="I287" s="119"/>
      <c r="J287" s="120"/>
      <c r="K287" s="120" t="str">
        <f t="shared" si="102"/>
        <v/>
      </c>
      <c r="L287" s="170" t="s">
        <v>1419</v>
      </c>
      <c r="M287" s="122" t="str">
        <f t="shared" si="103"/>
        <v>A</v>
      </c>
      <c r="N287" s="116" t="str">
        <f>IF($L287&lt;&gt;"",VLOOKUP($L287,Categories!$E:$G,2,FALSE),IF($F287&lt;&gt;"","NO CAT",""))</f>
        <v>All Other</v>
      </c>
      <c r="O287" s="116" t="str">
        <f>IF($L287&lt;&gt;"",VLOOKUP($L287,Categories!$E:$G,3,FALSE),IF($F287&lt;&gt;"","NO CAT",""))</f>
        <v>EB-Cap</v>
      </c>
      <c r="P287" s="170" t="s">
        <v>1557</v>
      </c>
      <c r="Q287" s="123" t="s">
        <v>1891</v>
      </c>
      <c r="R287" s="124">
        <v>0.77544352505021785</v>
      </c>
      <c r="S287" s="124">
        <v>0.22455647494978223</v>
      </c>
      <c r="T287" s="124">
        <v>0</v>
      </c>
      <c r="U287" s="121">
        <f t="shared" si="96"/>
        <v>-4817.3255017481997</v>
      </c>
      <c r="V287" s="121">
        <f t="shared" si="97"/>
        <v>-1395.0231040851299</v>
      </c>
      <c r="W287" s="121">
        <f t="shared" si="98"/>
        <v>0</v>
      </c>
      <c r="X287" s="121">
        <f t="shared" si="104"/>
        <v>-6212.3486058333301</v>
      </c>
      <c r="Y287" s="121">
        <f t="shared" si="99"/>
        <v>-1329.60757141304</v>
      </c>
      <c r="Z287" s="121">
        <f t="shared" si="100"/>
        <v>-385.03382858696</v>
      </c>
      <c r="AA287" s="121">
        <f t="shared" si="101"/>
        <v>0</v>
      </c>
      <c r="AB287" s="121">
        <f t="shared" si="105"/>
        <v>-1714.6414</v>
      </c>
      <c r="AC287" s="121">
        <v>-5140.8042000000005</v>
      </c>
      <c r="AD287" s="121">
        <v>-6418.9162100000003</v>
      </c>
      <c r="AE287" s="121">
        <v>-8582.4326899999996</v>
      </c>
      <c r="AF287" s="121">
        <v>-8041.2791500000003</v>
      </c>
      <c r="AG287" s="121">
        <v>-9481.0180600000003</v>
      </c>
      <c r="AH287" s="121">
        <v>-10481.342909999999</v>
      </c>
      <c r="AI287" s="121">
        <v>-8061.3064899999999</v>
      </c>
      <c r="AJ287" s="121">
        <v>-6331.7252600000002</v>
      </c>
      <c r="AK287" s="121">
        <v>-8241.3772000000008</v>
      </c>
      <c r="AL287" s="121">
        <v>-2889.0390899999998</v>
      </c>
      <c r="AM287" s="121">
        <v>-1239.21027</v>
      </c>
      <c r="AN287" s="121">
        <v>-1352.81314</v>
      </c>
      <c r="AO287" s="121">
        <v>-1714.6414</v>
      </c>
      <c r="AP287" s="125" t="str">
        <f>CONCATENATE(A287,M287)</f>
        <v>GLA</v>
      </c>
      <c r="AQ287" s="125" t="str">
        <f>CONCATENATE(AP287,L287,H287)</f>
        <v>GLAA2Accounts Payable</v>
      </c>
      <c r="AS287" s="125" t="str">
        <f>CONCATENATE(L287,H287,J287)</f>
        <v>A2Accounts Payable</v>
      </c>
    </row>
    <row r="288" spans="1:45" s="125" customFormat="1" ht="25.5" customHeight="1">
      <c r="A288" s="216" t="s">
        <v>2493</v>
      </c>
      <c r="B288" s="217" t="str">
        <f t="shared" si="95"/>
        <v>GL236820</v>
      </c>
      <c r="C288" s="186">
        <v>236820</v>
      </c>
      <c r="D288" s="201"/>
      <c r="E288" s="162"/>
      <c r="F288" s="169" t="s">
        <v>2616</v>
      </c>
      <c r="G288" s="117"/>
      <c r="H288" s="118" t="s">
        <v>976</v>
      </c>
      <c r="I288" s="119"/>
      <c r="J288" s="120"/>
      <c r="K288" s="120" t="str">
        <f t="shared" si="102"/>
        <v/>
      </c>
      <c r="L288" s="170" t="s">
        <v>1419</v>
      </c>
      <c r="M288" s="122" t="str">
        <f t="shared" si="103"/>
        <v>A</v>
      </c>
      <c r="N288" s="116" t="str">
        <f>IF($L288&lt;&gt;"",VLOOKUP($L288,Categories!$E:$G,2,FALSE),IF($F288&lt;&gt;"","NO CAT",""))</f>
        <v>All Other</v>
      </c>
      <c r="O288" s="116" t="str">
        <f>IF($L288&lt;&gt;"",VLOOKUP($L288,Categories!$E:$G,3,FALSE),IF($F288&lt;&gt;"","NO CAT",""))</f>
        <v>EB-Cap</v>
      </c>
      <c r="P288" s="170" t="s">
        <v>1557</v>
      </c>
      <c r="Q288" s="123" t="s">
        <v>1891</v>
      </c>
      <c r="R288" s="124">
        <v>0.77544352505021785</v>
      </c>
      <c r="S288" s="124">
        <v>0.22455647494978223</v>
      </c>
      <c r="T288" s="124">
        <v>0</v>
      </c>
      <c r="U288" s="121">
        <f t="shared" si="96"/>
        <v>-486.05818081324998</v>
      </c>
      <c r="V288" s="121">
        <f t="shared" si="97"/>
        <v>-140.754946270083</v>
      </c>
      <c r="W288" s="121">
        <f t="shared" si="98"/>
        <v>0</v>
      </c>
      <c r="X288" s="121">
        <f t="shared" si="104"/>
        <v>-626.81312708333303</v>
      </c>
      <c r="Y288" s="121">
        <f t="shared" si="99"/>
        <v>-19.454947511279901</v>
      </c>
      <c r="Z288" s="121">
        <f t="shared" si="100"/>
        <v>-5.6338524887201</v>
      </c>
      <c r="AA288" s="121">
        <f t="shared" si="101"/>
        <v>0</v>
      </c>
      <c r="AB288" s="121">
        <f t="shared" si="105"/>
        <v>-25.088799999999999</v>
      </c>
      <c r="AC288" s="121">
        <v>-798.63756999999998</v>
      </c>
      <c r="AD288" s="121">
        <v>-1799.64573</v>
      </c>
      <c r="AE288" s="121">
        <v>-2777.9412299999999</v>
      </c>
      <c r="AF288" s="121">
        <v>973.68732</v>
      </c>
      <c r="AG288" s="121">
        <v>283.46679999999998</v>
      </c>
      <c r="AH288" s="121">
        <v>-266.95840000000004</v>
      </c>
      <c r="AI288" s="121">
        <v>275.52110999999996</v>
      </c>
      <c r="AJ288" s="121">
        <v>-446.25177000000002</v>
      </c>
      <c r="AK288" s="121">
        <v>-1223.82683</v>
      </c>
      <c r="AL288" s="121">
        <v>97.576250000000002</v>
      </c>
      <c r="AM288" s="121">
        <v>-685.58175000000006</v>
      </c>
      <c r="AN288" s="121">
        <v>-1539.94011</v>
      </c>
      <c r="AO288" s="121">
        <v>-25.088799999999999</v>
      </c>
      <c r="AP288" s="125" t="str">
        <f>CONCATENATE(A288,M288)</f>
        <v>GLA</v>
      </c>
      <c r="AQ288" s="125" t="str">
        <f>CONCATENATE(AP288,L288,H288)</f>
        <v>GLAA2Accounts Payable</v>
      </c>
      <c r="AS288" s="125" t="str">
        <f>CONCATENATE(L288,H288,J288)</f>
        <v>A2Accounts Payable</v>
      </c>
    </row>
    <row r="289" spans="1:45" s="125" customFormat="1" ht="25.5" customHeight="1">
      <c r="A289" s="216" t="s">
        <v>2493</v>
      </c>
      <c r="B289" s="217" t="str">
        <f t="shared" si="95"/>
        <v>GL236905</v>
      </c>
      <c r="C289" s="186">
        <v>236905</v>
      </c>
      <c r="D289" s="201"/>
      <c r="E289" s="162"/>
      <c r="F289" s="169" t="s">
        <v>2617</v>
      </c>
      <c r="G289" s="117"/>
      <c r="H289" s="118" t="s">
        <v>976</v>
      </c>
      <c r="I289" s="119"/>
      <c r="J289" s="120"/>
      <c r="K289" s="120" t="str">
        <f t="shared" si="102"/>
        <v/>
      </c>
      <c r="L289" s="170" t="s">
        <v>1419</v>
      </c>
      <c r="M289" s="122" t="str">
        <f t="shared" si="103"/>
        <v>A</v>
      </c>
      <c r="N289" s="116" t="str">
        <f>IF($L289&lt;&gt;"",VLOOKUP($L289,Categories!$E:$G,2,FALSE),IF($F289&lt;&gt;"","NO CAT",""))</f>
        <v>All Other</v>
      </c>
      <c r="O289" s="116" t="str">
        <f>IF($L289&lt;&gt;"",VLOOKUP($L289,Categories!$E:$G,3,FALSE),IF($F289&lt;&gt;"","NO CAT",""))</f>
        <v>EB-Cap</v>
      </c>
      <c r="P289" s="170" t="s">
        <v>1557</v>
      </c>
      <c r="Q289" s="123" t="s">
        <v>1891</v>
      </c>
      <c r="R289" s="124">
        <v>0.77544352505021785</v>
      </c>
      <c r="S289" s="124">
        <v>0.22455647494978223</v>
      </c>
      <c r="T289" s="124">
        <v>0</v>
      </c>
      <c r="U289" s="121">
        <f t="shared" si="96"/>
        <v>-358.319942759936</v>
      </c>
      <c r="V289" s="121">
        <f t="shared" si="97"/>
        <v>-103.76392432339701</v>
      </c>
      <c r="W289" s="121">
        <f t="shared" si="98"/>
        <v>0</v>
      </c>
      <c r="X289" s="121">
        <f t="shared" si="104"/>
        <v>-462.08386708333302</v>
      </c>
      <c r="Y289" s="121">
        <f t="shared" si="99"/>
        <v>-14.588977356107801</v>
      </c>
      <c r="Z289" s="121">
        <f t="shared" si="100"/>
        <v>-4.2247426438922204</v>
      </c>
      <c r="AA289" s="121">
        <f t="shared" si="101"/>
        <v>0</v>
      </c>
      <c r="AB289" s="121">
        <f t="shared" si="105"/>
        <v>-18.81372</v>
      </c>
      <c r="AC289" s="121">
        <v>-33.308349999999997</v>
      </c>
      <c r="AD289" s="121">
        <v>-2753.3544999999999</v>
      </c>
      <c r="AE289" s="121">
        <v>-1043.93965</v>
      </c>
      <c r="AF289" s="121">
        <v>-777.55852000000004</v>
      </c>
      <c r="AG289" s="121">
        <v>-697.87112000000002</v>
      </c>
      <c r="AH289" s="121">
        <v>-36.604140000000001</v>
      </c>
      <c r="AI289" s="121">
        <v>0</v>
      </c>
      <c r="AJ289" s="121">
        <v>-61.338380000000001</v>
      </c>
      <c r="AK289" s="121">
        <v>-80.896419999999992</v>
      </c>
      <c r="AL289" s="121">
        <v>-29.755200000000002</v>
      </c>
      <c r="AM289" s="121">
        <v>-18.81372</v>
      </c>
      <c r="AN289" s="121">
        <v>-18.81372</v>
      </c>
      <c r="AO289" s="121">
        <v>-18.81372</v>
      </c>
      <c r="AP289" s="125" t="str">
        <f>CONCATENATE(A289,M289)</f>
        <v>GLA</v>
      </c>
      <c r="AQ289" s="125" t="str">
        <f>CONCATENATE(AP289,L289,H289)</f>
        <v>GLAA2Accounts Payable</v>
      </c>
      <c r="AS289" s="125" t="str">
        <f>CONCATENATE(L289,H289,J289)</f>
        <v>A2Accounts Payable</v>
      </c>
    </row>
    <row r="290" spans="1:45" s="125" customFormat="1" ht="25.5" customHeight="1">
      <c r="A290" s="216" t="s">
        <v>2493</v>
      </c>
      <c r="B290" s="217" t="str">
        <f t="shared" si="95"/>
        <v>GL236910</v>
      </c>
      <c r="C290" s="186">
        <v>236910</v>
      </c>
      <c r="D290" s="201"/>
      <c r="E290" s="162"/>
      <c r="F290" s="169" t="s">
        <v>2618</v>
      </c>
      <c r="G290" s="117"/>
      <c r="H290" s="118" t="s">
        <v>976</v>
      </c>
      <c r="I290" s="119"/>
      <c r="J290" s="120"/>
      <c r="K290" s="120" t="str">
        <f t="shared" si="102"/>
        <v/>
      </c>
      <c r="L290" s="170" t="s">
        <v>1419</v>
      </c>
      <c r="M290" s="122" t="str">
        <f t="shared" si="103"/>
        <v>A</v>
      </c>
      <c r="N290" s="116" t="str">
        <f>IF($L290&lt;&gt;"",VLOOKUP($L290,Categories!$E:$G,2,FALSE),IF($F290&lt;&gt;"","NO CAT",""))</f>
        <v>All Other</v>
      </c>
      <c r="O290" s="116" t="str">
        <f>IF($L290&lt;&gt;"",VLOOKUP($L290,Categories!$E:$G,3,FALSE),IF($F290&lt;&gt;"","NO CAT",""))</f>
        <v>EB-Cap</v>
      </c>
      <c r="P290" s="170" t="s">
        <v>1557</v>
      </c>
      <c r="Q290" s="123" t="s">
        <v>1891</v>
      </c>
      <c r="R290" s="124">
        <v>0.77544352505021785</v>
      </c>
      <c r="S290" s="124">
        <v>0.22455647494978223</v>
      </c>
      <c r="T290" s="124">
        <v>0</v>
      </c>
      <c r="U290" s="121">
        <f t="shared" si="96"/>
        <v>-898.44071463853197</v>
      </c>
      <c r="V290" s="121">
        <f t="shared" si="97"/>
        <v>-260.17456244479803</v>
      </c>
      <c r="W290" s="121">
        <f t="shared" si="98"/>
        <v>0</v>
      </c>
      <c r="X290" s="121">
        <f t="shared" si="104"/>
        <v>-1158.6152770833301</v>
      </c>
      <c r="Y290" s="121">
        <f t="shared" si="99"/>
        <v>-1069.8131776170101</v>
      </c>
      <c r="Z290" s="121">
        <f t="shared" si="100"/>
        <v>-309.80138238299497</v>
      </c>
      <c r="AA290" s="121">
        <f t="shared" si="101"/>
        <v>0</v>
      </c>
      <c r="AB290" s="121">
        <f t="shared" si="105"/>
        <v>-1379.61456</v>
      </c>
      <c r="AC290" s="121">
        <v>-1226.9538700000001</v>
      </c>
      <c r="AD290" s="121">
        <v>-746.40606000000002</v>
      </c>
      <c r="AE290" s="121">
        <v>-1464.67354</v>
      </c>
      <c r="AF290" s="121">
        <v>-1215.4261999999999</v>
      </c>
      <c r="AG290" s="121">
        <v>-1153.06819</v>
      </c>
      <c r="AH290" s="121">
        <v>-1279.9880800000001</v>
      </c>
      <c r="AI290" s="121">
        <v>-1319.6706399999998</v>
      </c>
      <c r="AJ290" s="121">
        <v>-1335.4676000000002</v>
      </c>
      <c r="AK290" s="121">
        <v>-1014.0975999999999</v>
      </c>
      <c r="AL290" s="121">
        <v>-1102.56675</v>
      </c>
      <c r="AM290" s="121">
        <v>-890.43619999999999</v>
      </c>
      <c r="AN290" s="121">
        <v>-1078.2982500000001</v>
      </c>
      <c r="AO290" s="121">
        <v>-1379.61456</v>
      </c>
      <c r="AP290" s="125" t="str">
        <f>CONCATENATE(A290,M290)</f>
        <v>GLA</v>
      </c>
      <c r="AQ290" s="125" t="str">
        <f>CONCATENATE(AP290,L290,H290)</f>
        <v>GLAA2Accounts Payable</v>
      </c>
      <c r="AS290" s="125" t="str">
        <f>CONCATENATE(L290,H290,J290)</f>
        <v>A2Accounts Payable</v>
      </c>
    </row>
    <row r="291" spans="1:45" s="125" customFormat="1" ht="25.5" customHeight="1">
      <c r="A291" s="216" t="s">
        <v>2493</v>
      </c>
      <c r="B291" s="217" t="str">
        <f t="shared" si="95"/>
        <v>GL236951</v>
      </c>
      <c r="C291" s="186">
        <v>236951</v>
      </c>
      <c r="D291" s="201"/>
      <c r="E291" s="162"/>
      <c r="F291" s="169" t="s">
        <v>3016</v>
      </c>
      <c r="G291" s="117"/>
      <c r="H291" s="118" t="s">
        <v>1149</v>
      </c>
      <c r="I291" s="119"/>
      <c r="J291" s="120"/>
      <c r="K291" s="120" t="str">
        <f t="shared" si="102"/>
        <v>SFAS-109</v>
      </c>
      <c r="L291" s="170" t="s">
        <v>930</v>
      </c>
      <c r="M291" s="122" t="str">
        <f t="shared" si="103"/>
        <v>N</v>
      </c>
      <c r="N291" s="116" t="str">
        <f>IF($L291&lt;&gt;"",VLOOKUP($L291,Categories!$E:$G,2,FALSE),IF($F291&lt;&gt;"","NO CAT",""))</f>
        <v>Not in Rate Base</v>
      </c>
      <c r="O291" s="116" t="str">
        <f>IF($L291&lt;&gt;"",VLOOKUP($L291,Categories!$E:$G,3,FALSE),IF($F291&lt;&gt;"","NO CAT",""))</f>
        <v>SFAS-109   (offsetting)</v>
      </c>
      <c r="P291" s="170" t="s">
        <v>1186</v>
      </c>
      <c r="Q291" s="123" t="s">
        <v>1187</v>
      </c>
      <c r="R291" s="124">
        <v>0</v>
      </c>
      <c r="S291" s="124">
        <v>0</v>
      </c>
      <c r="T291" s="124">
        <v>1</v>
      </c>
      <c r="U291" s="121">
        <f t="shared" si="96"/>
        <v>0</v>
      </c>
      <c r="V291" s="121">
        <f t="shared" si="97"/>
        <v>0</v>
      </c>
      <c r="W291" s="121">
        <f t="shared" si="98"/>
        <v>-395.08346333333299</v>
      </c>
      <c r="X291" s="121">
        <f t="shared" si="104"/>
        <v>-395.08346333333299</v>
      </c>
      <c r="Y291" s="121">
        <f t="shared" si="99"/>
        <v>0</v>
      </c>
      <c r="Z291" s="121">
        <f t="shared" si="100"/>
        <v>0</v>
      </c>
      <c r="AA291" s="121">
        <f t="shared" si="101"/>
        <v>-4293.7151999999996</v>
      </c>
      <c r="AB291" s="121">
        <f t="shared" si="105"/>
        <v>-4293.7152000000006</v>
      </c>
      <c r="AC291" s="121">
        <v>0</v>
      </c>
      <c r="AD291" s="121">
        <v>0</v>
      </c>
      <c r="AE291" s="121">
        <v>0</v>
      </c>
      <c r="AF291" s="121">
        <v>0</v>
      </c>
      <c r="AG291" s="121">
        <v>0</v>
      </c>
      <c r="AH291" s="121">
        <v>0</v>
      </c>
      <c r="AI291" s="121">
        <v>0</v>
      </c>
      <c r="AJ291" s="121">
        <v>0</v>
      </c>
      <c r="AK291" s="121">
        <v>0</v>
      </c>
      <c r="AL291" s="121">
        <v>0</v>
      </c>
      <c r="AM291" s="121">
        <v>-2286.1314199999997</v>
      </c>
      <c r="AN291" s="121">
        <v>-308.01254</v>
      </c>
      <c r="AO291" s="121">
        <v>-4293.7152000000006</v>
      </c>
      <c r="AP291" s="125" t="str">
        <f>CONCATENATE(A291,M291)</f>
        <v>GLN</v>
      </c>
      <c r="AQ291" s="125" t="str">
        <f>CONCATENATE(AP291,L291,H291)</f>
        <v>GLNN3SFAS-109</v>
      </c>
      <c r="AS291" s="125" t="str">
        <f>CONCATENATE(L291,H291,J291)</f>
        <v>N3SFAS-109</v>
      </c>
    </row>
    <row r="292" spans="1:45" s="125" customFormat="1" ht="25.5" customHeight="1">
      <c r="A292" s="216" t="s">
        <v>2493</v>
      </c>
      <c r="B292" s="217" t="str">
        <f t="shared" si="95"/>
        <v>GL236954</v>
      </c>
      <c r="C292" s="186">
        <v>236954</v>
      </c>
      <c r="D292" s="201"/>
      <c r="E292" s="162"/>
      <c r="F292" s="169" t="s">
        <v>2494</v>
      </c>
      <c r="G292" s="117"/>
      <c r="H292" s="118" t="s">
        <v>1149</v>
      </c>
      <c r="I292" s="119"/>
      <c r="J292" s="120"/>
      <c r="K292" s="120" t="str">
        <f t="shared" si="102"/>
        <v>SFAS-109</v>
      </c>
      <c r="L292" s="170" t="s">
        <v>930</v>
      </c>
      <c r="M292" s="122" t="str">
        <f t="shared" si="103"/>
        <v>N</v>
      </c>
      <c r="N292" s="116" t="str">
        <f>IF($L292&lt;&gt;"",VLOOKUP($L292,Categories!$E:$G,2,FALSE),IF($F292&lt;&gt;"","NO CAT",""))</f>
        <v>Not in Rate Base</v>
      </c>
      <c r="O292" s="116" t="str">
        <f>IF($L292&lt;&gt;"",VLOOKUP($L292,Categories!$E:$G,3,FALSE),IF($F292&lt;&gt;"","NO CAT",""))</f>
        <v>SFAS-109   (offsetting)</v>
      </c>
      <c r="P292" s="170" t="s">
        <v>1186</v>
      </c>
      <c r="Q292" s="123" t="s">
        <v>1187</v>
      </c>
      <c r="R292" s="124">
        <v>0</v>
      </c>
      <c r="S292" s="124">
        <v>0</v>
      </c>
      <c r="T292" s="124">
        <v>1</v>
      </c>
      <c r="U292" s="121">
        <f t="shared" si="96"/>
        <v>0</v>
      </c>
      <c r="V292" s="121">
        <f t="shared" si="97"/>
        <v>0</v>
      </c>
      <c r="W292" s="121">
        <f t="shared" si="98"/>
        <v>395.08346333333299</v>
      </c>
      <c r="X292" s="121">
        <f t="shared" si="104"/>
        <v>395.08346333333299</v>
      </c>
      <c r="Y292" s="121">
        <f t="shared" si="99"/>
        <v>0</v>
      </c>
      <c r="Z292" s="121">
        <f t="shared" si="100"/>
        <v>0</v>
      </c>
      <c r="AA292" s="121">
        <f t="shared" si="101"/>
        <v>4293.7151999999996</v>
      </c>
      <c r="AB292" s="121">
        <f t="shared" si="105"/>
        <v>4293.7152000000006</v>
      </c>
      <c r="AC292" s="121">
        <v>0</v>
      </c>
      <c r="AD292" s="121">
        <v>0</v>
      </c>
      <c r="AE292" s="121">
        <v>0</v>
      </c>
      <c r="AF292" s="121">
        <v>0</v>
      </c>
      <c r="AG292" s="121">
        <v>0</v>
      </c>
      <c r="AH292" s="121">
        <v>0</v>
      </c>
      <c r="AI292" s="121">
        <v>0</v>
      </c>
      <c r="AJ292" s="121">
        <v>0</v>
      </c>
      <c r="AK292" s="121">
        <v>0</v>
      </c>
      <c r="AL292" s="121">
        <v>0</v>
      </c>
      <c r="AM292" s="121">
        <v>2286.1314199999997</v>
      </c>
      <c r="AN292" s="121">
        <v>308.01254</v>
      </c>
      <c r="AO292" s="121">
        <v>4293.7152000000006</v>
      </c>
      <c r="AP292" s="125" t="str">
        <f>CONCATENATE(A292,M292)</f>
        <v>GLN</v>
      </c>
      <c r="AQ292" s="125" t="str">
        <f>CONCATENATE(AP292,L292,H292)</f>
        <v>GLNN3SFAS-109</v>
      </c>
      <c r="AS292" s="125" t="str">
        <f>CONCATENATE(L292,H292,J292)</f>
        <v>N3SFAS-109</v>
      </c>
    </row>
    <row r="293" spans="1:45" s="125" customFormat="1" ht="25.5" customHeight="1">
      <c r="A293" s="216" t="s">
        <v>2493</v>
      </c>
      <c r="B293" s="217" t="str">
        <f t="shared" si="95"/>
        <v>GL237007</v>
      </c>
      <c r="C293" s="186">
        <v>237007</v>
      </c>
      <c r="D293" s="201"/>
      <c r="E293" s="162"/>
      <c r="F293" s="169" t="s">
        <v>2626</v>
      </c>
      <c r="G293" s="117"/>
      <c r="H293" s="118" t="s">
        <v>596</v>
      </c>
      <c r="I293" s="119"/>
      <c r="J293" s="120"/>
      <c r="K293" s="120" t="str">
        <f t="shared" si="102"/>
        <v/>
      </c>
      <c r="L293" s="170" t="s">
        <v>928</v>
      </c>
      <c r="M293" s="122" t="str">
        <f t="shared" si="103"/>
        <v>N</v>
      </c>
      <c r="N293" s="116" t="str">
        <f>IF($L293&lt;&gt;"",VLOOKUP($L293,Categories!$E:$G,2,FALSE),IF($F293&lt;&gt;"","NO CAT",""))</f>
        <v>Not in Rate Base</v>
      </c>
      <c r="O293" s="116" t="str">
        <f>IF($L293&lt;&gt;"",VLOOKUP($L293,Categories!$E:$G,3,FALSE),IF($F293&lt;&gt;"","NO CAT",""))</f>
        <v>Direct Assign Items Not in RB</v>
      </c>
      <c r="P293" s="170" t="s">
        <v>1186</v>
      </c>
      <c r="Q293" s="123" t="s">
        <v>1187</v>
      </c>
      <c r="R293" s="124">
        <v>0</v>
      </c>
      <c r="S293" s="124">
        <v>0</v>
      </c>
      <c r="T293" s="124">
        <v>1</v>
      </c>
      <c r="U293" s="121">
        <f t="shared" si="96"/>
        <v>0</v>
      </c>
      <c r="V293" s="121">
        <f t="shared" si="97"/>
        <v>0</v>
      </c>
      <c r="W293" s="121">
        <f t="shared" si="98"/>
        <v>-2844.3333333333298</v>
      </c>
      <c r="X293" s="121">
        <f t="shared" si="104"/>
        <v>-2844.3333333333298</v>
      </c>
      <c r="Y293" s="121">
        <f t="shared" si="99"/>
        <v>0</v>
      </c>
      <c r="Z293" s="121">
        <f t="shared" si="100"/>
        <v>0</v>
      </c>
      <c r="AA293" s="121">
        <f t="shared" si="101"/>
        <v>-472</v>
      </c>
      <c r="AB293" s="121">
        <f t="shared" si="105"/>
        <v>-472</v>
      </c>
      <c r="AC293" s="121">
        <v>-5468</v>
      </c>
      <c r="AD293" s="121">
        <v>-5545</v>
      </c>
      <c r="AE293" s="121">
        <v>-5610</v>
      </c>
      <c r="AF293" s="121">
        <v>-5683</v>
      </c>
      <c r="AG293" s="121">
        <v>-5683</v>
      </c>
      <c r="AH293" s="121">
        <v>-5834</v>
      </c>
      <c r="AI293" s="121">
        <v>-459</v>
      </c>
      <c r="AJ293" s="121">
        <v>-459</v>
      </c>
      <c r="AK293" s="121">
        <v>-467</v>
      </c>
      <c r="AL293" s="121">
        <v>-470</v>
      </c>
      <c r="AM293" s="121">
        <v>-474</v>
      </c>
      <c r="AN293" s="121">
        <v>-478</v>
      </c>
      <c r="AO293" s="121">
        <v>-472</v>
      </c>
      <c r="AP293" s="125" t="str">
        <f>CONCATENATE(A293,M293)</f>
        <v>GLN</v>
      </c>
      <c r="AQ293" s="125" t="str">
        <f>CONCATENATE(AP293,L293,H293)</f>
        <v>GLNN2FIN 48 Reclass</v>
      </c>
      <c r="AS293" s="125" t="str">
        <f>CONCATENATE(L293,H293,J293)</f>
        <v>N2FIN 48 Reclass</v>
      </c>
    </row>
    <row r="294" spans="1:45" s="125" customFormat="1" ht="25.5" customHeight="1">
      <c r="A294" s="216" t="s">
        <v>2493</v>
      </c>
      <c r="B294" s="217" t="str">
        <f t="shared" si="95"/>
        <v>GL237008</v>
      </c>
      <c r="C294" s="186">
        <v>237008</v>
      </c>
      <c r="D294" s="201"/>
      <c r="E294" s="162"/>
      <c r="F294" s="169" t="s">
        <v>595</v>
      </c>
      <c r="G294" s="117"/>
      <c r="H294" s="118" t="s">
        <v>596</v>
      </c>
      <c r="I294" s="119"/>
      <c r="J294" s="120"/>
      <c r="K294" s="120" t="str">
        <f t="shared" si="102"/>
        <v/>
      </c>
      <c r="L294" s="170" t="s">
        <v>928</v>
      </c>
      <c r="M294" s="122" t="str">
        <f t="shared" si="103"/>
        <v>N</v>
      </c>
      <c r="N294" s="116" t="str">
        <f>IF($L294&lt;&gt;"",VLOOKUP($L294,Categories!$E:$G,2,FALSE),IF($F294&lt;&gt;"","NO CAT",""))</f>
        <v>Not in Rate Base</v>
      </c>
      <c r="O294" s="116" t="str">
        <f>IF($L294&lt;&gt;"",VLOOKUP($L294,Categories!$E:$G,3,FALSE),IF($F294&lt;&gt;"","NO CAT",""))</f>
        <v>Direct Assign Items Not in RB</v>
      </c>
      <c r="P294" s="170" t="s">
        <v>1186</v>
      </c>
      <c r="Q294" s="123" t="s">
        <v>1187</v>
      </c>
      <c r="R294" s="124">
        <v>0</v>
      </c>
      <c r="S294" s="124">
        <v>0</v>
      </c>
      <c r="T294" s="124">
        <v>1</v>
      </c>
      <c r="U294" s="121">
        <f t="shared" si="96"/>
        <v>0</v>
      </c>
      <c r="V294" s="121">
        <f t="shared" si="97"/>
        <v>0</v>
      </c>
      <c r="W294" s="121">
        <f t="shared" si="98"/>
        <v>-1922.0416666666699</v>
      </c>
      <c r="X294" s="121">
        <f t="shared" si="104"/>
        <v>-1922.0416666666699</v>
      </c>
      <c r="Y294" s="121">
        <f t="shared" si="99"/>
        <v>0</v>
      </c>
      <c r="Z294" s="121">
        <f t="shared" si="100"/>
        <v>0</v>
      </c>
      <c r="AA294" s="121">
        <f t="shared" si="101"/>
        <v>-2090</v>
      </c>
      <c r="AB294" s="121">
        <f t="shared" si="105"/>
        <v>-2090</v>
      </c>
      <c r="AC294" s="121">
        <v>-1739</v>
      </c>
      <c r="AD294" s="121">
        <v>-1769</v>
      </c>
      <c r="AE294" s="121">
        <v>-1800</v>
      </c>
      <c r="AF294" s="121">
        <v>-1831</v>
      </c>
      <c r="AG294" s="121">
        <v>-1831</v>
      </c>
      <c r="AH294" s="121">
        <v>-1896</v>
      </c>
      <c r="AI294" s="121">
        <v>-1928</v>
      </c>
      <c r="AJ294" s="121">
        <v>-1928</v>
      </c>
      <c r="AK294" s="121">
        <v>-1992</v>
      </c>
      <c r="AL294" s="121">
        <v>-2024</v>
      </c>
      <c r="AM294" s="121">
        <v>-2059</v>
      </c>
      <c r="AN294" s="121">
        <v>-2092</v>
      </c>
      <c r="AO294" s="121">
        <v>-2090</v>
      </c>
      <c r="AP294" s="125" t="str">
        <f>CONCATENATE(A294,M294)</f>
        <v>GLN</v>
      </c>
      <c r="AQ294" s="125" t="str">
        <f>CONCATENATE(AP294,L294,H294)</f>
        <v>GLNN2FIN 48 Reclass</v>
      </c>
      <c r="AS294" s="125" t="str">
        <f>CONCATENATE(L294,H294,J294)</f>
        <v>N2FIN 48 Reclass</v>
      </c>
    </row>
    <row r="295" spans="1:45" s="125" customFormat="1" ht="25.5" customHeight="1">
      <c r="A295" s="216" t="s">
        <v>2493</v>
      </c>
      <c r="B295" s="217" t="str">
        <f t="shared" si="95"/>
        <v>GL237099</v>
      </c>
      <c r="C295" s="186">
        <v>237099</v>
      </c>
      <c r="D295" s="201"/>
      <c r="E295" s="162"/>
      <c r="F295" s="169" t="s">
        <v>1652</v>
      </c>
      <c r="G295" s="117"/>
      <c r="H295" s="118" t="s">
        <v>976</v>
      </c>
      <c r="I295" s="119"/>
      <c r="J295" s="120"/>
      <c r="K295" s="120" t="str">
        <f t="shared" si="102"/>
        <v/>
      </c>
      <c r="L295" s="170" t="s">
        <v>1419</v>
      </c>
      <c r="M295" s="122" t="str">
        <f t="shared" si="103"/>
        <v>A</v>
      </c>
      <c r="N295" s="116" t="str">
        <f>IF($L295&lt;&gt;"",VLOOKUP($L295,Categories!$E:$G,2,FALSE),IF($F295&lt;&gt;"","NO CAT",""))</f>
        <v>All Other</v>
      </c>
      <c r="O295" s="116" t="str">
        <f>IF($L295&lt;&gt;"",VLOOKUP($L295,Categories!$E:$G,3,FALSE),IF($F295&lt;&gt;"","NO CAT",""))</f>
        <v>EB-Cap</v>
      </c>
      <c r="P295" s="170" t="s">
        <v>1557</v>
      </c>
      <c r="Q295" s="123" t="s">
        <v>1891</v>
      </c>
      <c r="R295" s="124">
        <v>0.77544352505021785</v>
      </c>
      <c r="S295" s="124">
        <v>0.22455647494978223</v>
      </c>
      <c r="T295" s="124">
        <v>0</v>
      </c>
      <c r="U295" s="121">
        <f t="shared" si="96"/>
        <v>-36.688532683279099</v>
      </c>
      <c r="V295" s="121">
        <f t="shared" si="97"/>
        <v>-10.6244327333876</v>
      </c>
      <c r="W295" s="121">
        <f t="shared" si="98"/>
        <v>0</v>
      </c>
      <c r="X295" s="121">
        <f t="shared" si="104"/>
        <v>-47.3129654166667</v>
      </c>
      <c r="Y295" s="121">
        <f t="shared" si="99"/>
        <v>-63.879354881187602</v>
      </c>
      <c r="Z295" s="121">
        <f t="shared" si="100"/>
        <v>-18.498475118812401</v>
      </c>
      <c r="AA295" s="121">
        <f t="shared" si="101"/>
        <v>0</v>
      </c>
      <c r="AB295" s="121">
        <f t="shared" si="105"/>
        <v>-82.377830000000003</v>
      </c>
      <c r="AC295" s="121">
        <v>-45.406160000000007</v>
      </c>
      <c r="AD295" s="121">
        <v>-45.947769999999998</v>
      </c>
      <c r="AE295" s="121">
        <v>-44.102599999999995</v>
      </c>
      <c r="AF295" s="121">
        <v>-49.2669</v>
      </c>
      <c r="AG295" s="121">
        <v>-43.696570000000001</v>
      </c>
      <c r="AH295" s="121">
        <v>-42.567489999999999</v>
      </c>
      <c r="AI295" s="121">
        <v>-34.139319999999998</v>
      </c>
      <c r="AJ295" s="121">
        <v>-36.351970000000001</v>
      </c>
      <c r="AK295" s="121">
        <v>-44.202370000000002</v>
      </c>
      <c r="AL295" s="121">
        <v>-45.31485</v>
      </c>
      <c r="AM295" s="121">
        <v>-57.27458</v>
      </c>
      <c r="AN295" s="121">
        <v>-60.999169999999999</v>
      </c>
      <c r="AO295" s="121">
        <v>-82.377830000000003</v>
      </c>
      <c r="AP295" s="125" t="str">
        <f>CONCATENATE(A295,M295)</f>
        <v>GLA</v>
      </c>
      <c r="AQ295" s="125" t="str">
        <f>CONCATENATE(AP295,L295,H295)</f>
        <v>GLAA2Accounts Payable</v>
      </c>
      <c r="AS295" s="125" t="str">
        <f>CONCATENATE(L295,H295,J295)</f>
        <v>A2Accounts Payable</v>
      </c>
    </row>
    <row r="296" spans="1:45" s="125" customFormat="1" ht="25.5" customHeight="1">
      <c r="A296" s="216" t="s">
        <v>2493</v>
      </c>
      <c r="B296" s="217" t="str">
        <f t="shared" ref="B296:B326" si="106">CONCATENATE(A296,C296,D296,E296)</f>
        <v>GL237100</v>
      </c>
      <c r="C296" s="186">
        <v>237100</v>
      </c>
      <c r="D296" s="201"/>
      <c r="E296" s="162"/>
      <c r="F296" s="169" t="s">
        <v>3017</v>
      </c>
      <c r="G296" s="117"/>
      <c r="H296" s="118" t="s">
        <v>976</v>
      </c>
      <c r="I296" s="119"/>
      <c r="J296" s="120"/>
      <c r="K296" s="120" t="str">
        <f t="shared" si="102"/>
        <v/>
      </c>
      <c r="L296" s="170" t="s">
        <v>1419</v>
      </c>
      <c r="M296" s="122" t="str">
        <f t="shared" si="103"/>
        <v>A</v>
      </c>
      <c r="N296" s="116" t="str">
        <f>IF($L296&lt;&gt;"",VLOOKUP($L296,Categories!$E:$G,2,FALSE),IF($F296&lt;&gt;"","NO CAT",""))</f>
        <v>All Other</v>
      </c>
      <c r="O296" s="116" t="str">
        <f>IF($L296&lt;&gt;"",VLOOKUP($L296,Categories!$E:$G,3,FALSE),IF($F296&lt;&gt;"","NO CAT",""))</f>
        <v>EB-Cap</v>
      </c>
      <c r="P296" s="170" t="s">
        <v>1557</v>
      </c>
      <c r="Q296" s="123" t="s">
        <v>1891</v>
      </c>
      <c r="R296" s="124">
        <v>0.77544352505021785</v>
      </c>
      <c r="S296" s="124">
        <v>0.22455647494978223</v>
      </c>
      <c r="T296" s="124">
        <v>0</v>
      </c>
      <c r="U296" s="121">
        <f t="shared" si="96"/>
        <v>-7964.1585741416002</v>
      </c>
      <c r="V296" s="121">
        <f t="shared" si="97"/>
        <v>-2306.2973866917</v>
      </c>
      <c r="W296" s="121">
        <f t="shared" si="98"/>
        <v>0</v>
      </c>
      <c r="X296" s="121">
        <f t="shared" si="104"/>
        <v>-10270.4559608333</v>
      </c>
      <c r="Y296" s="121">
        <f t="shared" si="99"/>
        <v>-3929.9611070742599</v>
      </c>
      <c r="Z296" s="121">
        <f t="shared" si="100"/>
        <v>-1138.05607292574</v>
      </c>
      <c r="AA296" s="121">
        <f t="shared" si="101"/>
        <v>0</v>
      </c>
      <c r="AB296" s="121">
        <f t="shared" si="105"/>
        <v>-5068.0171799999998</v>
      </c>
      <c r="AC296" s="121">
        <v>-5071.4176600000001</v>
      </c>
      <c r="AD296" s="121">
        <v>-9076.7881699999998</v>
      </c>
      <c r="AE296" s="121">
        <v>-11505.121949999999</v>
      </c>
      <c r="AF296" s="121">
        <v>-11053.727010000001</v>
      </c>
      <c r="AG296" s="121">
        <v>-13930.064480000001</v>
      </c>
      <c r="AH296" s="121">
        <v>-11387.973890000001</v>
      </c>
      <c r="AI296" s="121">
        <v>-5069.37734</v>
      </c>
      <c r="AJ296" s="121">
        <v>-8281.2844400000013</v>
      </c>
      <c r="AK296" s="121">
        <v>-11490.696679999999</v>
      </c>
      <c r="AL296" s="121">
        <v>-11058.698900000001</v>
      </c>
      <c r="AM296" s="121">
        <v>-13932.78707</v>
      </c>
      <c r="AN296" s="121">
        <v>-11389.234179999999</v>
      </c>
      <c r="AO296" s="121">
        <v>-5068.0171799999998</v>
      </c>
      <c r="AP296" s="125" t="str">
        <f>CONCATENATE(A296,M296)</f>
        <v>GLA</v>
      </c>
      <c r="AQ296" s="125" t="str">
        <f>CONCATENATE(AP296,L296,H296)</f>
        <v>GLAA2Accounts Payable</v>
      </c>
      <c r="AS296" s="125" t="str">
        <f>CONCATENATE(L296,H296,J296)</f>
        <v>A2Accounts Payable</v>
      </c>
    </row>
    <row r="297" spans="1:45" s="125" customFormat="1" ht="25.5" customHeight="1">
      <c r="A297" s="216" t="s">
        <v>2493</v>
      </c>
      <c r="B297" s="217" t="str">
        <f t="shared" si="106"/>
        <v>GL237210</v>
      </c>
      <c r="C297" s="186">
        <v>237210</v>
      </c>
      <c r="D297" s="201"/>
      <c r="E297" s="162"/>
      <c r="F297" s="169" t="s">
        <v>3018</v>
      </c>
      <c r="G297" s="117"/>
      <c r="H297" s="118" t="s">
        <v>976</v>
      </c>
      <c r="I297" s="119"/>
      <c r="J297" s="120"/>
      <c r="K297" s="120" t="str">
        <f t="shared" si="102"/>
        <v/>
      </c>
      <c r="L297" s="170" t="s">
        <v>1419</v>
      </c>
      <c r="M297" s="122" t="str">
        <f t="shared" si="103"/>
        <v>A</v>
      </c>
      <c r="N297" s="116" t="str">
        <f>IF($L297&lt;&gt;"",VLOOKUP($L297,Categories!$E:$G,2,FALSE),IF($F297&lt;&gt;"","NO CAT",""))</f>
        <v>All Other</v>
      </c>
      <c r="O297" s="116" t="str">
        <f>IF($L297&lt;&gt;"",VLOOKUP($L297,Categories!$E:$G,3,FALSE),IF($F297&lt;&gt;"","NO CAT",""))</f>
        <v>EB-Cap</v>
      </c>
      <c r="P297" s="170" t="s">
        <v>1557</v>
      </c>
      <c r="Q297" s="123" t="s">
        <v>1891</v>
      </c>
      <c r="R297" s="124">
        <v>0.77544352505021785</v>
      </c>
      <c r="S297" s="124">
        <v>0.22455647494978223</v>
      </c>
      <c r="T297" s="124">
        <v>0</v>
      </c>
      <c r="U297" s="121">
        <f t="shared" si="96"/>
        <v>-1.5943118875033E-2</v>
      </c>
      <c r="V297" s="121">
        <f t="shared" si="97"/>
        <v>-4.6168811249680001E-3</v>
      </c>
      <c r="W297" s="121">
        <f t="shared" si="98"/>
        <v>0</v>
      </c>
      <c r="X297" s="121">
        <f t="shared" si="104"/>
        <v>-2.0559999999999998E-2</v>
      </c>
      <c r="Y297" s="121" t="str">
        <f t="shared" si="99"/>
        <v/>
      </c>
      <c r="Z297" s="121" t="str">
        <f t="shared" si="100"/>
        <v/>
      </c>
      <c r="AA297" s="121" t="str">
        <f t="shared" si="101"/>
        <v/>
      </c>
      <c r="AB297" s="121">
        <f t="shared" si="105"/>
        <v>0</v>
      </c>
      <c r="AC297" s="121">
        <v>0</v>
      </c>
      <c r="AD297" s="121">
        <v>0</v>
      </c>
      <c r="AE297" s="121">
        <v>0</v>
      </c>
      <c r="AF297" s="121">
        <v>0</v>
      </c>
      <c r="AG297" s="121">
        <v>0</v>
      </c>
      <c r="AH297" s="121">
        <v>0</v>
      </c>
      <c r="AI297" s="121">
        <v>0</v>
      </c>
      <c r="AJ297" s="121">
        <v>-0.10005</v>
      </c>
      <c r="AK297" s="121">
        <v>-0.14666999999999999</v>
      </c>
      <c r="AL297" s="121">
        <v>0</v>
      </c>
      <c r="AM297" s="121">
        <v>0</v>
      </c>
      <c r="AN297" s="121">
        <v>0</v>
      </c>
      <c r="AO297" s="121">
        <v>0</v>
      </c>
      <c r="AP297" s="125" t="str">
        <f>CONCATENATE(A297,M297)</f>
        <v>GLA</v>
      </c>
      <c r="AQ297" s="125" t="str">
        <f>CONCATENATE(AP297,L297,H297)</f>
        <v>GLAA2Accounts Payable</v>
      </c>
      <c r="AS297" s="125" t="str">
        <f>CONCATENATE(L297,H297,J297)</f>
        <v>A2Accounts Payable</v>
      </c>
    </row>
    <row r="298" spans="1:45" s="125" customFormat="1" ht="25.5" customHeight="1">
      <c r="A298" s="216" t="s">
        <v>2493</v>
      </c>
      <c r="B298" s="217" t="str">
        <f t="shared" si="106"/>
        <v>GL237300</v>
      </c>
      <c r="C298" s="186">
        <v>237300</v>
      </c>
      <c r="D298" s="201"/>
      <c r="E298" s="162"/>
      <c r="F298" s="169" t="s">
        <v>3019</v>
      </c>
      <c r="G298" s="117"/>
      <c r="H298" s="118" t="s">
        <v>976</v>
      </c>
      <c r="I298" s="119"/>
      <c r="J298" s="120"/>
      <c r="K298" s="120" t="str">
        <f t="shared" si="102"/>
        <v/>
      </c>
      <c r="L298" s="170" t="s">
        <v>1419</v>
      </c>
      <c r="M298" s="122" t="str">
        <f t="shared" si="103"/>
        <v>A</v>
      </c>
      <c r="N298" s="116" t="str">
        <f>IF($L298&lt;&gt;"",VLOOKUP($L298,Categories!$E:$G,2,FALSE),IF($F298&lt;&gt;"","NO CAT",""))</f>
        <v>All Other</v>
      </c>
      <c r="O298" s="116" t="str">
        <f>IF($L298&lt;&gt;"",VLOOKUP($L298,Categories!$E:$G,3,FALSE),IF($F298&lt;&gt;"","NO CAT",""))</f>
        <v>EB-Cap</v>
      </c>
      <c r="P298" s="170" t="s">
        <v>1557</v>
      </c>
      <c r="Q298" s="123" t="s">
        <v>1891</v>
      </c>
      <c r="R298" s="124">
        <v>0.77544352505021785</v>
      </c>
      <c r="S298" s="124">
        <v>0.22455647494978223</v>
      </c>
      <c r="T298" s="124">
        <v>0</v>
      </c>
      <c r="U298" s="121">
        <f t="shared" si="96"/>
        <v>-338.81613552144699</v>
      </c>
      <c r="V298" s="121">
        <f t="shared" si="97"/>
        <v>-98.115922811885895</v>
      </c>
      <c r="W298" s="121">
        <f t="shared" si="98"/>
        <v>0</v>
      </c>
      <c r="X298" s="121">
        <f t="shared" si="104"/>
        <v>-436.93205833333298</v>
      </c>
      <c r="Y298" s="121">
        <f t="shared" si="99"/>
        <v>-305.85235825024898</v>
      </c>
      <c r="Z298" s="121">
        <f t="shared" si="100"/>
        <v>-88.570121749750996</v>
      </c>
      <c r="AA298" s="121">
        <f t="shared" si="101"/>
        <v>0</v>
      </c>
      <c r="AB298" s="121">
        <f t="shared" si="105"/>
        <v>-394.42248000000001</v>
      </c>
      <c r="AC298" s="121">
        <v>-375.00448</v>
      </c>
      <c r="AD298" s="121">
        <v>-390.09823999999998</v>
      </c>
      <c r="AE298" s="121">
        <v>-405.03232000000003</v>
      </c>
      <c r="AF298" s="121">
        <v>-419.83484999999996</v>
      </c>
      <c r="AG298" s="121">
        <v>-434.84884000000005</v>
      </c>
      <c r="AH298" s="121">
        <v>-450.45522</v>
      </c>
      <c r="AI298" s="121">
        <v>-466.08699999999999</v>
      </c>
      <c r="AJ298" s="121">
        <v>-481.77590999999995</v>
      </c>
      <c r="AK298" s="121">
        <v>-497.66866999999996</v>
      </c>
      <c r="AL298" s="121">
        <v>-513.32443000000001</v>
      </c>
      <c r="AM298" s="121">
        <v>-396.53746999999998</v>
      </c>
      <c r="AN298" s="121">
        <v>-402.80826999999999</v>
      </c>
      <c r="AO298" s="121">
        <v>-394.42248000000001</v>
      </c>
      <c r="AP298" s="125" t="str">
        <f>CONCATENATE(A298,M298)</f>
        <v>GLA</v>
      </c>
      <c r="AQ298" s="125" t="str">
        <f>CONCATENATE(AP298,L298,H298)</f>
        <v>GLAA2Accounts Payable</v>
      </c>
      <c r="AS298" s="125" t="str">
        <f>CONCATENATE(L298,H298,J298)</f>
        <v>A2Accounts Payable</v>
      </c>
    </row>
    <row r="299" spans="1:45" s="125" customFormat="1" ht="25.5" customHeight="1">
      <c r="A299" s="216" t="s">
        <v>2493</v>
      </c>
      <c r="B299" s="217" t="str">
        <f t="shared" si="106"/>
        <v>GL237400</v>
      </c>
      <c r="C299" s="186">
        <v>237400</v>
      </c>
      <c r="D299" s="201"/>
      <c r="E299" s="162"/>
      <c r="F299" s="169" t="s">
        <v>2888</v>
      </c>
      <c r="G299" s="117"/>
      <c r="H299" s="118" t="s">
        <v>976</v>
      </c>
      <c r="I299" s="119"/>
      <c r="J299" s="120"/>
      <c r="K299" s="120" t="str">
        <f t="shared" si="102"/>
        <v/>
      </c>
      <c r="L299" s="170" t="s">
        <v>1419</v>
      </c>
      <c r="M299" s="122" t="str">
        <f t="shared" si="103"/>
        <v>A</v>
      </c>
      <c r="N299" s="116" t="str">
        <f>IF($L299&lt;&gt;"",VLOOKUP($L299,Categories!$E:$G,2,FALSE),IF($F299&lt;&gt;"","NO CAT",""))</f>
        <v>All Other</v>
      </c>
      <c r="O299" s="116" t="str">
        <f>IF($L299&lt;&gt;"",VLOOKUP($L299,Categories!$E:$G,3,FALSE),IF($F299&lt;&gt;"","NO CAT",""))</f>
        <v>EB-Cap</v>
      </c>
      <c r="P299" s="170" t="s">
        <v>1557</v>
      </c>
      <c r="Q299" s="123" t="s">
        <v>1891</v>
      </c>
      <c r="R299" s="124">
        <v>0.77544352505021785</v>
      </c>
      <c r="S299" s="124">
        <v>0.22455647494978223</v>
      </c>
      <c r="T299" s="124">
        <v>0</v>
      </c>
      <c r="U299" s="121">
        <f t="shared" si="96"/>
        <v>-287.25842865732801</v>
      </c>
      <c r="V299" s="121">
        <f t="shared" si="97"/>
        <v>-83.185606759338995</v>
      </c>
      <c r="W299" s="121">
        <f t="shared" si="98"/>
        <v>0</v>
      </c>
      <c r="X299" s="121">
        <f t="shared" si="104"/>
        <v>-370.44403541666702</v>
      </c>
      <c r="Y299" s="121">
        <f t="shared" si="99"/>
        <v>26.246196604882002</v>
      </c>
      <c r="Z299" s="121">
        <f t="shared" si="100"/>
        <v>7.6004933951180504</v>
      </c>
      <c r="AA299" s="121">
        <f t="shared" si="101"/>
        <v>0</v>
      </c>
      <c r="AB299" s="121">
        <f t="shared" si="105"/>
        <v>33.846690000000002</v>
      </c>
      <c r="AC299" s="121">
        <v>-149.94748000000001</v>
      </c>
      <c r="AD299" s="121">
        <v>-156.53111999999999</v>
      </c>
      <c r="AE299" s="121">
        <v>-163.5284</v>
      </c>
      <c r="AF299" s="121">
        <v>-163.64008999999999</v>
      </c>
      <c r="AG299" s="121">
        <v>33.846690000000002</v>
      </c>
      <c r="AH299" s="121">
        <v>33.627139999999997</v>
      </c>
      <c r="AI299" s="121">
        <v>-2053.2856999999999</v>
      </c>
      <c r="AJ299" s="121">
        <v>-2053.1533100000001</v>
      </c>
      <c r="AK299" s="121">
        <v>33.846690000000002</v>
      </c>
      <c r="AL299" s="121">
        <v>33.846690000000002</v>
      </c>
      <c r="AM299" s="121">
        <v>33.846690000000002</v>
      </c>
      <c r="AN299" s="121">
        <v>33.846690000000002</v>
      </c>
      <c r="AO299" s="121">
        <v>33.846690000000002</v>
      </c>
      <c r="AP299" s="125" t="str">
        <f>CONCATENATE(A299,M299)</f>
        <v>GLA</v>
      </c>
      <c r="AQ299" s="125" t="str">
        <f>CONCATENATE(AP299,L299,H299)</f>
        <v>GLAA2Accounts Payable</v>
      </c>
      <c r="AS299" s="125" t="str">
        <f>CONCATENATE(L299,H299,J299)</f>
        <v>A2Accounts Payable</v>
      </c>
    </row>
    <row r="300" spans="1:45" s="125" customFormat="1" ht="25.5" customHeight="1">
      <c r="A300" s="216" t="s">
        <v>2493</v>
      </c>
      <c r="B300" s="217" t="str">
        <f t="shared" si="106"/>
        <v>GL237430</v>
      </c>
      <c r="C300" s="186">
        <v>237430</v>
      </c>
      <c r="D300" s="201"/>
      <c r="E300" s="162"/>
      <c r="F300" s="169" t="s">
        <v>2213</v>
      </c>
      <c r="G300" s="117"/>
      <c r="H300" s="118" t="s">
        <v>976</v>
      </c>
      <c r="I300" s="119"/>
      <c r="J300" s="120"/>
      <c r="K300" s="120" t="str">
        <f t="shared" si="102"/>
        <v/>
      </c>
      <c r="L300" s="170" t="s">
        <v>1419</v>
      </c>
      <c r="M300" s="122" t="str">
        <f t="shared" si="103"/>
        <v>A</v>
      </c>
      <c r="N300" s="116" t="str">
        <f>IF($L300&lt;&gt;"",VLOOKUP($L300,Categories!$E:$G,2,FALSE),IF($F300&lt;&gt;"","NO CAT",""))</f>
        <v>All Other</v>
      </c>
      <c r="O300" s="116" t="str">
        <f>IF($L300&lt;&gt;"",VLOOKUP($L300,Categories!$E:$G,3,FALSE),IF($F300&lt;&gt;"","NO CAT",""))</f>
        <v>EB-Cap</v>
      </c>
      <c r="P300" s="170" t="s">
        <v>1557</v>
      </c>
      <c r="Q300" s="123" t="s">
        <v>1891</v>
      </c>
      <c r="R300" s="124">
        <v>0.77544352505021785</v>
      </c>
      <c r="S300" s="124">
        <v>0.22455647494978223</v>
      </c>
      <c r="T300" s="124">
        <v>0</v>
      </c>
      <c r="U300" s="121">
        <f t="shared" ref="U300:U328" si="107">IF(ABS(X300)=0,"",IF($R300="NO ALLOC","NO ALLOC",ROUND($R300*X300,15)))</f>
        <v>-0.72186554709274797</v>
      </c>
      <c r="V300" s="121">
        <f t="shared" ref="V300:V328" si="108">IF(ABS(X300)=0,"",IF($S300="NO ALLOC","NO ALLOC",ROUND($S300*X300,15)))</f>
        <v>-0.20904111957391899</v>
      </c>
      <c r="W300" s="121">
        <f t="shared" ref="W300:W328" si="109">IF(ABS(X300)=0,"",IF($T300="NO ALLOC","NO ALLOC",ROUND($T300*X300,15)))</f>
        <v>0</v>
      </c>
      <c r="X300" s="121">
        <f t="shared" si="104"/>
        <v>-0.93090666666666699</v>
      </c>
      <c r="Y300" s="121">
        <f t="shared" ref="Y300:Y328" si="110">IF(ABS(AB300)=0,"",IF($R300="NO ALLOC","NO ALLOC",ROUND($R300*AB300,15)))</f>
        <v>-2.9301839569777601</v>
      </c>
      <c r="Z300" s="121">
        <f t="shared" ref="Z300:Z328" si="111">IF(ABS(AB300)=0,"",IF($S300="NO ALLOC","NO ALLOC",ROUND($S300*AB300,15)))</f>
        <v>-0.84853604302224095</v>
      </c>
      <c r="AA300" s="121">
        <f t="shared" ref="AA300:AA328" si="112">IF(ABS(AB300)=0,"",IF($T300="NO ALLOC","NO ALLOC",ROUND($T300*AB300,15)))</f>
        <v>0</v>
      </c>
      <c r="AB300" s="121">
        <f t="shared" si="105"/>
        <v>-3.7787199999999999</v>
      </c>
      <c r="AC300" s="121">
        <v>-4.7484799999999998</v>
      </c>
      <c r="AD300" s="121">
        <v>-0.34408</v>
      </c>
      <c r="AE300" s="121">
        <v>-0.65632000000000001</v>
      </c>
      <c r="AF300" s="121">
        <v>-0.65632000000000001</v>
      </c>
      <c r="AG300" s="121">
        <v>-0.65632000000000001</v>
      </c>
      <c r="AH300" s="121">
        <v>-0.65632000000000001</v>
      </c>
      <c r="AI300" s="121">
        <v>-0.65632000000000001</v>
      </c>
      <c r="AJ300" s="121">
        <v>-0.65632000000000001</v>
      </c>
      <c r="AK300" s="121">
        <v>-0.65632000000000001</v>
      </c>
      <c r="AL300" s="121">
        <v>-0.65632000000000001</v>
      </c>
      <c r="AM300" s="121">
        <v>-0.65632000000000001</v>
      </c>
      <c r="AN300" s="121">
        <v>-0.65632000000000001</v>
      </c>
      <c r="AO300" s="121">
        <v>-3.7787199999999999</v>
      </c>
      <c r="AP300" s="125" t="str">
        <f>CONCATENATE(A300,M300)</f>
        <v>GLA</v>
      </c>
      <c r="AQ300" s="125" t="str">
        <f>CONCATENATE(AP300,L300,H300)</f>
        <v>GLAA2Accounts Payable</v>
      </c>
      <c r="AS300" s="125" t="str">
        <f>CONCATENATE(L300,H300,J300)</f>
        <v>A2Accounts Payable</v>
      </c>
    </row>
    <row r="301" spans="1:45" s="125" customFormat="1" ht="25.5" customHeight="1">
      <c r="A301" s="216" t="s">
        <v>2493</v>
      </c>
      <c r="B301" s="217" t="str">
        <f t="shared" si="106"/>
        <v>GL237440</v>
      </c>
      <c r="C301" s="186">
        <v>237440</v>
      </c>
      <c r="D301" s="201"/>
      <c r="E301" s="162"/>
      <c r="F301" s="169" t="s">
        <v>2725</v>
      </c>
      <c r="G301" s="117"/>
      <c r="H301" s="118" t="s">
        <v>976</v>
      </c>
      <c r="I301" s="119"/>
      <c r="J301" s="120"/>
      <c r="K301" s="120" t="str">
        <f t="shared" si="102"/>
        <v/>
      </c>
      <c r="L301" s="170" t="s">
        <v>1419</v>
      </c>
      <c r="M301" s="122" t="str">
        <f t="shared" si="103"/>
        <v>A</v>
      </c>
      <c r="N301" s="116" t="str">
        <f>IF($L301&lt;&gt;"",VLOOKUP($L301,Categories!$E:$G,2,FALSE),IF($F301&lt;&gt;"","NO CAT",""))</f>
        <v>All Other</v>
      </c>
      <c r="O301" s="116" t="str">
        <f>IF($L301&lt;&gt;"",VLOOKUP($L301,Categories!$E:$G,3,FALSE),IF($F301&lt;&gt;"","NO CAT",""))</f>
        <v>EB-Cap</v>
      </c>
      <c r="P301" s="170" t="s">
        <v>1557</v>
      </c>
      <c r="Q301" s="123" t="s">
        <v>1891</v>
      </c>
      <c r="R301" s="124">
        <v>0.77544352505021785</v>
      </c>
      <c r="S301" s="124">
        <v>0.22455647494978223</v>
      </c>
      <c r="T301" s="124">
        <v>0</v>
      </c>
      <c r="U301" s="121">
        <f t="shared" si="107"/>
        <v>8.9642777148649895</v>
      </c>
      <c r="V301" s="121">
        <f t="shared" si="108"/>
        <v>2.5959164518017102</v>
      </c>
      <c r="W301" s="121">
        <f t="shared" si="109"/>
        <v>0</v>
      </c>
      <c r="X301" s="121">
        <f t="shared" si="104"/>
        <v>11.560194166666699</v>
      </c>
      <c r="Y301" s="121">
        <f t="shared" si="110"/>
        <v>12.0389856050269</v>
      </c>
      <c r="Z301" s="121">
        <f t="shared" si="111"/>
        <v>3.4863043949731001</v>
      </c>
      <c r="AA301" s="121">
        <f t="shared" si="112"/>
        <v>0</v>
      </c>
      <c r="AB301" s="121">
        <f t="shared" si="105"/>
        <v>15.52529</v>
      </c>
      <c r="AC301" s="121">
        <v>2.5029699999999999</v>
      </c>
      <c r="AD301" s="121">
        <v>8.5636799999999997</v>
      </c>
      <c r="AE301" s="121">
        <v>10.779639999999999</v>
      </c>
      <c r="AF301" s="121">
        <v>11.773620000000001</v>
      </c>
      <c r="AG301" s="121">
        <v>11.95701</v>
      </c>
      <c r="AH301" s="121">
        <v>11.95701</v>
      </c>
      <c r="AI301" s="121">
        <v>11.957649999999999</v>
      </c>
      <c r="AJ301" s="121">
        <v>12.385770000000001</v>
      </c>
      <c r="AK301" s="121">
        <v>12.51337</v>
      </c>
      <c r="AL301" s="121">
        <v>12.532170000000001</v>
      </c>
      <c r="AM301" s="121">
        <v>12.532170000000001</v>
      </c>
      <c r="AN301" s="121">
        <v>12.756110000000001</v>
      </c>
      <c r="AO301" s="121">
        <v>15.52529</v>
      </c>
      <c r="AP301" s="125" t="str">
        <f>CONCATENATE(A301,M301)</f>
        <v>GLA</v>
      </c>
      <c r="AQ301" s="125" t="str">
        <f>CONCATENATE(AP301,L301,H301)</f>
        <v>GLAA2Accounts Payable</v>
      </c>
      <c r="AS301" s="125" t="str">
        <f>CONCATENATE(L301,H301,J301)</f>
        <v>A2Accounts Payable</v>
      </c>
    </row>
    <row r="302" spans="1:45" s="125" customFormat="1" ht="25.5" customHeight="1">
      <c r="A302" s="216" t="s">
        <v>2493</v>
      </c>
      <c r="B302" s="217" t="str">
        <f>CONCATENATE(A302,C302,D302,E302)</f>
        <v>GL241130</v>
      </c>
      <c r="C302" s="186">
        <v>241130</v>
      </c>
      <c r="D302" s="201"/>
      <c r="E302" s="162"/>
      <c r="F302" s="169" t="s">
        <v>4592</v>
      </c>
      <c r="G302" s="117"/>
      <c r="H302" s="118" t="s">
        <v>976</v>
      </c>
      <c r="I302" s="119"/>
      <c r="J302" s="120"/>
      <c r="K302" s="120" t="str">
        <f>IF(L302="N3","SFAS-109","")</f>
        <v/>
      </c>
      <c r="L302" s="170" t="s">
        <v>1419</v>
      </c>
      <c r="M302" s="122" t="str">
        <f>LEFT(L302,1)</f>
        <v>A</v>
      </c>
      <c r="N302" s="116" t="str">
        <f>IF($L302&lt;&gt;"",VLOOKUP($L302,Categories!$E:$G,2,FALSE),IF($F302&lt;&gt;"","NO CAT",""))</f>
        <v>All Other</v>
      </c>
      <c r="O302" s="116" t="str">
        <f>IF($L302&lt;&gt;"",VLOOKUP($L302,Categories!$E:$G,3,FALSE),IF($F302&lt;&gt;"","NO CAT",""))</f>
        <v>EB-Cap</v>
      </c>
      <c r="P302" s="170" t="s">
        <v>1557</v>
      </c>
      <c r="Q302" s="123" t="s">
        <v>1891</v>
      </c>
      <c r="R302" s="124">
        <v>0.77544352505021785</v>
      </c>
      <c r="S302" s="124">
        <v>0.22455647494978223</v>
      </c>
      <c r="T302" s="124">
        <v>0</v>
      </c>
      <c r="U302" s="121" t="str">
        <f>IF(ABS(X302)=0,"",IF($R302="NO ALLOC","NO ALLOC",ROUND($R302*X302,15)))</f>
        <v/>
      </c>
      <c r="V302" s="121" t="str">
        <f>IF(ABS(X302)=0,"",IF($S302="NO ALLOC","NO ALLOC",ROUND($S302*X302,15)))</f>
        <v/>
      </c>
      <c r="W302" s="121" t="str">
        <f>IF(ABS(X302)=0,"",IF($T302="NO ALLOC","NO ALLOC",ROUND($T302*X302,15)))</f>
        <v/>
      </c>
      <c r="X302" s="121">
        <f t="shared" si="104"/>
        <v>0</v>
      </c>
      <c r="Y302" s="121" t="str">
        <f>IF(ABS(AB302)=0,"",IF($R302="NO ALLOC","NO ALLOC",ROUND($R302*AB302,15)))</f>
        <v/>
      </c>
      <c r="Z302" s="121" t="str">
        <f>IF(ABS(AB302)=0,"",IF($S302="NO ALLOC","NO ALLOC",ROUND($S302*AB302,15)))</f>
        <v/>
      </c>
      <c r="AA302" s="121" t="str">
        <f>IF(ABS(AB302)=0,"",IF($T302="NO ALLOC","NO ALLOC",ROUND($T302*AB302,15)))</f>
        <v/>
      </c>
      <c r="AB302" s="121">
        <f t="shared" si="105"/>
        <v>0</v>
      </c>
      <c r="AC302" s="121">
        <v>0</v>
      </c>
      <c r="AD302" s="121">
        <v>0</v>
      </c>
      <c r="AE302" s="121">
        <v>0</v>
      </c>
      <c r="AF302" s="121">
        <v>0</v>
      </c>
      <c r="AG302" s="121">
        <v>0</v>
      </c>
      <c r="AH302" s="121">
        <v>0</v>
      </c>
      <c r="AI302" s="121">
        <v>0</v>
      </c>
      <c r="AJ302" s="121">
        <v>0</v>
      </c>
      <c r="AK302" s="121">
        <v>0</v>
      </c>
      <c r="AL302" s="121">
        <v>0</v>
      </c>
      <c r="AM302" s="121">
        <v>0</v>
      </c>
      <c r="AN302" s="121">
        <v>0</v>
      </c>
      <c r="AO302" s="121">
        <v>0</v>
      </c>
      <c r="AP302" s="125" t="str">
        <f>CONCATENATE(A302,M302)</f>
        <v>GLA</v>
      </c>
      <c r="AQ302" s="125" t="str">
        <f>CONCATENATE(AP302,L302,H302)</f>
        <v>GLAA2Accounts Payable</v>
      </c>
      <c r="AS302" s="125" t="str">
        <f>CONCATENATE(L302,H302,J302)</f>
        <v>A2Accounts Payable</v>
      </c>
    </row>
    <row r="303" spans="1:45" s="125" customFormat="1" ht="25.5" customHeight="1">
      <c r="A303" s="216" t="s">
        <v>2493</v>
      </c>
      <c r="B303" s="217" t="str">
        <f t="shared" si="106"/>
        <v>GL241400</v>
      </c>
      <c r="C303" s="186">
        <v>241400</v>
      </c>
      <c r="D303" s="201"/>
      <c r="E303" s="162"/>
      <c r="F303" s="169" t="s">
        <v>3008</v>
      </c>
      <c r="G303" s="117"/>
      <c r="H303" s="118" t="s">
        <v>976</v>
      </c>
      <c r="I303" s="119"/>
      <c r="J303" s="120"/>
      <c r="K303" s="120" t="str">
        <f t="shared" si="102"/>
        <v/>
      </c>
      <c r="L303" s="170" t="s">
        <v>1419</v>
      </c>
      <c r="M303" s="122" t="str">
        <f t="shared" si="103"/>
        <v>A</v>
      </c>
      <c r="N303" s="116" t="str">
        <f>IF($L303&lt;&gt;"",VLOOKUP($L303,Categories!$E:$G,2,FALSE),IF($F303&lt;&gt;"","NO CAT",""))</f>
        <v>All Other</v>
      </c>
      <c r="O303" s="116" t="str">
        <f>IF($L303&lt;&gt;"",VLOOKUP($L303,Categories!$E:$G,3,FALSE),IF($F303&lt;&gt;"","NO CAT",""))</f>
        <v>EB-Cap</v>
      </c>
      <c r="P303" s="170" t="s">
        <v>1557</v>
      </c>
      <c r="Q303" s="123" t="s">
        <v>1891</v>
      </c>
      <c r="R303" s="124">
        <v>0.77544352505021785</v>
      </c>
      <c r="S303" s="124">
        <v>0.22455647494978223</v>
      </c>
      <c r="T303" s="124">
        <v>0</v>
      </c>
      <c r="U303" s="121">
        <f t="shared" si="107"/>
        <v>197033.58870315101</v>
      </c>
      <c r="V303" s="121">
        <f t="shared" si="108"/>
        <v>57057.885837681803</v>
      </c>
      <c r="W303" s="121">
        <f t="shared" si="109"/>
        <v>0</v>
      </c>
      <c r="X303" s="121">
        <f t="shared" si="104"/>
        <v>254091.47454083301</v>
      </c>
      <c r="Y303" s="121">
        <f t="shared" si="110"/>
        <v>206797.19250444701</v>
      </c>
      <c r="Z303" s="121">
        <f t="shared" si="111"/>
        <v>59885.274785553003</v>
      </c>
      <c r="AA303" s="121">
        <f t="shared" si="112"/>
        <v>0</v>
      </c>
      <c r="AB303" s="121">
        <f t="shared" si="105"/>
        <v>266682.46729</v>
      </c>
      <c r="AC303" s="121">
        <v>238625.86747</v>
      </c>
      <c r="AD303" s="121">
        <v>240909.78281</v>
      </c>
      <c r="AE303" s="121">
        <v>243862.22436000002</v>
      </c>
      <c r="AF303" s="121">
        <v>247190.08851</v>
      </c>
      <c r="AG303" s="121">
        <v>250425.60396000001</v>
      </c>
      <c r="AH303" s="121">
        <v>253119.58168</v>
      </c>
      <c r="AI303" s="121">
        <v>255395.43033</v>
      </c>
      <c r="AJ303" s="121">
        <v>257367.75357</v>
      </c>
      <c r="AK303" s="121">
        <v>259315.35993999999</v>
      </c>
      <c r="AL303" s="121">
        <v>261146.65022000001</v>
      </c>
      <c r="AM303" s="121">
        <v>262979.72888999997</v>
      </c>
      <c r="AN303" s="121">
        <v>264731.32283999998</v>
      </c>
      <c r="AO303" s="121">
        <v>266682.46729</v>
      </c>
      <c r="AP303" s="125" t="str">
        <f>CONCATENATE(A303,M303)</f>
        <v>GLA</v>
      </c>
      <c r="AQ303" s="125" t="str">
        <f>CONCATENATE(AP303,L303,H303)</f>
        <v>GLAA2Accounts Payable</v>
      </c>
      <c r="AS303" s="125" t="str">
        <f>CONCATENATE(L303,H303,J303)</f>
        <v>A2Accounts Payable</v>
      </c>
    </row>
    <row r="304" spans="1:45" s="125" customFormat="1" ht="25.5" customHeight="1">
      <c r="A304" s="216" t="s">
        <v>2493</v>
      </c>
      <c r="B304" s="217" t="str">
        <f t="shared" si="106"/>
        <v>GL241410</v>
      </c>
      <c r="C304" s="186">
        <v>241410</v>
      </c>
      <c r="D304" s="201"/>
      <c r="E304" s="162"/>
      <c r="F304" s="169" t="s">
        <v>2896</v>
      </c>
      <c r="G304" s="117"/>
      <c r="H304" s="118" t="s">
        <v>976</v>
      </c>
      <c r="I304" s="119"/>
      <c r="J304" s="120"/>
      <c r="K304" s="120" t="str">
        <f t="shared" si="102"/>
        <v/>
      </c>
      <c r="L304" s="170" t="s">
        <v>1419</v>
      </c>
      <c r="M304" s="122" t="str">
        <f t="shared" si="103"/>
        <v>A</v>
      </c>
      <c r="N304" s="116" t="str">
        <f>IF($L304&lt;&gt;"",VLOOKUP($L304,Categories!$E:$G,2,FALSE),IF($F304&lt;&gt;"","NO CAT",""))</f>
        <v>All Other</v>
      </c>
      <c r="O304" s="116" t="str">
        <f>IF($L304&lt;&gt;"",VLOOKUP($L304,Categories!$E:$G,3,FALSE),IF($F304&lt;&gt;"","NO CAT",""))</f>
        <v>EB-Cap</v>
      </c>
      <c r="P304" s="170" t="s">
        <v>1557</v>
      </c>
      <c r="Q304" s="123" t="s">
        <v>1891</v>
      </c>
      <c r="R304" s="124">
        <v>0.77544352505021785</v>
      </c>
      <c r="S304" s="124">
        <v>0.22455647494978223</v>
      </c>
      <c r="T304" s="124">
        <v>0</v>
      </c>
      <c r="U304" s="121">
        <f t="shared" si="107"/>
        <v>-197457.56350410599</v>
      </c>
      <c r="V304" s="121">
        <f t="shared" si="108"/>
        <v>-57180.662395476698</v>
      </c>
      <c r="W304" s="121">
        <f t="shared" si="109"/>
        <v>0</v>
      </c>
      <c r="X304" s="121">
        <f t="shared" si="104"/>
        <v>-254638.22589958299</v>
      </c>
      <c r="Y304" s="121">
        <f t="shared" si="110"/>
        <v>-207162.77279536799</v>
      </c>
      <c r="Z304" s="121">
        <f t="shared" si="111"/>
        <v>-59991.141194631702</v>
      </c>
      <c r="AA304" s="121">
        <f t="shared" si="112"/>
        <v>0</v>
      </c>
      <c r="AB304" s="121">
        <f t="shared" si="105"/>
        <v>-267153.91399000003</v>
      </c>
      <c r="AC304" s="121">
        <v>-239121.16518000001</v>
      </c>
      <c r="AD304" s="121">
        <v>-242062.36791999999</v>
      </c>
      <c r="AE304" s="121">
        <v>-245397.94618999999</v>
      </c>
      <c r="AF304" s="121">
        <v>-248635.11494999999</v>
      </c>
      <c r="AG304" s="121">
        <v>-251325.85611000002</v>
      </c>
      <c r="AH304" s="121">
        <v>-253610.65169</v>
      </c>
      <c r="AI304" s="121">
        <v>-255580.9417</v>
      </c>
      <c r="AJ304" s="121">
        <v>-257529.06359000001</v>
      </c>
      <c r="AK304" s="121">
        <v>-259350.19467</v>
      </c>
      <c r="AL304" s="121">
        <v>-261201.28049999999</v>
      </c>
      <c r="AM304" s="121">
        <v>-262943.07309000002</v>
      </c>
      <c r="AN304" s="121">
        <v>-264884.68080000003</v>
      </c>
      <c r="AO304" s="121">
        <v>-267153.91399000003</v>
      </c>
      <c r="AP304" s="125" t="str">
        <f>CONCATENATE(A304,M304)</f>
        <v>GLA</v>
      </c>
      <c r="AQ304" s="125" t="str">
        <f>CONCATENATE(AP304,L304,H304)</f>
        <v>GLAA2Accounts Payable</v>
      </c>
      <c r="AS304" s="125" t="str">
        <f>CONCATENATE(L304,H304,J304)</f>
        <v>A2Accounts Payable</v>
      </c>
    </row>
    <row r="305" spans="1:45" s="125" customFormat="1" ht="25.5" customHeight="1">
      <c r="A305" s="216" t="s">
        <v>2493</v>
      </c>
      <c r="B305" s="217" t="str">
        <f t="shared" si="106"/>
        <v>GL241950</v>
      </c>
      <c r="C305" s="186">
        <v>241950</v>
      </c>
      <c r="D305" s="201"/>
      <c r="E305" s="162"/>
      <c r="F305" s="169" t="s">
        <v>3111</v>
      </c>
      <c r="G305" s="117"/>
      <c r="H305" s="118" t="s">
        <v>976</v>
      </c>
      <c r="I305" s="119"/>
      <c r="J305" s="120"/>
      <c r="K305" s="120" t="str">
        <f>IF(L305="N3","SFAS-109","")</f>
        <v/>
      </c>
      <c r="L305" s="170" t="s">
        <v>1419</v>
      </c>
      <c r="M305" s="122" t="str">
        <f t="shared" si="103"/>
        <v>A</v>
      </c>
      <c r="N305" s="116" t="str">
        <f>IF($L305&lt;&gt;"",VLOOKUP($L305,Categories!$E:$G,2,FALSE),IF($F305&lt;&gt;"","NO CAT",""))</f>
        <v>All Other</v>
      </c>
      <c r="O305" s="116" t="str">
        <f>IF($L305&lt;&gt;"",VLOOKUP($L305,Categories!$E:$G,3,FALSE),IF($F305&lt;&gt;"","NO CAT",""))</f>
        <v>EB-Cap</v>
      </c>
      <c r="P305" s="170" t="s">
        <v>1557</v>
      </c>
      <c r="Q305" s="123" t="s">
        <v>1891</v>
      </c>
      <c r="R305" s="124">
        <v>0.77544352505021785</v>
      </c>
      <c r="S305" s="124">
        <v>0.22455647494978223</v>
      </c>
      <c r="T305" s="124">
        <v>0</v>
      </c>
      <c r="U305" s="121">
        <f t="shared" si="107"/>
        <v>-62.861472169045101</v>
      </c>
      <c r="V305" s="121">
        <f t="shared" si="108"/>
        <v>-18.2037119976216</v>
      </c>
      <c r="W305" s="121">
        <f t="shared" si="109"/>
        <v>0</v>
      </c>
      <c r="X305" s="121">
        <f t="shared" si="104"/>
        <v>-81.065184166666697</v>
      </c>
      <c r="Y305" s="121" t="str">
        <f t="shared" si="110"/>
        <v/>
      </c>
      <c r="Z305" s="121" t="str">
        <f t="shared" si="111"/>
        <v/>
      </c>
      <c r="AA305" s="121" t="str">
        <f t="shared" si="112"/>
        <v/>
      </c>
      <c r="AB305" s="121">
        <f t="shared" si="105"/>
        <v>0</v>
      </c>
      <c r="AC305" s="121">
        <v>-60.174720000000001</v>
      </c>
      <c r="AD305" s="121">
        <v>-63.26952</v>
      </c>
      <c r="AE305" s="121">
        <v>-65.332719999999995</v>
      </c>
      <c r="AF305" s="121">
        <v>-85.067490000000006</v>
      </c>
      <c r="AG305" s="121">
        <v>-87.130690000000001</v>
      </c>
      <c r="AH305" s="121">
        <v>-89.193889999999996</v>
      </c>
      <c r="AI305" s="121">
        <v>-91.257089999999991</v>
      </c>
      <c r="AJ305" s="121">
        <v>-92.288690000000003</v>
      </c>
      <c r="AK305" s="121">
        <v>-92.288690000000003</v>
      </c>
      <c r="AL305" s="121">
        <v>-92.288690000000003</v>
      </c>
      <c r="AM305" s="121">
        <v>-92.288690000000003</v>
      </c>
      <c r="AN305" s="121">
        <v>-92.288690000000003</v>
      </c>
      <c r="AO305" s="121">
        <v>0</v>
      </c>
      <c r="AP305" s="125" t="str">
        <f>CONCATENATE(A305,M305)</f>
        <v>GLA</v>
      </c>
      <c r="AQ305" s="125" t="str">
        <f>CONCATENATE(AP305,L305,H305)</f>
        <v>GLAA2Accounts Payable</v>
      </c>
      <c r="AS305" s="125" t="str">
        <f>CONCATENATE(L305,H305,J305)</f>
        <v>A2Accounts Payable</v>
      </c>
    </row>
    <row r="306" spans="1:45" s="125" customFormat="1" ht="25.5" customHeight="1">
      <c r="A306" s="216" t="s">
        <v>2493</v>
      </c>
      <c r="B306" s="217" t="str">
        <f t="shared" si="106"/>
        <v>GL242020</v>
      </c>
      <c r="C306" s="186">
        <v>242020</v>
      </c>
      <c r="D306" s="201"/>
      <c r="E306" s="162"/>
      <c r="F306" s="169" t="s">
        <v>2495</v>
      </c>
      <c r="G306" s="117"/>
      <c r="H306" s="118" t="s">
        <v>2496</v>
      </c>
      <c r="I306" s="119"/>
      <c r="J306" s="120"/>
      <c r="K306" s="120" t="str">
        <f t="shared" si="102"/>
        <v/>
      </c>
      <c r="L306" s="170" t="s">
        <v>2821</v>
      </c>
      <c r="M306" s="122" t="str">
        <f t="shared" si="103"/>
        <v>N</v>
      </c>
      <c r="N306" s="116" t="str">
        <f>IF($L306&lt;&gt;"",VLOOKUP($L306,Categories!$E:$G,2,FALSE),IF($F306&lt;&gt;"","NO CAT",""))</f>
        <v>Not in Rate Base</v>
      </c>
      <c r="O306" s="116" t="str">
        <f>IF($L306&lt;&gt;"",VLOOKUP($L306,Categories!$E:$G,3,FALSE),IF($F306&lt;&gt;"","NO CAT",""))</f>
        <v>Deferrals Accruing Non-Cash Return   (other than ASGA)</v>
      </c>
      <c r="P306" s="170" t="s">
        <v>1186</v>
      </c>
      <c r="Q306" s="123" t="s">
        <v>1187</v>
      </c>
      <c r="R306" s="124">
        <v>0</v>
      </c>
      <c r="S306" s="124">
        <v>0</v>
      </c>
      <c r="T306" s="124">
        <v>1</v>
      </c>
      <c r="U306" s="121">
        <f t="shared" si="107"/>
        <v>0</v>
      </c>
      <c r="V306" s="121">
        <f t="shared" si="108"/>
        <v>0</v>
      </c>
      <c r="W306" s="121">
        <f t="shared" si="109"/>
        <v>-1090.6380737500001</v>
      </c>
      <c r="X306" s="121">
        <f t="shared" si="104"/>
        <v>-1090.6380737500001</v>
      </c>
      <c r="Y306" s="121" t="str">
        <f t="shared" si="110"/>
        <v/>
      </c>
      <c r="Z306" s="121" t="str">
        <f t="shared" si="111"/>
        <v/>
      </c>
      <c r="AA306" s="121" t="str">
        <f t="shared" si="112"/>
        <v/>
      </c>
      <c r="AB306" s="121">
        <f t="shared" si="105"/>
        <v>0</v>
      </c>
      <c r="AC306" s="121">
        <v>-2048.3937099999998</v>
      </c>
      <c r="AD306" s="121">
        <v>-1294.1484599999999</v>
      </c>
      <c r="AE306" s="121">
        <v>-1910.41182</v>
      </c>
      <c r="AF306" s="121">
        <v>-824.90679</v>
      </c>
      <c r="AG306" s="121">
        <v>-1338.67903</v>
      </c>
      <c r="AH306" s="121">
        <v>-1844.4511599999998</v>
      </c>
      <c r="AI306" s="121">
        <v>-701.98357999999996</v>
      </c>
      <c r="AJ306" s="121">
        <v>-1301.76794</v>
      </c>
      <c r="AK306" s="121">
        <v>-1138.8444999999999</v>
      </c>
      <c r="AL306" s="121">
        <v>0</v>
      </c>
      <c r="AM306" s="121">
        <v>-569.42224999999996</v>
      </c>
      <c r="AN306" s="121">
        <v>-1138.8444999999999</v>
      </c>
      <c r="AO306" s="121">
        <v>0</v>
      </c>
      <c r="AP306" s="125" t="str">
        <f>CONCATENATE(A306,M306)</f>
        <v>GLN</v>
      </c>
      <c r="AQ306" s="125" t="str">
        <f>CONCATENATE(AP306,L306,H306)</f>
        <v>GLNN10System Benefits Charge</v>
      </c>
      <c r="AS306" s="125" t="str">
        <f>CONCATENATE(L306,H306,J306)</f>
        <v>N10System Benefits Charge</v>
      </c>
    </row>
    <row r="307" spans="1:45" s="125" customFormat="1" ht="25.5" customHeight="1">
      <c r="A307" s="216" t="s">
        <v>2493</v>
      </c>
      <c r="B307" s="217" t="str">
        <f t="shared" si="106"/>
        <v>GL242021</v>
      </c>
      <c r="C307" s="186">
        <v>242021</v>
      </c>
      <c r="D307" s="201"/>
      <c r="E307" s="162"/>
      <c r="F307" s="169" t="s">
        <v>457</v>
      </c>
      <c r="G307" s="117"/>
      <c r="H307" s="118" t="s">
        <v>2862</v>
      </c>
      <c r="I307" s="119"/>
      <c r="J307" s="120"/>
      <c r="K307" s="120" t="str">
        <f t="shared" si="102"/>
        <v/>
      </c>
      <c r="L307" s="170" t="s">
        <v>1419</v>
      </c>
      <c r="M307" s="122" t="str">
        <f t="shared" si="103"/>
        <v>A</v>
      </c>
      <c r="N307" s="116" t="str">
        <f>IF($L307&lt;&gt;"",VLOOKUP($L307,Categories!$E:$G,2,FALSE),IF($F307&lt;&gt;"","NO CAT",""))</f>
        <v>All Other</v>
      </c>
      <c r="O307" s="116" t="str">
        <f>IF($L307&lt;&gt;"",VLOOKUP($L307,Categories!$E:$G,3,FALSE),IF($F307&lt;&gt;"","NO CAT",""))</f>
        <v>EB-Cap</v>
      </c>
      <c r="P307" s="170" t="s">
        <v>1557</v>
      </c>
      <c r="Q307" s="123" t="s">
        <v>1891</v>
      </c>
      <c r="R307" s="124">
        <v>0.77544352505021785</v>
      </c>
      <c r="S307" s="124">
        <v>0.22455647494978223</v>
      </c>
      <c r="T307" s="124">
        <v>0</v>
      </c>
      <c r="U307" s="121">
        <f t="shared" si="107"/>
        <v>-4917.5275111480496</v>
      </c>
      <c r="V307" s="121">
        <f t="shared" si="108"/>
        <v>-1424.0400592686201</v>
      </c>
      <c r="W307" s="121">
        <f t="shared" si="109"/>
        <v>0</v>
      </c>
      <c r="X307" s="121">
        <f t="shared" si="104"/>
        <v>-6341.5675704166697</v>
      </c>
      <c r="Y307" s="121">
        <f t="shared" si="110"/>
        <v>-7545.0240125100299</v>
      </c>
      <c r="Z307" s="121">
        <f t="shared" si="111"/>
        <v>-2184.9224874899701</v>
      </c>
      <c r="AA307" s="121">
        <f t="shared" si="112"/>
        <v>0</v>
      </c>
      <c r="AB307" s="121">
        <f t="shared" si="105"/>
        <v>-9729.9465</v>
      </c>
      <c r="AC307" s="121">
        <v>-9095.9650500000007</v>
      </c>
      <c r="AD307" s="121">
        <v>-3873.1928599999997</v>
      </c>
      <c r="AE307" s="121">
        <v>-6808.5817699999998</v>
      </c>
      <c r="AF307" s="121">
        <v>-9815.6276600000001</v>
      </c>
      <c r="AG307" s="121">
        <v>-3813.51377</v>
      </c>
      <c r="AH307" s="121">
        <v>-6198.9910999999993</v>
      </c>
      <c r="AI307" s="121">
        <v>-8929.9653400000007</v>
      </c>
      <c r="AJ307" s="121">
        <v>-3299.7010699999996</v>
      </c>
      <c r="AK307" s="121">
        <v>-5686.5339999999997</v>
      </c>
      <c r="AL307" s="121">
        <v>-8529.8009999999995</v>
      </c>
      <c r="AM307" s="121">
        <v>-3243.3155000000002</v>
      </c>
      <c r="AN307" s="121">
        <v>-6486.6310000000003</v>
      </c>
      <c r="AO307" s="121">
        <v>-9729.9465</v>
      </c>
      <c r="AP307" s="125" t="str">
        <f>CONCATENATE(A307,M307)</f>
        <v>GLA</v>
      </c>
      <c r="AQ307" s="125" t="str">
        <f>CONCATENATE(AP307,L307,H307)</f>
        <v>GLAA2Renewable Portfolio Standard</v>
      </c>
      <c r="AS307" s="125" t="str">
        <f>CONCATENATE(L307,H307,J307)</f>
        <v>A2Renewable Portfolio Standard</v>
      </c>
    </row>
    <row r="308" spans="1:45" s="125" customFormat="1" ht="25.5" customHeight="1">
      <c r="A308" s="216" t="s">
        <v>2493</v>
      </c>
      <c r="B308" s="217" t="str">
        <f t="shared" si="106"/>
        <v>GL242022</v>
      </c>
      <c r="C308" s="186">
        <v>242022</v>
      </c>
      <c r="D308" s="201"/>
      <c r="E308" s="162"/>
      <c r="F308" s="169" t="s">
        <v>1653</v>
      </c>
      <c r="G308" s="117"/>
      <c r="H308" s="118" t="s">
        <v>1718</v>
      </c>
      <c r="I308" s="119"/>
      <c r="J308" s="120"/>
      <c r="K308" s="120" t="str">
        <f>IF(L308="N3","SFAS-109","")</f>
        <v/>
      </c>
      <c r="L308" s="170" t="s">
        <v>1419</v>
      </c>
      <c r="M308" s="122" t="str">
        <f t="shared" si="103"/>
        <v>A</v>
      </c>
      <c r="N308" s="116" t="str">
        <f>IF($L308&lt;&gt;"",VLOOKUP($L308,Categories!$E:$G,2,FALSE),IF($F308&lt;&gt;"","NO CAT",""))</f>
        <v>All Other</v>
      </c>
      <c r="O308" s="116" t="str">
        <f>IF($L308&lt;&gt;"",VLOOKUP($L308,Categories!$E:$G,3,FALSE),IF($F308&lt;&gt;"","NO CAT",""))</f>
        <v>EB-Cap</v>
      </c>
      <c r="P308" s="170" t="s">
        <v>1557</v>
      </c>
      <c r="Q308" s="123" t="s">
        <v>1891</v>
      </c>
      <c r="R308" s="124">
        <v>0.77544352505021785</v>
      </c>
      <c r="S308" s="124">
        <v>0.22455647494978223</v>
      </c>
      <c r="T308" s="124">
        <v>0</v>
      </c>
      <c r="U308" s="121">
        <f t="shared" si="107"/>
        <v>-9584.0184970419396</v>
      </c>
      <c r="V308" s="121">
        <f t="shared" si="108"/>
        <v>-2775.3838158747599</v>
      </c>
      <c r="W308" s="121">
        <f t="shared" si="109"/>
        <v>0</v>
      </c>
      <c r="X308" s="121">
        <f t="shared" si="104"/>
        <v>-12359.4023129167</v>
      </c>
      <c r="Y308" s="121">
        <f t="shared" si="110"/>
        <v>-90.176916865168906</v>
      </c>
      <c r="Z308" s="121">
        <f t="shared" si="111"/>
        <v>-26.1138431348311</v>
      </c>
      <c r="AA308" s="121">
        <f t="shared" si="112"/>
        <v>0</v>
      </c>
      <c r="AB308" s="121">
        <f t="shared" si="105"/>
        <v>-116.29075999999999</v>
      </c>
      <c r="AC308" s="121">
        <v>-19351.046109999999</v>
      </c>
      <c r="AD308" s="121">
        <v>-19781.079829999999</v>
      </c>
      <c r="AE308" s="121">
        <v>-23173.042359999999</v>
      </c>
      <c r="AF308" s="121">
        <v>-15573.814</v>
      </c>
      <c r="AG308" s="121">
        <v>-17185.856620000002</v>
      </c>
      <c r="AH308" s="121">
        <v>-19247.592670000002</v>
      </c>
      <c r="AI308" s="121">
        <v>-14966.590990000001</v>
      </c>
      <c r="AJ308" s="121">
        <v>-17239.74638</v>
      </c>
      <c r="AK308" s="121">
        <v>-4518.0527699999993</v>
      </c>
      <c r="AL308" s="121">
        <v>-116.26319000000001</v>
      </c>
      <c r="AM308" s="121">
        <v>-2259.0401699999998</v>
      </c>
      <c r="AN308" s="121">
        <v>-4518.0803399999995</v>
      </c>
      <c r="AO308" s="121">
        <v>-116.29075999999999</v>
      </c>
      <c r="AP308" s="125" t="str">
        <f>CONCATENATE(A308,M308)</f>
        <v>GLA</v>
      </c>
      <c r="AQ308" s="125" t="str">
        <f>CONCATENATE(AP308,L308,H308)</f>
        <v>GLAA2Energy Efficiency Portfolio Standard</v>
      </c>
      <c r="AS308" s="125" t="str">
        <f>CONCATENATE(L308,H308,J308)</f>
        <v>A2Energy Efficiency Portfolio Standard</v>
      </c>
    </row>
    <row r="309" spans="1:45" s="125" customFormat="1" ht="25.5" customHeight="1">
      <c r="A309" s="216" t="s">
        <v>2493</v>
      </c>
      <c r="B309" s="217" t="str">
        <f t="shared" si="106"/>
        <v>GL242024</v>
      </c>
      <c r="C309" s="186">
        <v>242024</v>
      </c>
      <c r="D309" s="201"/>
      <c r="E309" s="162"/>
      <c r="F309" s="169" t="s">
        <v>1195</v>
      </c>
      <c r="G309" s="117"/>
      <c r="H309" s="118" t="s">
        <v>1718</v>
      </c>
      <c r="I309" s="119"/>
      <c r="J309" s="120"/>
      <c r="K309" s="120" t="str">
        <f>IF(L309="N3","SFAS-109","")</f>
        <v/>
      </c>
      <c r="L309" s="170" t="s">
        <v>1419</v>
      </c>
      <c r="M309" s="122" t="str">
        <f t="shared" si="103"/>
        <v>A</v>
      </c>
      <c r="N309" s="116" t="str">
        <f>IF($L309&lt;&gt;"",VLOOKUP($L309,Categories!$E:$G,2,FALSE),IF($F309&lt;&gt;"","NO CAT",""))</f>
        <v>All Other</v>
      </c>
      <c r="O309" s="116" t="str">
        <f>IF($L309&lt;&gt;"",VLOOKUP($L309,Categories!$E:$G,3,FALSE),IF($F309&lt;&gt;"","NO CAT",""))</f>
        <v>EB-Cap</v>
      </c>
      <c r="P309" s="170" t="s">
        <v>1557</v>
      </c>
      <c r="Q309" s="123" t="s">
        <v>1891</v>
      </c>
      <c r="R309" s="124">
        <v>0.77544352505021785</v>
      </c>
      <c r="S309" s="124">
        <v>0.22455647494978223</v>
      </c>
      <c r="T309" s="124">
        <v>0</v>
      </c>
      <c r="U309" s="121">
        <f t="shared" si="107"/>
        <v>-615.98212178914196</v>
      </c>
      <c r="V309" s="121">
        <f t="shared" si="108"/>
        <v>-178.37891404419099</v>
      </c>
      <c r="W309" s="121">
        <f t="shared" si="109"/>
        <v>0</v>
      </c>
      <c r="X309" s="121">
        <f t="shared" si="104"/>
        <v>-794.36103583333295</v>
      </c>
      <c r="Y309" s="121">
        <f t="shared" si="110"/>
        <v>7.7544352505000001E-4</v>
      </c>
      <c r="Z309" s="121">
        <f t="shared" si="111"/>
        <v>2.2455647495000001E-4</v>
      </c>
      <c r="AA309" s="121">
        <f t="shared" si="112"/>
        <v>0</v>
      </c>
      <c r="AB309" s="121">
        <f t="shared" si="105"/>
        <v>1E-3</v>
      </c>
      <c r="AC309" s="121">
        <v>-316.70265999999998</v>
      </c>
      <c r="AD309" s="121">
        <v>-1113.4498600000002</v>
      </c>
      <c r="AE309" s="121">
        <v>-1906.11016</v>
      </c>
      <c r="AF309" s="121">
        <v>-966.21091000000001</v>
      </c>
      <c r="AG309" s="121">
        <v>-1269.7106799999999</v>
      </c>
      <c r="AH309" s="121">
        <v>-1394.6399199999998</v>
      </c>
      <c r="AI309" s="121">
        <v>-203.55183</v>
      </c>
      <c r="AJ309" s="121">
        <v>-353.02596999999997</v>
      </c>
      <c r="AK309" s="121">
        <v>-868.65926000000002</v>
      </c>
      <c r="AL309" s="121">
        <v>-6.7760000000000001E-2</v>
      </c>
      <c r="AM309" s="121">
        <v>-429.96474999999998</v>
      </c>
      <c r="AN309" s="121">
        <v>-868.59050000000002</v>
      </c>
      <c r="AO309" s="121">
        <v>1E-3</v>
      </c>
      <c r="AP309" s="125" t="str">
        <f>CONCATENATE(A309,M309)</f>
        <v>GLA</v>
      </c>
      <c r="AQ309" s="125" t="str">
        <f>CONCATENATE(AP309,L309,H309)</f>
        <v>GLAA2Energy Efficiency Portfolio Standard</v>
      </c>
      <c r="AS309" s="125" t="str">
        <f>CONCATENATE(L309,H309,J309)</f>
        <v>A2Energy Efficiency Portfolio Standard</v>
      </c>
    </row>
    <row r="310" spans="1:45" s="125" customFormat="1" ht="25.5" customHeight="1">
      <c r="A310" s="216" t="s">
        <v>2493</v>
      </c>
      <c r="B310" s="217" t="str">
        <f t="shared" si="106"/>
        <v>GL242030</v>
      </c>
      <c r="C310" s="186">
        <v>242030</v>
      </c>
      <c r="D310" s="201"/>
      <c r="E310" s="162"/>
      <c r="F310" s="169" t="s">
        <v>461</v>
      </c>
      <c r="G310" s="117"/>
      <c r="H310" s="118" t="s">
        <v>220</v>
      </c>
      <c r="I310" s="119"/>
      <c r="J310" s="120"/>
      <c r="K310" s="120" t="str">
        <f t="shared" si="102"/>
        <v/>
      </c>
      <c r="L310" s="170" t="s">
        <v>928</v>
      </c>
      <c r="M310" s="122" t="str">
        <f t="shared" si="103"/>
        <v>N</v>
      </c>
      <c r="N310" s="116" t="str">
        <f>IF($L310&lt;&gt;"",VLOOKUP($L310,Categories!$E:$G,2,FALSE),IF($F310&lt;&gt;"","NO CAT",""))</f>
        <v>Not in Rate Base</v>
      </c>
      <c r="O310" s="116" t="str">
        <f>IF($L310&lt;&gt;"",VLOOKUP($L310,Categories!$E:$G,3,FALSE),IF($F310&lt;&gt;"","NO CAT",""))</f>
        <v>Direct Assign Items Not in RB</v>
      </c>
      <c r="P310" s="170" t="s">
        <v>1186</v>
      </c>
      <c r="Q310" s="123" t="s">
        <v>1187</v>
      </c>
      <c r="R310" s="124">
        <v>0</v>
      </c>
      <c r="S310" s="124">
        <v>0</v>
      </c>
      <c r="T310" s="124">
        <v>1</v>
      </c>
      <c r="U310" s="121">
        <f t="shared" si="107"/>
        <v>0</v>
      </c>
      <c r="V310" s="121">
        <f t="shared" si="108"/>
        <v>0</v>
      </c>
      <c r="W310" s="121">
        <f t="shared" si="109"/>
        <v>-2070.0989283333302</v>
      </c>
      <c r="X310" s="121">
        <f t="shared" si="104"/>
        <v>-2070.0989283333302</v>
      </c>
      <c r="Y310" s="121">
        <f t="shared" si="110"/>
        <v>0</v>
      </c>
      <c r="Z310" s="121">
        <f t="shared" si="111"/>
        <v>0</v>
      </c>
      <c r="AA310" s="121">
        <f t="shared" si="112"/>
        <v>-2951.18208</v>
      </c>
      <c r="AB310" s="121">
        <f t="shared" si="105"/>
        <v>-2951.18208</v>
      </c>
      <c r="AC310" s="121">
        <v>-2925.91</v>
      </c>
      <c r="AD310" s="121">
        <v>-3151.39858</v>
      </c>
      <c r="AE310" s="121">
        <v>-3376.8871600000002</v>
      </c>
      <c r="AF310" s="121">
        <v>-676.46573999999998</v>
      </c>
      <c r="AG310" s="121">
        <v>-901.95431999999994</v>
      </c>
      <c r="AH310" s="121">
        <v>-1231.7799</v>
      </c>
      <c r="AI310" s="121">
        <v>-1478.1359</v>
      </c>
      <c r="AJ310" s="121">
        <v>-1724.4919</v>
      </c>
      <c r="AK310" s="121">
        <v>-1970.8479</v>
      </c>
      <c r="AL310" s="121">
        <v>-2217.2039</v>
      </c>
      <c r="AM310" s="121">
        <v>-2463.5598999999997</v>
      </c>
      <c r="AN310" s="121">
        <v>-2709.9159</v>
      </c>
      <c r="AO310" s="121">
        <v>-2951.18208</v>
      </c>
      <c r="AP310" s="125" t="str">
        <f>CONCATENATE(A310,M310)</f>
        <v>GLN</v>
      </c>
      <c r="AQ310" s="125" t="str">
        <f>CONCATENATE(AP310,L310,H310)</f>
        <v>GLNN2Payroll-Related Costs</v>
      </c>
      <c r="AS310" s="125" t="str">
        <f>CONCATENATE(L310,H310,J310)</f>
        <v>N2Payroll-Related Costs</v>
      </c>
    </row>
    <row r="311" spans="1:45" s="125" customFormat="1" ht="25.5" customHeight="1">
      <c r="A311" s="216" t="s">
        <v>2493</v>
      </c>
      <c r="B311" s="217" t="str">
        <f t="shared" si="106"/>
        <v>GL242035</v>
      </c>
      <c r="C311" s="186">
        <v>242035</v>
      </c>
      <c r="D311" s="201"/>
      <c r="E311" s="162"/>
      <c r="F311" s="169" t="s">
        <v>1401</v>
      </c>
      <c r="G311" s="117"/>
      <c r="H311" s="118" t="s">
        <v>790</v>
      </c>
      <c r="I311" s="119"/>
      <c r="J311" s="120"/>
      <c r="K311" s="120" t="str">
        <f t="shared" si="102"/>
        <v/>
      </c>
      <c r="L311" s="170" t="s">
        <v>928</v>
      </c>
      <c r="M311" s="122" t="str">
        <f t="shared" si="103"/>
        <v>N</v>
      </c>
      <c r="N311" s="116" t="str">
        <f>IF($L311&lt;&gt;"",VLOOKUP($L311,Categories!$E:$G,2,FALSE),IF($F311&lt;&gt;"","NO CAT",""))</f>
        <v>Not in Rate Base</v>
      </c>
      <c r="O311" s="116" t="str">
        <f>IF($L311&lt;&gt;"",VLOOKUP($L311,Categories!$E:$G,3,FALSE),IF($F311&lt;&gt;"","NO CAT",""))</f>
        <v>Direct Assign Items Not in RB</v>
      </c>
      <c r="P311" s="170" t="s">
        <v>1186</v>
      </c>
      <c r="Q311" s="123" t="s">
        <v>1187</v>
      </c>
      <c r="R311" s="124">
        <v>0</v>
      </c>
      <c r="S311" s="124">
        <v>0</v>
      </c>
      <c r="T311" s="124">
        <v>1</v>
      </c>
      <c r="U311" s="121">
        <f t="shared" si="107"/>
        <v>0</v>
      </c>
      <c r="V311" s="121">
        <f t="shared" si="108"/>
        <v>0</v>
      </c>
      <c r="W311" s="121">
        <f t="shared" si="109"/>
        <v>-783.90245541666695</v>
      </c>
      <c r="X311" s="121">
        <f t="shared" si="104"/>
        <v>-783.90245541666695</v>
      </c>
      <c r="Y311" s="121">
        <f t="shared" si="110"/>
        <v>0</v>
      </c>
      <c r="Z311" s="121">
        <f t="shared" si="111"/>
        <v>0</v>
      </c>
      <c r="AA311" s="121">
        <f t="shared" si="112"/>
        <v>-162.77549999999999</v>
      </c>
      <c r="AB311" s="121">
        <f t="shared" si="105"/>
        <v>-162.77549999999999</v>
      </c>
      <c r="AC311" s="121">
        <v>-906.68386999999996</v>
      </c>
      <c r="AD311" s="121">
        <v>-891.49946999999997</v>
      </c>
      <c r="AE311" s="121">
        <v>-909.09431000000006</v>
      </c>
      <c r="AF311" s="121">
        <v>-920.62231999999995</v>
      </c>
      <c r="AG311" s="121">
        <v>-923.1223</v>
      </c>
      <c r="AH311" s="121">
        <v>-916.63316000000009</v>
      </c>
      <c r="AI311" s="121">
        <v>-868.81704999999999</v>
      </c>
      <c r="AJ311" s="121">
        <v>-844.78043000000002</v>
      </c>
      <c r="AK311" s="121">
        <v>-821.72550999999999</v>
      </c>
      <c r="AL311" s="121">
        <v>-792.42012</v>
      </c>
      <c r="AM311" s="121">
        <v>-810.04079000000002</v>
      </c>
      <c r="AN311" s="121">
        <v>-173.34432000000001</v>
      </c>
      <c r="AO311" s="121">
        <v>-162.77549999999999</v>
      </c>
      <c r="AP311" s="125" t="str">
        <f>CONCATENATE(A311,M311)</f>
        <v>GLN</v>
      </c>
      <c r="AQ311" s="125" t="str">
        <f>CONCATENATE(AP311,L311,H311)</f>
        <v>GLNN2Executive Compensation</v>
      </c>
      <c r="AS311" s="125" t="str">
        <f>CONCATENATE(L311,H311,J311)</f>
        <v>N2Executive Compensation</v>
      </c>
    </row>
    <row r="312" spans="1:45" s="125" customFormat="1" ht="25.5" customHeight="1">
      <c r="A312" s="216" t="s">
        <v>2493</v>
      </c>
      <c r="B312" s="217" t="str">
        <f t="shared" ref="B312:B313" si="113">CONCATENATE(A312,C312,D312,E312)</f>
        <v>GL242036</v>
      </c>
      <c r="C312" s="186">
        <v>242036</v>
      </c>
      <c r="D312" s="201"/>
      <c r="E312" s="162"/>
      <c r="F312" s="169" t="s">
        <v>4846</v>
      </c>
      <c r="G312" s="117"/>
      <c r="H312" s="118" t="s">
        <v>790</v>
      </c>
      <c r="I312" s="119"/>
      <c r="J312" s="120"/>
      <c r="K312" s="120" t="str">
        <f t="shared" ref="K312:K313" si="114">IF(L312="N3","SFAS-109","")</f>
        <v/>
      </c>
      <c r="L312" s="170" t="s">
        <v>928</v>
      </c>
      <c r="M312" s="122" t="str">
        <f t="shared" ref="M312:M313" si="115">LEFT(L312,1)</f>
        <v>N</v>
      </c>
      <c r="N312" s="116" t="str">
        <f>IF($L312&lt;&gt;"",VLOOKUP($L312,Categories!$E:$G,2,FALSE),IF($F312&lt;&gt;"","NO CAT",""))</f>
        <v>Not in Rate Base</v>
      </c>
      <c r="O312" s="116" t="str">
        <f>IF($L312&lt;&gt;"",VLOOKUP($L312,Categories!$E:$G,3,FALSE),IF($F312&lt;&gt;"","NO CAT",""))</f>
        <v>Direct Assign Items Not in RB</v>
      </c>
      <c r="P312" s="170" t="s">
        <v>1186</v>
      </c>
      <c r="Q312" s="123" t="s">
        <v>1187</v>
      </c>
      <c r="R312" s="124">
        <v>0</v>
      </c>
      <c r="S312" s="124">
        <v>0</v>
      </c>
      <c r="T312" s="124">
        <v>1</v>
      </c>
      <c r="U312" s="121">
        <f t="shared" ref="U312:U313" si="116">IF(ABS(X312)=0,"",IF($R312="NO ALLOC","NO ALLOC",ROUND($R312*X312,15)))</f>
        <v>0</v>
      </c>
      <c r="V312" s="121">
        <f t="shared" ref="V312:V313" si="117">IF(ABS(X312)=0,"",IF($S312="NO ALLOC","NO ALLOC",ROUND($S312*X312,15)))</f>
        <v>0</v>
      </c>
      <c r="W312" s="121">
        <f t="shared" ref="W312:W313" si="118">IF(ABS(X312)=0,"",IF($T312="NO ALLOC","NO ALLOC",ROUND($T312*X312,15)))</f>
        <v>-52.687017083333302</v>
      </c>
      <c r="X312" s="121">
        <f t="shared" si="104"/>
        <v>-52.687017083333302</v>
      </c>
      <c r="Y312" s="121">
        <f t="shared" ref="Y312:Y313" si="119">IF(ABS(AB312)=0,"",IF($R312="NO ALLOC","NO ALLOC",ROUND($R312*AB312,15)))</f>
        <v>0</v>
      </c>
      <c r="Z312" s="121">
        <f t="shared" ref="Z312:Z313" si="120">IF(ABS(AB312)=0,"",IF($S312="NO ALLOC","NO ALLOC",ROUND($S312*AB312,15)))</f>
        <v>0</v>
      </c>
      <c r="AA312" s="121">
        <f t="shared" ref="AA312:AA313" si="121">IF(ABS(AB312)=0,"",IF($T312="NO ALLOC","NO ALLOC",ROUND($T312*AB312,15)))</f>
        <v>-421.49606999999997</v>
      </c>
      <c r="AB312" s="121">
        <f t="shared" si="105"/>
        <v>-421.49607000000003</v>
      </c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>
        <v>-421.49617000000001</v>
      </c>
      <c r="AO312" s="121">
        <v>-421.49607000000003</v>
      </c>
      <c r="AP312" s="125" t="str">
        <f>CONCATENATE(A312,M312)</f>
        <v>GLN</v>
      </c>
      <c r="AQ312" s="125" t="str">
        <f>CONCATENATE(AP312,L312,H312)</f>
        <v>GLNN2Executive Compensation</v>
      </c>
      <c r="AS312" s="125" t="str">
        <f>CONCATENATE(L312,H312,J312)</f>
        <v>N2Executive Compensation</v>
      </c>
    </row>
    <row r="313" spans="1:45" s="125" customFormat="1" ht="25.5" customHeight="1">
      <c r="A313" s="216" t="s">
        <v>2493</v>
      </c>
      <c r="B313" s="217" t="str">
        <f t="shared" si="113"/>
        <v>GL242037</v>
      </c>
      <c r="C313" s="186">
        <v>242037</v>
      </c>
      <c r="D313" s="201"/>
      <c r="E313" s="162"/>
      <c r="F313" s="169" t="s">
        <v>4847</v>
      </c>
      <c r="G313" s="117"/>
      <c r="H313" s="118" t="s">
        <v>790</v>
      </c>
      <c r="I313" s="119"/>
      <c r="J313" s="120"/>
      <c r="K313" s="120" t="str">
        <f t="shared" si="114"/>
        <v/>
      </c>
      <c r="L313" s="170" t="s">
        <v>928</v>
      </c>
      <c r="M313" s="122" t="str">
        <f t="shared" si="115"/>
        <v>N</v>
      </c>
      <c r="N313" s="116" t="str">
        <f>IF($L313&lt;&gt;"",VLOOKUP($L313,Categories!$E:$G,2,FALSE),IF($F313&lt;&gt;"","NO CAT",""))</f>
        <v>Not in Rate Base</v>
      </c>
      <c r="O313" s="116" t="str">
        <f>IF($L313&lt;&gt;"",VLOOKUP($L313,Categories!$E:$G,3,FALSE),IF($F313&lt;&gt;"","NO CAT",""))</f>
        <v>Direct Assign Items Not in RB</v>
      </c>
      <c r="P313" s="170" t="s">
        <v>1186</v>
      </c>
      <c r="Q313" s="123" t="s">
        <v>1187</v>
      </c>
      <c r="R313" s="124">
        <v>0</v>
      </c>
      <c r="S313" s="124">
        <v>0</v>
      </c>
      <c r="T313" s="124">
        <v>1</v>
      </c>
      <c r="U313" s="121">
        <f t="shared" si="116"/>
        <v>0</v>
      </c>
      <c r="V313" s="121">
        <f t="shared" si="117"/>
        <v>0</v>
      </c>
      <c r="W313" s="121">
        <f t="shared" si="118"/>
        <v>-32.047437916666702</v>
      </c>
      <c r="X313" s="121">
        <f t="shared" si="104"/>
        <v>-32.047437916666702</v>
      </c>
      <c r="Y313" s="121">
        <f t="shared" si="119"/>
        <v>0</v>
      </c>
      <c r="Z313" s="121">
        <f t="shared" si="120"/>
        <v>0</v>
      </c>
      <c r="AA313" s="121">
        <f t="shared" si="121"/>
        <v>-278.97181</v>
      </c>
      <c r="AB313" s="121">
        <f t="shared" si="105"/>
        <v>-278.97181</v>
      </c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>
        <v>-245.08335</v>
      </c>
      <c r="AO313" s="121">
        <v>-278.97181</v>
      </c>
      <c r="AP313" s="125" t="str">
        <f>CONCATENATE(A313,M313)</f>
        <v>GLN</v>
      </c>
      <c r="AQ313" s="125" t="str">
        <f>CONCATENATE(AP313,L313,H313)</f>
        <v>GLNN2Executive Compensation</v>
      </c>
      <c r="AS313" s="125" t="str">
        <f>CONCATENATE(L313,H313,J313)</f>
        <v>N2Executive Compensation</v>
      </c>
    </row>
    <row r="314" spans="1:45" s="125" customFormat="1" ht="25.5" customHeight="1">
      <c r="A314" s="216" t="s">
        <v>2493</v>
      </c>
      <c r="B314" s="217" t="str">
        <f t="shared" si="106"/>
        <v>GL242060</v>
      </c>
      <c r="C314" s="186">
        <v>242060</v>
      </c>
      <c r="D314" s="201"/>
      <c r="E314" s="162"/>
      <c r="F314" s="169" t="s">
        <v>2416</v>
      </c>
      <c r="G314" s="117"/>
      <c r="H314" s="118" t="s">
        <v>2421</v>
      </c>
      <c r="I314" s="119"/>
      <c r="J314" s="120"/>
      <c r="K314" s="120" t="str">
        <f t="shared" si="102"/>
        <v/>
      </c>
      <c r="L314" s="170" t="s">
        <v>1419</v>
      </c>
      <c r="M314" s="122" t="str">
        <f t="shared" si="103"/>
        <v>A</v>
      </c>
      <c r="N314" s="116" t="str">
        <f>IF($L314&lt;&gt;"",VLOOKUP($L314,Categories!$E:$G,2,FALSE),IF($F314&lt;&gt;"","NO CAT",""))</f>
        <v>All Other</v>
      </c>
      <c r="O314" s="116" t="str">
        <f>IF($L314&lt;&gt;"",VLOOKUP($L314,Categories!$E:$G,3,FALSE),IF($F314&lt;&gt;"","NO CAT",""))</f>
        <v>EB-Cap</v>
      </c>
      <c r="P314" s="170" t="s">
        <v>1557</v>
      </c>
      <c r="Q314" s="123" t="s">
        <v>1891</v>
      </c>
      <c r="R314" s="124">
        <v>0.77544352505021785</v>
      </c>
      <c r="S314" s="124">
        <v>0.22455647494978223</v>
      </c>
      <c r="T314" s="124">
        <v>0</v>
      </c>
      <c r="U314" s="121">
        <f t="shared" si="107"/>
        <v>-7882.6768751510899</v>
      </c>
      <c r="V314" s="121">
        <f t="shared" si="108"/>
        <v>-2282.7015444322101</v>
      </c>
      <c r="W314" s="121">
        <f t="shared" si="109"/>
        <v>0</v>
      </c>
      <c r="X314" s="121">
        <f t="shared" si="104"/>
        <v>-10165.3784195833</v>
      </c>
      <c r="Y314" s="121" t="str">
        <f t="shared" si="110"/>
        <v/>
      </c>
      <c r="Z314" s="121" t="str">
        <f t="shared" si="111"/>
        <v/>
      </c>
      <c r="AA314" s="121" t="str">
        <f t="shared" si="112"/>
        <v/>
      </c>
      <c r="AB314" s="121">
        <f t="shared" si="105"/>
        <v>0</v>
      </c>
      <c r="AC314" s="121">
        <v>-19489.06739</v>
      </c>
      <c r="AD314" s="121">
        <v>-14695.496029999998</v>
      </c>
      <c r="AE314" s="121">
        <v>-12375.636789999999</v>
      </c>
      <c r="AF314" s="121">
        <v>-10980.725570000001</v>
      </c>
      <c r="AG314" s="121">
        <v>-11697.073710000001</v>
      </c>
      <c r="AH314" s="121">
        <v>-12171.929779999999</v>
      </c>
      <c r="AI314" s="121">
        <v>-12545.29867</v>
      </c>
      <c r="AJ314" s="121">
        <v>-12084.652390000001</v>
      </c>
      <c r="AK314" s="121">
        <v>-12105.84909</v>
      </c>
      <c r="AL314" s="121">
        <v>-13583.345310000001</v>
      </c>
      <c r="AM314" s="121">
        <v>0</v>
      </c>
      <c r="AN314" s="121">
        <v>0</v>
      </c>
      <c r="AO314" s="121">
        <v>0</v>
      </c>
      <c r="AP314" s="125" t="str">
        <f>CONCATENATE(A314,M314)</f>
        <v>GLA</v>
      </c>
      <c r="AQ314" s="125" t="str">
        <f>CONCATENATE(AP314,L314,H314)</f>
        <v>GLAA2Accounts Receivable</v>
      </c>
      <c r="AS314" s="125" t="str">
        <f>CONCATENATE(L314,H314,J314)</f>
        <v>A2Accounts Receivable</v>
      </c>
    </row>
    <row r="315" spans="1:45" s="125" customFormat="1" ht="25.5" customHeight="1">
      <c r="A315" s="216" t="s">
        <v>2493</v>
      </c>
      <c r="B315" s="217" t="str">
        <f t="shared" si="106"/>
        <v>GL242070</v>
      </c>
      <c r="C315" s="186">
        <v>242070</v>
      </c>
      <c r="D315" s="201"/>
      <c r="E315" s="162"/>
      <c r="F315" s="169" t="s">
        <v>1402</v>
      </c>
      <c r="G315" s="117"/>
      <c r="H315" s="118" t="s">
        <v>790</v>
      </c>
      <c r="I315" s="119"/>
      <c r="J315" s="120"/>
      <c r="K315" s="120" t="str">
        <f t="shared" si="102"/>
        <v/>
      </c>
      <c r="L315" s="170" t="s">
        <v>928</v>
      </c>
      <c r="M315" s="122" t="str">
        <f t="shared" si="103"/>
        <v>N</v>
      </c>
      <c r="N315" s="116" t="str">
        <f>IF($L315&lt;&gt;"",VLOOKUP($L315,Categories!$E:$G,2,FALSE),IF($F315&lt;&gt;"","NO CAT",""))</f>
        <v>Not in Rate Base</v>
      </c>
      <c r="O315" s="116" t="str">
        <f>IF($L315&lt;&gt;"",VLOOKUP($L315,Categories!$E:$G,3,FALSE),IF($F315&lt;&gt;"","NO CAT",""))</f>
        <v>Direct Assign Items Not in RB</v>
      </c>
      <c r="P315" s="170" t="s">
        <v>1186</v>
      </c>
      <c r="Q315" s="123" t="s">
        <v>1187</v>
      </c>
      <c r="R315" s="124">
        <v>0</v>
      </c>
      <c r="S315" s="124">
        <v>0</v>
      </c>
      <c r="T315" s="124">
        <v>1</v>
      </c>
      <c r="U315" s="121">
        <f t="shared" si="107"/>
        <v>0</v>
      </c>
      <c r="V315" s="121">
        <f t="shared" si="108"/>
        <v>0</v>
      </c>
      <c r="W315" s="121">
        <f t="shared" si="109"/>
        <v>-467.01803333333299</v>
      </c>
      <c r="X315" s="121">
        <f t="shared" si="104"/>
        <v>-467.01803333333299</v>
      </c>
      <c r="Y315" s="121">
        <f t="shared" si="110"/>
        <v>0</v>
      </c>
      <c r="Z315" s="121">
        <f t="shared" si="111"/>
        <v>0</v>
      </c>
      <c r="AA315" s="121">
        <f t="shared" si="112"/>
        <v>-634.16</v>
      </c>
      <c r="AB315" s="121">
        <f t="shared" si="105"/>
        <v>-634.16</v>
      </c>
      <c r="AC315" s="121">
        <v>-663.92700000000002</v>
      </c>
      <c r="AD315" s="121">
        <v>-702.17942000000005</v>
      </c>
      <c r="AE315" s="121">
        <v>-740.43183999999997</v>
      </c>
      <c r="AF315" s="121">
        <v>-114.75725999999999</v>
      </c>
      <c r="AG315" s="121">
        <v>-153.00968</v>
      </c>
      <c r="AH315" s="121">
        <v>-286.31809999999996</v>
      </c>
      <c r="AI315" s="121">
        <v>-343.58209999999997</v>
      </c>
      <c r="AJ315" s="121">
        <v>-400.84609999999998</v>
      </c>
      <c r="AK315" s="121">
        <v>-477.12209999999999</v>
      </c>
      <c r="AL315" s="121">
        <v>-534.38609999999994</v>
      </c>
      <c r="AM315" s="121">
        <v>-572.63810000000001</v>
      </c>
      <c r="AN315" s="121">
        <v>-629.90210000000002</v>
      </c>
      <c r="AO315" s="121">
        <v>-634.16</v>
      </c>
      <c r="AP315" s="125" t="str">
        <f>CONCATENATE(A315,M315)</f>
        <v>GLN</v>
      </c>
      <c r="AQ315" s="125" t="str">
        <f>CONCATENATE(AP315,L315,H315)</f>
        <v>GLNN2Executive Compensation</v>
      </c>
      <c r="AS315" s="125" t="str">
        <f>CONCATENATE(L315,H315,J315)</f>
        <v>N2Executive Compensation</v>
      </c>
    </row>
    <row r="316" spans="1:45" s="125" customFormat="1" ht="25.5" customHeight="1">
      <c r="A316" s="216" t="s">
        <v>2493</v>
      </c>
      <c r="B316" s="217" t="str">
        <f t="shared" si="106"/>
        <v>GL242090</v>
      </c>
      <c r="C316" s="186">
        <v>242090</v>
      </c>
      <c r="D316" s="201"/>
      <c r="E316" s="162"/>
      <c r="F316" s="169" t="s">
        <v>1403</v>
      </c>
      <c r="G316" s="117"/>
      <c r="H316" s="118" t="s">
        <v>1180</v>
      </c>
      <c r="I316" s="119"/>
      <c r="J316" s="120"/>
      <c r="K316" s="120" t="str">
        <f t="shared" si="102"/>
        <v/>
      </c>
      <c r="L316" s="170" t="s">
        <v>1419</v>
      </c>
      <c r="M316" s="122" t="str">
        <f t="shared" si="103"/>
        <v>A</v>
      </c>
      <c r="N316" s="116" t="str">
        <f>IF($L316&lt;&gt;"",VLOOKUP($L316,Categories!$E:$G,2,FALSE),IF($F316&lt;&gt;"","NO CAT",""))</f>
        <v>All Other</v>
      </c>
      <c r="O316" s="116" t="str">
        <f>IF($L316&lt;&gt;"",VLOOKUP($L316,Categories!$E:$G,3,FALSE),IF($F316&lt;&gt;"","NO CAT",""))</f>
        <v>EB-Cap</v>
      </c>
      <c r="P316" s="170" t="s">
        <v>1557</v>
      </c>
      <c r="Q316" s="123" t="s">
        <v>1891</v>
      </c>
      <c r="R316" s="124">
        <v>0.77544352505021785</v>
      </c>
      <c r="S316" s="124">
        <v>0.22455647494978223</v>
      </c>
      <c r="T316" s="124">
        <v>0</v>
      </c>
      <c r="U316" s="121">
        <f t="shared" si="107"/>
        <v>-12534.1599661564</v>
      </c>
      <c r="V316" s="121">
        <f t="shared" si="108"/>
        <v>-3629.6992463435599</v>
      </c>
      <c r="W316" s="121">
        <f t="shared" si="109"/>
        <v>0</v>
      </c>
      <c r="X316" s="121">
        <f t="shared" si="104"/>
        <v>-16163.8592125</v>
      </c>
      <c r="Y316" s="121">
        <f t="shared" si="110"/>
        <v>-10802.8217544702</v>
      </c>
      <c r="Z316" s="121">
        <f t="shared" si="111"/>
        <v>-3128.3304255297699</v>
      </c>
      <c r="AA316" s="121">
        <f t="shared" si="112"/>
        <v>0</v>
      </c>
      <c r="AB316" s="121">
        <f t="shared" si="105"/>
        <v>-13931.152179999999</v>
      </c>
      <c r="AC316" s="121">
        <v>-15000.918539999999</v>
      </c>
      <c r="AD316" s="121">
        <v>-26257.282579999999</v>
      </c>
      <c r="AE316" s="121">
        <v>-19229.167850000002</v>
      </c>
      <c r="AF316" s="121">
        <v>-21206.690770000001</v>
      </c>
      <c r="AG316" s="121">
        <v>-35817.393990000004</v>
      </c>
      <c r="AH316" s="121">
        <v>-24725.088030000003</v>
      </c>
      <c r="AI316" s="121">
        <v>-11136.127269999999</v>
      </c>
      <c r="AJ316" s="121">
        <v>-7605.1541999999999</v>
      </c>
      <c r="AK316" s="121">
        <v>-8366.9036799999994</v>
      </c>
      <c r="AL316" s="121">
        <v>-7906.7395199999992</v>
      </c>
      <c r="AM316" s="121">
        <v>-7661.4422100000002</v>
      </c>
      <c r="AN316" s="121">
        <v>-9588.2850899999994</v>
      </c>
      <c r="AO316" s="121">
        <v>-13931.152179999999</v>
      </c>
      <c r="AP316" s="125" t="str">
        <f>CONCATENATE(A316,M316)</f>
        <v>GLA</v>
      </c>
      <c r="AQ316" s="125" t="str">
        <f>CONCATENATE(AP316,L316,H316)</f>
        <v>GLAA2</v>
      </c>
      <c r="AS316" s="125" t="str">
        <f>CONCATENATE(L316,H316,J316)</f>
        <v>A2</v>
      </c>
    </row>
    <row r="317" spans="1:45" s="125" customFormat="1" ht="25.5" customHeight="1">
      <c r="A317" s="216" t="s">
        <v>2493</v>
      </c>
      <c r="B317" s="217" t="str">
        <f t="shared" si="106"/>
        <v>GL242091</v>
      </c>
      <c r="C317" s="186">
        <v>242091</v>
      </c>
      <c r="D317" s="201"/>
      <c r="E317" s="162"/>
      <c r="F317" s="169" t="s">
        <v>1644</v>
      </c>
      <c r="G317" s="117"/>
      <c r="H317" s="118" t="s">
        <v>1645</v>
      </c>
      <c r="I317" s="119"/>
      <c r="J317" s="120"/>
      <c r="K317" s="120" t="str">
        <f t="shared" si="102"/>
        <v/>
      </c>
      <c r="L317" s="170" t="s">
        <v>1419</v>
      </c>
      <c r="M317" s="122" t="str">
        <f t="shared" si="103"/>
        <v>A</v>
      </c>
      <c r="N317" s="116" t="str">
        <f>IF($L317&lt;&gt;"",VLOOKUP($L317,Categories!$E:$G,2,FALSE),IF($F317&lt;&gt;"","NO CAT",""))</f>
        <v>All Other</v>
      </c>
      <c r="O317" s="116" t="str">
        <f>IF($L317&lt;&gt;"",VLOOKUP($L317,Categories!$E:$G,3,FALSE),IF($F317&lt;&gt;"","NO CAT",""))</f>
        <v>EB-Cap</v>
      </c>
      <c r="P317" s="170" t="s">
        <v>1557</v>
      </c>
      <c r="Q317" s="123" t="s">
        <v>1891</v>
      </c>
      <c r="R317" s="124">
        <v>0.77544352505021785</v>
      </c>
      <c r="S317" s="124">
        <v>0.22455647494978223</v>
      </c>
      <c r="T317" s="124">
        <v>0</v>
      </c>
      <c r="U317" s="121">
        <f t="shared" si="107"/>
        <v>-0.95826919874837302</v>
      </c>
      <c r="V317" s="121">
        <f t="shared" si="108"/>
        <v>-0.27749996791829701</v>
      </c>
      <c r="W317" s="121">
        <f t="shared" si="109"/>
        <v>0</v>
      </c>
      <c r="X317" s="121">
        <f t="shared" si="104"/>
        <v>-1.2357691666666699</v>
      </c>
      <c r="Y317" s="121">
        <f t="shared" si="110"/>
        <v>-1.8984330835926899</v>
      </c>
      <c r="Z317" s="121">
        <f t="shared" si="111"/>
        <v>-0.54975691640730695</v>
      </c>
      <c r="AA317" s="121">
        <f t="shared" si="112"/>
        <v>0</v>
      </c>
      <c r="AB317" s="121">
        <f t="shared" si="105"/>
        <v>-2.4481899999999999</v>
      </c>
      <c r="AC317" s="121">
        <v>-4.02583</v>
      </c>
      <c r="AD317" s="121">
        <v>0</v>
      </c>
      <c r="AE317" s="121">
        <v>0</v>
      </c>
      <c r="AF317" s="121">
        <v>0</v>
      </c>
      <c r="AG317" s="121">
        <v>0</v>
      </c>
      <c r="AH317" s="121">
        <v>-9.29983</v>
      </c>
      <c r="AI317" s="121">
        <v>-1.9256500000000001</v>
      </c>
      <c r="AJ317" s="121">
        <v>-0.36674000000000001</v>
      </c>
      <c r="AK317" s="121">
        <v>0</v>
      </c>
      <c r="AL317" s="121">
        <v>0</v>
      </c>
      <c r="AM317" s="121">
        <v>0</v>
      </c>
      <c r="AN317" s="121">
        <v>0</v>
      </c>
      <c r="AO317" s="121">
        <v>-2.4481899999999999</v>
      </c>
      <c r="AP317" s="125" t="str">
        <f>CONCATENATE(A317,M317)</f>
        <v>GLA</v>
      </c>
      <c r="AQ317" s="125" t="str">
        <f>CONCATENATE(AP317,L317,H317)</f>
        <v>GLAA2Curtailment Payments</v>
      </c>
      <c r="AS317" s="125" t="str">
        <f>CONCATENATE(L317,H317,J317)</f>
        <v>A2Curtailment Payments</v>
      </c>
    </row>
    <row r="318" spans="1:45" s="125" customFormat="1" ht="25.5" customHeight="1">
      <c r="A318" s="216" t="s">
        <v>2493</v>
      </c>
      <c r="B318" s="217" t="str">
        <f t="shared" si="106"/>
        <v>GL242195</v>
      </c>
      <c r="C318" s="186">
        <v>242195</v>
      </c>
      <c r="D318" s="201"/>
      <c r="E318" s="162"/>
      <c r="F318" s="169" t="s">
        <v>3784</v>
      </c>
      <c r="G318" s="117"/>
      <c r="H318" s="118">
        <v>0</v>
      </c>
      <c r="I318" s="119"/>
      <c r="J318" s="120"/>
      <c r="K318" s="120" t="str">
        <f t="shared" ref="K318:K358" si="122">IF(L318="N3","SFAS-109","")</f>
        <v/>
      </c>
      <c r="L318" s="170" t="s">
        <v>1419</v>
      </c>
      <c r="M318" s="122" t="str">
        <f>LEFT(L318,1)</f>
        <v>A</v>
      </c>
      <c r="N318" s="116" t="str">
        <f>IF($L318&lt;&gt;"",VLOOKUP($L318,Categories!$E:$G,2,FALSE),IF($F318&lt;&gt;"","NO CAT",""))</f>
        <v>All Other</v>
      </c>
      <c r="O318" s="116" t="str">
        <f>IF($L318&lt;&gt;"",VLOOKUP($L318,Categories!$E:$G,3,FALSE),IF($F318&lt;&gt;"","NO CAT",""))</f>
        <v>EB-Cap</v>
      </c>
      <c r="P318" s="170" t="s">
        <v>1557</v>
      </c>
      <c r="Q318" s="123" t="s">
        <v>1891</v>
      </c>
      <c r="R318" s="124">
        <v>0.77544352505021785</v>
      </c>
      <c r="S318" s="124">
        <v>0.22455647494978223</v>
      </c>
      <c r="T318" s="124">
        <v>0</v>
      </c>
      <c r="U318" s="121">
        <f>IF(ABS(X318)=0,"",IF($R318="NO ALLOC","NO ALLOC",ROUND($R318*X318,15)))</f>
        <v>-13.562736332069701</v>
      </c>
      <c r="V318" s="121">
        <f>IF(ABS(X318)=0,"",IF($S318="NO ALLOC","NO ALLOC",ROUND($S318*X318,15)))</f>
        <v>-3.9275590845970099</v>
      </c>
      <c r="W318" s="121">
        <f>IF(ABS(X318)=0,"",IF($T318="NO ALLOC","NO ALLOC",ROUND($T318*X318,15)))</f>
        <v>0</v>
      </c>
      <c r="X318" s="121">
        <f t="shared" si="104"/>
        <v>-17.490295416666701</v>
      </c>
      <c r="Y318" s="121">
        <f>IF(ABS(AB318)=0,"",IF($R318="NO ALLOC","NO ALLOC",ROUND($R318*AB318,15)))</f>
        <v>-16.668344677400398</v>
      </c>
      <c r="Z318" s="121">
        <f>IF(ABS(AB318)=0,"",IF($S318="NO ALLOC","NO ALLOC",ROUND($S318*AB318,15)))</f>
        <v>-4.8268953225995599</v>
      </c>
      <c r="AA318" s="121">
        <f>IF(ABS(AB318)=0,"",IF($T318="NO ALLOC","NO ALLOC",ROUND($T318*AB318,15)))</f>
        <v>0</v>
      </c>
      <c r="AB318" s="121">
        <f t="shared" si="105"/>
        <v>-21.495240000000003</v>
      </c>
      <c r="AC318" s="121">
        <v>-16.080690000000001</v>
      </c>
      <c r="AD318" s="121">
        <v>-15.96393</v>
      </c>
      <c r="AE318" s="121">
        <v>-14.20374</v>
      </c>
      <c r="AF318" s="121">
        <v>-16.229579999999999</v>
      </c>
      <c r="AG318" s="121">
        <v>-15.0014</v>
      </c>
      <c r="AH318" s="121">
        <v>-18.464770000000001</v>
      </c>
      <c r="AI318" s="121">
        <v>-16.356619999999999</v>
      </c>
      <c r="AJ318" s="121">
        <v>-19.338810000000002</v>
      </c>
      <c r="AK318" s="121">
        <v>-17.412599999999998</v>
      </c>
      <c r="AL318" s="121">
        <v>-19.286169999999998</v>
      </c>
      <c r="AM318" s="121">
        <v>-20.801560000000002</v>
      </c>
      <c r="AN318" s="121">
        <v>-18.0364</v>
      </c>
      <c r="AO318" s="121">
        <v>-21.495240000000003</v>
      </c>
      <c r="AP318" s="125" t="str">
        <f>CONCATENATE(A318,M318)</f>
        <v>GLA</v>
      </c>
      <c r="AQ318" s="125" t="str">
        <f>CONCATENATE(AP318,L318,H318)</f>
        <v>GLAA20</v>
      </c>
      <c r="AS318" s="125" t="str">
        <f>CONCATENATE(L318,H318,J318)</f>
        <v>A20</v>
      </c>
    </row>
    <row r="319" spans="1:45" s="125" customFormat="1" ht="25.5" customHeight="1">
      <c r="A319" s="216" t="s">
        <v>2493</v>
      </c>
      <c r="B319" s="217" t="str">
        <f t="shared" si="106"/>
        <v>GL242250</v>
      </c>
      <c r="C319" s="186">
        <v>242250</v>
      </c>
      <c r="D319" s="201"/>
      <c r="E319" s="162"/>
      <c r="F319" s="169" t="s">
        <v>2763</v>
      </c>
      <c r="G319" s="117"/>
      <c r="H319" s="118" t="s">
        <v>1180</v>
      </c>
      <c r="I319" s="119"/>
      <c r="J319" s="120"/>
      <c r="K319" s="120" t="str">
        <f t="shared" si="122"/>
        <v/>
      </c>
      <c r="L319" s="170" t="s">
        <v>1419</v>
      </c>
      <c r="M319" s="122" t="str">
        <f t="shared" si="103"/>
        <v>A</v>
      </c>
      <c r="N319" s="116" t="str">
        <f>IF($L319&lt;&gt;"",VLOOKUP($L319,Categories!$E:$G,2,FALSE),IF($F319&lt;&gt;"","NO CAT",""))</f>
        <v>All Other</v>
      </c>
      <c r="O319" s="116" t="str">
        <f>IF($L319&lt;&gt;"",VLOOKUP($L319,Categories!$E:$G,3,FALSE),IF($F319&lt;&gt;"","NO CAT",""))</f>
        <v>EB-Cap</v>
      </c>
      <c r="P319" s="170" t="s">
        <v>1557</v>
      </c>
      <c r="Q319" s="123" t="s">
        <v>1891</v>
      </c>
      <c r="R319" s="124">
        <v>0.77544352505021785</v>
      </c>
      <c r="S319" s="124">
        <v>0.22455647494978223</v>
      </c>
      <c r="T319" s="124">
        <v>0</v>
      </c>
      <c r="U319" s="121">
        <f t="shared" si="107"/>
        <v>-19.9278921327153</v>
      </c>
      <c r="V319" s="121">
        <f t="shared" si="108"/>
        <v>-5.7708099506179504</v>
      </c>
      <c r="W319" s="121">
        <f t="shared" si="109"/>
        <v>0</v>
      </c>
      <c r="X319" s="121">
        <f t="shared" ref="X319:X354" si="123">IF(ISERROR(ROUND((SUM(AC319:AO319)-((AC319+AO319))/2)/12,15)),"",ROUND((SUM(AC319:AO319)-((AC319+AO319))/2)/12,15))</f>
        <v>-25.698702083333298</v>
      </c>
      <c r="Y319" s="121" t="str">
        <f t="shared" si="110"/>
        <v/>
      </c>
      <c r="Z319" s="121" t="str">
        <f t="shared" si="111"/>
        <v/>
      </c>
      <c r="AA319" s="121" t="str">
        <f t="shared" si="112"/>
        <v/>
      </c>
      <c r="AB319" s="121">
        <f t="shared" ref="AB319:AB354" si="124">IF(AO319="",0,+AO319)</f>
        <v>0</v>
      </c>
      <c r="AC319" s="121">
        <v>11.66783</v>
      </c>
      <c r="AD319" s="121">
        <v>11.66783</v>
      </c>
      <c r="AE319" s="121">
        <v>11.66783</v>
      </c>
      <c r="AF319" s="121">
        <v>11.66783</v>
      </c>
      <c r="AG319" s="121">
        <v>11.66783</v>
      </c>
      <c r="AH319" s="121">
        <v>6.9673699999999998</v>
      </c>
      <c r="AI319" s="121">
        <v>6.9673699999999998</v>
      </c>
      <c r="AJ319" s="121">
        <v>6.9673699999999998</v>
      </c>
      <c r="AK319" s="121">
        <v>6.9673699999999998</v>
      </c>
      <c r="AL319" s="121">
        <v>-405.55068</v>
      </c>
      <c r="AM319" s="121">
        <v>8.3957700000000006</v>
      </c>
      <c r="AN319" s="121">
        <v>8.3957700000000006</v>
      </c>
      <c r="AO319" s="121">
        <v>0</v>
      </c>
      <c r="AP319" s="125" t="str">
        <f>CONCATENATE(A319,M319)</f>
        <v>GLA</v>
      </c>
      <c r="AQ319" s="125" t="str">
        <f>CONCATENATE(AP319,L319,H319)</f>
        <v>GLAA2</v>
      </c>
      <c r="AS319" s="125" t="str">
        <f>CONCATENATE(L319,H319,J319)</f>
        <v>A2</v>
      </c>
    </row>
    <row r="320" spans="1:45" s="125" customFormat="1" ht="25.5" customHeight="1">
      <c r="A320" s="216" t="s">
        <v>2493</v>
      </c>
      <c r="B320" s="217" t="str">
        <f t="shared" si="106"/>
        <v>GL242260</v>
      </c>
      <c r="C320" s="186">
        <v>242260</v>
      </c>
      <c r="D320" s="201"/>
      <c r="E320" s="162"/>
      <c r="F320" s="169" t="s">
        <v>2417</v>
      </c>
      <c r="G320" s="117"/>
      <c r="H320" s="118">
        <v>0</v>
      </c>
      <c r="I320" s="119"/>
      <c r="J320" s="120"/>
      <c r="K320" s="120" t="str">
        <f t="shared" si="122"/>
        <v/>
      </c>
      <c r="L320" s="170" t="s">
        <v>1419</v>
      </c>
      <c r="M320" s="122" t="str">
        <f t="shared" si="103"/>
        <v>A</v>
      </c>
      <c r="N320" s="116" t="str">
        <f>IF($L320&lt;&gt;"",VLOOKUP($L320,Categories!$E:$G,2,FALSE),IF($F320&lt;&gt;"","NO CAT",""))</f>
        <v>All Other</v>
      </c>
      <c r="O320" s="116" t="str">
        <f>IF($L320&lt;&gt;"",VLOOKUP($L320,Categories!$E:$G,3,FALSE),IF($F320&lt;&gt;"","NO CAT",""))</f>
        <v>EB-Cap</v>
      </c>
      <c r="P320" s="170" t="s">
        <v>1557</v>
      </c>
      <c r="Q320" s="123" t="s">
        <v>1891</v>
      </c>
      <c r="R320" s="124">
        <v>0.77544352505021785</v>
      </c>
      <c r="S320" s="124">
        <v>0.22455647494978223</v>
      </c>
      <c r="T320" s="124">
        <v>0</v>
      </c>
      <c r="U320" s="121">
        <f t="shared" si="107"/>
        <v>-1167.3084597125601</v>
      </c>
      <c r="V320" s="121">
        <f t="shared" si="108"/>
        <v>-338.03451112076499</v>
      </c>
      <c r="W320" s="121">
        <f t="shared" si="109"/>
        <v>0</v>
      </c>
      <c r="X320" s="121">
        <f t="shared" si="123"/>
        <v>-1505.3429708333299</v>
      </c>
      <c r="Y320" s="121" t="str">
        <f t="shared" si="110"/>
        <v/>
      </c>
      <c r="Z320" s="121" t="str">
        <f t="shared" si="111"/>
        <v/>
      </c>
      <c r="AA320" s="121" t="str">
        <f t="shared" si="112"/>
        <v/>
      </c>
      <c r="AB320" s="121">
        <f t="shared" si="124"/>
        <v>0</v>
      </c>
      <c r="AC320" s="121">
        <v>-3531.1935600000002</v>
      </c>
      <c r="AD320" s="121">
        <v>-756.42558999999994</v>
      </c>
      <c r="AE320" s="121">
        <v>-5190.6976100000002</v>
      </c>
      <c r="AF320" s="121">
        <v>-1382.6063799999999</v>
      </c>
      <c r="AG320" s="121">
        <v>-1248.8586799999998</v>
      </c>
      <c r="AH320" s="121">
        <v>-948.61543999999992</v>
      </c>
      <c r="AI320" s="121">
        <v>-838.55412999999999</v>
      </c>
      <c r="AJ320" s="121">
        <v>-959.63810999999998</v>
      </c>
      <c r="AK320" s="121">
        <v>-784.82506000000001</v>
      </c>
      <c r="AL320" s="121">
        <v>-710.57626000000005</v>
      </c>
      <c r="AM320" s="121">
        <v>161.74089999999998</v>
      </c>
      <c r="AN320" s="121">
        <v>-3639.4625099999998</v>
      </c>
      <c r="AO320" s="121">
        <v>0</v>
      </c>
      <c r="AP320" s="125" t="str">
        <f>CONCATENATE(A320,M320)</f>
        <v>GLA</v>
      </c>
      <c r="AQ320" s="125" t="str">
        <f>CONCATENATE(AP320,L320,H320)</f>
        <v>GLAA20</v>
      </c>
      <c r="AS320" s="125" t="str">
        <f>CONCATENATE(L320,H320,J320)</f>
        <v>A20</v>
      </c>
    </row>
    <row r="321" spans="1:45" s="125" customFormat="1" ht="25.5" customHeight="1">
      <c r="A321" s="216" t="s">
        <v>2493</v>
      </c>
      <c r="B321" s="217" t="str">
        <f t="shared" si="106"/>
        <v>GL242360</v>
      </c>
      <c r="C321" s="186">
        <v>242360</v>
      </c>
      <c r="D321" s="201"/>
      <c r="E321" s="162"/>
      <c r="F321" s="169" t="s">
        <v>1404</v>
      </c>
      <c r="G321" s="117"/>
      <c r="H321" s="118" t="s">
        <v>1405</v>
      </c>
      <c r="I321" s="119"/>
      <c r="J321" s="120"/>
      <c r="K321" s="120" t="str">
        <f t="shared" si="122"/>
        <v/>
      </c>
      <c r="L321" s="170" t="s">
        <v>1893</v>
      </c>
      <c r="M321" s="122" t="str">
        <f t="shared" si="103"/>
        <v>R</v>
      </c>
      <c r="N321" s="116" t="str">
        <f>IF($L321&lt;&gt;"",VLOOKUP($L321,Categories!$E:$G,2,FALSE),IF($F321&lt;&gt;"","NO CAT",""))</f>
        <v>Rate Base</v>
      </c>
      <c r="O321" s="116" t="str">
        <f>IF($L321&lt;&gt;"",VLOOKUP($L321,Categories!$E:$G,3,FALSE),IF($F321&lt;&gt;"","NO CAT",""))</f>
        <v>Deferred Debits &amp; Credits</v>
      </c>
      <c r="P321" s="170" t="s">
        <v>1188</v>
      </c>
      <c r="Q321" s="123" t="s">
        <v>1843</v>
      </c>
      <c r="R321" s="124">
        <v>0.76071990262269951</v>
      </c>
      <c r="S321" s="124">
        <v>0.23928009737730072</v>
      </c>
      <c r="T321" s="124">
        <v>0</v>
      </c>
      <c r="U321" s="121">
        <f t="shared" si="107"/>
        <v>-2947.8847126507899</v>
      </c>
      <c r="V321" s="121">
        <f t="shared" si="108"/>
        <v>-927.24028734921205</v>
      </c>
      <c r="W321" s="121">
        <f t="shared" si="109"/>
        <v>0</v>
      </c>
      <c r="X321" s="121">
        <f t="shared" si="123"/>
        <v>-3875.125</v>
      </c>
      <c r="Y321" s="121">
        <f t="shared" si="110"/>
        <v>-3102.2157628953701</v>
      </c>
      <c r="Z321" s="121">
        <f t="shared" si="111"/>
        <v>-975.78423710463198</v>
      </c>
      <c r="AA321" s="121">
        <f t="shared" si="112"/>
        <v>0</v>
      </c>
      <c r="AB321" s="121">
        <f t="shared" si="124"/>
        <v>-4078</v>
      </c>
      <c r="AC321" s="121">
        <v>-3795</v>
      </c>
      <c r="AD321" s="121">
        <v>-3795</v>
      </c>
      <c r="AE321" s="121">
        <v>-3795</v>
      </c>
      <c r="AF321" s="121">
        <v>-3795</v>
      </c>
      <c r="AG321" s="121">
        <v>-3795</v>
      </c>
      <c r="AH321" s="121">
        <v>-3795</v>
      </c>
      <c r="AI321" s="121">
        <v>-3795</v>
      </c>
      <c r="AJ321" s="121">
        <v>-3795</v>
      </c>
      <c r="AK321" s="121">
        <v>-3795</v>
      </c>
      <c r="AL321" s="121">
        <v>-3795</v>
      </c>
      <c r="AM321" s="121">
        <v>-4205</v>
      </c>
      <c r="AN321" s="121">
        <v>-4205</v>
      </c>
      <c r="AO321" s="121">
        <v>-4078</v>
      </c>
      <c r="AP321" s="125" t="str">
        <f>CONCATENATE(A321,M321)</f>
        <v>GLR</v>
      </c>
      <c r="AQ321" s="125" t="str">
        <f>CONCATENATE(AP321,L321,H321)</f>
        <v>GLRR10A&amp;S CHIP</v>
      </c>
      <c r="AS321" s="125" t="str">
        <f>CONCATENATE(L321,H321,J321)</f>
        <v>R10A&amp;S CHIP</v>
      </c>
    </row>
    <row r="322" spans="1:45" s="125" customFormat="1" ht="25.5" customHeight="1">
      <c r="A322" s="216" t="s">
        <v>2493</v>
      </c>
      <c r="B322" s="217" t="str">
        <f t="shared" si="106"/>
        <v>GL242390</v>
      </c>
      <c r="C322" s="186">
        <v>242390</v>
      </c>
      <c r="D322" s="201"/>
      <c r="E322" s="162"/>
      <c r="F322" s="169" t="s">
        <v>1929</v>
      </c>
      <c r="G322" s="117"/>
      <c r="H322" s="118" t="s">
        <v>220</v>
      </c>
      <c r="I322" s="119"/>
      <c r="J322" s="120"/>
      <c r="K322" s="120" t="str">
        <f t="shared" si="122"/>
        <v/>
      </c>
      <c r="L322" s="170" t="s">
        <v>1419</v>
      </c>
      <c r="M322" s="122" t="str">
        <f t="shared" si="103"/>
        <v>A</v>
      </c>
      <c r="N322" s="116" t="str">
        <f>IF($L322&lt;&gt;"",VLOOKUP($L322,Categories!$E:$G,2,FALSE),IF($F322&lt;&gt;"","NO CAT",""))</f>
        <v>All Other</v>
      </c>
      <c r="O322" s="116" t="str">
        <f>IF($L322&lt;&gt;"",VLOOKUP($L322,Categories!$E:$G,3,FALSE),IF($F322&lt;&gt;"","NO CAT",""))</f>
        <v>EB-Cap</v>
      </c>
      <c r="P322" s="170" t="s">
        <v>1557</v>
      </c>
      <c r="Q322" s="123" t="s">
        <v>1891</v>
      </c>
      <c r="R322" s="124">
        <v>0.77544352505021785</v>
      </c>
      <c r="S322" s="124">
        <v>0.22455647494978223</v>
      </c>
      <c r="T322" s="124">
        <v>0</v>
      </c>
      <c r="U322" s="121">
        <f t="shared" si="107"/>
        <v>-6126.0038478967199</v>
      </c>
      <c r="V322" s="121">
        <f t="shared" si="108"/>
        <v>-1773.9961521032801</v>
      </c>
      <c r="W322" s="121">
        <f t="shared" si="109"/>
        <v>0</v>
      </c>
      <c r="X322" s="121">
        <f t="shared" si="123"/>
        <v>-7900</v>
      </c>
      <c r="Y322" s="121">
        <f t="shared" si="110"/>
        <v>-6126.0038478967199</v>
      </c>
      <c r="Z322" s="121">
        <f t="shared" si="111"/>
        <v>-1773.9961521032801</v>
      </c>
      <c r="AA322" s="121">
        <f t="shared" si="112"/>
        <v>0</v>
      </c>
      <c r="AB322" s="121">
        <f t="shared" si="124"/>
        <v>-7900</v>
      </c>
      <c r="AC322" s="121">
        <v>-7900</v>
      </c>
      <c r="AD322" s="121">
        <v>-7900</v>
      </c>
      <c r="AE322" s="121">
        <v>-7900</v>
      </c>
      <c r="AF322" s="121">
        <v>-7900</v>
      </c>
      <c r="AG322" s="121">
        <v>-7900</v>
      </c>
      <c r="AH322" s="121">
        <v>-7900</v>
      </c>
      <c r="AI322" s="121">
        <v>-7900</v>
      </c>
      <c r="AJ322" s="121">
        <v>-7900</v>
      </c>
      <c r="AK322" s="121">
        <v>-7900</v>
      </c>
      <c r="AL322" s="121">
        <v>-7900</v>
      </c>
      <c r="AM322" s="121">
        <v>-7900</v>
      </c>
      <c r="AN322" s="121">
        <v>-7900</v>
      </c>
      <c r="AO322" s="121">
        <v>-7900</v>
      </c>
      <c r="AP322" s="125" t="str">
        <f>CONCATENATE(A322,M322)</f>
        <v>GLA</v>
      </c>
      <c r="AQ322" s="125" t="str">
        <f>CONCATENATE(AP322,L322,H322)</f>
        <v>GLAA2Payroll-Related Costs</v>
      </c>
      <c r="AS322" s="125" t="str">
        <f>CONCATENATE(L322,H322,J322)</f>
        <v>A2Payroll-Related Costs</v>
      </c>
    </row>
    <row r="323" spans="1:45" s="125" customFormat="1" ht="25.5" customHeight="1">
      <c r="A323" s="216" t="s">
        <v>2493</v>
      </c>
      <c r="B323" s="217" t="str">
        <f t="shared" si="106"/>
        <v>GL242410</v>
      </c>
      <c r="C323" s="186">
        <v>242410</v>
      </c>
      <c r="D323" s="201"/>
      <c r="E323" s="162"/>
      <c r="F323" s="169" t="s">
        <v>1045</v>
      </c>
      <c r="G323" s="117"/>
      <c r="H323" s="118" t="s">
        <v>1180</v>
      </c>
      <c r="I323" s="119"/>
      <c r="J323" s="120"/>
      <c r="K323" s="120" t="str">
        <f t="shared" si="122"/>
        <v/>
      </c>
      <c r="L323" s="170" t="s">
        <v>1419</v>
      </c>
      <c r="M323" s="122" t="str">
        <f t="shared" si="103"/>
        <v>A</v>
      </c>
      <c r="N323" s="116" t="str">
        <f>IF($L323&lt;&gt;"",VLOOKUP($L323,Categories!$E:$G,2,FALSE),IF($F323&lt;&gt;"","NO CAT",""))</f>
        <v>All Other</v>
      </c>
      <c r="O323" s="116" t="str">
        <f>IF($L323&lt;&gt;"",VLOOKUP($L323,Categories!$E:$G,3,FALSE),IF($F323&lt;&gt;"","NO CAT",""))</f>
        <v>EB-Cap</v>
      </c>
      <c r="P323" s="170" t="s">
        <v>1557</v>
      </c>
      <c r="Q323" s="123" t="s">
        <v>1891</v>
      </c>
      <c r="R323" s="124">
        <v>0.77544352505021785</v>
      </c>
      <c r="S323" s="124">
        <v>0.22455647494978223</v>
      </c>
      <c r="T323" s="124">
        <v>0</v>
      </c>
      <c r="U323" s="121">
        <f t="shared" si="107"/>
        <v>-60.238500843010002</v>
      </c>
      <c r="V323" s="121">
        <f t="shared" si="108"/>
        <v>-17.444139990323301</v>
      </c>
      <c r="W323" s="121">
        <f t="shared" si="109"/>
        <v>0</v>
      </c>
      <c r="X323" s="121">
        <f t="shared" si="123"/>
        <v>-77.682640833333295</v>
      </c>
      <c r="Y323" s="121">
        <f t="shared" si="110"/>
        <v>-166.813922901529</v>
      </c>
      <c r="Z323" s="121">
        <f t="shared" si="111"/>
        <v>-48.306737098470599</v>
      </c>
      <c r="AA323" s="121">
        <f t="shared" si="112"/>
        <v>0</v>
      </c>
      <c r="AB323" s="121">
        <f t="shared" si="124"/>
        <v>-215.12066000000002</v>
      </c>
      <c r="AC323" s="121">
        <v>143.41326000000001</v>
      </c>
      <c r="AD323" s="121">
        <v>143.41326000000001</v>
      </c>
      <c r="AE323" s="121">
        <v>-71.706960000000009</v>
      </c>
      <c r="AF323" s="121">
        <v>-107.56033000000001</v>
      </c>
      <c r="AG323" s="121">
        <v>-143.41370000000001</v>
      </c>
      <c r="AH323" s="121">
        <v>-179.26707000000002</v>
      </c>
      <c r="AI323" s="121">
        <v>-4.4000000000000002E-4</v>
      </c>
      <c r="AJ323" s="121">
        <v>-35.853809999999996</v>
      </c>
      <c r="AK323" s="121">
        <v>-71.707179999999994</v>
      </c>
      <c r="AL323" s="121">
        <v>-107.56055000000001</v>
      </c>
      <c r="AM323" s="121">
        <v>-143.41392000000002</v>
      </c>
      <c r="AN323" s="121">
        <v>-179.26729</v>
      </c>
      <c r="AO323" s="121">
        <v>-215.12066000000002</v>
      </c>
      <c r="AP323" s="125" t="str">
        <f>CONCATENATE(A323,M323)</f>
        <v>GLA</v>
      </c>
      <c r="AQ323" s="125" t="str">
        <f>CONCATENATE(AP323,L323,H323)</f>
        <v>GLAA2</v>
      </c>
      <c r="AS323" s="125" t="str">
        <f>CONCATENATE(L323,H323,J323)</f>
        <v>A2</v>
      </c>
    </row>
    <row r="324" spans="1:45" s="125" customFormat="1" ht="25.5" customHeight="1">
      <c r="A324" s="216" t="s">
        <v>2493</v>
      </c>
      <c r="B324" s="217" t="str">
        <f t="shared" si="106"/>
        <v>GL242440</v>
      </c>
      <c r="C324" s="186">
        <v>242440</v>
      </c>
      <c r="D324" s="201"/>
      <c r="E324" s="162"/>
      <c r="F324" s="169" t="s">
        <v>1223</v>
      </c>
      <c r="G324" s="117"/>
      <c r="H324" s="118" t="s">
        <v>1180</v>
      </c>
      <c r="I324" s="119"/>
      <c r="J324" s="120"/>
      <c r="K324" s="120" t="str">
        <f t="shared" si="122"/>
        <v/>
      </c>
      <c r="L324" s="170" t="s">
        <v>1419</v>
      </c>
      <c r="M324" s="122" t="str">
        <f t="shared" si="103"/>
        <v>A</v>
      </c>
      <c r="N324" s="116" t="str">
        <f>IF($L324&lt;&gt;"",VLOOKUP($L324,Categories!$E:$G,2,FALSE),IF($F324&lt;&gt;"","NO CAT",""))</f>
        <v>All Other</v>
      </c>
      <c r="O324" s="116" t="str">
        <f>IF($L324&lt;&gt;"",VLOOKUP($L324,Categories!$E:$G,3,FALSE),IF($F324&lt;&gt;"","NO CAT",""))</f>
        <v>EB-Cap</v>
      </c>
      <c r="P324" s="170" t="s">
        <v>1557</v>
      </c>
      <c r="Q324" s="123" t="s">
        <v>1891</v>
      </c>
      <c r="R324" s="124">
        <v>0.77544352505021785</v>
      </c>
      <c r="S324" s="124">
        <v>0.22455647494978223</v>
      </c>
      <c r="T324" s="124">
        <v>0</v>
      </c>
      <c r="U324" s="121">
        <f t="shared" si="107"/>
        <v>-12.063354887106</v>
      </c>
      <c r="V324" s="121">
        <f t="shared" si="108"/>
        <v>-3.4933613628939999</v>
      </c>
      <c r="W324" s="121">
        <f t="shared" si="109"/>
        <v>0</v>
      </c>
      <c r="X324" s="121">
        <f t="shared" si="123"/>
        <v>-15.556716249999999</v>
      </c>
      <c r="Y324" s="121">
        <f t="shared" si="110"/>
        <v>-4.7848587624518704</v>
      </c>
      <c r="Z324" s="121">
        <f t="shared" si="111"/>
        <v>-1.38562123754813</v>
      </c>
      <c r="AA324" s="121">
        <f t="shared" si="112"/>
        <v>0</v>
      </c>
      <c r="AB324" s="121">
        <f t="shared" si="124"/>
        <v>-6.1704799999999995</v>
      </c>
      <c r="AC324" s="121">
        <v>-10.838749999999999</v>
      </c>
      <c r="AD324" s="121">
        <v>-21.82978</v>
      </c>
      <c r="AE324" s="121">
        <v>-20.435689999999997</v>
      </c>
      <c r="AF324" s="121">
        <v>-21.42605</v>
      </c>
      <c r="AG324" s="121">
        <v>-20.184470000000001</v>
      </c>
      <c r="AH324" s="121">
        <v>-19.737549999999999</v>
      </c>
      <c r="AI324" s="121">
        <v>-19.22381</v>
      </c>
      <c r="AJ324" s="121">
        <v>-18.758849999999999</v>
      </c>
      <c r="AK324" s="121">
        <v>-18.28828</v>
      </c>
      <c r="AL324" s="121">
        <v>-6.4975100000000001</v>
      </c>
      <c r="AM324" s="121">
        <v>-6.8056000000000001</v>
      </c>
      <c r="AN324" s="121">
        <v>-4.9883900000000008</v>
      </c>
      <c r="AO324" s="121">
        <v>-6.1704799999999995</v>
      </c>
      <c r="AP324" s="125" t="str">
        <f>CONCATENATE(A324,M324)</f>
        <v>GLA</v>
      </c>
      <c r="AQ324" s="125" t="str">
        <f>CONCATENATE(AP324,L324,H324)</f>
        <v>GLAA2</v>
      </c>
      <c r="AS324" s="125" t="str">
        <f>CONCATENATE(L324,H324,J324)</f>
        <v>A2</v>
      </c>
    </row>
    <row r="325" spans="1:45" s="125" customFormat="1" ht="25.5" customHeight="1">
      <c r="A325" s="216" t="s">
        <v>2493</v>
      </c>
      <c r="B325" s="217" t="str">
        <f t="shared" si="106"/>
        <v>GL242460</v>
      </c>
      <c r="C325" s="186">
        <v>242460</v>
      </c>
      <c r="D325" s="201"/>
      <c r="E325" s="162"/>
      <c r="F325" s="169" t="s">
        <v>2491</v>
      </c>
      <c r="G325" s="117"/>
      <c r="H325" s="118" t="s">
        <v>1180</v>
      </c>
      <c r="I325" s="119"/>
      <c r="J325" s="120"/>
      <c r="K325" s="120" t="str">
        <f t="shared" si="122"/>
        <v/>
      </c>
      <c r="L325" s="170" t="s">
        <v>1419</v>
      </c>
      <c r="M325" s="122" t="str">
        <f t="shared" ref="M325:M375" si="125">LEFT(L325,1)</f>
        <v>A</v>
      </c>
      <c r="N325" s="116" t="str">
        <f>IF($L325&lt;&gt;"",VLOOKUP($L325,Categories!$E:$G,2,FALSE),IF($F325&lt;&gt;"","NO CAT",""))</f>
        <v>All Other</v>
      </c>
      <c r="O325" s="116" t="str">
        <f>IF($L325&lt;&gt;"",VLOOKUP($L325,Categories!$E:$G,3,FALSE),IF($F325&lt;&gt;"","NO CAT",""))</f>
        <v>EB-Cap</v>
      </c>
      <c r="P325" s="170" t="s">
        <v>1557</v>
      </c>
      <c r="Q325" s="123" t="s">
        <v>1891</v>
      </c>
      <c r="R325" s="124">
        <v>0.77544352505021785</v>
      </c>
      <c r="S325" s="124">
        <v>0.22455647494978223</v>
      </c>
      <c r="T325" s="124">
        <v>0</v>
      </c>
      <c r="U325" s="121">
        <f t="shared" si="107"/>
        <v>-5.4077366818616701</v>
      </c>
      <c r="V325" s="121">
        <f t="shared" si="108"/>
        <v>-1.56599706813833</v>
      </c>
      <c r="W325" s="121">
        <f t="shared" si="109"/>
        <v>0</v>
      </c>
      <c r="X325" s="121">
        <f t="shared" si="123"/>
        <v>-6.9737337500000001</v>
      </c>
      <c r="Y325" s="121">
        <f t="shared" si="110"/>
        <v>-6.5454800227726402</v>
      </c>
      <c r="Z325" s="121">
        <f t="shared" si="111"/>
        <v>-1.89546997722736</v>
      </c>
      <c r="AA325" s="121">
        <f t="shared" si="112"/>
        <v>0</v>
      </c>
      <c r="AB325" s="121">
        <f t="shared" si="124"/>
        <v>-8.4409500000000008</v>
      </c>
      <c r="AC325" s="121">
        <v>-11.420999999999999</v>
      </c>
      <c r="AD325" s="121">
        <v>-8.0860000000000003</v>
      </c>
      <c r="AE325" s="121">
        <v>-7.9459999999999997</v>
      </c>
      <c r="AF325" s="121">
        <v>-6.9459999999999997</v>
      </c>
      <c r="AG325" s="121">
        <v>-7.1459999999999999</v>
      </c>
      <c r="AH325" s="121">
        <v>-5.7709999999999999</v>
      </c>
      <c r="AI325" s="121">
        <v>-5.6716999999999995</v>
      </c>
      <c r="AJ325" s="121">
        <v>-5.6216999999999997</v>
      </c>
      <c r="AK325" s="121">
        <v>-5.6210000000000004</v>
      </c>
      <c r="AL325" s="121">
        <v>-7.2425299999999995</v>
      </c>
      <c r="AM325" s="121">
        <v>-5.7609500000000002</v>
      </c>
      <c r="AN325" s="121">
        <v>-7.94095</v>
      </c>
      <c r="AO325" s="121">
        <v>-8.4409500000000008</v>
      </c>
      <c r="AP325" s="125" t="str">
        <f>CONCATENATE(A325,M325)</f>
        <v>GLA</v>
      </c>
      <c r="AQ325" s="125" t="str">
        <f>CONCATENATE(AP325,L325,H325)</f>
        <v>GLAA2</v>
      </c>
      <c r="AS325" s="125" t="str">
        <f>CONCATENATE(L325,H325,J325)</f>
        <v>A2</v>
      </c>
    </row>
    <row r="326" spans="1:45" s="125" customFormat="1" ht="25.5" customHeight="1">
      <c r="A326" s="216" t="s">
        <v>2493</v>
      </c>
      <c r="B326" s="217" t="str">
        <f t="shared" si="106"/>
        <v>GL242520</v>
      </c>
      <c r="C326" s="186">
        <v>242520</v>
      </c>
      <c r="D326" s="201"/>
      <c r="E326" s="162"/>
      <c r="F326" s="169" t="s">
        <v>1636</v>
      </c>
      <c r="G326" s="117"/>
      <c r="H326" s="118" t="s">
        <v>1180</v>
      </c>
      <c r="I326" s="119"/>
      <c r="J326" s="120"/>
      <c r="K326" s="120" t="str">
        <f>IF(L326="N3","SFAS-109","")</f>
        <v/>
      </c>
      <c r="L326" s="170" t="s">
        <v>1419</v>
      </c>
      <c r="M326" s="122" t="str">
        <f t="shared" si="125"/>
        <v>A</v>
      </c>
      <c r="N326" s="116" t="str">
        <f>IF($L326&lt;&gt;"",VLOOKUP($L326,Categories!$E:$G,2,FALSE),IF($F326&lt;&gt;"","NO CAT",""))</f>
        <v>All Other</v>
      </c>
      <c r="O326" s="116" t="str">
        <f>IF($L326&lt;&gt;"",VLOOKUP($L326,Categories!$E:$G,3,FALSE),IF($F326&lt;&gt;"","NO CAT",""))</f>
        <v>EB-Cap</v>
      </c>
      <c r="P326" s="170" t="s">
        <v>1557</v>
      </c>
      <c r="Q326" s="123" t="s">
        <v>1891</v>
      </c>
      <c r="R326" s="124">
        <v>0.77544352505021785</v>
      </c>
      <c r="S326" s="124">
        <v>0.22455647494978223</v>
      </c>
      <c r="T326" s="124">
        <v>0</v>
      </c>
      <c r="U326" s="121">
        <f t="shared" si="107"/>
        <v>-2552.6595679214902</v>
      </c>
      <c r="V326" s="121">
        <f t="shared" si="108"/>
        <v>-739.21080749518399</v>
      </c>
      <c r="W326" s="121">
        <f t="shared" si="109"/>
        <v>0</v>
      </c>
      <c r="X326" s="121">
        <f t="shared" si="123"/>
        <v>-3291.87037541667</v>
      </c>
      <c r="Y326" s="121">
        <f t="shared" si="110"/>
        <v>-6787.5970415131696</v>
      </c>
      <c r="Z326" s="121">
        <f t="shared" si="111"/>
        <v>-1965.5833284868299</v>
      </c>
      <c r="AA326" s="121">
        <f t="shared" si="112"/>
        <v>0</v>
      </c>
      <c r="AB326" s="121">
        <f t="shared" si="124"/>
        <v>-8753.18037</v>
      </c>
      <c r="AC326" s="121">
        <v>-2748.7906800000001</v>
      </c>
      <c r="AD326" s="121">
        <v>-2260.0393399999998</v>
      </c>
      <c r="AE326" s="121">
        <v>-1771.288</v>
      </c>
      <c r="AF326" s="121">
        <v>-1282.53666</v>
      </c>
      <c r="AG326" s="121">
        <v>-793.78531999999996</v>
      </c>
      <c r="AH326" s="121">
        <v>-4180.7538999999997</v>
      </c>
      <c r="AI326" s="121">
        <v>-3654.9155099999998</v>
      </c>
      <c r="AJ326" s="121">
        <v>-3129.0771199999999</v>
      </c>
      <c r="AK326" s="121">
        <v>-2603.23873</v>
      </c>
      <c r="AL326" s="121">
        <v>-2077.4003400000001</v>
      </c>
      <c r="AM326" s="121">
        <v>-1551.56195</v>
      </c>
      <c r="AN326" s="121">
        <v>-10446.86211</v>
      </c>
      <c r="AO326" s="121">
        <v>-8753.18037</v>
      </c>
      <c r="AP326" s="125" t="str">
        <f>CONCATENATE(A326,M326)</f>
        <v>GLA</v>
      </c>
      <c r="AQ326" s="125" t="str">
        <f>CONCATENATE(AP326,L326,H326)</f>
        <v>GLAA2</v>
      </c>
      <c r="AS326" s="125" t="str">
        <f>CONCATENATE(L326,H326,J326)</f>
        <v>A2</v>
      </c>
    </row>
    <row r="327" spans="1:45" s="125" customFormat="1" ht="25.5" customHeight="1">
      <c r="A327" s="216" t="s">
        <v>2493</v>
      </c>
      <c r="B327" s="217" t="str">
        <f t="shared" ref="B327:B368" si="126">CONCATENATE(A327,C327,D327,E327)</f>
        <v>GL243001</v>
      </c>
      <c r="C327" s="186">
        <v>243001</v>
      </c>
      <c r="D327" s="201"/>
      <c r="E327" s="162"/>
      <c r="F327" s="169" t="s">
        <v>2315</v>
      </c>
      <c r="G327" s="117"/>
      <c r="H327" s="118" t="s">
        <v>1180</v>
      </c>
      <c r="I327" s="119"/>
      <c r="J327" s="120"/>
      <c r="K327" s="120" t="str">
        <f t="shared" si="122"/>
        <v/>
      </c>
      <c r="L327" s="170" t="s">
        <v>2809</v>
      </c>
      <c r="M327" s="122" t="str">
        <f t="shared" si="125"/>
        <v>N</v>
      </c>
      <c r="N327" s="116" t="str">
        <f>IF($L327&lt;&gt;"",VLOOKUP($L327,Categories!$E:$G,2,FALSE),IF($F327&lt;&gt;"","NO CAT",""))</f>
        <v>Not in Rate Base</v>
      </c>
      <c r="O327" s="116" t="str">
        <f>IF($L327&lt;&gt;"",VLOOKUP($L327,Categories!$E:$G,3,FALSE),IF($F327&lt;&gt;"","NO CAT",""))</f>
        <v>Capital Leases   (offsetting)</v>
      </c>
      <c r="P327" s="170" t="s">
        <v>1186</v>
      </c>
      <c r="Q327" s="123" t="s">
        <v>1187</v>
      </c>
      <c r="R327" s="124">
        <v>0</v>
      </c>
      <c r="S327" s="124">
        <v>0</v>
      </c>
      <c r="T327" s="124">
        <v>1</v>
      </c>
      <c r="U327" s="121">
        <f t="shared" si="107"/>
        <v>0</v>
      </c>
      <c r="V327" s="121">
        <f t="shared" si="108"/>
        <v>0</v>
      </c>
      <c r="W327" s="121">
        <f t="shared" si="109"/>
        <v>-352.34739000000002</v>
      </c>
      <c r="X327" s="121">
        <f t="shared" si="123"/>
        <v>-352.34739000000002</v>
      </c>
      <c r="Y327" s="121">
        <f t="shared" si="110"/>
        <v>0</v>
      </c>
      <c r="Z327" s="121">
        <f t="shared" si="111"/>
        <v>0</v>
      </c>
      <c r="AA327" s="121">
        <f t="shared" si="112"/>
        <v>-383.70803999999998</v>
      </c>
      <c r="AB327" s="121">
        <f t="shared" si="124"/>
        <v>-383.70803999999998</v>
      </c>
      <c r="AC327" s="121">
        <v>-333.53100000000001</v>
      </c>
      <c r="AD327" s="121">
        <v>-333.53100000000001</v>
      </c>
      <c r="AE327" s="121">
        <v>-333.53100000000001</v>
      </c>
      <c r="AF327" s="121">
        <v>-333.53100000000001</v>
      </c>
      <c r="AG327" s="121">
        <v>-333.53100000000001</v>
      </c>
      <c r="AH327" s="121">
        <v>-333.53100000000001</v>
      </c>
      <c r="AI327" s="121">
        <v>-333.53100000000001</v>
      </c>
      <c r="AJ327" s="121">
        <v>-333.53100000000001</v>
      </c>
      <c r="AK327" s="121">
        <v>-383.70803999999998</v>
      </c>
      <c r="AL327" s="121">
        <v>-383.70803999999998</v>
      </c>
      <c r="AM327" s="121">
        <v>-383.70803999999998</v>
      </c>
      <c r="AN327" s="121">
        <v>-383.70803999999998</v>
      </c>
      <c r="AO327" s="121">
        <v>-383.70803999999998</v>
      </c>
      <c r="AP327" s="125" t="str">
        <f>CONCATENATE(A327,M327)</f>
        <v>GLN</v>
      </c>
      <c r="AQ327" s="125" t="str">
        <f>CONCATENATE(AP327,L327,H327)</f>
        <v>GLNN4</v>
      </c>
      <c r="AS327" s="125" t="str">
        <f>CONCATENATE(L327,H327,J327)</f>
        <v>N4</v>
      </c>
    </row>
    <row r="328" spans="1:45" s="125" customFormat="1" ht="25.5" customHeight="1">
      <c r="A328" s="216" t="s">
        <v>2493</v>
      </c>
      <c r="B328" s="217" t="str">
        <f t="shared" si="126"/>
        <v>GL245401</v>
      </c>
      <c r="C328" s="186">
        <v>245401</v>
      </c>
      <c r="D328" s="201"/>
      <c r="E328" s="162"/>
      <c r="F328" s="169" t="s">
        <v>2316</v>
      </c>
      <c r="G328" s="117"/>
      <c r="H328" s="118" t="s">
        <v>2860</v>
      </c>
      <c r="I328" s="119"/>
      <c r="J328" s="120"/>
      <c r="K328" s="120" t="str">
        <f t="shared" si="122"/>
        <v/>
      </c>
      <c r="L328" s="170" t="s">
        <v>2811</v>
      </c>
      <c r="M328" s="122" t="str">
        <f t="shared" si="125"/>
        <v>N</v>
      </c>
      <c r="N328" s="116" t="str">
        <f>IF($L328&lt;&gt;"",VLOOKUP($L328,Categories!$E:$G,2,FALSE),IF($F328&lt;&gt;"","NO CAT",""))</f>
        <v>Not in Rate Base</v>
      </c>
      <c r="O328" s="116" t="str">
        <f>IF($L328&lt;&gt;"",VLOOKUP($L328,Categories!$E:$G,3,FALSE),IF($F328&lt;&gt;"","NO CAT",""))</f>
        <v>Hedges &amp; OCI</v>
      </c>
      <c r="P328" s="170" t="s">
        <v>1186</v>
      </c>
      <c r="Q328" s="123" t="s">
        <v>1187</v>
      </c>
      <c r="R328" s="124">
        <v>0</v>
      </c>
      <c r="S328" s="124">
        <v>0</v>
      </c>
      <c r="T328" s="124">
        <v>1</v>
      </c>
      <c r="U328" s="121">
        <f t="shared" si="107"/>
        <v>0</v>
      </c>
      <c r="V328" s="121">
        <f t="shared" si="108"/>
        <v>0</v>
      </c>
      <c r="W328" s="121">
        <f t="shared" si="109"/>
        <v>-1513.52390541667</v>
      </c>
      <c r="X328" s="121">
        <f t="shared" si="123"/>
        <v>-1513.52390541667</v>
      </c>
      <c r="Y328" s="121">
        <f t="shared" si="110"/>
        <v>0</v>
      </c>
      <c r="Z328" s="121">
        <f t="shared" si="111"/>
        <v>0</v>
      </c>
      <c r="AA328" s="121">
        <f t="shared" si="112"/>
        <v>-19585.944469999999</v>
      </c>
      <c r="AB328" s="121">
        <f t="shared" si="124"/>
        <v>-19585.944469999999</v>
      </c>
      <c r="AC328" s="121">
        <v>-238.45770000000002</v>
      </c>
      <c r="AD328" s="121">
        <v>-420.08465000000001</v>
      </c>
      <c r="AE328" s="121">
        <v>-270.85709000000003</v>
      </c>
      <c r="AF328" s="121">
        <v>-327.42909000000003</v>
      </c>
      <c r="AG328" s="121">
        <v>-324.13807000000003</v>
      </c>
      <c r="AH328" s="121">
        <v>-328.56526000000002</v>
      </c>
      <c r="AI328" s="121">
        <v>-197.72908999999999</v>
      </c>
      <c r="AJ328" s="121">
        <v>-981.61353000000008</v>
      </c>
      <c r="AK328" s="121">
        <v>-700.74451999999997</v>
      </c>
      <c r="AL328" s="121">
        <v>-970.49005</v>
      </c>
      <c r="AM328" s="121">
        <v>-1784.53576</v>
      </c>
      <c r="AN328" s="121">
        <v>-1943.89867</v>
      </c>
      <c r="AO328" s="121">
        <v>-19585.944469999999</v>
      </c>
      <c r="AP328" s="125" t="str">
        <f>CONCATENATE(A328,M328)</f>
        <v>GLN</v>
      </c>
      <c r="AQ328" s="125" t="str">
        <f>CONCATENATE(AP328,L328,H328)</f>
        <v>GLNN5Hedges &amp; OCI</v>
      </c>
      <c r="AS328" s="125" t="str">
        <f>CONCATENATE(L328,H328,J328)</f>
        <v>N5Hedges &amp; OCI</v>
      </c>
    </row>
    <row r="329" spans="1:45" s="125" customFormat="1" ht="25.5" customHeight="1">
      <c r="A329" s="216" t="s">
        <v>2493</v>
      </c>
      <c r="B329" s="217" t="str">
        <f t="shared" si="126"/>
        <v>GL245992</v>
      </c>
      <c r="C329" s="186">
        <v>245992</v>
      </c>
      <c r="D329" s="201"/>
      <c r="E329" s="162"/>
      <c r="F329" s="169" t="s">
        <v>6</v>
      </c>
      <c r="G329" s="117"/>
      <c r="H329" s="118" t="s">
        <v>2860</v>
      </c>
      <c r="I329" s="119"/>
      <c r="J329" s="120"/>
      <c r="K329" s="120" t="str">
        <f>IF(L329="N3","SFAS-109","")</f>
        <v/>
      </c>
      <c r="L329" s="170" t="s">
        <v>2811</v>
      </c>
      <c r="M329" s="122" t="str">
        <f t="shared" si="125"/>
        <v>N</v>
      </c>
      <c r="N329" s="116" t="str">
        <f>IF($L329&lt;&gt;"",VLOOKUP($L329,Categories!$E:$G,2,FALSE),IF($F329&lt;&gt;"","NO CAT",""))</f>
        <v>Not in Rate Base</v>
      </c>
      <c r="O329" s="116" t="str">
        <f>IF($L329&lt;&gt;"",VLOOKUP($L329,Categories!$E:$G,3,FALSE),IF($F329&lt;&gt;"","NO CAT",""))</f>
        <v>Hedges &amp; OCI</v>
      </c>
      <c r="P329" s="170" t="s">
        <v>1186</v>
      </c>
      <c r="Q329" s="123" t="s">
        <v>1187</v>
      </c>
      <c r="R329" s="124">
        <v>0</v>
      </c>
      <c r="S329" s="124">
        <v>0</v>
      </c>
      <c r="T329" s="124">
        <v>1</v>
      </c>
      <c r="U329" s="121">
        <f t="shared" ref="U329:U377" si="127">IF(ABS(X329)=0,"",IF($R329="NO ALLOC","NO ALLOC",ROUND($R329*X329,15)))</f>
        <v>0</v>
      </c>
      <c r="V329" s="121">
        <f t="shared" ref="V329:V377" si="128">IF(ABS(X329)=0,"",IF($S329="NO ALLOC","NO ALLOC",ROUND($S329*X329,15)))</f>
        <v>0</v>
      </c>
      <c r="W329" s="121">
        <f t="shared" ref="W329:W377" si="129">IF(ABS(X329)=0,"",IF($T329="NO ALLOC","NO ALLOC",ROUND($T329*X329,15)))</f>
        <v>-1616.9749999999999</v>
      </c>
      <c r="X329" s="121">
        <f t="shared" si="123"/>
        <v>-1616.9749999999999</v>
      </c>
      <c r="Y329" s="121">
        <f t="shared" ref="Y329:Y377" si="130">IF(ABS(AB329)=0,"",IF($R329="NO ALLOC","NO ALLOC",ROUND($R329*AB329,15)))</f>
        <v>0</v>
      </c>
      <c r="Z329" s="121">
        <f t="shared" ref="Z329:Z377" si="131">IF(ABS(AB329)=0,"",IF($S329="NO ALLOC","NO ALLOC",ROUND($S329*AB329,15)))</f>
        <v>0</v>
      </c>
      <c r="AA329" s="121">
        <f t="shared" ref="AA329:AA377" si="132">IF(ABS(AB329)=0,"",IF($T329="NO ALLOC","NO ALLOC",ROUND($T329*AB329,15)))</f>
        <v>-6069.902</v>
      </c>
      <c r="AB329" s="121">
        <f t="shared" si="124"/>
        <v>-6069.902</v>
      </c>
      <c r="AC329" s="121">
        <v>-796.28</v>
      </c>
      <c r="AD329" s="121">
        <v>-1088.7260000000001</v>
      </c>
      <c r="AE329" s="121">
        <v>-3400.1550000000002</v>
      </c>
      <c r="AF329" s="121">
        <v>0</v>
      </c>
      <c r="AG329" s="121">
        <v>0</v>
      </c>
      <c r="AH329" s="121">
        <v>0</v>
      </c>
      <c r="AI329" s="121">
        <v>-237.3175</v>
      </c>
      <c r="AJ329" s="121">
        <v>-5991.3029999999999</v>
      </c>
      <c r="AK329" s="121">
        <v>-3581.9459999999999</v>
      </c>
      <c r="AL329" s="121">
        <v>-1521.3575000000001</v>
      </c>
      <c r="AM329" s="121">
        <v>-119.874</v>
      </c>
      <c r="AN329" s="121">
        <v>-29.93</v>
      </c>
      <c r="AO329" s="121">
        <v>-6069.902</v>
      </c>
      <c r="AP329" s="125" t="str">
        <f>CONCATENATE(A329,M329)</f>
        <v>GLN</v>
      </c>
      <c r="AQ329" s="125" t="str">
        <f>CONCATENATE(AP329,L329,H329)</f>
        <v>GLNN5Hedges &amp; OCI</v>
      </c>
      <c r="AS329" s="125" t="str">
        <f>CONCATENATE(L329,H329,J329)</f>
        <v>N5Hedges &amp; OCI</v>
      </c>
    </row>
    <row r="330" spans="1:45" s="125" customFormat="1" ht="25.5" customHeight="1">
      <c r="A330" s="216" t="s">
        <v>2493</v>
      </c>
      <c r="B330" s="217" t="str">
        <f t="shared" si="126"/>
        <v>GL252000</v>
      </c>
      <c r="C330" s="186">
        <v>252000</v>
      </c>
      <c r="D330" s="201"/>
      <c r="E330" s="162"/>
      <c r="F330" s="169" t="s">
        <v>2650</v>
      </c>
      <c r="G330" s="117"/>
      <c r="H330" s="118" t="s">
        <v>1180</v>
      </c>
      <c r="I330" s="119"/>
      <c r="J330" s="120"/>
      <c r="K330" s="120" t="str">
        <f t="shared" si="122"/>
        <v/>
      </c>
      <c r="L330" s="170" t="s">
        <v>950</v>
      </c>
      <c r="M330" s="122" t="str">
        <f t="shared" si="125"/>
        <v>R</v>
      </c>
      <c r="N330" s="116" t="str">
        <f>IF($L330&lt;&gt;"",VLOOKUP($L330,Categories!$E:$G,2,FALSE),IF($F330&lt;&gt;"","NO CAT",""))</f>
        <v>Rate Base</v>
      </c>
      <c r="O330" s="116" t="str">
        <f>IF($L330&lt;&gt;"",VLOOKUP($L330,Categories!$E:$G,3,FALSE),IF($F330&lt;&gt;"","NO CAT",""))</f>
        <v>Non-Int Bearing Cust Advances</v>
      </c>
      <c r="P330" s="170" t="s">
        <v>1188</v>
      </c>
      <c r="Q330" s="123" t="s">
        <v>1843</v>
      </c>
      <c r="R330" s="124">
        <v>0.76071990262269951</v>
      </c>
      <c r="S330" s="124">
        <v>0.23928009737730072</v>
      </c>
      <c r="T330" s="124">
        <v>0</v>
      </c>
      <c r="U330" s="121">
        <f t="shared" si="127"/>
        <v>-1100.0996024072299</v>
      </c>
      <c r="V330" s="121">
        <f t="shared" si="128"/>
        <v>-346.03004217609998</v>
      </c>
      <c r="W330" s="121">
        <f t="shared" si="129"/>
        <v>0</v>
      </c>
      <c r="X330" s="121">
        <f t="shared" si="123"/>
        <v>-1446.12964458333</v>
      </c>
      <c r="Y330" s="121">
        <f t="shared" si="130"/>
        <v>-1137.2996998083299</v>
      </c>
      <c r="Z330" s="121">
        <f t="shared" si="131"/>
        <v>-357.73112019166598</v>
      </c>
      <c r="AA330" s="121">
        <f t="shared" si="132"/>
        <v>0</v>
      </c>
      <c r="AB330" s="121">
        <f t="shared" si="124"/>
        <v>-1495.0308200000002</v>
      </c>
      <c r="AC330" s="121">
        <v>-1586.61277</v>
      </c>
      <c r="AD330" s="121">
        <v>-1398.69705</v>
      </c>
      <c r="AE330" s="121">
        <v>-1309.85257</v>
      </c>
      <c r="AF330" s="121">
        <v>-1211.75128</v>
      </c>
      <c r="AG330" s="121">
        <v>-1248.2418899999998</v>
      </c>
      <c r="AH330" s="121">
        <v>-1483.7414899999999</v>
      </c>
      <c r="AI330" s="121">
        <v>-1414.40852</v>
      </c>
      <c r="AJ330" s="121">
        <v>-1349.22036</v>
      </c>
      <c r="AK330" s="121">
        <v>-1411.2447099999999</v>
      </c>
      <c r="AL330" s="121">
        <v>-1369.1430800000001</v>
      </c>
      <c r="AM330" s="121">
        <v>-1792.92292</v>
      </c>
      <c r="AN330" s="121">
        <v>-1823.51007</v>
      </c>
      <c r="AO330" s="121">
        <v>-1495.0308200000002</v>
      </c>
      <c r="AP330" s="125" t="str">
        <f>CONCATENATE(A330,M330)</f>
        <v>GLR</v>
      </c>
      <c r="AQ330" s="125" t="str">
        <f>CONCATENATE(AP330,L330,H330)</f>
        <v>GLRR9</v>
      </c>
      <c r="AS330" s="125" t="str">
        <f>CONCATENATE(L330,H330,J330)</f>
        <v>R9</v>
      </c>
    </row>
    <row r="331" spans="1:45" s="125" customFormat="1" ht="25.5" customHeight="1">
      <c r="A331" s="216" t="s">
        <v>2493</v>
      </c>
      <c r="B331" s="217" t="str">
        <f t="shared" si="126"/>
        <v>GL253006</v>
      </c>
      <c r="C331" s="186">
        <v>253006</v>
      </c>
      <c r="D331" s="201"/>
      <c r="E331" s="162"/>
      <c r="F331" s="169" t="s">
        <v>2651</v>
      </c>
      <c r="G331" s="117"/>
      <c r="H331" s="118" t="s">
        <v>1059</v>
      </c>
      <c r="I331" s="119"/>
      <c r="J331" s="120"/>
      <c r="K331" s="120" t="str">
        <f t="shared" si="122"/>
        <v/>
      </c>
      <c r="L331" s="170" t="s">
        <v>1419</v>
      </c>
      <c r="M331" s="122" t="str">
        <f t="shared" si="125"/>
        <v>A</v>
      </c>
      <c r="N331" s="116" t="str">
        <f>IF($L331&lt;&gt;"",VLOOKUP($L331,Categories!$E:$G,2,FALSE),IF($F331&lt;&gt;"","NO CAT",""))</f>
        <v>All Other</v>
      </c>
      <c r="O331" s="116" t="str">
        <f>IF($L331&lt;&gt;"",VLOOKUP($L331,Categories!$E:$G,3,FALSE),IF($F331&lt;&gt;"","NO CAT",""))</f>
        <v>EB-Cap</v>
      </c>
      <c r="P331" s="170" t="s">
        <v>1557</v>
      </c>
      <c r="Q331" s="123" t="s">
        <v>1891</v>
      </c>
      <c r="R331" s="124">
        <v>0.77544352505021785</v>
      </c>
      <c r="S331" s="124">
        <v>0.22455647494978223</v>
      </c>
      <c r="T331" s="124">
        <v>0</v>
      </c>
      <c r="U331" s="121">
        <f t="shared" si="127"/>
        <v>-838.949880287307</v>
      </c>
      <c r="V331" s="121">
        <f t="shared" si="128"/>
        <v>-242.946935129363</v>
      </c>
      <c r="W331" s="121">
        <f t="shared" si="129"/>
        <v>0</v>
      </c>
      <c r="X331" s="121">
        <f t="shared" si="123"/>
        <v>-1081.8968154166701</v>
      </c>
      <c r="Y331" s="121" t="str">
        <f t="shared" si="130"/>
        <v/>
      </c>
      <c r="Z331" s="121" t="str">
        <f t="shared" si="131"/>
        <v/>
      </c>
      <c r="AA331" s="121" t="str">
        <f t="shared" si="132"/>
        <v/>
      </c>
      <c r="AB331" s="121">
        <f t="shared" si="124"/>
        <v>0</v>
      </c>
      <c r="AC331" s="121">
        <v>-1858.8726499999998</v>
      </c>
      <c r="AD331" s="121">
        <v>-1718.0992099999999</v>
      </c>
      <c r="AE331" s="121">
        <v>-1917.6627599999999</v>
      </c>
      <c r="AF331" s="121">
        <v>-2392.5543600000001</v>
      </c>
      <c r="AG331" s="121">
        <v>-1894.1588400000001</v>
      </c>
      <c r="AH331" s="121">
        <v>-1775.5943400000001</v>
      </c>
      <c r="AI331" s="121">
        <v>-638.37846999999999</v>
      </c>
      <c r="AJ331" s="121">
        <v>-499.40825000000001</v>
      </c>
      <c r="AK331" s="121">
        <v>-445.27996999999999</v>
      </c>
      <c r="AL331" s="121">
        <v>-772.18925999999999</v>
      </c>
      <c r="AM331" s="121">
        <v>0</v>
      </c>
      <c r="AN331" s="121">
        <v>0</v>
      </c>
      <c r="AO331" s="121">
        <v>0</v>
      </c>
      <c r="AP331" s="125" t="str">
        <f>CONCATENATE(A331,M331)</f>
        <v>GLA</v>
      </c>
      <c r="AQ331" s="125" t="str">
        <f>CONCATENATE(AP331,L331,H331)</f>
        <v>GLAA2Customer Deposits</v>
      </c>
      <c r="AS331" s="125" t="str">
        <f>CONCATENATE(L331,H331,J331)</f>
        <v>A2Customer Deposits</v>
      </c>
    </row>
    <row r="332" spans="1:45" s="125" customFormat="1" ht="25.5" customHeight="1">
      <c r="A332" s="216" t="s">
        <v>2493</v>
      </c>
      <c r="B332" s="217" t="str">
        <f>CONCATENATE(A332,C332,D332,E332)</f>
        <v>GL253007</v>
      </c>
      <c r="C332" s="186">
        <v>253007</v>
      </c>
      <c r="D332" s="201"/>
      <c r="E332" s="162"/>
      <c r="F332" s="169" t="s">
        <v>4526</v>
      </c>
      <c r="G332" s="117"/>
      <c r="H332" s="118">
        <v>0</v>
      </c>
      <c r="I332" s="119"/>
      <c r="J332" s="120"/>
      <c r="K332" s="120" t="str">
        <f>IF(L332="N3","SFAS-109","")</f>
        <v/>
      </c>
      <c r="L332" s="170" t="s">
        <v>1419</v>
      </c>
      <c r="M332" s="122" t="str">
        <f>LEFT(L332,1)</f>
        <v>A</v>
      </c>
      <c r="N332" s="116" t="str">
        <f>IF($L332&lt;&gt;"",VLOOKUP($L332,Categories!$E:$G,2,FALSE),IF($F332&lt;&gt;"","NO CAT",""))</f>
        <v>All Other</v>
      </c>
      <c r="O332" s="116" t="str">
        <f>IF($L332&lt;&gt;"",VLOOKUP($L332,Categories!$E:$G,3,FALSE),IF($F332&lt;&gt;"","NO CAT",""))</f>
        <v>EB-Cap</v>
      </c>
      <c r="P332" s="170" t="s">
        <v>1557</v>
      </c>
      <c r="Q332" s="123" t="s">
        <v>1891</v>
      </c>
      <c r="R332" s="124">
        <v>0.77544352505021785</v>
      </c>
      <c r="S332" s="124">
        <v>0.22455647494978223</v>
      </c>
      <c r="T332" s="124">
        <v>0</v>
      </c>
      <c r="U332" s="121">
        <f>IF(ABS(X332)=0,"",IF($R332="NO ALLOC","NO ALLOC",ROUND($R332*X332,15)))</f>
        <v>-853.94207599857998</v>
      </c>
      <c r="V332" s="121">
        <f>IF(ABS(X332)=0,"",IF($S332="NO ALLOC","NO ALLOC",ROUND($S332*X332,15)))</f>
        <v>-247.28844358475001</v>
      </c>
      <c r="W332" s="121">
        <f>IF(ABS(X332)=0,"",IF($T332="NO ALLOC","NO ALLOC",ROUND($T332*X332,15)))</f>
        <v>0</v>
      </c>
      <c r="X332" s="121">
        <f t="shared" si="123"/>
        <v>-1101.2305195833301</v>
      </c>
      <c r="Y332" s="121">
        <f>IF(ABS(AB332)=0,"",IF($R332="NO ALLOC","NO ALLOC",ROUND($R332*AB332,15)))</f>
        <v>-923.74519937943603</v>
      </c>
      <c r="Z332" s="121">
        <f>IF(ABS(AB332)=0,"",IF($S332="NO ALLOC","NO ALLOC",ROUND($S332*AB332,15)))</f>
        <v>-267.50235062056402</v>
      </c>
      <c r="AA332" s="121">
        <f>IF(ABS(AB332)=0,"",IF($T332="NO ALLOC","NO ALLOC",ROUND($T332*AB332,15)))</f>
        <v>0</v>
      </c>
      <c r="AB332" s="121">
        <f t="shared" si="124"/>
        <v>-1191.24755</v>
      </c>
      <c r="AC332" s="121">
        <v>-1657.1393400000002</v>
      </c>
      <c r="AD332" s="121">
        <v>-972.2266800000001</v>
      </c>
      <c r="AE332" s="121">
        <v>-981.07668000000001</v>
      </c>
      <c r="AF332" s="121">
        <v>-1072.1266799999999</v>
      </c>
      <c r="AG332" s="121">
        <v>-1072.8266799999999</v>
      </c>
      <c r="AH332" s="121">
        <v>-1072.8266799999999</v>
      </c>
      <c r="AI332" s="121">
        <v>-1075.2766799999999</v>
      </c>
      <c r="AJ332" s="121">
        <v>-1030.3433399999999</v>
      </c>
      <c r="AK332" s="121">
        <v>-1029.26972</v>
      </c>
      <c r="AL332" s="121">
        <v>-1168.1197199999999</v>
      </c>
      <c r="AM332" s="121">
        <v>-1125.2323799999999</v>
      </c>
      <c r="AN332" s="121">
        <v>-1191.24755</v>
      </c>
      <c r="AO332" s="121">
        <v>-1191.24755</v>
      </c>
      <c r="AP332" s="125" t="str">
        <f>CONCATENATE(A332,M332)</f>
        <v>GLA</v>
      </c>
      <c r="AQ332" s="125" t="str">
        <f>CONCATENATE(AP332,L332,H332)</f>
        <v>GLAA20</v>
      </c>
      <c r="AS332" s="125" t="str">
        <f>CONCATENATE(L332,H332,J332)</f>
        <v>A20</v>
      </c>
    </row>
    <row r="333" spans="1:45" s="125" customFormat="1" ht="25.5" customHeight="1">
      <c r="A333" s="216" t="s">
        <v>2493</v>
      </c>
      <c r="B333" s="217" t="str">
        <f t="shared" si="126"/>
        <v>GL253040</v>
      </c>
      <c r="C333" s="186">
        <v>253040</v>
      </c>
      <c r="D333" s="201"/>
      <c r="E333" s="162"/>
      <c r="F333" s="169" t="s">
        <v>356</v>
      </c>
      <c r="G333" s="117"/>
      <c r="H333" s="118" t="s">
        <v>1180</v>
      </c>
      <c r="I333" s="119"/>
      <c r="J333" s="120"/>
      <c r="K333" s="120" t="str">
        <f t="shared" si="122"/>
        <v/>
      </c>
      <c r="L333" s="170" t="s">
        <v>1419</v>
      </c>
      <c r="M333" s="122" t="str">
        <f t="shared" si="125"/>
        <v>A</v>
      </c>
      <c r="N333" s="116" t="str">
        <f>IF($L333&lt;&gt;"",VLOOKUP($L333,Categories!$E:$G,2,FALSE),IF($F333&lt;&gt;"","NO CAT",""))</f>
        <v>All Other</v>
      </c>
      <c r="O333" s="116" t="str">
        <f>IF($L333&lt;&gt;"",VLOOKUP($L333,Categories!$E:$G,3,FALSE),IF($F333&lt;&gt;"","NO CAT",""))</f>
        <v>EB-Cap</v>
      </c>
      <c r="P333" s="170" t="s">
        <v>1557</v>
      </c>
      <c r="Q333" s="123" t="s">
        <v>1891</v>
      </c>
      <c r="R333" s="124">
        <v>0.77544352505021785</v>
      </c>
      <c r="S333" s="124">
        <v>0.22455647494978223</v>
      </c>
      <c r="T333" s="124">
        <v>0</v>
      </c>
      <c r="U333" s="121">
        <f t="shared" si="127"/>
        <v>-1976.53139615073</v>
      </c>
      <c r="V333" s="121">
        <f t="shared" si="128"/>
        <v>-572.372982182599</v>
      </c>
      <c r="W333" s="121">
        <f t="shared" si="129"/>
        <v>0</v>
      </c>
      <c r="X333" s="121">
        <f t="shared" si="123"/>
        <v>-2548.90437833333</v>
      </c>
      <c r="Y333" s="121">
        <f t="shared" si="130"/>
        <v>-789.36577606348703</v>
      </c>
      <c r="Z333" s="121">
        <f t="shared" si="131"/>
        <v>-228.58814393651301</v>
      </c>
      <c r="AA333" s="121">
        <f t="shared" si="132"/>
        <v>0</v>
      </c>
      <c r="AB333" s="121">
        <f t="shared" si="124"/>
        <v>-1017.95392</v>
      </c>
      <c r="AC333" s="121">
        <v>-2577.5261800000003</v>
      </c>
      <c r="AD333" s="121">
        <v>-3242.1218599999997</v>
      </c>
      <c r="AE333" s="121">
        <v>-3241.1531600000003</v>
      </c>
      <c r="AF333" s="121">
        <v>-3226.2801099999997</v>
      </c>
      <c r="AG333" s="121">
        <v>-2405.3672900000001</v>
      </c>
      <c r="AH333" s="121">
        <v>-2775.6574100000003</v>
      </c>
      <c r="AI333" s="121">
        <v>-2394.2038900000002</v>
      </c>
      <c r="AJ333" s="121">
        <v>-2634.8136300000001</v>
      </c>
      <c r="AK333" s="121">
        <v>-2439.7275499999996</v>
      </c>
      <c r="AL333" s="121">
        <v>-2187.70516</v>
      </c>
      <c r="AM333" s="121">
        <v>-2188.8065200000001</v>
      </c>
      <c r="AN333" s="121">
        <v>-2053.2759099999998</v>
      </c>
      <c r="AO333" s="121">
        <v>-1017.95392</v>
      </c>
      <c r="AP333" s="125" t="str">
        <f>CONCATENATE(A333,M333)</f>
        <v>GLA</v>
      </c>
      <c r="AQ333" s="125" t="str">
        <f>CONCATENATE(AP333,L333,H333)</f>
        <v>GLAA2</v>
      </c>
      <c r="AS333" s="125" t="str">
        <f>CONCATENATE(L333,H333,J333)</f>
        <v>A2</v>
      </c>
    </row>
    <row r="334" spans="1:45" s="125" customFormat="1" ht="25.5" customHeight="1">
      <c r="A334" s="216" t="s">
        <v>2493</v>
      </c>
      <c r="B334" s="217" t="str">
        <f t="shared" si="126"/>
        <v>GL253042</v>
      </c>
      <c r="C334" s="186">
        <v>253042</v>
      </c>
      <c r="D334" s="201"/>
      <c r="E334" s="162"/>
      <c r="F334" s="169" t="s">
        <v>9</v>
      </c>
      <c r="G334" s="117"/>
      <c r="H334" s="118" t="s">
        <v>387</v>
      </c>
      <c r="I334" s="119"/>
      <c r="J334" s="120"/>
      <c r="K334" s="120" t="str">
        <f t="shared" si="122"/>
        <v/>
      </c>
      <c r="L334" s="170" t="s">
        <v>1419</v>
      </c>
      <c r="M334" s="122" t="str">
        <f t="shared" si="125"/>
        <v>A</v>
      </c>
      <c r="N334" s="116" t="str">
        <f>IF($L334&lt;&gt;"",VLOOKUP($L334,Categories!$E:$G,2,FALSE),IF($F334&lt;&gt;"","NO CAT",""))</f>
        <v>All Other</v>
      </c>
      <c r="O334" s="116" t="str">
        <f>IF($L334&lt;&gt;"",VLOOKUP($L334,Categories!$E:$G,3,FALSE),IF($F334&lt;&gt;"","NO CAT",""))</f>
        <v>EB-Cap</v>
      </c>
      <c r="P334" s="170" t="s">
        <v>1557</v>
      </c>
      <c r="Q334" s="123" t="s">
        <v>1891</v>
      </c>
      <c r="R334" s="124">
        <v>0.77544352505021785</v>
      </c>
      <c r="S334" s="124">
        <v>0.22455647494978223</v>
      </c>
      <c r="T334" s="124">
        <v>0</v>
      </c>
      <c r="U334" s="121" t="str">
        <f t="shared" si="127"/>
        <v/>
      </c>
      <c r="V334" s="121" t="str">
        <f t="shared" si="128"/>
        <v/>
      </c>
      <c r="W334" s="121" t="str">
        <f t="shared" si="129"/>
        <v/>
      </c>
      <c r="X334" s="121">
        <f t="shared" si="123"/>
        <v>0</v>
      </c>
      <c r="Y334" s="121" t="str">
        <f t="shared" si="130"/>
        <v/>
      </c>
      <c r="Z334" s="121" t="str">
        <f t="shared" si="131"/>
        <v/>
      </c>
      <c r="AA334" s="121" t="str">
        <f t="shared" si="132"/>
        <v/>
      </c>
      <c r="AB334" s="121">
        <f t="shared" si="124"/>
        <v>0</v>
      </c>
      <c r="AC334" s="121">
        <v>0</v>
      </c>
      <c r="AD334" s="121">
        <v>0</v>
      </c>
      <c r="AE334" s="121">
        <v>0</v>
      </c>
      <c r="AF334" s="121">
        <v>0</v>
      </c>
      <c r="AG334" s="121">
        <v>0</v>
      </c>
      <c r="AH334" s="121">
        <v>0</v>
      </c>
      <c r="AI334" s="121">
        <v>0</v>
      </c>
      <c r="AJ334" s="121">
        <v>0</v>
      </c>
      <c r="AK334" s="121">
        <v>0</v>
      </c>
      <c r="AL334" s="121">
        <v>0</v>
      </c>
      <c r="AM334" s="121">
        <v>0</v>
      </c>
      <c r="AN334" s="121">
        <v>0</v>
      </c>
      <c r="AO334" s="121">
        <v>0</v>
      </c>
      <c r="AP334" s="125" t="str">
        <f>CONCATENATE(A334,M334)</f>
        <v>GLA</v>
      </c>
      <c r="AQ334" s="125" t="str">
        <f>CONCATENATE(AP334,L334,H334)</f>
        <v>GLAA2Revenue Enhancement Warranty</v>
      </c>
      <c r="AS334" s="125" t="str">
        <f>CONCATENATE(L334,H334,J334)</f>
        <v>A2Revenue Enhancement Warranty</v>
      </c>
    </row>
    <row r="335" spans="1:45" s="125" customFormat="1" ht="25.5" customHeight="1">
      <c r="A335" s="216" t="s">
        <v>2493</v>
      </c>
      <c r="B335" s="217" t="str">
        <f t="shared" si="126"/>
        <v>GL253044</v>
      </c>
      <c r="C335" s="186">
        <v>253044</v>
      </c>
      <c r="D335" s="201"/>
      <c r="E335" s="162"/>
      <c r="F335" s="169" t="s">
        <v>1342</v>
      </c>
      <c r="G335" s="117"/>
      <c r="H335" s="118">
        <v>0</v>
      </c>
      <c r="I335" s="119"/>
      <c r="J335" s="120"/>
      <c r="K335" s="120" t="str">
        <f t="shared" si="122"/>
        <v/>
      </c>
      <c r="L335" s="170" t="s">
        <v>1419</v>
      </c>
      <c r="M335" s="122" t="str">
        <f t="shared" si="125"/>
        <v>A</v>
      </c>
      <c r="N335" s="116" t="str">
        <f>IF($L335&lt;&gt;"",VLOOKUP($L335,Categories!$E:$G,2,FALSE),IF($F335&lt;&gt;"","NO CAT",""))</f>
        <v>All Other</v>
      </c>
      <c r="O335" s="116" t="str">
        <f>IF($L335&lt;&gt;"",VLOOKUP($L335,Categories!$E:$G,3,FALSE),IF($F335&lt;&gt;"","NO CAT",""))</f>
        <v>EB-Cap</v>
      </c>
      <c r="P335" s="170" t="s">
        <v>1557</v>
      </c>
      <c r="Q335" s="123" t="s">
        <v>1891</v>
      </c>
      <c r="R335" s="124">
        <v>0.77544352505021785</v>
      </c>
      <c r="S335" s="124">
        <v>0.22455647494978223</v>
      </c>
      <c r="T335" s="124">
        <v>0</v>
      </c>
      <c r="U335" s="121">
        <f t="shared" si="127"/>
        <v>-299.59312965063299</v>
      </c>
      <c r="V335" s="121">
        <f t="shared" si="128"/>
        <v>-86.757545766034198</v>
      </c>
      <c r="W335" s="121">
        <f t="shared" si="129"/>
        <v>0</v>
      </c>
      <c r="X335" s="121">
        <f t="shared" si="123"/>
        <v>-386.350675416667</v>
      </c>
      <c r="Y335" s="121">
        <f t="shared" si="130"/>
        <v>-282.347083101186</v>
      </c>
      <c r="Z335" s="121">
        <f t="shared" si="131"/>
        <v>-81.763356898814195</v>
      </c>
      <c r="AA335" s="121">
        <f t="shared" si="132"/>
        <v>0</v>
      </c>
      <c r="AB335" s="121">
        <f t="shared" si="124"/>
        <v>-364.11043999999998</v>
      </c>
      <c r="AC335" s="121">
        <v>-395.12707</v>
      </c>
      <c r="AD335" s="121">
        <v>-395.12707</v>
      </c>
      <c r="AE335" s="121">
        <v>-395.12707</v>
      </c>
      <c r="AF335" s="121">
        <v>-391.43324000000001</v>
      </c>
      <c r="AG335" s="121">
        <v>-391.18587000000002</v>
      </c>
      <c r="AH335" s="121">
        <v>-385.34903000000003</v>
      </c>
      <c r="AI335" s="121">
        <v>-385.59640000000002</v>
      </c>
      <c r="AJ335" s="121">
        <v>-385.59640000000002</v>
      </c>
      <c r="AK335" s="121">
        <v>-385.59640000000002</v>
      </c>
      <c r="AL335" s="121">
        <v>-385.59640000000002</v>
      </c>
      <c r="AM335" s="121">
        <v>-383.09798000000001</v>
      </c>
      <c r="AN335" s="121">
        <v>-372.88348999999999</v>
      </c>
      <c r="AO335" s="121">
        <v>-364.11043999999998</v>
      </c>
      <c r="AP335" s="125" t="str">
        <f>CONCATENATE(A335,M335)</f>
        <v>GLA</v>
      </c>
      <c r="AQ335" s="125" t="str">
        <f>CONCATENATE(AP335,L335,H335)</f>
        <v>GLAA20</v>
      </c>
      <c r="AS335" s="125" t="str">
        <f>CONCATENATE(L335,H335,J335)</f>
        <v>A20</v>
      </c>
    </row>
    <row r="336" spans="1:45" s="125" customFormat="1" ht="25.5" customHeight="1">
      <c r="A336" s="216" t="s">
        <v>2493</v>
      </c>
      <c r="B336" s="217" t="str">
        <f t="shared" si="126"/>
        <v>GL253092</v>
      </c>
      <c r="C336" s="186">
        <v>253092</v>
      </c>
      <c r="D336" s="201"/>
      <c r="E336" s="162"/>
      <c r="F336" s="169" t="s">
        <v>712</v>
      </c>
      <c r="G336" s="117"/>
      <c r="H336" s="118" t="s">
        <v>713</v>
      </c>
      <c r="I336" s="119"/>
      <c r="J336" s="120"/>
      <c r="K336" s="120" t="str">
        <f t="shared" si="122"/>
        <v/>
      </c>
      <c r="L336" s="170" t="s">
        <v>1893</v>
      </c>
      <c r="M336" s="122" t="str">
        <f t="shared" si="125"/>
        <v>R</v>
      </c>
      <c r="N336" s="116" t="str">
        <f>IF($L336&lt;&gt;"",VLOOKUP($L336,Categories!$E:$G,2,FALSE),IF($F336&lt;&gt;"","NO CAT",""))</f>
        <v>Rate Base</v>
      </c>
      <c r="O336" s="116" t="str">
        <f>IF($L336&lt;&gt;"",VLOOKUP($L336,Categories!$E:$G,3,FALSE),IF($F336&lt;&gt;"","NO CAT",""))</f>
        <v>Deferred Debits &amp; Credits</v>
      </c>
      <c r="P336" s="170" t="s">
        <v>1183</v>
      </c>
      <c r="Q336" s="123" t="s">
        <v>1177</v>
      </c>
      <c r="R336" s="124">
        <v>1</v>
      </c>
      <c r="S336" s="124">
        <v>0</v>
      </c>
      <c r="T336" s="124">
        <v>0</v>
      </c>
      <c r="U336" s="121">
        <f t="shared" si="127"/>
        <v>-11738.91034875</v>
      </c>
      <c r="V336" s="121">
        <f t="shared" si="128"/>
        <v>0</v>
      </c>
      <c r="W336" s="121">
        <f t="shared" si="129"/>
        <v>0</v>
      </c>
      <c r="X336" s="121">
        <f t="shared" si="123"/>
        <v>-11738.91034875</v>
      </c>
      <c r="Y336" s="121" t="str">
        <f t="shared" si="130"/>
        <v/>
      </c>
      <c r="Z336" s="121" t="str">
        <f t="shared" si="131"/>
        <v/>
      </c>
      <c r="AA336" s="121" t="str">
        <f t="shared" si="132"/>
        <v/>
      </c>
      <c r="AB336" s="121">
        <f t="shared" si="124"/>
        <v>0</v>
      </c>
      <c r="AC336" s="121">
        <v>-12450.25863</v>
      </c>
      <c r="AD336" s="121">
        <v>-12415.24272</v>
      </c>
      <c r="AE336" s="121">
        <v>-12380.22681</v>
      </c>
      <c r="AF336" s="121">
        <v>-12345.2109</v>
      </c>
      <c r="AG336" s="121">
        <v>-12310.19499</v>
      </c>
      <c r="AH336" s="121">
        <v>-12275.17908</v>
      </c>
      <c r="AI336" s="121">
        <v>-12240.16317</v>
      </c>
      <c r="AJ336" s="121">
        <v>-12205.14726</v>
      </c>
      <c r="AK336" s="121">
        <v>-12170.13135</v>
      </c>
      <c r="AL336" s="121">
        <v>-12135.11544</v>
      </c>
      <c r="AM336" s="121">
        <v>-12100.09953</v>
      </c>
      <c r="AN336" s="121">
        <v>-12065.083619999999</v>
      </c>
      <c r="AO336" s="121">
        <v>0</v>
      </c>
      <c r="AP336" s="125" t="str">
        <f>CONCATENATE(A336,M336)</f>
        <v>GLR</v>
      </c>
      <c r="AQ336" s="125" t="str">
        <f>CONCATENATE(AP336,L336,H336)</f>
        <v>GLRR10Marcy South</v>
      </c>
      <c r="AS336" s="125" t="str">
        <f>CONCATENATE(L336,H336,J336)</f>
        <v>R10Marcy South</v>
      </c>
    </row>
    <row r="337" spans="1:45" s="125" customFormat="1" ht="25.5" customHeight="1">
      <c r="A337" s="216" t="s">
        <v>2493</v>
      </c>
      <c r="B337" s="217" t="str">
        <f t="shared" si="126"/>
        <v>GL253230</v>
      </c>
      <c r="C337" s="186">
        <v>253230</v>
      </c>
      <c r="D337" s="201"/>
      <c r="E337" s="162"/>
      <c r="F337" s="169" t="s">
        <v>1928</v>
      </c>
      <c r="G337" s="117"/>
      <c r="H337" s="118" t="s">
        <v>791</v>
      </c>
      <c r="I337" s="119"/>
      <c r="J337" s="120"/>
      <c r="K337" s="120" t="str">
        <f t="shared" si="122"/>
        <v/>
      </c>
      <c r="L337" s="170" t="s">
        <v>928</v>
      </c>
      <c r="M337" s="122" t="str">
        <f t="shared" si="125"/>
        <v>N</v>
      </c>
      <c r="N337" s="116" t="str">
        <f>IF($L337&lt;&gt;"",VLOOKUP($L337,Categories!$E:$G,2,FALSE),IF($F337&lt;&gt;"","NO CAT",""))</f>
        <v>Not in Rate Base</v>
      </c>
      <c r="O337" s="116" t="str">
        <f>IF($L337&lt;&gt;"",VLOOKUP($L337,Categories!$E:$G,3,FALSE),IF($F337&lt;&gt;"","NO CAT",""))</f>
        <v>Direct Assign Items Not in RB</v>
      </c>
      <c r="P337" s="170" t="s">
        <v>1186</v>
      </c>
      <c r="Q337" s="123" t="s">
        <v>1187</v>
      </c>
      <c r="R337" s="124">
        <v>0</v>
      </c>
      <c r="S337" s="124">
        <v>0</v>
      </c>
      <c r="T337" s="124">
        <v>1</v>
      </c>
      <c r="U337" s="121">
        <f t="shared" si="127"/>
        <v>0</v>
      </c>
      <c r="V337" s="121">
        <f t="shared" si="128"/>
        <v>0</v>
      </c>
      <c r="W337" s="121">
        <f t="shared" si="129"/>
        <v>-3386.0786775000001</v>
      </c>
      <c r="X337" s="121">
        <f t="shared" si="123"/>
        <v>-3386.0786775000001</v>
      </c>
      <c r="Y337" s="121" t="str">
        <f t="shared" si="130"/>
        <v/>
      </c>
      <c r="Z337" s="121" t="str">
        <f t="shared" si="131"/>
        <v/>
      </c>
      <c r="AA337" s="121" t="str">
        <f t="shared" si="132"/>
        <v/>
      </c>
      <c r="AB337" s="121">
        <f t="shared" si="124"/>
        <v>0</v>
      </c>
      <c r="AC337" s="121">
        <v>-6392.2830000000004</v>
      </c>
      <c r="AD337" s="121">
        <v>-6416.826</v>
      </c>
      <c r="AE337" s="121">
        <v>-6336.0822699999999</v>
      </c>
      <c r="AF337" s="121">
        <v>-6210.8710300000002</v>
      </c>
      <c r="AG337" s="121">
        <v>-6235.4140299999999</v>
      </c>
      <c r="AH337" s="121">
        <v>-6106.5331500000002</v>
      </c>
      <c r="AI337" s="121">
        <v>-6131.0761500000008</v>
      </c>
      <c r="AJ337" s="121">
        <v>0</v>
      </c>
      <c r="AK337" s="121">
        <v>0</v>
      </c>
      <c r="AL337" s="121">
        <v>0</v>
      </c>
      <c r="AM337" s="121">
        <v>0</v>
      </c>
      <c r="AN337" s="121">
        <v>0</v>
      </c>
      <c r="AO337" s="121">
        <v>0</v>
      </c>
      <c r="AP337" s="125" t="str">
        <f>CONCATENATE(A337,M337)</f>
        <v>GLN</v>
      </c>
      <c r="AQ337" s="125" t="str">
        <f>CONCATENATE(AP337,L337,H337)</f>
        <v>GLNN2Non-Qualified Retiree Trust (net of related liability)</v>
      </c>
      <c r="AS337" s="125" t="str">
        <f>CONCATENATE(L337,H337,J337)</f>
        <v>N2Non-Qualified Retiree Trust (net of related liability)</v>
      </c>
    </row>
    <row r="338" spans="1:45" s="125" customFormat="1" ht="25.5" customHeight="1">
      <c r="A338" s="216" t="s">
        <v>2493</v>
      </c>
      <c r="B338" s="217" t="str">
        <f t="shared" si="126"/>
        <v>GL253237</v>
      </c>
      <c r="C338" s="186">
        <v>253237</v>
      </c>
      <c r="D338" s="201"/>
      <c r="E338" s="162"/>
      <c r="F338" s="169" t="s">
        <v>3112</v>
      </c>
      <c r="G338" s="117"/>
      <c r="H338" s="118" t="s">
        <v>3113</v>
      </c>
      <c r="I338" s="119"/>
      <c r="J338" s="120"/>
      <c r="K338" s="120" t="str">
        <f>IF(L338="N3","SFAS-109","")</f>
        <v/>
      </c>
      <c r="L338" s="170" t="s">
        <v>1419</v>
      </c>
      <c r="M338" s="122" t="str">
        <f>LEFT(L338,1)</f>
        <v>A</v>
      </c>
      <c r="N338" s="116" t="str">
        <f>IF($L338&lt;&gt;"",VLOOKUP($L338,Categories!$E:$G,2,FALSE),IF($F338&lt;&gt;"","NO CAT",""))</f>
        <v>All Other</v>
      </c>
      <c r="O338" s="116" t="str">
        <f>IF($L338&lt;&gt;"",VLOOKUP($L338,Categories!$E:$G,3,FALSE),IF($F338&lt;&gt;"","NO CAT",""))</f>
        <v>EB-Cap</v>
      </c>
      <c r="P338" s="170" t="s">
        <v>1557</v>
      </c>
      <c r="Q338" s="123" t="s">
        <v>1891</v>
      </c>
      <c r="R338" s="124">
        <v>0.77544352505021785</v>
      </c>
      <c r="S338" s="124">
        <v>0.22455647494978223</v>
      </c>
      <c r="T338" s="124">
        <v>0</v>
      </c>
      <c r="U338" s="121">
        <f>IF(ABS(X338)=0,"",IF($R338="NO ALLOC","NO ALLOC",ROUND($R338*X338,15)))</f>
        <v>-19.270083390415301</v>
      </c>
      <c r="V338" s="121">
        <f>IF(ABS(X338)=0,"",IF($S338="NO ALLOC","NO ALLOC",ROUND($S338*X338,15)))</f>
        <v>-5.5803186929180502</v>
      </c>
      <c r="W338" s="121">
        <f>IF(ABS(X338)=0,"",IF($T338="NO ALLOC","NO ALLOC",ROUND($T338*X338,15)))</f>
        <v>0</v>
      </c>
      <c r="X338" s="121">
        <f t="shared" si="123"/>
        <v>-24.8504020833333</v>
      </c>
      <c r="Y338" s="121">
        <f>IF(ABS(AB338)=0,"",IF($R338="NO ALLOC","NO ALLOC",ROUND($R338*AB338,15)))</f>
        <v>-22.9515774544363</v>
      </c>
      <c r="Z338" s="121">
        <f>IF(ABS(AB338)=0,"",IF($S338="NO ALLOC","NO ALLOC",ROUND($S338*AB338,15)))</f>
        <v>-6.6464225455636496</v>
      </c>
      <c r="AA338" s="121">
        <f>IF(ABS(AB338)=0,"",IF($T338="NO ALLOC","NO ALLOC",ROUND($T338*AB338,15)))</f>
        <v>0</v>
      </c>
      <c r="AB338" s="121">
        <f t="shared" si="124"/>
        <v>-29.597999999999999</v>
      </c>
      <c r="AC338" s="121">
        <v>-20.766249999999999</v>
      </c>
      <c r="AD338" s="121">
        <v>-21.2272</v>
      </c>
      <c r="AE338" s="121">
        <v>-21.77374</v>
      </c>
      <c r="AF338" s="121">
        <v>-22.915749999999999</v>
      </c>
      <c r="AG338" s="121">
        <v>-23.652729999999998</v>
      </c>
      <c r="AH338" s="121">
        <v>-24.216169999999998</v>
      </c>
      <c r="AI338" s="121">
        <v>-25.014430000000001</v>
      </c>
      <c r="AJ338" s="121">
        <v>-25.34497</v>
      </c>
      <c r="AK338" s="121">
        <v>-26.110520000000001</v>
      </c>
      <c r="AL338" s="121">
        <v>-26.656610000000001</v>
      </c>
      <c r="AM338" s="121">
        <v>-27.788700000000002</v>
      </c>
      <c r="AN338" s="121">
        <v>-28.32188</v>
      </c>
      <c r="AO338" s="121">
        <v>-29.597999999999999</v>
      </c>
      <c r="AP338" s="125" t="str">
        <f>CONCATENATE(A338,M338)</f>
        <v>GLA</v>
      </c>
      <c r="AQ338" s="125" t="str">
        <f>CONCATENATE(AP338,L338,H338)</f>
        <v>GLAA2Deferred Revenue - On-Bill Financing</v>
      </c>
      <c r="AS338" s="125" t="str">
        <f>CONCATENATE(L338,H338,J338)</f>
        <v>A2Deferred Revenue - On-Bill Financing</v>
      </c>
    </row>
    <row r="339" spans="1:45" s="125" customFormat="1" ht="25.5" customHeight="1">
      <c r="A339" s="216" t="s">
        <v>2493</v>
      </c>
      <c r="B339" s="217" t="str">
        <f>CONCATENATE(A339,C339,D339,E339)</f>
        <v>GL253340</v>
      </c>
      <c r="C339" s="186">
        <v>253340</v>
      </c>
      <c r="D339" s="201"/>
      <c r="E339" s="162"/>
      <c r="F339" s="169" t="s">
        <v>4384</v>
      </c>
      <c r="G339" s="117"/>
      <c r="H339" s="118" t="s">
        <v>791</v>
      </c>
      <c r="I339" s="119"/>
      <c r="J339" s="120"/>
      <c r="K339" s="120" t="str">
        <f>IF(L339="N3","SFAS-109","")</f>
        <v/>
      </c>
      <c r="L339" s="170" t="s">
        <v>928</v>
      </c>
      <c r="M339" s="122" t="str">
        <f>LEFT(L339,1)</f>
        <v>N</v>
      </c>
      <c r="N339" s="116" t="str">
        <f>IF($L339&lt;&gt;"",VLOOKUP($L339,Categories!$E:$G,2,FALSE),IF($F339&lt;&gt;"","NO CAT",""))</f>
        <v>Not in Rate Base</v>
      </c>
      <c r="O339" s="116" t="str">
        <f>IF($L339&lt;&gt;"",VLOOKUP($L339,Categories!$E:$G,3,FALSE),IF($F339&lt;&gt;"","NO CAT",""))</f>
        <v>Direct Assign Items Not in RB</v>
      </c>
      <c r="P339" s="170" t="s">
        <v>1186</v>
      </c>
      <c r="Q339" s="123" t="s">
        <v>1187</v>
      </c>
      <c r="R339" s="124">
        <v>0</v>
      </c>
      <c r="S339" s="124">
        <v>0</v>
      </c>
      <c r="T339" s="124">
        <v>1</v>
      </c>
      <c r="U339" s="121">
        <f>IF(ABS(X339)=0,"",IF($R339="NO ALLOC","NO ALLOC",ROUND($R339*X339,15)))</f>
        <v>0</v>
      </c>
      <c r="V339" s="121">
        <f>IF(ABS(X339)=0,"",IF($S339="NO ALLOC","NO ALLOC",ROUND($S339*X339,15)))</f>
        <v>0</v>
      </c>
      <c r="W339" s="121">
        <f>IF(ABS(X339)=0,"",IF($T339="NO ALLOC","NO ALLOC",ROUND($T339*X339,15)))</f>
        <v>-2786.9825141666702</v>
      </c>
      <c r="X339" s="121">
        <f t="shared" si="123"/>
        <v>-2786.9825141666702</v>
      </c>
      <c r="Y339" s="121">
        <f>IF(ABS(AB339)=0,"",IF($R339="NO ALLOC","NO ALLOC",ROUND($R339*AB339,15)))</f>
        <v>0</v>
      </c>
      <c r="Z339" s="121">
        <f>IF(ABS(AB339)=0,"",IF($S339="NO ALLOC","NO ALLOC",ROUND($S339*AB339,15)))</f>
        <v>0</v>
      </c>
      <c r="AA339" s="121">
        <f>IF(ABS(AB339)=0,"",IF($T339="NO ALLOC","NO ALLOC",ROUND($T339*AB339,15)))</f>
        <v>-7248.3329999999996</v>
      </c>
      <c r="AB339" s="121">
        <f t="shared" si="124"/>
        <v>-7248.3329999999996</v>
      </c>
      <c r="AC339" s="121">
        <v>0</v>
      </c>
      <c r="AD339" s="121">
        <v>0</v>
      </c>
      <c r="AE339" s="121">
        <v>0</v>
      </c>
      <c r="AF339" s="121">
        <v>0</v>
      </c>
      <c r="AG339" s="121">
        <v>0</v>
      </c>
      <c r="AH339" s="121">
        <v>0</v>
      </c>
      <c r="AI339" s="121">
        <v>0</v>
      </c>
      <c r="AJ339" s="121">
        <v>-6003.6287699999993</v>
      </c>
      <c r="AK339" s="121">
        <v>-6028.1717699999999</v>
      </c>
      <c r="AL339" s="121">
        <v>-5888.8450999999995</v>
      </c>
      <c r="AM339" s="121">
        <v>-5913.3880999999992</v>
      </c>
      <c r="AN339" s="121">
        <v>-5985.5899300000001</v>
      </c>
      <c r="AO339" s="121">
        <v>-7248.3329999999996</v>
      </c>
      <c r="AP339" s="125" t="str">
        <f>CONCATENATE(A339,M339)</f>
        <v>GLN</v>
      </c>
      <c r="AQ339" s="125" t="str">
        <f>CONCATENATE(AP339,L339,H339)</f>
        <v>GLNN2Non-Qualified Retiree Trust (net of related liability)</v>
      </c>
      <c r="AS339" s="125" t="str">
        <f>CONCATENATE(L339,H339,J339)</f>
        <v>N2Non-Qualified Retiree Trust (net of related liability)</v>
      </c>
    </row>
    <row r="340" spans="1:45" s="125" customFormat="1" ht="25.5" customHeight="1">
      <c r="A340" s="216" t="s">
        <v>2493</v>
      </c>
      <c r="B340" s="217" t="str">
        <f t="shared" si="126"/>
        <v>GL253341</v>
      </c>
      <c r="C340" s="186">
        <v>253341</v>
      </c>
      <c r="D340" s="201"/>
      <c r="E340" s="162"/>
      <c r="F340" s="169" t="s">
        <v>597</v>
      </c>
      <c r="G340" s="117"/>
      <c r="H340" s="118" t="s">
        <v>598</v>
      </c>
      <c r="I340" s="119"/>
      <c r="J340" s="120"/>
      <c r="K340" s="120" t="str">
        <f t="shared" si="122"/>
        <v/>
      </c>
      <c r="L340" s="170" t="s">
        <v>1419</v>
      </c>
      <c r="M340" s="122" t="str">
        <f t="shared" si="125"/>
        <v>A</v>
      </c>
      <c r="N340" s="116" t="str">
        <f>IF($L340&lt;&gt;"",VLOOKUP($L340,Categories!$E:$G,2,FALSE),IF($F340&lt;&gt;"","NO CAT",""))</f>
        <v>All Other</v>
      </c>
      <c r="O340" s="116" t="str">
        <f>IF($L340&lt;&gt;"",VLOOKUP($L340,Categories!$E:$G,3,FALSE),IF($F340&lt;&gt;"","NO CAT",""))</f>
        <v>EB-Cap</v>
      </c>
      <c r="P340" s="170" t="s">
        <v>1557</v>
      </c>
      <c r="Q340" s="123" t="s">
        <v>1891</v>
      </c>
      <c r="R340" s="124">
        <v>0.77544352505021785</v>
      </c>
      <c r="S340" s="124">
        <v>0.22455647494978223</v>
      </c>
      <c r="T340" s="124">
        <v>0</v>
      </c>
      <c r="U340" s="121">
        <f t="shared" si="127"/>
        <v>-473.99957939495198</v>
      </c>
      <c r="V340" s="121">
        <f t="shared" si="128"/>
        <v>-137.26296143838101</v>
      </c>
      <c r="W340" s="121">
        <f t="shared" si="129"/>
        <v>0</v>
      </c>
      <c r="X340" s="121">
        <f t="shared" si="123"/>
        <v>-611.26254083333299</v>
      </c>
      <c r="Y340" s="121">
        <f t="shared" si="130"/>
        <v>-568.75722662283601</v>
      </c>
      <c r="Z340" s="121">
        <f t="shared" si="131"/>
        <v>-164.70331337716399</v>
      </c>
      <c r="AA340" s="121">
        <f t="shared" si="132"/>
        <v>0</v>
      </c>
      <c r="AB340" s="121">
        <f t="shared" si="124"/>
        <v>-733.46054000000004</v>
      </c>
      <c r="AC340" s="121">
        <v>-596.35814000000005</v>
      </c>
      <c r="AD340" s="121">
        <v>-593.31500000000005</v>
      </c>
      <c r="AE340" s="121">
        <v>-593.31500000000005</v>
      </c>
      <c r="AF340" s="121">
        <v>-641.70718999999997</v>
      </c>
      <c r="AG340" s="121">
        <v>-641.70718999999997</v>
      </c>
      <c r="AH340" s="121">
        <v>-641.70718999999997</v>
      </c>
      <c r="AI340" s="121">
        <v>-655.50956000000008</v>
      </c>
      <c r="AJ340" s="121">
        <v>-585.97288000000003</v>
      </c>
      <c r="AK340" s="121">
        <v>-585.97288000000003</v>
      </c>
      <c r="AL340" s="121">
        <v>-577.01142000000004</v>
      </c>
      <c r="AM340" s="121">
        <v>-577.01142000000004</v>
      </c>
      <c r="AN340" s="121">
        <v>-577.01142000000004</v>
      </c>
      <c r="AO340" s="121">
        <v>-733.46054000000004</v>
      </c>
      <c r="AP340" s="125" t="str">
        <f>CONCATENATE(A340,M340)</f>
        <v>GLA</v>
      </c>
      <c r="AQ340" s="125" t="str">
        <f>CONCATENATE(AP340,L340,H340)</f>
        <v>GLAA2Deferred Comp - Putnam</v>
      </c>
      <c r="AS340" s="125" t="str">
        <f>CONCATENATE(L340,H340,J340)</f>
        <v>A2Deferred Comp - Putnam</v>
      </c>
    </row>
    <row r="341" spans="1:45" s="125" customFormat="1" ht="25.5" customHeight="1">
      <c r="A341" s="216" t="s">
        <v>2493</v>
      </c>
      <c r="B341" s="217" t="str">
        <f t="shared" si="126"/>
        <v>GL253355</v>
      </c>
      <c r="C341" s="186">
        <v>253355</v>
      </c>
      <c r="D341" s="201"/>
      <c r="E341" s="162"/>
      <c r="F341" s="169" t="s">
        <v>4387</v>
      </c>
      <c r="G341" s="117"/>
      <c r="H341" s="118">
        <v>0</v>
      </c>
      <c r="I341" s="119"/>
      <c r="J341" s="120"/>
      <c r="K341" s="120" t="str">
        <f>IF(L341="N3","SFAS-109","")</f>
        <v/>
      </c>
      <c r="L341" s="170" t="s">
        <v>928</v>
      </c>
      <c r="M341" s="122" t="str">
        <f>LEFT(L341,1)</f>
        <v>N</v>
      </c>
      <c r="N341" s="116" t="str">
        <f>IF($L341&lt;&gt;"",VLOOKUP($L341,Categories!$E:$G,2,FALSE),IF($F341&lt;&gt;"","NO CAT",""))</f>
        <v>Not in Rate Base</v>
      </c>
      <c r="O341" s="116" t="str">
        <f>IF($L341&lt;&gt;"",VLOOKUP($L341,Categories!$E:$G,3,FALSE),IF($F341&lt;&gt;"","NO CAT",""))</f>
        <v>Direct Assign Items Not in RB</v>
      </c>
      <c r="P341" s="170" t="s">
        <v>1186</v>
      </c>
      <c r="Q341" s="123" t="s">
        <v>1187</v>
      </c>
      <c r="R341" s="124">
        <v>0</v>
      </c>
      <c r="S341" s="124">
        <v>0</v>
      </c>
      <c r="T341" s="124">
        <v>1</v>
      </c>
      <c r="U341" s="121">
        <f>IF(ABS(X341)=0,"",IF($R341="NO ALLOC","NO ALLOC",ROUND($R341*X341,15)))</f>
        <v>0</v>
      </c>
      <c r="V341" s="121">
        <f>IF(ABS(X341)=0,"",IF($S341="NO ALLOC","NO ALLOC",ROUND($S341*X341,15)))</f>
        <v>0</v>
      </c>
      <c r="W341" s="121">
        <f>IF(ABS(X341)=0,"",IF($T341="NO ALLOC","NO ALLOC",ROUND($T341*X341,15)))</f>
        <v>-2400</v>
      </c>
      <c r="X341" s="121">
        <f t="shared" si="123"/>
        <v>-2400</v>
      </c>
      <c r="Y341" s="121">
        <f>IF(ABS(AB341)=0,"",IF($R341="NO ALLOC","NO ALLOC",ROUND($R341*AB341,15)))</f>
        <v>0</v>
      </c>
      <c r="Z341" s="121">
        <f>IF(ABS(AB341)=0,"",IF($S341="NO ALLOC","NO ALLOC",ROUND($S341*AB341,15)))</f>
        <v>0</v>
      </c>
      <c r="AA341" s="121">
        <f>IF(ABS(AB341)=0,"",IF($T341="NO ALLOC","NO ALLOC",ROUND($T341*AB341,15)))</f>
        <v>-2400</v>
      </c>
      <c r="AB341" s="121">
        <f t="shared" si="124"/>
        <v>-2400</v>
      </c>
      <c r="AC341" s="121">
        <v>-2400</v>
      </c>
      <c r="AD341" s="121">
        <v>-2400</v>
      </c>
      <c r="AE341" s="121">
        <v>-2400</v>
      </c>
      <c r="AF341" s="121">
        <v>-2400</v>
      </c>
      <c r="AG341" s="121">
        <v>-2400</v>
      </c>
      <c r="AH341" s="121">
        <v>-2400</v>
      </c>
      <c r="AI341" s="121">
        <v>-2400</v>
      </c>
      <c r="AJ341" s="121">
        <v>-2400</v>
      </c>
      <c r="AK341" s="121">
        <v>-2400</v>
      </c>
      <c r="AL341" s="121">
        <v>-2400</v>
      </c>
      <c r="AM341" s="121">
        <v>-2400</v>
      </c>
      <c r="AN341" s="121">
        <v>-2400</v>
      </c>
      <c r="AO341" s="121">
        <v>-2400</v>
      </c>
      <c r="AP341" s="125" t="str">
        <f>CONCATENATE(A341,M341)</f>
        <v>GLN</v>
      </c>
      <c r="AQ341" s="125" t="str">
        <f>CONCATENATE(AP341,L341,H341)</f>
        <v>GLNN20</v>
      </c>
      <c r="AS341" s="125" t="str">
        <f>CONCATENATE(L341,H341,J341)</f>
        <v>N20</v>
      </c>
    </row>
    <row r="342" spans="1:45" s="125" customFormat="1" ht="25.5" customHeight="1">
      <c r="A342" s="216" t="s">
        <v>2493</v>
      </c>
      <c r="B342" s="217" t="str">
        <f t="shared" si="126"/>
        <v>GL253561</v>
      </c>
      <c r="C342" s="186">
        <v>253561</v>
      </c>
      <c r="D342" s="201"/>
      <c r="E342" s="162"/>
      <c r="F342" s="169" t="s">
        <v>1487</v>
      </c>
      <c r="G342" s="117"/>
      <c r="H342" s="118" t="s">
        <v>1488</v>
      </c>
      <c r="I342" s="119"/>
      <c r="J342" s="120"/>
      <c r="K342" s="120" t="str">
        <f>IF(L342="N3","SFAS-109","")</f>
        <v/>
      </c>
      <c r="L342" s="170" t="s">
        <v>1893</v>
      </c>
      <c r="M342" s="122" t="str">
        <f t="shared" si="125"/>
        <v>R</v>
      </c>
      <c r="N342" s="116" t="str">
        <f>IF($L342&lt;&gt;"",VLOOKUP($L342,Categories!$E:$G,2,FALSE),IF($F342&lt;&gt;"","NO CAT",""))</f>
        <v>Rate Base</v>
      </c>
      <c r="O342" s="116" t="str">
        <f>IF($L342&lt;&gt;"",VLOOKUP($L342,Categories!$E:$G,3,FALSE),IF($F342&lt;&gt;"","NO CAT",""))</f>
        <v>Deferred Debits &amp; Credits</v>
      </c>
      <c r="P342" s="170" t="s">
        <v>1182</v>
      </c>
      <c r="Q342" s="123" t="s">
        <v>1693</v>
      </c>
      <c r="R342" s="124">
        <v>0.79196546646577504</v>
      </c>
      <c r="S342" s="124">
        <v>0.20803453353422496</v>
      </c>
      <c r="T342" s="124">
        <v>0</v>
      </c>
      <c r="U342" s="121">
        <f t="shared" si="127"/>
        <v>-3877.1192226834701</v>
      </c>
      <c r="V342" s="121">
        <f t="shared" si="128"/>
        <v>-1018.44679231653</v>
      </c>
      <c r="W342" s="121">
        <f t="shared" si="129"/>
        <v>0</v>
      </c>
      <c r="X342" s="121">
        <f t="shared" si="123"/>
        <v>-4895.5660150000003</v>
      </c>
      <c r="Y342" s="121">
        <f t="shared" si="130"/>
        <v>-3936.0683683348998</v>
      </c>
      <c r="Z342" s="121">
        <f t="shared" si="131"/>
        <v>-1033.9316316651</v>
      </c>
      <c r="AA342" s="121">
        <f t="shared" si="132"/>
        <v>0</v>
      </c>
      <c r="AB342" s="121">
        <f t="shared" si="124"/>
        <v>-4970</v>
      </c>
      <c r="AC342" s="121">
        <v>-5028.3</v>
      </c>
      <c r="AD342" s="121">
        <v>-5040.6757500000003</v>
      </c>
      <c r="AE342" s="121">
        <v>-5013.2493700000005</v>
      </c>
      <c r="AF342" s="121">
        <v>-4935.8433299999997</v>
      </c>
      <c r="AG342" s="121">
        <v>-4947.2947699999995</v>
      </c>
      <c r="AH342" s="121">
        <v>-4885.9335700000001</v>
      </c>
      <c r="AI342" s="121">
        <v>-4897.4995999999992</v>
      </c>
      <c r="AJ342" s="121">
        <v>-4836.9499800000003</v>
      </c>
      <c r="AK342" s="121">
        <v>-4849.5152099999996</v>
      </c>
      <c r="AL342" s="121">
        <v>-4791.1197400000001</v>
      </c>
      <c r="AM342" s="121">
        <v>-4802.7583399999994</v>
      </c>
      <c r="AN342" s="121">
        <v>-4746.8025199999993</v>
      </c>
      <c r="AO342" s="121">
        <v>-4970</v>
      </c>
      <c r="AP342" s="125" t="str">
        <f>CONCATENATE(A342,M342)</f>
        <v>GLR</v>
      </c>
      <c r="AQ342" s="125" t="str">
        <f>CONCATENATE(AP342,L342,H342)</f>
        <v>GLRR10SFAS-112</v>
      </c>
      <c r="AS342" s="125" t="str">
        <f>CONCATENATE(L342,H342,J342)</f>
        <v>R10SFAS-112</v>
      </c>
    </row>
    <row r="343" spans="1:45" s="125" customFormat="1" ht="25.5" customHeight="1">
      <c r="A343" s="216" t="s">
        <v>2493</v>
      </c>
      <c r="B343" s="217" t="str">
        <f t="shared" si="126"/>
        <v>GL254012</v>
      </c>
      <c r="C343" s="186">
        <v>254012</v>
      </c>
      <c r="D343" s="201"/>
      <c r="E343" s="162"/>
      <c r="F343" s="169" t="s">
        <v>308</v>
      </c>
      <c r="G343" s="117"/>
      <c r="H343" s="118">
        <v>0</v>
      </c>
      <c r="I343" s="119"/>
      <c r="J343" s="120"/>
      <c r="K343" s="120" t="str">
        <f t="shared" si="122"/>
        <v/>
      </c>
      <c r="L343" s="170" t="s">
        <v>1171</v>
      </c>
      <c r="M343" s="122" t="str">
        <f t="shared" si="125"/>
        <v>S</v>
      </c>
      <c r="N343" s="116" t="str">
        <f>IF($L343&lt;&gt;"",VLOOKUP($L343,Categories!$E:$G,2,FALSE),IF($F343&lt;&gt;"","NO CAT",""))</f>
        <v>Asset &amp; Liability Side Sched</v>
      </c>
      <c r="O343" s="116" t="str">
        <f>IF($L343&lt;&gt;"",VLOOKUP($L343,Categories!$E:$G,3,FALSE),IF($F343&lt;&gt;"","NO CAT",""))</f>
        <v>Reg Asset &amp; Liabilities</v>
      </c>
      <c r="P343" s="170" t="s">
        <v>1186</v>
      </c>
      <c r="Q343" s="123" t="s">
        <v>1187</v>
      </c>
      <c r="R343" s="124">
        <v>0</v>
      </c>
      <c r="S343" s="124">
        <v>0</v>
      </c>
      <c r="T343" s="124">
        <v>1</v>
      </c>
      <c r="U343" s="121">
        <f t="shared" si="127"/>
        <v>0</v>
      </c>
      <c r="V343" s="121">
        <f t="shared" si="128"/>
        <v>0</v>
      </c>
      <c r="W343" s="121">
        <f t="shared" si="129"/>
        <v>-2708.9784941666699</v>
      </c>
      <c r="X343" s="121">
        <f t="shared" si="123"/>
        <v>-2708.9784941666699</v>
      </c>
      <c r="Y343" s="121">
        <f t="shared" si="130"/>
        <v>0</v>
      </c>
      <c r="Z343" s="121">
        <f t="shared" si="131"/>
        <v>0</v>
      </c>
      <c r="AA343" s="121">
        <f t="shared" si="132"/>
        <v>-2794.19155</v>
      </c>
      <c r="AB343" s="121">
        <f t="shared" si="124"/>
        <v>-2794.19155</v>
      </c>
      <c r="AC343" s="121">
        <v>-2625.50387</v>
      </c>
      <c r="AD343" s="121">
        <v>-2639.16345</v>
      </c>
      <c r="AE343" s="121">
        <v>-2652.8941</v>
      </c>
      <c r="AF343" s="121">
        <v>-2666.6961900000001</v>
      </c>
      <c r="AG343" s="121">
        <v>-2680.57008</v>
      </c>
      <c r="AH343" s="121">
        <v>-2694.5161600000001</v>
      </c>
      <c r="AI343" s="121">
        <v>-2708.5347900000002</v>
      </c>
      <c r="AJ343" s="121">
        <v>-2722.6263599999997</v>
      </c>
      <c r="AK343" s="121">
        <v>-2736.79124</v>
      </c>
      <c r="AL343" s="121">
        <v>-2751.02981</v>
      </c>
      <c r="AM343" s="121">
        <v>-2765.3424599999998</v>
      </c>
      <c r="AN343" s="121">
        <v>-2779.7295800000002</v>
      </c>
      <c r="AO343" s="121">
        <v>-2794.19155</v>
      </c>
      <c r="AP343" s="125" t="str">
        <f>CONCATENATE(A343,M343)</f>
        <v>GLS</v>
      </c>
      <c r="AQ343" s="125" t="str">
        <f>CONCATENATE(AP343,L343,H343)</f>
        <v>GLSS0</v>
      </c>
      <c r="AS343" s="125" t="str">
        <f>CONCATENATE(L343,H343,J343)</f>
        <v>S0</v>
      </c>
    </row>
    <row r="344" spans="1:45" s="125" customFormat="1" ht="25.5" customHeight="1">
      <c r="A344" s="216" t="s">
        <v>2493</v>
      </c>
      <c r="B344" s="217" t="str">
        <f t="shared" si="126"/>
        <v>GL254013</v>
      </c>
      <c r="C344" s="186">
        <v>254013</v>
      </c>
      <c r="D344" s="201"/>
      <c r="E344" s="162"/>
      <c r="F344" s="169" t="s">
        <v>4408</v>
      </c>
      <c r="G344" s="117"/>
      <c r="H344" s="118">
        <v>0</v>
      </c>
      <c r="I344" s="119"/>
      <c r="J344" s="120"/>
      <c r="K344" s="120" t="str">
        <f t="shared" si="122"/>
        <v/>
      </c>
      <c r="L344" s="170" t="s">
        <v>1171</v>
      </c>
      <c r="M344" s="122" t="str">
        <f>LEFT(L344,1)</f>
        <v>S</v>
      </c>
      <c r="N344" s="116" t="str">
        <f>IF($L344&lt;&gt;"",VLOOKUP($L344,Categories!$E:$G,2,FALSE),IF($F344&lt;&gt;"","NO CAT",""))</f>
        <v>Asset &amp; Liability Side Sched</v>
      </c>
      <c r="O344" s="116" t="str">
        <f>IF($L344&lt;&gt;"",VLOOKUP($L344,Categories!$E:$G,3,FALSE),IF($F344&lt;&gt;"","NO CAT",""))</f>
        <v>Reg Asset &amp; Liabilities</v>
      </c>
      <c r="P344" s="170" t="s">
        <v>1186</v>
      </c>
      <c r="Q344" s="123" t="s">
        <v>1187</v>
      </c>
      <c r="R344" s="124">
        <v>0</v>
      </c>
      <c r="S344" s="124">
        <v>0</v>
      </c>
      <c r="T344" s="124">
        <v>1</v>
      </c>
      <c r="U344" s="121">
        <f>IF(ABS(X344)=0,"",IF($R344="NO ALLOC","NO ALLOC",ROUND($R344*X344,15)))</f>
        <v>0</v>
      </c>
      <c r="V344" s="121">
        <f>IF(ABS(X344)=0,"",IF($S344="NO ALLOC","NO ALLOC",ROUND($S344*X344,15)))</f>
        <v>0</v>
      </c>
      <c r="W344" s="121">
        <f>IF(ABS(X344)=0,"",IF($T344="NO ALLOC","NO ALLOC",ROUND($T344*X344,15)))</f>
        <v>-43020.393461666703</v>
      </c>
      <c r="X344" s="121">
        <f t="shared" si="123"/>
        <v>-43020.393461666703</v>
      </c>
      <c r="Y344" s="121"/>
      <c r="Z344" s="121"/>
      <c r="AA344" s="121">
        <f>IF(ABS(AB344)=0,"",IF($T344="NO ALLOC","NO ALLOC",ROUND($T344*AB344,15)))</f>
        <v>-5800.9319999999998</v>
      </c>
      <c r="AB344" s="121">
        <f t="shared" si="124"/>
        <v>-5800.9319999999998</v>
      </c>
      <c r="AC344" s="121">
        <v>-47812.547960000004</v>
      </c>
      <c r="AD344" s="121">
        <v>-47259.516960000001</v>
      </c>
      <c r="AE344" s="121">
        <v>-46706.485959999998</v>
      </c>
      <c r="AF344" s="121">
        <v>-46153.454960000003</v>
      </c>
      <c r="AG344" s="121">
        <v>-45600.42396</v>
      </c>
      <c r="AH344" s="121">
        <v>-45047.392959999997</v>
      </c>
      <c r="AI344" s="121">
        <v>-44494.361960000002</v>
      </c>
      <c r="AJ344" s="121">
        <v>-43941.330959999999</v>
      </c>
      <c r="AK344" s="121">
        <v>-43388.299960000004</v>
      </c>
      <c r="AL344" s="121">
        <v>-42835.268960000001</v>
      </c>
      <c r="AM344" s="121">
        <v>-42282.237959999999</v>
      </c>
      <c r="AN344" s="121">
        <v>-41729.206960000003</v>
      </c>
      <c r="AO344" s="121">
        <v>-5800.9319999999998</v>
      </c>
      <c r="AP344" s="125" t="str">
        <f>CONCATENATE(A344,M344)</f>
        <v>GLS</v>
      </c>
      <c r="AQ344" s="125" t="str">
        <f>CONCATENATE(AP344,L344,H344)</f>
        <v>GLSS0</v>
      </c>
      <c r="AS344" s="125" t="str">
        <f>CONCATENATE(L344,H344,J344)</f>
        <v>S0</v>
      </c>
    </row>
    <row r="345" spans="1:45" s="125" customFormat="1" ht="25.5" customHeight="1">
      <c r="A345" s="216" t="s">
        <v>2493</v>
      </c>
      <c r="B345" s="217" t="str">
        <f t="shared" si="126"/>
        <v>GL254015</v>
      </c>
      <c r="C345" s="186">
        <v>254015</v>
      </c>
      <c r="D345" s="201"/>
      <c r="E345" s="162"/>
      <c r="F345" s="169" t="s">
        <v>3028</v>
      </c>
      <c r="G345" s="117"/>
      <c r="H345" s="118">
        <v>0</v>
      </c>
      <c r="I345" s="119"/>
      <c r="J345" s="120"/>
      <c r="K345" s="120" t="str">
        <f t="shared" si="122"/>
        <v/>
      </c>
      <c r="L345" s="170" t="s">
        <v>1171</v>
      </c>
      <c r="M345" s="122" t="str">
        <f t="shared" si="125"/>
        <v>S</v>
      </c>
      <c r="N345" s="116" t="str">
        <f>IF($L345&lt;&gt;"",VLOOKUP($L345,Categories!$E:$G,2,FALSE),IF($F345&lt;&gt;"","NO CAT",""))</f>
        <v>Asset &amp; Liability Side Sched</v>
      </c>
      <c r="O345" s="116" t="str">
        <f>IF($L345&lt;&gt;"",VLOOKUP($L345,Categories!$E:$G,3,FALSE),IF($F345&lt;&gt;"","NO CAT",""))</f>
        <v>Reg Asset &amp; Liabilities</v>
      </c>
      <c r="P345" s="170" t="s">
        <v>1186</v>
      </c>
      <c r="Q345" s="123" t="s">
        <v>1187</v>
      </c>
      <c r="R345" s="124">
        <v>0</v>
      </c>
      <c r="S345" s="124">
        <v>0</v>
      </c>
      <c r="T345" s="124">
        <v>1</v>
      </c>
      <c r="U345" s="121">
        <f t="shared" si="127"/>
        <v>0</v>
      </c>
      <c r="V345" s="121">
        <f t="shared" si="128"/>
        <v>0</v>
      </c>
      <c r="W345" s="121">
        <f t="shared" si="129"/>
        <v>-3680.8010366666699</v>
      </c>
      <c r="X345" s="121">
        <f t="shared" si="123"/>
        <v>-3680.8010366666699</v>
      </c>
      <c r="Y345" s="121">
        <f t="shared" si="130"/>
        <v>0</v>
      </c>
      <c r="Z345" s="121">
        <f t="shared" si="131"/>
        <v>0</v>
      </c>
      <c r="AA345" s="121">
        <f t="shared" si="132"/>
        <v>-3793.0981499999998</v>
      </c>
      <c r="AB345" s="121">
        <f t="shared" si="124"/>
        <v>-3793.0981499999998</v>
      </c>
      <c r="AC345" s="121">
        <v>-6334.0916100000004</v>
      </c>
      <c r="AD345" s="121">
        <v>-4885.2866399999994</v>
      </c>
      <c r="AE345" s="121">
        <v>-3214.7601800000002</v>
      </c>
      <c r="AF345" s="121">
        <v>-5406.2328200000002</v>
      </c>
      <c r="AG345" s="121">
        <v>-5664.1583700000001</v>
      </c>
      <c r="AH345" s="121">
        <v>-4343.7460599999995</v>
      </c>
      <c r="AI345" s="121">
        <v>-4820.0689699999994</v>
      </c>
      <c r="AJ345" s="121">
        <v>-2974.0100600000001</v>
      </c>
      <c r="AK345" s="121">
        <v>-2265.2912999999999</v>
      </c>
      <c r="AL345" s="121">
        <v>-2087.0485600000002</v>
      </c>
      <c r="AM345" s="121">
        <v>-1877.05204</v>
      </c>
      <c r="AN345" s="121">
        <v>-1568.36256</v>
      </c>
      <c r="AO345" s="121">
        <v>-3793.0981499999998</v>
      </c>
      <c r="AP345" s="125" t="str">
        <f>CONCATENATE(A345,M345)</f>
        <v>GLS</v>
      </c>
      <c r="AQ345" s="125" t="str">
        <f>CONCATENATE(AP345,L345,H345)</f>
        <v>GLSS0</v>
      </c>
      <c r="AS345" s="125" t="str">
        <f>CONCATENATE(L345,H345,J345)</f>
        <v>S0</v>
      </c>
    </row>
    <row r="346" spans="1:45" s="125" customFormat="1" ht="25.5" customHeight="1">
      <c r="A346" s="216" t="s">
        <v>2493</v>
      </c>
      <c r="B346" s="217" t="str">
        <f t="shared" si="126"/>
        <v>GL254016</v>
      </c>
      <c r="C346" s="186">
        <v>254016</v>
      </c>
      <c r="D346" s="201"/>
      <c r="E346" s="162"/>
      <c r="F346" s="169" t="s">
        <v>3029</v>
      </c>
      <c r="G346" s="117"/>
      <c r="H346" s="118">
        <v>0</v>
      </c>
      <c r="I346" s="119"/>
      <c r="J346" s="120"/>
      <c r="K346" s="120" t="str">
        <f t="shared" si="122"/>
        <v/>
      </c>
      <c r="L346" s="170" t="s">
        <v>1171</v>
      </c>
      <c r="M346" s="122" t="str">
        <f t="shared" si="125"/>
        <v>S</v>
      </c>
      <c r="N346" s="116" t="str">
        <f>IF($L346&lt;&gt;"",VLOOKUP($L346,Categories!$E:$G,2,FALSE),IF($F346&lt;&gt;"","NO CAT",""))</f>
        <v>Asset &amp; Liability Side Sched</v>
      </c>
      <c r="O346" s="116" t="str">
        <f>IF($L346&lt;&gt;"",VLOOKUP($L346,Categories!$E:$G,3,FALSE),IF($F346&lt;&gt;"","NO CAT",""))</f>
        <v>Reg Asset &amp; Liabilities</v>
      </c>
      <c r="P346" s="170" t="s">
        <v>1186</v>
      </c>
      <c r="Q346" s="123" t="s">
        <v>1187</v>
      </c>
      <c r="R346" s="124">
        <v>0</v>
      </c>
      <c r="S346" s="124">
        <v>0</v>
      </c>
      <c r="T346" s="124">
        <v>1</v>
      </c>
      <c r="U346" s="121">
        <f t="shared" si="127"/>
        <v>0</v>
      </c>
      <c r="V346" s="121">
        <f t="shared" si="128"/>
        <v>0</v>
      </c>
      <c r="W346" s="121">
        <f t="shared" si="129"/>
        <v>-124813.07271708301</v>
      </c>
      <c r="X346" s="121">
        <f t="shared" si="123"/>
        <v>-124813.07271708301</v>
      </c>
      <c r="Y346" s="121">
        <f t="shared" si="130"/>
        <v>0</v>
      </c>
      <c r="Z346" s="121">
        <f t="shared" si="131"/>
        <v>0</v>
      </c>
      <c r="AA346" s="121">
        <f t="shared" si="132"/>
        <v>-133364.42788999999</v>
      </c>
      <c r="AB346" s="121">
        <f t="shared" si="124"/>
        <v>-133364.42788999999</v>
      </c>
      <c r="AC346" s="121">
        <v>-94601.477780000001</v>
      </c>
      <c r="AD346" s="121">
        <v>-108968.4767</v>
      </c>
      <c r="AE346" s="121">
        <v>-117231.54932999999</v>
      </c>
      <c r="AF346" s="121">
        <v>-126300.558</v>
      </c>
      <c r="AG346" s="121">
        <v>-123708.47885</v>
      </c>
      <c r="AH346" s="121">
        <v>-122450.83164</v>
      </c>
      <c r="AI346" s="121">
        <v>-142506.06586999999</v>
      </c>
      <c r="AJ346" s="121">
        <v>-107566.02650000001</v>
      </c>
      <c r="AK346" s="121">
        <v>-134997.64924</v>
      </c>
      <c r="AL346" s="121">
        <v>-135853.92059999998</v>
      </c>
      <c r="AM346" s="121">
        <v>-131954.98733999999</v>
      </c>
      <c r="AN346" s="121">
        <v>-132235.3757</v>
      </c>
      <c r="AO346" s="121">
        <v>-133364.42788999999</v>
      </c>
      <c r="AP346" s="125" t="str">
        <f>CONCATENATE(A346,M346)</f>
        <v>GLS</v>
      </c>
      <c r="AQ346" s="125" t="str">
        <f>CONCATENATE(AP346,L346,H346)</f>
        <v>GLSS0</v>
      </c>
      <c r="AS346" s="125" t="str">
        <f>CONCATENATE(L346,H346,J346)</f>
        <v>S0</v>
      </c>
    </row>
    <row r="347" spans="1:45" s="125" customFormat="1" ht="25.5" customHeight="1">
      <c r="A347" s="216" t="s">
        <v>2493</v>
      </c>
      <c r="B347" s="217" t="str">
        <f t="shared" si="126"/>
        <v>GL254017</v>
      </c>
      <c r="C347" s="186">
        <v>254017</v>
      </c>
      <c r="D347" s="201"/>
      <c r="E347" s="162"/>
      <c r="F347" s="169" t="s">
        <v>3030</v>
      </c>
      <c r="G347" s="117"/>
      <c r="H347" s="118">
        <v>0</v>
      </c>
      <c r="I347" s="119"/>
      <c r="J347" s="120"/>
      <c r="K347" s="120" t="str">
        <f t="shared" si="122"/>
        <v/>
      </c>
      <c r="L347" s="170" t="s">
        <v>1171</v>
      </c>
      <c r="M347" s="122" t="str">
        <f t="shared" si="125"/>
        <v>S</v>
      </c>
      <c r="N347" s="116" t="str">
        <f>IF($L347&lt;&gt;"",VLOOKUP($L347,Categories!$E:$G,2,FALSE),IF($F347&lt;&gt;"","NO CAT",""))</f>
        <v>Asset &amp; Liability Side Sched</v>
      </c>
      <c r="O347" s="116" t="str">
        <f>IF($L347&lt;&gt;"",VLOOKUP($L347,Categories!$E:$G,3,FALSE),IF($F347&lt;&gt;"","NO CAT",""))</f>
        <v>Reg Asset &amp; Liabilities</v>
      </c>
      <c r="P347" s="170" t="s">
        <v>1186</v>
      </c>
      <c r="Q347" s="123" t="s">
        <v>1187</v>
      </c>
      <c r="R347" s="124">
        <v>0</v>
      </c>
      <c r="S347" s="124">
        <v>0</v>
      </c>
      <c r="T347" s="124">
        <v>1</v>
      </c>
      <c r="U347" s="121">
        <f t="shared" si="127"/>
        <v>0</v>
      </c>
      <c r="V347" s="121">
        <f t="shared" si="128"/>
        <v>0</v>
      </c>
      <c r="W347" s="121">
        <f t="shared" si="129"/>
        <v>-25966.885015416701</v>
      </c>
      <c r="X347" s="121">
        <f t="shared" si="123"/>
        <v>-25966.885015416701</v>
      </c>
      <c r="Y347" s="121">
        <f t="shared" si="130"/>
        <v>0</v>
      </c>
      <c r="Z347" s="121">
        <f t="shared" si="131"/>
        <v>0</v>
      </c>
      <c r="AA347" s="121">
        <f t="shared" si="132"/>
        <v>-28609.726480000001</v>
      </c>
      <c r="AB347" s="121">
        <f t="shared" si="124"/>
        <v>-28609.726480000001</v>
      </c>
      <c r="AC347" s="121">
        <v>-25677.561389999999</v>
      </c>
      <c r="AD347" s="121">
        <v>-27322.456579999998</v>
      </c>
      <c r="AE347" s="121">
        <v>-28080.29133</v>
      </c>
      <c r="AF347" s="121">
        <v>-29120.15684</v>
      </c>
      <c r="AG347" s="121">
        <v>-28942.186239999999</v>
      </c>
      <c r="AH347" s="121">
        <v>-28662.127079999998</v>
      </c>
      <c r="AI347" s="121">
        <v>-30337.114120000002</v>
      </c>
      <c r="AJ347" s="121">
        <v>-22626.76152</v>
      </c>
      <c r="AK347" s="121">
        <v>-23388.602500000001</v>
      </c>
      <c r="AL347" s="121">
        <v>-21788.120899999998</v>
      </c>
      <c r="AM347" s="121">
        <v>-20146.323210000002</v>
      </c>
      <c r="AN347" s="121">
        <v>-24044.835930000001</v>
      </c>
      <c r="AO347" s="121">
        <v>-28609.726480000001</v>
      </c>
      <c r="AP347" s="125" t="str">
        <f>CONCATENATE(A347,M347)</f>
        <v>GLS</v>
      </c>
      <c r="AQ347" s="125" t="str">
        <f>CONCATENATE(AP347,L347,H347)</f>
        <v>GLSS0</v>
      </c>
      <c r="AS347" s="125" t="str">
        <f>CONCATENATE(L347,H347,J347)</f>
        <v>S0</v>
      </c>
    </row>
    <row r="348" spans="1:45" s="125" customFormat="1" ht="25.5" customHeight="1">
      <c r="A348" s="216" t="s">
        <v>2493</v>
      </c>
      <c r="B348" s="217" t="str">
        <f>CONCATENATE(A348,C348,D348,E348)</f>
        <v>GL254021</v>
      </c>
      <c r="C348" s="186">
        <v>254021</v>
      </c>
      <c r="D348" s="201"/>
      <c r="E348" s="162"/>
      <c r="F348" s="169" t="s">
        <v>4747</v>
      </c>
      <c r="G348" s="117"/>
      <c r="H348" s="118">
        <v>0</v>
      </c>
      <c r="I348" s="119"/>
      <c r="J348" s="120"/>
      <c r="K348" s="120" t="str">
        <f>IF(L348="N3","SFAS-109","")</f>
        <v/>
      </c>
      <c r="L348" s="170" t="s">
        <v>1171</v>
      </c>
      <c r="M348" s="122" t="str">
        <f>LEFT(L348,1)</f>
        <v>S</v>
      </c>
      <c r="N348" s="116" t="str">
        <f>IF($L348&lt;&gt;"",VLOOKUP($L348,Categories!$E:$G,2,FALSE),IF($F348&lt;&gt;"","NO CAT",""))</f>
        <v>Asset &amp; Liability Side Sched</v>
      </c>
      <c r="O348" s="116" t="str">
        <f>IF($L348&lt;&gt;"",VLOOKUP($L348,Categories!$E:$G,3,FALSE),IF($F348&lt;&gt;"","NO CAT",""))</f>
        <v>Reg Asset &amp; Liabilities</v>
      </c>
      <c r="P348" s="170" t="s">
        <v>1186</v>
      </c>
      <c r="Q348" s="123" t="s">
        <v>1187</v>
      </c>
      <c r="R348" s="124">
        <v>0</v>
      </c>
      <c r="S348" s="124">
        <v>0</v>
      </c>
      <c r="T348" s="124">
        <v>1</v>
      </c>
      <c r="U348" s="121">
        <f>IF(ABS(X348)=0,"",IF($R348="NO ALLOC","NO ALLOC",ROUND($R348*X348,15)))</f>
        <v>0</v>
      </c>
      <c r="V348" s="121">
        <f>IF(ABS(X348)=0,"",IF($S348="NO ALLOC","NO ALLOC",ROUND($S348*X348,15)))</f>
        <v>0</v>
      </c>
      <c r="W348" s="121">
        <f>IF(ABS(X348)=0,"",IF($T348="NO ALLOC","NO ALLOC",ROUND($T348*X348,15)))</f>
        <v>-7891.2881774999996</v>
      </c>
      <c r="X348" s="121">
        <f t="shared" si="123"/>
        <v>-7891.2881774999996</v>
      </c>
      <c r="Y348" s="121">
        <f>IF(ABS(AB348)=0,"",IF($R348="NO ALLOC","NO ALLOC",ROUND($R348*AB348,15)))</f>
        <v>0</v>
      </c>
      <c r="Z348" s="121">
        <f>IF(ABS(AB348)=0,"",IF($S348="NO ALLOC","NO ALLOC",ROUND($S348*AB348,15)))</f>
        <v>0</v>
      </c>
      <c r="AA348" s="121">
        <f>IF(ABS(AB348)=0,"",IF($T348="NO ALLOC","NO ALLOC",ROUND($T348*AB348,15)))</f>
        <v>-13069.530699999999</v>
      </c>
      <c r="AB348" s="121">
        <f t="shared" si="124"/>
        <v>-13069.530699999999</v>
      </c>
      <c r="AC348" s="121"/>
      <c r="AD348" s="121"/>
      <c r="AE348" s="121"/>
      <c r="AF348" s="121"/>
      <c r="AG348" s="121">
        <v>-9408.6970600000004</v>
      </c>
      <c r="AH348" s="121">
        <v>-9869.6463899999999</v>
      </c>
      <c r="AI348" s="121">
        <v>-10330.73264</v>
      </c>
      <c r="AJ348" s="121">
        <v>-10793.51031</v>
      </c>
      <c r="AK348" s="121">
        <v>-11253.368109999999</v>
      </c>
      <c r="AL348" s="121">
        <v>-11708.83447</v>
      </c>
      <c r="AM348" s="121">
        <v>-12167.390039999998</v>
      </c>
      <c r="AN348" s="121">
        <v>-12628.51376</v>
      </c>
      <c r="AO348" s="121">
        <v>-13069.530699999999</v>
      </c>
      <c r="AP348" s="125" t="str">
        <f>CONCATENATE(A348,M348)</f>
        <v>GLS</v>
      </c>
      <c r="AQ348" s="125" t="str">
        <f>CONCATENATE(AP348,L348,H348)</f>
        <v>GLSS0</v>
      </c>
      <c r="AS348" s="125" t="str">
        <f>CONCATENATE(L348,H348,J348)</f>
        <v>S0</v>
      </c>
    </row>
    <row r="349" spans="1:45" s="125" customFormat="1" ht="25.5" customHeight="1">
      <c r="A349" s="216" t="s">
        <v>2493</v>
      </c>
      <c r="B349" s="217" t="str">
        <f>CONCATENATE(A349,C349,D349,E349)</f>
        <v>GL254022</v>
      </c>
      <c r="C349" s="186">
        <v>254022</v>
      </c>
      <c r="D349" s="201"/>
      <c r="E349" s="162"/>
      <c r="F349" s="169" t="s">
        <v>4777</v>
      </c>
      <c r="G349" s="117"/>
      <c r="H349" s="118">
        <v>0</v>
      </c>
      <c r="I349" s="119"/>
      <c r="J349" s="120"/>
      <c r="K349" s="120" t="str">
        <f>IF(L349="N3","SFAS-109","")</f>
        <v/>
      </c>
      <c r="L349" s="170" t="s">
        <v>1171</v>
      </c>
      <c r="M349" s="122" t="str">
        <f>LEFT(L349,1)</f>
        <v>S</v>
      </c>
      <c r="N349" s="116" t="str">
        <f>IF($L349&lt;&gt;"",VLOOKUP($L349,Categories!$E:$G,2,FALSE),IF($F349&lt;&gt;"","NO CAT",""))</f>
        <v>Asset &amp; Liability Side Sched</v>
      </c>
      <c r="O349" s="116" t="str">
        <f>IF($L349&lt;&gt;"",VLOOKUP($L349,Categories!$E:$G,3,FALSE),IF($F349&lt;&gt;"","NO CAT",""))</f>
        <v>Reg Asset &amp; Liabilities</v>
      </c>
      <c r="P349" s="170" t="s">
        <v>1186</v>
      </c>
      <c r="Q349" s="123" t="s">
        <v>1187</v>
      </c>
      <c r="R349" s="124">
        <v>0</v>
      </c>
      <c r="S349" s="124">
        <v>0</v>
      </c>
      <c r="T349" s="124">
        <v>1</v>
      </c>
      <c r="U349" s="121">
        <f>IF(ABS(X349)=0,"",IF($R349="NO ALLOC","NO ALLOC",ROUND($R349*X349,15)))</f>
        <v>0</v>
      </c>
      <c r="V349" s="121">
        <f>IF(ABS(X349)=0,"",IF($S349="NO ALLOC","NO ALLOC",ROUND($S349*X349,15)))</f>
        <v>0</v>
      </c>
      <c r="W349" s="121">
        <f>IF(ABS(X349)=0,"",IF($T349="NO ALLOC","NO ALLOC",ROUND($T349*X349,15)))</f>
        <v>-18238.217538333301</v>
      </c>
      <c r="X349" s="121">
        <f t="shared" si="123"/>
        <v>-18238.217538333301</v>
      </c>
      <c r="Y349" s="121">
        <f>IF(ABS(AB349)=0,"",IF($R349="NO ALLOC","NO ALLOC",ROUND($R349*AB349,15)))</f>
        <v>0</v>
      </c>
      <c r="Z349" s="121">
        <f>IF(ABS(AB349)=0,"",IF($S349="NO ALLOC","NO ALLOC",ROUND($S349*AB349,15)))</f>
        <v>0</v>
      </c>
      <c r="AA349" s="121">
        <f>IF(ABS(AB349)=0,"",IF($T349="NO ALLOC","NO ALLOC",ROUND($T349*AB349,15)))</f>
        <v>-42601.042500000003</v>
      </c>
      <c r="AB349" s="121">
        <f t="shared" si="124"/>
        <v>-42601.042500000003</v>
      </c>
      <c r="AC349" s="121"/>
      <c r="AD349" s="121"/>
      <c r="AE349" s="121"/>
      <c r="AF349" s="121"/>
      <c r="AG349" s="121"/>
      <c r="AH349" s="121"/>
      <c r="AI349" s="121"/>
      <c r="AJ349" s="121">
        <v>-37909.176070000001</v>
      </c>
      <c r="AK349" s="121">
        <v>-39129.616009999998</v>
      </c>
      <c r="AL349" s="121">
        <v>-39047.691780000001</v>
      </c>
      <c r="AM349" s="121">
        <v>-40174.161340000006</v>
      </c>
      <c r="AN349" s="121">
        <v>-41297.444009999999</v>
      </c>
      <c r="AO349" s="121">
        <v>-42601.042500000003</v>
      </c>
      <c r="AP349" s="125" t="str">
        <f>CONCATENATE(A349,M349)</f>
        <v>GLS</v>
      </c>
      <c r="AQ349" s="125" t="str">
        <f>CONCATENATE(AP349,L349,H349)</f>
        <v>GLSS0</v>
      </c>
      <c r="AS349" s="125" t="str">
        <f>CONCATENATE(L349,H349,J349)</f>
        <v>S0</v>
      </c>
    </row>
    <row r="350" spans="1:45" s="125" customFormat="1" ht="25.5" customHeight="1">
      <c r="A350" s="216" t="s">
        <v>2493</v>
      </c>
      <c r="B350" s="217" t="str">
        <f t="shared" si="126"/>
        <v>GL254025</v>
      </c>
      <c r="C350" s="186">
        <v>254025</v>
      </c>
      <c r="D350" s="201"/>
      <c r="E350" s="162"/>
      <c r="F350" s="169" t="s">
        <v>458</v>
      </c>
      <c r="G350" s="117"/>
      <c r="H350" s="118" t="e">
        <v>#N/A</v>
      </c>
      <c r="I350" s="119"/>
      <c r="J350" s="120"/>
      <c r="K350" s="120" t="str">
        <f t="shared" si="122"/>
        <v/>
      </c>
      <c r="L350" s="170" t="s">
        <v>1171</v>
      </c>
      <c r="M350" s="122" t="str">
        <f t="shared" si="125"/>
        <v>S</v>
      </c>
      <c r="N350" s="116" t="str">
        <f>IF($L350&lt;&gt;"",VLOOKUP($L350,Categories!$E:$G,2,FALSE),IF($F350&lt;&gt;"","NO CAT",""))</f>
        <v>Asset &amp; Liability Side Sched</v>
      </c>
      <c r="O350" s="116" t="str">
        <f>IF($L350&lt;&gt;"",VLOOKUP($L350,Categories!$E:$G,3,FALSE),IF($F350&lt;&gt;"","NO CAT",""))</f>
        <v>Reg Asset &amp; Liabilities</v>
      </c>
      <c r="P350" s="170" t="s">
        <v>1186</v>
      </c>
      <c r="Q350" s="123" t="s">
        <v>1187</v>
      </c>
      <c r="R350" s="124">
        <v>0</v>
      </c>
      <c r="S350" s="124">
        <v>0</v>
      </c>
      <c r="T350" s="124">
        <v>1</v>
      </c>
      <c r="U350" s="121">
        <f t="shared" si="127"/>
        <v>0</v>
      </c>
      <c r="V350" s="121">
        <f t="shared" si="128"/>
        <v>0</v>
      </c>
      <c r="W350" s="121">
        <f t="shared" si="129"/>
        <v>-15042.75902625</v>
      </c>
      <c r="X350" s="121">
        <f t="shared" si="123"/>
        <v>-15042.75902625</v>
      </c>
      <c r="Y350" s="121">
        <f t="shared" si="130"/>
        <v>0</v>
      </c>
      <c r="Z350" s="121">
        <f t="shared" si="131"/>
        <v>0</v>
      </c>
      <c r="AA350" s="121">
        <f t="shared" si="132"/>
        <v>-14511.95011</v>
      </c>
      <c r="AB350" s="121">
        <f t="shared" si="124"/>
        <v>-14511.95011</v>
      </c>
      <c r="AC350" s="121">
        <v>-14046.74388</v>
      </c>
      <c r="AD350" s="121">
        <v>-14272.564119999999</v>
      </c>
      <c r="AE350" s="121">
        <v>-14839.74087</v>
      </c>
      <c r="AF350" s="121">
        <v>-15231.990029999999</v>
      </c>
      <c r="AG350" s="121">
        <v>-14160.85613</v>
      </c>
      <c r="AH350" s="121">
        <v>-14728.66905</v>
      </c>
      <c r="AI350" s="121">
        <v>-14590.453099999999</v>
      </c>
      <c r="AJ350" s="121">
        <v>-15061.6376</v>
      </c>
      <c r="AK350" s="121">
        <v>-15553.014070000001</v>
      </c>
      <c r="AL350" s="121">
        <v>-16124.04875</v>
      </c>
      <c r="AM350" s="121">
        <v>-16548.203970000002</v>
      </c>
      <c r="AN350" s="121">
        <v>-15122.583630000001</v>
      </c>
      <c r="AO350" s="121">
        <v>-14511.95011</v>
      </c>
      <c r="AP350" s="125" t="str">
        <f>CONCATENATE(A350,M350)</f>
        <v>GLS</v>
      </c>
      <c r="AQ350" s="125" t="e">
        <f>CONCATENATE(AP350,L350,H350)</f>
        <v>#N/A</v>
      </c>
      <c r="AS350" s="125" t="e">
        <f>CONCATENATE(L350,H350,J350)</f>
        <v>#N/A</v>
      </c>
    </row>
    <row r="351" spans="1:45" s="125" customFormat="1" ht="25.5" customHeight="1">
      <c r="A351" s="216" t="s">
        <v>2493</v>
      </c>
      <c r="B351" s="217" t="str">
        <f t="shared" si="126"/>
        <v>GL254026</v>
      </c>
      <c r="C351" s="186">
        <v>254026</v>
      </c>
      <c r="D351" s="201"/>
      <c r="E351" s="162"/>
      <c r="F351" s="169" t="s">
        <v>810</v>
      </c>
      <c r="G351" s="117"/>
      <c r="H351" s="118">
        <v>0</v>
      </c>
      <c r="I351" s="119"/>
      <c r="J351" s="120"/>
      <c r="K351" s="120" t="str">
        <f>IF(L351="N3","SFAS-109","")</f>
        <v/>
      </c>
      <c r="L351" s="170" t="s">
        <v>1171</v>
      </c>
      <c r="M351" s="122" t="str">
        <f t="shared" si="125"/>
        <v>S</v>
      </c>
      <c r="N351" s="116" t="str">
        <f>IF($L351&lt;&gt;"",VLOOKUP($L351,Categories!$E:$G,2,FALSE),IF($F351&lt;&gt;"","NO CAT",""))</f>
        <v>Asset &amp; Liability Side Sched</v>
      </c>
      <c r="O351" s="116" t="str">
        <f>IF($L351&lt;&gt;"",VLOOKUP($L351,Categories!$E:$G,3,FALSE),IF($F351&lt;&gt;"","NO CAT",""))</f>
        <v>Reg Asset &amp; Liabilities</v>
      </c>
      <c r="P351" s="170" t="s">
        <v>1186</v>
      </c>
      <c r="Q351" s="123" t="s">
        <v>1187</v>
      </c>
      <c r="R351" s="124">
        <v>0</v>
      </c>
      <c r="S351" s="124">
        <v>0</v>
      </c>
      <c r="T351" s="124">
        <v>1</v>
      </c>
      <c r="U351" s="121">
        <f t="shared" si="127"/>
        <v>0</v>
      </c>
      <c r="V351" s="121">
        <f t="shared" si="128"/>
        <v>0</v>
      </c>
      <c r="W351" s="121">
        <f t="shared" si="129"/>
        <v>-1053.03829041667</v>
      </c>
      <c r="X351" s="121">
        <f t="shared" si="123"/>
        <v>-1053.03829041667</v>
      </c>
      <c r="Y351" s="121">
        <f t="shared" si="130"/>
        <v>0</v>
      </c>
      <c r="Z351" s="121">
        <f t="shared" si="131"/>
        <v>0</v>
      </c>
      <c r="AA351" s="121">
        <f t="shared" si="132"/>
        <v>-1690.2462399999999</v>
      </c>
      <c r="AB351" s="121">
        <f t="shared" si="124"/>
        <v>-1690.2462399999999</v>
      </c>
      <c r="AC351" s="121">
        <v>-24.311709999999998</v>
      </c>
      <c r="AD351" s="121">
        <v>-63.568460000000002</v>
      </c>
      <c r="AE351" s="121">
        <v>-103.05658</v>
      </c>
      <c r="AF351" s="121">
        <v>-143.32292000000001</v>
      </c>
      <c r="AG351" s="121">
        <v>-1239.48757</v>
      </c>
      <c r="AH351" s="121">
        <v>-1294.32158</v>
      </c>
      <c r="AI351" s="121">
        <v>-1352.18175</v>
      </c>
      <c r="AJ351" s="121">
        <v>-1409.13309</v>
      </c>
      <c r="AK351" s="121">
        <v>-1468.7178799999999</v>
      </c>
      <c r="AL351" s="121">
        <v>-1526.2698700000001</v>
      </c>
      <c r="AM351" s="121">
        <v>-1557.86599</v>
      </c>
      <c r="AN351" s="121">
        <v>-1621.2548200000001</v>
      </c>
      <c r="AO351" s="121">
        <v>-1690.2462399999999</v>
      </c>
      <c r="AP351" s="125" t="str">
        <f>CONCATENATE(A351,M351)</f>
        <v>GLS</v>
      </c>
      <c r="AQ351" s="125" t="str">
        <f>CONCATENATE(AP351,L351,H351)</f>
        <v>GLSS0</v>
      </c>
      <c r="AS351" s="125" t="str">
        <f>CONCATENATE(L351,H351,J351)</f>
        <v>S0</v>
      </c>
    </row>
    <row r="352" spans="1:45" s="125" customFormat="1" ht="25.5" customHeight="1">
      <c r="A352" s="216" t="s">
        <v>2493</v>
      </c>
      <c r="B352" s="217" t="str">
        <f t="shared" si="126"/>
        <v>GL254085</v>
      </c>
      <c r="C352" s="186">
        <v>254085</v>
      </c>
      <c r="D352" s="201"/>
      <c r="E352" s="162"/>
      <c r="F352" s="169" t="s">
        <v>2745</v>
      </c>
      <c r="G352" s="117"/>
      <c r="H352" s="118" t="e">
        <v>#N/A</v>
      </c>
      <c r="I352" s="119"/>
      <c r="J352" s="120"/>
      <c r="K352" s="120" t="str">
        <f t="shared" si="122"/>
        <v/>
      </c>
      <c r="L352" s="170" t="s">
        <v>1171</v>
      </c>
      <c r="M352" s="122" t="str">
        <f t="shared" si="125"/>
        <v>S</v>
      </c>
      <c r="N352" s="116" t="str">
        <f>IF($L352&lt;&gt;"",VLOOKUP($L352,Categories!$E:$G,2,FALSE),IF($F352&lt;&gt;"","NO CAT",""))</f>
        <v>Asset &amp; Liability Side Sched</v>
      </c>
      <c r="O352" s="116" t="str">
        <f>IF($L352&lt;&gt;"",VLOOKUP($L352,Categories!$E:$G,3,FALSE),IF($F352&lt;&gt;"","NO CAT",""))</f>
        <v>Reg Asset &amp; Liabilities</v>
      </c>
      <c r="P352" s="170" t="s">
        <v>1186</v>
      </c>
      <c r="Q352" s="123" t="s">
        <v>1187</v>
      </c>
      <c r="R352" s="124">
        <v>0</v>
      </c>
      <c r="S352" s="124">
        <v>0</v>
      </c>
      <c r="T352" s="124">
        <v>1</v>
      </c>
      <c r="U352" s="121">
        <f t="shared" si="127"/>
        <v>0</v>
      </c>
      <c r="V352" s="121">
        <f t="shared" si="128"/>
        <v>0</v>
      </c>
      <c r="W352" s="121">
        <f t="shared" si="129"/>
        <v>-368.39666666666699</v>
      </c>
      <c r="X352" s="121">
        <f t="shared" si="123"/>
        <v>-368.39666666666699</v>
      </c>
      <c r="Y352" s="121" t="str">
        <f t="shared" si="130"/>
        <v/>
      </c>
      <c r="Z352" s="121" t="str">
        <f t="shared" si="131"/>
        <v/>
      </c>
      <c r="AA352" s="121" t="str">
        <f t="shared" si="132"/>
        <v/>
      </c>
      <c r="AB352" s="121">
        <f t="shared" si="124"/>
        <v>0</v>
      </c>
      <c r="AC352" s="121">
        <v>-303.89999999999998</v>
      </c>
      <c r="AD352" s="121">
        <v>-1216.5999999999999</v>
      </c>
      <c r="AE352" s="121">
        <v>-820.99</v>
      </c>
      <c r="AF352" s="121">
        <v>-425.35</v>
      </c>
      <c r="AG352" s="121">
        <v>-1046.48</v>
      </c>
      <c r="AH352" s="121">
        <v>-440.81</v>
      </c>
      <c r="AI352" s="121">
        <v>-309.55</v>
      </c>
      <c r="AJ352" s="121">
        <v>0</v>
      </c>
      <c r="AK352" s="121">
        <v>0</v>
      </c>
      <c r="AL352" s="121">
        <v>-9.0299999999999994</v>
      </c>
      <c r="AM352" s="121">
        <v>0</v>
      </c>
      <c r="AN352" s="121">
        <v>0</v>
      </c>
      <c r="AO352" s="121">
        <v>0</v>
      </c>
      <c r="AP352" s="125" t="str">
        <f>CONCATENATE(A352,M352)</f>
        <v>GLS</v>
      </c>
      <c r="AQ352" s="125" t="e">
        <f>CONCATENATE(AP352,L352,H352)</f>
        <v>#N/A</v>
      </c>
      <c r="AS352" s="125" t="e">
        <f>CONCATENATE(L352,H352,J352)</f>
        <v>#N/A</v>
      </c>
    </row>
    <row r="353" spans="1:45" s="125" customFormat="1" ht="25.5" customHeight="1">
      <c r="A353" s="216" t="s">
        <v>2493</v>
      </c>
      <c r="B353" s="217" t="str">
        <f t="shared" si="126"/>
        <v>GL254115</v>
      </c>
      <c r="C353" s="186">
        <v>254115</v>
      </c>
      <c r="D353" s="201"/>
      <c r="E353" s="162"/>
      <c r="F353" s="169" t="s">
        <v>728</v>
      </c>
      <c r="G353" s="117"/>
      <c r="H353" s="118">
        <v>0</v>
      </c>
      <c r="I353" s="119"/>
      <c r="J353" s="120"/>
      <c r="K353" s="120" t="str">
        <f>IF(L353="N3","SFAS-109","")</f>
        <v/>
      </c>
      <c r="L353" s="170" t="s">
        <v>1171</v>
      </c>
      <c r="M353" s="122" t="str">
        <f t="shared" si="125"/>
        <v>S</v>
      </c>
      <c r="N353" s="116" t="str">
        <f>IF($L353&lt;&gt;"",VLOOKUP($L353,Categories!$E:$G,2,FALSE),IF($F353&lt;&gt;"","NO CAT",""))</f>
        <v>Asset &amp; Liability Side Sched</v>
      </c>
      <c r="O353" s="116" t="str">
        <f>IF($L353&lt;&gt;"",VLOOKUP($L353,Categories!$E:$G,3,FALSE),IF($F353&lt;&gt;"","NO CAT",""))</f>
        <v>Reg Asset &amp; Liabilities</v>
      </c>
      <c r="P353" s="170" t="s">
        <v>1186</v>
      </c>
      <c r="Q353" s="123" t="s">
        <v>1187</v>
      </c>
      <c r="R353" s="124">
        <v>0</v>
      </c>
      <c r="S353" s="124">
        <v>0</v>
      </c>
      <c r="T353" s="124">
        <v>1</v>
      </c>
      <c r="U353" s="121">
        <f t="shared" si="127"/>
        <v>0</v>
      </c>
      <c r="V353" s="121">
        <f t="shared" si="128"/>
        <v>0</v>
      </c>
      <c r="W353" s="121">
        <f t="shared" si="129"/>
        <v>-810.62223625000001</v>
      </c>
      <c r="X353" s="121">
        <f t="shared" si="123"/>
        <v>-810.62223625000001</v>
      </c>
      <c r="Y353" s="121">
        <f t="shared" si="130"/>
        <v>0</v>
      </c>
      <c r="Z353" s="121">
        <f t="shared" si="131"/>
        <v>0</v>
      </c>
      <c r="AA353" s="121">
        <f t="shared" si="132"/>
        <v>-730.89188999999999</v>
      </c>
      <c r="AB353" s="121">
        <f t="shared" si="124"/>
        <v>-730.89188999999999</v>
      </c>
      <c r="AC353" s="121">
        <v>-229.05814000000001</v>
      </c>
      <c r="AD353" s="121">
        <v>-390.73403999999999</v>
      </c>
      <c r="AE353" s="121">
        <v>-571.27255000000002</v>
      </c>
      <c r="AF353" s="121">
        <v>-807.53061000000002</v>
      </c>
      <c r="AG353" s="121">
        <v>-860.57456999999999</v>
      </c>
      <c r="AH353" s="121">
        <v>-904.82240999999999</v>
      </c>
      <c r="AI353" s="121">
        <v>-944.46496000000002</v>
      </c>
      <c r="AJ353" s="121">
        <v>-1012.4021700000001</v>
      </c>
      <c r="AK353" s="121">
        <v>-1068.29829</v>
      </c>
      <c r="AL353" s="121">
        <v>-995.66782999999998</v>
      </c>
      <c r="AM353" s="121">
        <v>-907.76003000000003</v>
      </c>
      <c r="AN353" s="121">
        <v>-783.96435999999994</v>
      </c>
      <c r="AO353" s="121">
        <v>-730.89188999999999</v>
      </c>
      <c r="AP353" s="125" t="str">
        <f>CONCATENATE(A353,M353)</f>
        <v>GLS</v>
      </c>
      <c r="AQ353" s="125" t="str">
        <f>CONCATENATE(AP353,L353,H353)</f>
        <v>GLSS0</v>
      </c>
      <c r="AS353" s="125" t="str">
        <f>CONCATENATE(L353,H353,J353)</f>
        <v>S0</v>
      </c>
    </row>
    <row r="354" spans="1:45" s="125" customFormat="1" ht="25.5" customHeight="1">
      <c r="A354" s="216" t="s">
        <v>2493</v>
      </c>
      <c r="B354" s="217" t="str">
        <f t="shared" si="126"/>
        <v>GL254116</v>
      </c>
      <c r="C354" s="186">
        <v>254116</v>
      </c>
      <c r="D354" s="201"/>
      <c r="E354" s="162"/>
      <c r="F354" s="169" t="s">
        <v>729</v>
      </c>
      <c r="G354" s="117"/>
      <c r="H354" s="118">
        <v>0</v>
      </c>
      <c r="I354" s="119"/>
      <c r="J354" s="120"/>
      <c r="K354" s="120" t="str">
        <f>IF(L354="N3","SFAS-109","")</f>
        <v/>
      </c>
      <c r="L354" s="170" t="s">
        <v>1171</v>
      </c>
      <c r="M354" s="122" t="str">
        <f t="shared" si="125"/>
        <v>S</v>
      </c>
      <c r="N354" s="116" t="str">
        <f>IF($L354&lt;&gt;"",VLOOKUP($L354,Categories!$E:$G,2,FALSE),IF($F354&lt;&gt;"","NO CAT",""))</f>
        <v>Asset &amp; Liability Side Sched</v>
      </c>
      <c r="O354" s="116" t="str">
        <f>IF($L354&lt;&gt;"",VLOOKUP($L354,Categories!$E:$G,3,FALSE),IF($F354&lt;&gt;"","NO CAT",""))</f>
        <v>Reg Asset &amp; Liabilities</v>
      </c>
      <c r="P354" s="170" t="s">
        <v>1186</v>
      </c>
      <c r="Q354" s="123" t="s">
        <v>1187</v>
      </c>
      <c r="R354" s="124">
        <v>0</v>
      </c>
      <c r="S354" s="124">
        <v>0</v>
      </c>
      <c r="T354" s="124">
        <v>1</v>
      </c>
      <c r="U354" s="121">
        <f t="shared" si="127"/>
        <v>0</v>
      </c>
      <c r="V354" s="121">
        <f t="shared" si="128"/>
        <v>0</v>
      </c>
      <c r="W354" s="121">
        <f t="shared" si="129"/>
        <v>-106.276642083333</v>
      </c>
      <c r="X354" s="121">
        <f t="shared" si="123"/>
        <v>-106.276642083333</v>
      </c>
      <c r="Y354" s="121">
        <f t="shared" si="130"/>
        <v>0</v>
      </c>
      <c r="Z354" s="121">
        <f t="shared" si="131"/>
        <v>0</v>
      </c>
      <c r="AA354" s="121">
        <f t="shared" si="132"/>
        <v>-41.620049999999999</v>
      </c>
      <c r="AB354" s="121">
        <f t="shared" si="124"/>
        <v>-41.620050000000006</v>
      </c>
      <c r="AC354" s="121">
        <v>9.0963200000000004</v>
      </c>
      <c r="AD354" s="121">
        <v>-41.013649999999998</v>
      </c>
      <c r="AE354" s="121">
        <v>-89.186549999999997</v>
      </c>
      <c r="AF354" s="121">
        <v>-149.92959999999999</v>
      </c>
      <c r="AG354" s="121">
        <v>-175.4881</v>
      </c>
      <c r="AH354" s="121">
        <v>-178.22148000000001</v>
      </c>
      <c r="AI354" s="121">
        <v>-163.27831</v>
      </c>
      <c r="AJ354" s="121">
        <v>-143.46598</v>
      </c>
      <c r="AK354" s="121">
        <v>-120.74571</v>
      </c>
      <c r="AL354" s="121">
        <v>-91.133889999999994</v>
      </c>
      <c r="AM354" s="121">
        <v>-63.533799999999999</v>
      </c>
      <c r="AN354" s="121">
        <v>-43.060769999999998</v>
      </c>
      <c r="AO354" s="121">
        <v>-41.620050000000006</v>
      </c>
      <c r="AP354" s="125" t="str">
        <f>CONCATENATE(A354,M354)</f>
        <v>GLS</v>
      </c>
      <c r="AQ354" s="125" t="str">
        <f>CONCATENATE(AP354,L354,H354)</f>
        <v>GLSS0</v>
      </c>
      <c r="AS354" s="125" t="str">
        <f>CONCATENATE(L354,H354,J354)</f>
        <v>S0</v>
      </c>
    </row>
    <row r="355" spans="1:45" s="125" customFormat="1" ht="25.5" customHeight="1">
      <c r="A355" s="216" t="s">
        <v>2493</v>
      </c>
      <c r="B355" s="217" t="str">
        <f t="shared" si="126"/>
        <v>GL254172</v>
      </c>
      <c r="C355" s="186">
        <v>254172</v>
      </c>
      <c r="D355" s="201"/>
      <c r="E355" s="162"/>
      <c r="F355" s="169" t="s">
        <v>2756</v>
      </c>
      <c r="G355" s="117"/>
      <c r="H355" s="118">
        <v>0</v>
      </c>
      <c r="I355" s="119"/>
      <c r="J355" s="120"/>
      <c r="K355" s="120" t="str">
        <f t="shared" si="122"/>
        <v/>
      </c>
      <c r="L355" s="170" t="s">
        <v>1171</v>
      </c>
      <c r="M355" s="122" t="str">
        <f t="shared" si="125"/>
        <v>S</v>
      </c>
      <c r="N355" s="116" t="str">
        <f>IF($L355&lt;&gt;"",VLOOKUP($L355,Categories!$E:$G,2,FALSE),IF($F355&lt;&gt;"","NO CAT",""))</f>
        <v>Asset &amp; Liability Side Sched</v>
      </c>
      <c r="O355" s="116" t="str">
        <f>IF($L355&lt;&gt;"",VLOOKUP($L355,Categories!$E:$G,3,FALSE),IF($F355&lt;&gt;"","NO CAT",""))</f>
        <v>Reg Asset &amp; Liabilities</v>
      </c>
      <c r="P355" s="170" t="s">
        <v>1186</v>
      </c>
      <c r="Q355" s="123" t="s">
        <v>1187</v>
      </c>
      <c r="R355" s="124">
        <v>0</v>
      </c>
      <c r="S355" s="124">
        <v>0</v>
      </c>
      <c r="T355" s="124">
        <v>1</v>
      </c>
      <c r="U355" s="121">
        <f t="shared" si="127"/>
        <v>0</v>
      </c>
      <c r="V355" s="121">
        <f t="shared" si="128"/>
        <v>0</v>
      </c>
      <c r="W355" s="121">
        <f t="shared" si="129"/>
        <v>-3142.8273304166701</v>
      </c>
      <c r="X355" s="121">
        <f t="shared" ref="X355:X403" si="133">IF(ISERROR(ROUND((SUM(AC355:AO355)-((AC355+AO355))/2)/12,15)),"",ROUND((SUM(AC355:AO355)-((AC355+AO355))/2)/12,15))</f>
        <v>-3142.8273304166701</v>
      </c>
      <c r="Y355" s="121">
        <f t="shared" si="130"/>
        <v>0</v>
      </c>
      <c r="Z355" s="121">
        <f t="shared" si="131"/>
        <v>0</v>
      </c>
      <c r="AA355" s="121">
        <f t="shared" si="132"/>
        <v>-4615.9503199999999</v>
      </c>
      <c r="AB355" s="121">
        <f t="shared" ref="AB355:AB403" si="134">IF(AO355="",0,+AO355)</f>
        <v>-4615.9503199999999</v>
      </c>
      <c r="AC355" s="121">
        <v>-1663.6409699999999</v>
      </c>
      <c r="AD355" s="121">
        <v>-1932.9304099999999</v>
      </c>
      <c r="AE355" s="121">
        <v>-2196.10617</v>
      </c>
      <c r="AF355" s="121">
        <v>-2435.94722</v>
      </c>
      <c r="AG355" s="121">
        <v>-2631.86724</v>
      </c>
      <c r="AH355" s="121">
        <v>-2923.0341699999999</v>
      </c>
      <c r="AI355" s="121">
        <v>-3174.4574400000001</v>
      </c>
      <c r="AJ355" s="121">
        <v>-3407.7422999999999</v>
      </c>
      <c r="AK355" s="121">
        <v>-3607.0407599999999</v>
      </c>
      <c r="AL355" s="121">
        <v>-3839.3560899999998</v>
      </c>
      <c r="AM355" s="121">
        <v>-4079.2602299999999</v>
      </c>
      <c r="AN355" s="121">
        <v>-4346.3902900000003</v>
      </c>
      <c r="AO355" s="121">
        <v>-4615.9503199999999</v>
      </c>
      <c r="AP355" s="125" t="str">
        <f>CONCATENATE(A355,M355)</f>
        <v>GLS</v>
      </c>
      <c r="AQ355" s="125" t="str">
        <f>CONCATENATE(AP355,L355,H355)</f>
        <v>GLSS0</v>
      </c>
      <c r="AS355" s="125" t="str">
        <f>CONCATENATE(L355,H355,J355)</f>
        <v>S0</v>
      </c>
    </row>
    <row r="356" spans="1:45" s="125" customFormat="1" ht="25.5" customHeight="1">
      <c r="A356" s="216" t="s">
        <v>2493</v>
      </c>
      <c r="B356" s="217" t="str">
        <f t="shared" si="126"/>
        <v>GL254210</v>
      </c>
      <c r="C356" s="186">
        <v>254210</v>
      </c>
      <c r="D356" s="201"/>
      <c r="E356" s="162"/>
      <c r="F356" s="169" t="s">
        <v>874</v>
      </c>
      <c r="G356" s="117"/>
      <c r="H356" s="118" t="s">
        <v>1180</v>
      </c>
      <c r="I356" s="119"/>
      <c r="J356" s="120"/>
      <c r="K356" s="120" t="str">
        <f t="shared" si="122"/>
        <v/>
      </c>
      <c r="L356" s="170" t="s">
        <v>1171</v>
      </c>
      <c r="M356" s="122" t="str">
        <f t="shared" si="125"/>
        <v>S</v>
      </c>
      <c r="N356" s="116" t="str">
        <f>IF($L356&lt;&gt;"",VLOOKUP($L356,Categories!$E:$G,2,FALSE),IF($F356&lt;&gt;"","NO CAT",""))</f>
        <v>Asset &amp; Liability Side Sched</v>
      </c>
      <c r="O356" s="116" t="str">
        <f>IF($L356&lt;&gt;"",VLOOKUP($L356,Categories!$E:$G,3,FALSE),IF($F356&lt;&gt;"","NO CAT",""))</f>
        <v>Reg Asset &amp; Liabilities</v>
      </c>
      <c r="P356" s="170" t="s">
        <v>1186</v>
      </c>
      <c r="Q356" s="123" t="s">
        <v>1187</v>
      </c>
      <c r="R356" s="124">
        <v>0</v>
      </c>
      <c r="S356" s="124">
        <v>0</v>
      </c>
      <c r="T356" s="124">
        <v>1</v>
      </c>
      <c r="U356" s="121">
        <f t="shared" si="127"/>
        <v>0</v>
      </c>
      <c r="V356" s="121">
        <f t="shared" si="128"/>
        <v>0</v>
      </c>
      <c r="W356" s="121">
        <f t="shared" si="129"/>
        <v>-212.16535999999999</v>
      </c>
      <c r="X356" s="121">
        <f t="shared" si="133"/>
        <v>-212.16535999999999</v>
      </c>
      <c r="Y356" s="121">
        <f t="shared" si="130"/>
        <v>0</v>
      </c>
      <c r="Z356" s="121">
        <f t="shared" si="131"/>
        <v>0</v>
      </c>
      <c r="AA356" s="121">
        <f t="shared" si="132"/>
        <v>-212.16535999999999</v>
      </c>
      <c r="AB356" s="121">
        <f t="shared" si="134"/>
        <v>-212.16535999999999</v>
      </c>
      <c r="AC356" s="121">
        <v>-212.16535999999999</v>
      </c>
      <c r="AD356" s="121">
        <v>-212.16535999999999</v>
      </c>
      <c r="AE356" s="121">
        <v>-212.16535999999999</v>
      </c>
      <c r="AF356" s="121">
        <v>-212.16535999999999</v>
      </c>
      <c r="AG356" s="121">
        <v>-212.16535999999999</v>
      </c>
      <c r="AH356" s="121">
        <v>-212.16535999999999</v>
      </c>
      <c r="AI356" s="121">
        <v>-212.16535999999999</v>
      </c>
      <c r="AJ356" s="121">
        <v>-212.16535999999999</v>
      </c>
      <c r="AK356" s="121">
        <v>-212.16535999999999</v>
      </c>
      <c r="AL356" s="121">
        <v>-212.16535999999999</v>
      </c>
      <c r="AM356" s="121">
        <v>-212.16535999999999</v>
      </c>
      <c r="AN356" s="121">
        <v>-212.16535999999999</v>
      </c>
      <c r="AO356" s="121">
        <v>-212.16535999999999</v>
      </c>
      <c r="AP356" s="125" t="str">
        <f>CONCATENATE(A356,M356)</f>
        <v>GLS</v>
      </c>
      <c r="AQ356" s="125" t="str">
        <f>CONCATENATE(AP356,L356,H356)</f>
        <v>GLSS</v>
      </c>
      <c r="AS356" s="125" t="str">
        <f>CONCATENATE(L356,H356,J356)</f>
        <v>S</v>
      </c>
    </row>
    <row r="357" spans="1:45" s="125" customFormat="1" ht="25.5" customHeight="1">
      <c r="A357" s="216" t="s">
        <v>2493</v>
      </c>
      <c r="B357" s="217" t="str">
        <f t="shared" si="126"/>
        <v>GL254220</v>
      </c>
      <c r="C357" s="186">
        <v>254220</v>
      </c>
      <c r="D357" s="201"/>
      <c r="E357" s="162"/>
      <c r="F357" s="169" t="s">
        <v>264</v>
      </c>
      <c r="G357" s="117"/>
      <c r="H357" s="118" t="s">
        <v>1180</v>
      </c>
      <c r="I357" s="119"/>
      <c r="J357" s="120"/>
      <c r="K357" s="120" t="str">
        <f t="shared" si="122"/>
        <v/>
      </c>
      <c r="L357" s="170" t="s">
        <v>1171</v>
      </c>
      <c r="M357" s="122" t="str">
        <f t="shared" si="125"/>
        <v>S</v>
      </c>
      <c r="N357" s="116" t="str">
        <f>IF($L357&lt;&gt;"",VLOOKUP($L357,Categories!$E:$G,2,FALSE),IF($F357&lt;&gt;"","NO CAT",""))</f>
        <v>Asset &amp; Liability Side Sched</v>
      </c>
      <c r="O357" s="116" t="str">
        <f>IF($L357&lt;&gt;"",VLOOKUP($L357,Categories!$E:$G,3,FALSE),IF($F357&lt;&gt;"","NO CAT",""))</f>
        <v>Reg Asset &amp; Liabilities</v>
      </c>
      <c r="P357" s="170" t="s">
        <v>1186</v>
      </c>
      <c r="Q357" s="123" t="s">
        <v>1187</v>
      </c>
      <c r="R357" s="124">
        <v>0</v>
      </c>
      <c r="S357" s="124">
        <v>0</v>
      </c>
      <c r="T357" s="124">
        <v>1</v>
      </c>
      <c r="U357" s="121">
        <f t="shared" si="127"/>
        <v>0</v>
      </c>
      <c r="V357" s="121">
        <f t="shared" si="128"/>
        <v>0</v>
      </c>
      <c r="W357" s="121">
        <f t="shared" si="129"/>
        <v>-7326.9309999999996</v>
      </c>
      <c r="X357" s="121">
        <f t="shared" si="133"/>
        <v>-7326.9309999999996</v>
      </c>
      <c r="Y357" s="121">
        <f t="shared" si="130"/>
        <v>0</v>
      </c>
      <c r="Z357" s="121">
        <f t="shared" si="131"/>
        <v>0</v>
      </c>
      <c r="AA357" s="121">
        <f t="shared" si="132"/>
        <v>-7326.9309999999996</v>
      </c>
      <c r="AB357" s="121">
        <f t="shared" si="134"/>
        <v>-7326.9309999999996</v>
      </c>
      <c r="AC357" s="121">
        <v>-7326.9309999999996</v>
      </c>
      <c r="AD357" s="121">
        <v>-7326.9309999999996</v>
      </c>
      <c r="AE357" s="121">
        <v>-7326.9309999999996</v>
      </c>
      <c r="AF357" s="121">
        <v>-7326.9309999999996</v>
      </c>
      <c r="AG357" s="121">
        <v>-7326.9309999999996</v>
      </c>
      <c r="AH357" s="121">
        <v>-7326.9309999999996</v>
      </c>
      <c r="AI357" s="121">
        <v>-7326.9309999999996</v>
      </c>
      <c r="AJ357" s="121">
        <v>-7326.9309999999996</v>
      </c>
      <c r="AK357" s="121">
        <v>-7326.9309999999996</v>
      </c>
      <c r="AL357" s="121">
        <v>-7326.9309999999996</v>
      </c>
      <c r="AM357" s="121">
        <v>-7326.9309999999996</v>
      </c>
      <c r="AN357" s="121">
        <v>-7326.9309999999996</v>
      </c>
      <c r="AO357" s="121">
        <v>-7326.9309999999996</v>
      </c>
      <c r="AP357" s="125" t="str">
        <f>CONCATENATE(A357,M357)</f>
        <v>GLS</v>
      </c>
      <c r="AQ357" s="125" t="str">
        <f>CONCATENATE(AP357,L357,H357)</f>
        <v>GLSS</v>
      </c>
      <c r="AS357" s="125" t="str">
        <f>CONCATENATE(L357,H357,J357)</f>
        <v>S</v>
      </c>
    </row>
    <row r="358" spans="1:45" s="125" customFormat="1" ht="25.5" customHeight="1">
      <c r="A358" s="216" t="s">
        <v>2493</v>
      </c>
      <c r="B358" s="217" t="str">
        <f t="shared" si="126"/>
        <v>GL254266</v>
      </c>
      <c r="C358" s="186">
        <v>254266</v>
      </c>
      <c r="D358" s="201"/>
      <c r="E358" s="162"/>
      <c r="F358" s="169" t="s">
        <v>599</v>
      </c>
      <c r="G358" s="117"/>
      <c r="H358" s="118">
        <v>0</v>
      </c>
      <c r="I358" s="119"/>
      <c r="J358" s="120"/>
      <c r="K358" s="120" t="str">
        <f t="shared" si="122"/>
        <v/>
      </c>
      <c r="L358" s="170" t="s">
        <v>1171</v>
      </c>
      <c r="M358" s="122" t="str">
        <f t="shared" si="125"/>
        <v>S</v>
      </c>
      <c r="N358" s="116" t="str">
        <f>IF($L358&lt;&gt;"",VLOOKUP($L358,Categories!$E:$G,2,FALSE),IF($F358&lt;&gt;"","NO CAT",""))</f>
        <v>Asset &amp; Liability Side Sched</v>
      </c>
      <c r="O358" s="116" t="str">
        <f>IF($L358&lt;&gt;"",VLOOKUP($L358,Categories!$E:$G,3,FALSE),IF($F358&lt;&gt;"","NO CAT",""))</f>
        <v>Reg Asset &amp; Liabilities</v>
      </c>
      <c r="P358" s="170" t="s">
        <v>1186</v>
      </c>
      <c r="Q358" s="123" t="s">
        <v>1187</v>
      </c>
      <c r="R358" s="124">
        <v>0</v>
      </c>
      <c r="S358" s="124">
        <v>0</v>
      </c>
      <c r="T358" s="124">
        <v>1</v>
      </c>
      <c r="U358" s="121">
        <f t="shared" si="127"/>
        <v>0</v>
      </c>
      <c r="V358" s="121">
        <f t="shared" si="128"/>
        <v>0</v>
      </c>
      <c r="W358" s="121">
        <f t="shared" si="129"/>
        <v>-16470.964729166699</v>
      </c>
      <c r="X358" s="121">
        <f t="shared" si="133"/>
        <v>-16470.964729166699</v>
      </c>
      <c r="Y358" s="121" t="str">
        <f t="shared" si="130"/>
        <v/>
      </c>
      <c r="Z358" s="121" t="str">
        <f t="shared" si="131"/>
        <v/>
      </c>
      <c r="AA358" s="121" t="str">
        <f t="shared" si="132"/>
        <v/>
      </c>
      <c r="AB358" s="121">
        <f t="shared" si="134"/>
        <v>0</v>
      </c>
      <c r="AC358" s="121">
        <v>-6149.3074999999999</v>
      </c>
      <c r="AD358" s="121">
        <v>-19594.622500000001</v>
      </c>
      <c r="AE358" s="121">
        <v>-22803.126499999998</v>
      </c>
      <c r="AF358" s="121">
        <v>-21000.290499999999</v>
      </c>
      <c r="AG358" s="121">
        <v>-33082.917500000003</v>
      </c>
      <c r="AH358" s="121">
        <v>-26710.633999999998</v>
      </c>
      <c r="AI358" s="121">
        <v>-16412.9365</v>
      </c>
      <c r="AJ358" s="121">
        <v>0</v>
      </c>
      <c r="AK358" s="121">
        <v>-6054.2039999999997</v>
      </c>
      <c r="AL358" s="121">
        <v>-17171.799500000001</v>
      </c>
      <c r="AM358" s="121">
        <v>-14717.4385</v>
      </c>
      <c r="AN358" s="121">
        <v>-17028.9535</v>
      </c>
      <c r="AO358" s="121">
        <v>0</v>
      </c>
      <c r="AP358" s="125" t="str">
        <f>CONCATENATE(A358,M358)</f>
        <v>GLS</v>
      </c>
      <c r="AQ358" s="125" t="str">
        <f>CONCATENATE(AP358,L358,H358)</f>
        <v>GLSS0</v>
      </c>
      <c r="AS358" s="125" t="str">
        <f>CONCATENATE(L358,H358,J358)</f>
        <v>S0</v>
      </c>
    </row>
    <row r="359" spans="1:45" s="125" customFormat="1" ht="25.5" customHeight="1">
      <c r="A359" s="216" t="s">
        <v>2493</v>
      </c>
      <c r="B359" s="217" t="str">
        <f t="shared" si="126"/>
        <v>GL254270</v>
      </c>
      <c r="C359" s="186">
        <v>254270</v>
      </c>
      <c r="D359" s="201"/>
      <c r="E359" s="162"/>
      <c r="F359" s="169" t="s">
        <v>773</v>
      </c>
      <c r="G359" s="117"/>
      <c r="H359" s="118" t="s">
        <v>1180</v>
      </c>
      <c r="I359" s="119"/>
      <c r="J359" s="120"/>
      <c r="K359" s="120" t="str">
        <f t="shared" ref="K359:K418" si="135">IF(L359="N3","SFAS-109","")</f>
        <v/>
      </c>
      <c r="L359" s="170" t="s">
        <v>1171</v>
      </c>
      <c r="M359" s="122" t="str">
        <f t="shared" si="125"/>
        <v>S</v>
      </c>
      <c r="N359" s="116" t="str">
        <f>IF($L359&lt;&gt;"",VLOOKUP($L359,Categories!$E:$G,2,FALSE),IF($F359&lt;&gt;"","NO CAT",""))</f>
        <v>Asset &amp; Liability Side Sched</v>
      </c>
      <c r="O359" s="116" t="str">
        <f>IF($L359&lt;&gt;"",VLOOKUP($L359,Categories!$E:$G,3,FALSE),IF($F359&lt;&gt;"","NO CAT",""))</f>
        <v>Reg Asset &amp; Liabilities</v>
      </c>
      <c r="P359" s="170" t="s">
        <v>1186</v>
      </c>
      <c r="Q359" s="123" t="s">
        <v>1187</v>
      </c>
      <c r="R359" s="124">
        <v>0</v>
      </c>
      <c r="S359" s="124">
        <v>0</v>
      </c>
      <c r="T359" s="124">
        <v>1</v>
      </c>
      <c r="U359" s="121">
        <f t="shared" si="127"/>
        <v>0</v>
      </c>
      <c r="V359" s="121">
        <f t="shared" si="128"/>
        <v>0</v>
      </c>
      <c r="W359" s="121">
        <f t="shared" si="129"/>
        <v>2444.84047375</v>
      </c>
      <c r="X359" s="121">
        <f t="shared" si="133"/>
        <v>2444.84047375</v>
      </c>
      <c r="Y359" s="121">
        <f t="shared" si="130"/>
        <v>0</v>
      </c>
      <c r="Z359" s="121">
        <f t="shared" si="131"/>
        <v>0</v>
      </c>
      <c r="AA359" s="121">
        <f t="shared" si="132"/>
        <v>2338.53332</v>
      </c>
      <c r="AB359" s="121">
        <f t="shared" si="134"/>
        <v>2338.53332</v>
      </c>
      <c r="AC359" s="121">
        <v>2573.7548299999999</v>
      </c>
      <c r="AD359" s="121">
        <v>2574.42679</v>
      </c>
      <c r="AE359" s="121">
        <v>2575.1013599999997</v>
      </c>
      <c r="AF359" s="121">
        <v>2574.9308599999999</v>
      </c>
      <c r="AG359" s="121">
        <v>2551.5016700000001</v>
      </c>
      <c r="AH359" s="121">
        <v>2553.8298300000001</v>
      </c>
      <c r="AI359" s="121">
        <v>2556.17038</v>
      </c>
      <c r="AJ359" s="121">
        <v>2241.6400899999999</v>
      </c>
      <c r="AK359" s="121">
        <v>2242.2118799999998</v>
      </c>
      <c r="AL359" s="121">
        <v>2336.8006800000003</v>
      </c>
      <c r="AM359" s="121">
        <v>2337.3750700000001</v>
      </c>
      <c r="AN359" s="121">
        <v>2337.953</v>
      </c>
      <c r="AO359" s="121">
        <v>2338.53332</v>
      </c>
      <c r="AP359" s="125" t="str">
        <f>CONCATENATE(A359,M359)</f>
        <v>GLS</v>
      </c>
      <c r="AQ359" s="125" t="str">
        <f>CONCATENATE(AP359,L359,H359)</f>
        <v>GLSS</v>
      </c>
      <c r="AS359" s="125" t="str">
        <f>CONCATENATE(L359,H359,J359)</f>
        <v>S</v>
      </c>
    </row>
    <row r="360" spans="1:45" s="125" customFormat="1" ht="25.5" customHeight="1">
      <c r="A360" s="216" t="s">
        <v>2493</v>
      </c>
      <c r="B360" s="217" t="str">
        <f t="shared" si="126"/>
        <v>GL254275</v>
      </c>
      <c r="C360" s="186">
        <v>254275</v>
      </c>
      <c r="D360" s="201"/>
      <c r="E360" s="162"/>
      <c r="F360" s="169" t="s">
        <v>731</v>
      </c>
      <c r="G360" s="117"/>
      <c r="H360" s="118">
        <v>0</v>
      </c>
      <c r="I360" s="119"/>
      <c r="J360" s="120"/>
      <c r="K360" s="120" t="str">
        <f t="shared" si="135"/>
        <v/>
      </c>
      <c r="L360" s="170" t="s">
        <v>1171</v>
      </c>
      <c r="M360" s="122" t="str">
        <f t="shared" si="125"/>
        <v>S</v>
      </c>
      <c r="N360" s="116" t="str">
        <f>IF($L360&lt;&gt;"",VLOOKUP($L360,Categories!$E:$G,2,FALSE),IF($F360&lt;&gt;"","NO CAT",""))</f>
        <v>Asset &amp; Liability Side Sched</v>
      </c>
      <c r="O360" s="116" t="str">
        <f>IF($L360&lt;&gt;"",VLOOKUP($L360,Categories!$E:$G,3,FALSE),IF($F360&lt;&gt;"","NO CAT",""))</f>
        <v>Reg Asset &amp; Liabilities</v>
      </c>
      <c r="P360" s="170" t="s">
        <v>1186</v>
      </c>
      <c r="Q360" s="123" t="s">
        <v>1187</v>
      </c>
      <c r="R360" s="124">
        <v>0</v>
      </c>
      <c r="S360" s="124">
        <v>0</v>
      </c>
      <c r="T360" s="124">
        <v>1</v>
      </c>
      <c r="U360" s="121">
        <f t="shared" si="127"/>
        <v>0</v>
      </c>
      <c r="V360" s="121">
        <f t="shared" si="128"/>
        <v>0</v>
      </c>
      <c r="W360" s="121">
        <f t="shared" si="129"/>
        <v>-13654.55565</v>
      </c>
      <c r="X360" s="121">
        <f t="shared" si="133"/>
        <v>-13654.55565</v>
      </c>
      <c r="Y360" s="121">
        <f t="shared" si="130"/>
        <v>0</v>
      </c>
      <c r="Z360" s="121">
        <f t="shared" si="131"/>
        <v>0</v>
      </c>
      <c r="AA360" s="121">
        <f t="shared" si="132"/>
        <v>-13654.55565</v>
      </c>
      <c r="AB360" s="121">
        <f t="shared" si="134"/>
        <v>-13654.55565</v>
      </c>
      <c r="AC360" s="121">
        <v>-13654.55565</v>
      </c>
      <c r="AD360" s="121">
        <v>-13654.55565</v>
      </c>
      <c r="AE360" s="121">
        <v>-13654.55565</v>
      </c>
      <c r="AF360" s="121">
        <v>-13654.55565</v>
      </c>
      <c r="AG360" s="121">
        <v>-13654.55565</v>
      </c>
      <c r="AH360" s="121">
        <v>-13654.55565</v>
      </c>
      <c r="AI360" s="121">
        <v>-13654.55565</v>
      </c>
      <c r="AJ360" s="121">
        <v>-13654.55565</v>
      </c>
      <c r="AK360" s="121">
        <v>-13654.55565</v>
      </c>
      <c r="AL360" s="121">
        <v>-13654.55565</v>
      </c>
      <c r="AM360" s="121">
        <v>-13654.55565</v>
      </c>
      <c r="AN360" s="121">
        <v>-13654.55565</v>
      </c>
      <c r="AO360" s="121">
        <v>-13654.55565</v>
      </c>
      <c r="AP360" s="125" t="str">
        <f>CONCATENATE(A360,M360)</f>
        <v>GLS</v>
      </c>
      <c r="AQ360" s="125" t="str">
        <f>CONCATENATE(AP360,L360,H360)</f>
        <v>GLSS0</v>
      </c>
      <c r="AS360" s="125" t="str">
        <f>CONCATENATE(L360,H360,J360)</f>
        <v>S0</v>
      </c>
    </row>
    <row r="361" spans="1:45" s="125" customFormat="1" ht="25.5" customHeight="1">
      <c r="A361" s="216" t="s">
        <v>2493</v>
      </c>
      <c r="B361" s="217" t="str">
        <f t="shared" si="126"/>
        <v>GL254276</v>
      </c>
      <c r="C361" s="186">
        <v>254276</v>
      </c>
      <c r="D361" s="201"/>
      <c r="E361" s="162"/>
      <c r="F361" s="169" t="s">
        <v>732</v>
      </c>
      <c r="G361" s="117"/>
      <c r="H361" s="118">
        <v>0</v>
      </c>
      <c r="I361" s="119"/>
      <c r="J361" s="120"/>
      <c r="K361" s="120" t="str">
        <f t="shared" si="135"/>
        <v/>
      </c>
      <c r="L361" s="170" t="s">
        <v>1171</v>
      </c>
      <c r="M361" s="122" t="str">
        <f t="shared" si="125"/>
        <v>S</v>
      </c>
      <c r="N361" s="116" t="str">
        <f>IF($L361&lt;&gt;"",VLOOKUP($L361,Categories!$E:$G,2,FALSE),IF($F361&lt;&gt;"","NO CAT",""))</f>
        <v>Asset &amp; Liability Side Sched</v>
      </c>
      <c r="O361" s="116" t="str">
        <f>IF($L361&lt;&gt;"",VLOOKUP($L361,Categories!$E:$G,3,FALSE),IF($F361&lt;&gt;"","NO CAT",""))</f>
        <v>Reg Asset &amp; Liabilities</v>
      </c>
      <c r="P361" s="170" t="s">
        <v>1186</v>
      </c>
      <c r="Q361" s="123" t="s">
        <v>1187</v>
      </c>
      <c r="R361" s="124">
        <v>0</v>
      </c>
      <c r="S361" s="124">
        <v>0</v>
      </c>
      <c r="T361" s="124">
        <v>1</v>
      </c>
      <c r="U361" s="121">
        <f t="shared" si="127"/>
        <v>0</v>
      </c>
      <c r="V361" s="121">
        <f t="shared" si="128"/>
        <v>0</v>
      </c>
      <c r="W361" s="121">
        <f t="shared" si="129"/>
        <v>231.48804000000001</v>
      </c>
      <c r="X361" s="121">
        <f t="shared" si="133"/>
        <v>231.48804000000001</v>
      </c>
      <c r="Y361" s="121">
        <f t="shared" si="130"/>
        <v>0</v>
      </c>
      <c r="Z361" s="121">
        <f t="shared" si="131"/>
        <v>0</v>
      </c>
      <c r="AA361" s="121">
        <f t="shared" si="132"/>
        <v>231.48804000000001</v>
      </c>
      <c r="AB361" s="121">
        <f t="shared" si="134"/>
        <v>231.48804000000001</v>
      </c>
      <c r="AC361" s="121">
        <v>231.48804000000001</v>
      </c>
      <c r="AD361" s="121">
        <v>231.48804000000001</v>
      </c>
      <c r="AE361" s="121">
        <v>231.48804000000001</v>
      </c>
      <c r="AF361" s="121">
        <v>231.48804000000001</v>
      </c>
      <c r="AG361" s="121">
        <v>231.48804000000001</v>
      </c>
      <c r="AH361" s="121">
        <v>231.48804000000001</v>
      </c>
      <c r="AI361" s="121">
        <v>231.48804000000001</v>
      </c>
      <c r="AJ361" s="121">
        <v>231.48804000000001</v>
      </c>
      <c r="AK361" s="121">
        <v>231.48804000000001</v>
      </c>
      <c r="AL361" s="121">
        <v>231.48804000000001</v>
      </c>
      <c r="AM361" s="121">
        <v>231.48804000000001</v>
      </c>
      <c r="AN361" s="121">
        <v>231.48804000000001</v>
      </c>
      <c r="AO361" s="121">
        <v>231.48804000000001</v>
      </c>
      <c r="AP361" s="125" t="str">
        <f>CONCATENATE(A361,M361)</f>
        <v>GLS</v>
      </c>
      <c r="AQ361" s="125" t="str">
        <f>CONCATENATE(AP361,L361,H361)</f>
        <v>GLSS0</v>
      </c>
      <c r="AS361" s="125" t="str">
        <f>CONCATENATE(L361,H361,J361)</f>
        <v>S0</v>
      </c>
    </row>
    <row r="362" spans="1:45" s="125" customFormat="1" ht="25.5" customHeight="1">
      <c r="A362" s="216" t="s">
        <v>2493</v>
      </c>
      <c r="B362" s="217" t="str">
        <f>CONCATENATE(A362,C362,D362,E362)</f>
        <v>GL254367</v>
      </c>
      <c r="C362" s="186">
        <v>254367</v>
      </c>
      <c r="D362" s="201"/>
      <c r="E362" s="162"/>
      <c r="F362" s="169" t="s">
        <v>4539</v>
      </c>
      <c r="G362" s="117"/>
      <c r="H362" s="118">
        <v>0</v>
      </c>
      <c r="I362" s="119"/>
      <c r="J362" s="120"/>
      <c r="K362" s="120" t="str">
        <f>IF(L362="N3","SFAS-109","")</f>
        <v/>
      </c>
      <c r="L362" s="170" t="s">
        <v>1171</v>
      </c>
      <c r="M362" s="122" t="str">
        <f>LEFT(L362,1)</f>
        <v>S</v>
      </c>
      <c r="N362" s="116" t="str">
        <f>IF($L362&lt;&gt;"",VLOOKUP($L362,Categories!$E:$G,2,FALSE),IF($F362&lt;&gt;"","NO CAT",""))</f>
        <v>Asset &amp; Liability Side Sched</v>
      </c>
      <c r="O362" s="116" t="str">
        <f>IF($L362&lt;&gt;"",VLOOKUP($L362,Categories!$E:$G,3,FALSE),IF($F362&lt;&gt;"","NO CAT",""))</f>
        <v>Reg Asset &amp; Liabilities</v>
      </c>
      <c r="P362" s="170" t="s">
        <v>1186</v>
      </c>
      <c r="Q362" s="123" t="s">
        <v>1187</v>
      </c>
      <c r="R362" s="124">
        <v>0</v>
      </c>
      <c r="S362" s="124">
        <v>0</v>
      </c>
      <c r="T362" s="124">
        <v>1</v>
      </c>
      <c r="U362" s="121">
        <f>IF(ABS(X362)=0,"",IF($R362="NO ALLOC","NO ALLOC",ROUND($R362*X362,15)))</f>
        <v>0</v>
      </c>
      <c r="V362" s="121">
        <f>IF(ABS(X362)=0,"",IF($S362="NO ALLOC","NO ALLOC",ROUND($S362*X362,15)))</f>
        <v>0</v>
      </c>
      <c r="W362" s="121">
        <f>IF(ABS(X362)=0,"",IF($T362="NO ALLOC","NO ALLOC",ROUND($T362*X362,15)))</f>
        <v>-10104.06494</v>
      </c>
      <c r="X362" s="121">
        <f t="shared" si="133"/>
        <v>-10104.06494</v>
      </c>
      <c r="Y362" s="121">
        <f>IF(ABS(AB362)=0,"",IF($R362="NO ALLOC","NO ALLOC",ROUND($R362*AB362,15)))</f>
        <v>0</v>
      </c>
      <c r="Z362" s="121">
        <f>IF(ABS(AB362)=0,"",IF($S362="NO ALLOC","NO ALLOC",ROUND($S362*AB362,15)))</f>
        <v>0</v>
      </c>
      <c r="AA362" s="121">
        <f>IF(ABS(AB362)=0,"",IF($T362="NO ALLOC","NO ALLOC",ROUND($T362*AB362,15)))</f>
        <v>-2317.3980000000001</v>
      </c>
      <c r="AB362" s="121">
        <f t="shared" si="134"/>
        <v>-2317.3980000000001</v>
      </c>
      <c r="AC362" s="121">
        <v>0</v>
      </c>
      <c r="AD362" s="121">
        <v>-25993.258000000002</v>
      </c>
      <c r="AE362" s="121">
        <v>-37076.733</v>
      </c>
      <c r="AF362" s="121">
        <v>-42954.033369999997</v>
      </c>
      <c r="AG362" s="121">
        <v>-12504.770909999999</v>
      </c>
      <c r="AH362" s="121">
        <v>0</v>
      </c>
      <c r="AI362" s="121">
        <v>0</v>
      </c>
      <c r="AJ362" s="121">
        <v>0</v>
      </c>
      <c r="AK362" s="121">
        <v>0</v>
      </c>
      <c r="AL362" s="121">
        <v>0</v>
      </c>
      <c r="AM362" s="121">
        <v>0</v>
      </c>
      <c r="AN362" s="121">
        <v>-1561.2850000000001</v>
      </c>
      <c r="AO362" s="121">
        <v>-2317.3980000000001</v>
      </c>
      <c r="AP362" s="125" t="str">
        <f>CONCATENATE(A362,M362)</f>
        <v>GLS</v>
      </c>
      <c r="AQ362" s="125" t="str">
        <f>CONCATENATE(AP362,L362,H362)</f>
        <v>GLSS0</v>
      </c>
      <c r="AS362" s="125" t="str">
        <f>CONCATENATE(L362,H362,J362)</f>
        <v>S0</v>
      </c>
    </row>
    <row r="363" spans="1:45" s="125" customFormat="1" ht="25.5" customHeight="1">
      <c r="A363" s="216" t="s">
        <v>2493</v>
      </c>
      <c r="B363" s="217" t="str">
        <f t="shared" si="126"/>
        <v>GL254370</v>
      </c>
      <c r="C363" s="186">
        <v>254370</v>
      </c>
      <c r="D363" s="201"/>
      <c r="E363" s="162"/>
      <c r="F363" s="169" t="s">
        <v>2517</v>
      </c>
      <c r="G363" s="117"/>
      <c r="H363" s="118">
        <v>0</v>
      </c>
      <c r="I363" s="119"/>
      <c r="J363" s="120"/>
      <c r="K363" s="120" t="str">
        <f>IF(L363="N3","SFAS-109","")</f>
        <v/>
      </c>
      <c r="L363" s="170" t="s">
        <v>1171</v>
      </c>
      <c r="M363" s="122" t="str">
        <f t="shared" si="125"/>
        <v>S</v>
      </c>
      <c r="N363" s="116" t="str">
        <f>IF($L363&lt;&gt;"",VLOOKUP($L363,Categories!$E:$G,2,FALSE),IF($F363&lt;&gt;"","NO CAT",""))</f>
        <v>Asset &amp; Liability Side Sched</v>
      </c>
      <c r="O363" s="116" t="str">
        <f>IF($L363&lt;&gt;"",VLOOKUP($L363,Categories!$E:$G,3,FALSE),IF($F363&lt;&gt;"","NO CAT",""))</f>
        <v>Reg Asset &amp; Liabilities</v>
      </c>
      <c r="P363" s="170" t="s">
        <v>1186</v>
      </c>
      <c r="Q363" s="123" t="s">
        <v>1187</v>
      </c>
      <c r="R363" s="124">
        <v>0</v>
      </c>
      <c r="S363" s="124">
        <v>0</v>
      </c>
      <c r="T363" s="124">
        <v>1</v>
      </c>
      <c r="U363" s="121">
        <f t="shared" si="127"/>
        <v>0</v>
      </c>
      <c r="V363" s="121">
        <f t="shared" si="128"/>
        <v>0</v>
      </c>
      <c r="W363" s="121">
        <f t="shared" si="129"/>
        <v>-2881.4039154166699</v>
      </c>
      <c r="X363" s="121">
        <f t="shared" si="133"/>
        <v>-2881.4039154166699</v>
      </c>
      <c r="Y363" s="121">
        <f t="shared" si="130"/>
        <v>0</v>
      </c>
      <c r="Z363" s="121">
        <f t="shared" si="131"/>
        <v>0</v>
      </c>
      <c r="AA363" s="121">
        <f t="shared" si="132"/>
        <v>176.82031000000001</v>
      </c>
      <c r="AB363" s="121">
        <f t="shared" si="134"/>
        <v>176.82031000000001</v>
      </c>
      <c r="AC363" s="121">
        <v>-6693.8385799999996</v>
      </c>
      <c r="AD363" s="121">
        <v>-5514.1007800000007</v>
      </c>
      <c r="AE363" s="121">
        <v>-4477.04619</v>
      </c>
      <c r="AF363" s="121">
        <v>-3532.2051900000001</v>
      </c>
      <c r="AG363" s="121">
        <v>-3415.9925499999999</v>
      </c>
      <c r="AH363" s="121">
        <v>-2757.1484300000002</v>
      </c>
      <c r="AI363" s="121">
        <v>-2581.4856500000001</v>
      </c>
      <c r="AJ363" s="121">
        <v>-2431.4365899999998</v>
      </c>
      <c r="AK363" s="121">
        <v>-2178.6684799999998</v>
      </c>
      <c r="AL363" s="121">
        <v>-1951.8046299999999</v>
      </c>
      <c r="AM363" s="121">
        <v>-1636.2725500000001</v>
      </c>
      <c r="AN363" s="121">
        <v>-842.17681000000005</v>
      </c>
      <c r="AO363" s="121">
        <v>176.82031000000001</v>
      </c>
      <c r="AP363" s="125" t="str">
        <f>CONCATENATE(A363,M363)</f>
        <v>GLS</v>
      </c>
      <c r="AQ363" s="125" t="str">
        <f>CONCATENATE(AP363,L363,H363)</f>
        <v>GLSS0</v>
      </c>
      <c r="AS363" s="125" t="str">
        <f>CONCATENATE(L363,H363,J363)</f>
        <v>S0</v>
      </c>
    </row>
    <row r="364" spans="1:45" s="125" customFormat="1" ht="25.5" customHeight="1">
      <c r="A364" s="216" t="s">
        <v>2493</v>
      </c>
      <c r="B364" s="217" t="str">
        <f t="shared" si="126"/>
        <v>GL254670</v>
      </c>
      <c r="C364" s="186">
        <v>254670</v>
      </c>
      <c r="D364" s="201"/>
      <c r="E364" s="162"/>
      <c r="F364" s="169" t="s">
        <v>2872</v>
      </c>
      <c r="G364" s="117"/>
      <c r="H364" s="118" t="s">
        <v>1180</v>
      </c>
      <c r="I364" s="119"/>
      <c r="J364" s="120"/>
      <c r="K364" s="120" t="str">
        <f t="shared" si="135"/>
        <v/>
      </c>
      <c r="L364" s="170" t="s">
        <v>1171</v>
      </c>
      <c r="M364" s="122" t="str">
        <f t="shared" si="125"/>
        <v>S</v>
      </c>
      <c r="N364" s="116" t="str">
        <f>IF($L364&lt;&gt;"",VLOOKUP($L364,Categories!$E:$G,2,FALSE),IF($F364&lt;&gt;"","NO CAT",""))</f>
        <v>Asset &amp; Liability Side Sched</v>
      </c>
      <c r="O364" s="116" t="str">
        <f>IF($L364&lt;&gt;"",VLOOKUP($L364,Categories!$E:$G,3,FALSE),IF($F364&lt;&gt;"","NO CAT",""))</f>
        <v>Reg Asset &amp; Liabilities</v>
      </c>
      <c r="P364" s="170" t="s">
        <v>1186</v>
      </c>
      <c r="Q364" s="123" t="s">
        <v>1187</v>
      </c>
      <c r="R364" s="124">
        <v>0</v>
      </c>
      <c r="S364" s="124">
        <v>0</v>
      </c>
      <c r="T364" s="124">
        <v>1</v>
      </c>
      <c r="U364" s="121">
        <f t="shared" si="127"/>
        <v>0</v>
      </c>
      <c r="V364" s="121">
        <f t="shared" si="128"/>
        <v>0</v>
      </c>
      <c r="W364" s="121">
        <f t="shared" si="129"/>
        <v>-3000.98783</v>
      </c>
      <c r="X364" s="121">
        <f t="shared" si="133"/>
        <v>-3000.98783</v>
      </c>
      <c r="Y364" s="121">
        <f t="shared" si="130"/>
        <v>0</v>
      </c>
      <c r="Z364" s="121">
        <f t="shared" si="131"/>
        <v>0</v>
      </c>
      <c r="AA364" s="121">
        <f t="shared" si="132"/>
        <v>-3000.98783</v>
      </c>
      <c r="AB364" s="121">
        <f t="shared" si="134"/>
        <v>-3000.98783</v>
      </c>
      <c r="AC364" s="121">
        <v>-3000.98783</v>
      </c>
      <c r="AD364" s="121">
        <v>-3000.98783</v>
      </c>
      <c r="AE364" s="121">
        <v>-3000.98783</v>
      </c>
      <c r="AF364" s="121">
        <v>-3000.98783</v>
      </c>
      <c r="AG364" s="121">
        <v>-3000.98783</v>
      </c>
      <c r="AH364" s="121">
        <v>-3000.98783</v>
      </c>
      <c r="AI364" s="121">
        <v>-3000.98783</v>
      </c>
      <c r="AJ364" s="121">
        <v>-3000.98783</v>
      </c>
      <c r="AK364" s="121">
        <v>-3000.98783</v>
      </c>
      <c r="AL364" s="121">
        <v>-3000.98783</v>
      </c>
      <c r="AM364" s="121">
        <v>-3000.98783</v>
      </c>
      <c r="AN364" s="121">
        <v>-3000.98783</v>
      </c>
      <c r="AO364" s="121">
        <v>-3000.98783</v>
      </c>
      <c r="AP364" s="125" t="str">
        <f>CONCATENATE(A364,M364)</f>
        <v>GLS</v>
      </c>
      <c r="AQ364" s="125" t="str">
        <f>CONCATENATE(AP364,L364,H364)</f>
        <v>GLSS</v>
      </c>
      <c r="AS364" s="125" t="str">
        <f>CONCATENATE(L364,H364,J364)</f>
        <v>S</v>
      </c>
    </row>
    <row r="365" spans="1:45" s="125" customFormat="1" ht="25.5" customHeight="1">
      <c r="A365" s="216" t="s">
        <v>2493</v>
      </c>
      <c r="B365" s="217" t="str">
        <f t="shared" si="126"/>
        <v>GL254907</v>
      </c>
      <c r="C365" s="186">
        <v>254907</v>
      </c>
      <c r="D365" s="201"/>
      <c r="E365" s="162"/>
      <c r="F365" s="169" t="s">
        <v>2243</v>
      </c>
      <c r="G365" s="117"/>
      <c r="H365" s="118">
        <v>0</v>
      </c>
      <c r="I365" s="119"/>
      <c r="J365" s="120"/>
      <c r="K365" s="120" t="str">
        <f t="shared" si="135"/>
        <v/>
      </c>
      <c r="L365" s="170" t="s">
        <v>1171</v>
      </c>
      <c r="M365" s="122" t="str">
        <f t="shared" si="125"/>
        <v>S</v>
      </c>
      <c r="N365" s="116" t="str">
        <f>IF($L365&lt;&gt;"",VLOOKUP($L365,Categories!$E:$G,2,FALSE),IF($F365&lt;&gt;"","NO CAT",""))</f>
        <v>Asset &amp; Liability Side Sched</v>
      </c>
      <c r="O365" s="116" t="str">
        <f>IF($L365&lt;&gt;"",VLOOKUP($L365,Categories!$E:$G,3,FALSE),IF($F365&lt;&gt;"","NO CAT",""))</f>
        <v>Reg Asset &amp; Liabilities</v>
      </c>
      <c r="P365" s="170" t="s">
        <v>1186</v>
      </c>
      <c r="Q365" s="123" t="s">
        <v>1187</v>
      </c>
      <c r="R365" s="124">
        <v>0</v>
      </c>
      <c r="S365" s="124">
        <v>0</v>
      </c>
      <c r="T365" s="124">
        <v>1</v>
      </c>
      <c r="U365" s="121" t="str">
        <f t="shared" si="127"/>
        <v/>
      </c>
      <c r="V365" s="121" t="str">
        <f t="shared" si="128"/>
        <v/>
      </c>
      <c r="W365" s="121" t="str">
        <f t="shared" si="129"/>
        <v/>
      </c>
      <c r="X365" s="121">
        <f t="shared" si="133"/>
        <v>0</v>
      </c>
      <c r="Y365" s="121" t="str">
        <f t="shared" si="130"/>
        <v/>
      </c>
      <c r="Z365" s="121" t="str">
        <f t="shared" si="131"/>
        <v/>
      </c>
      <c r="AA365" s="121" t="str">
        <f t="shared" si="132"/>
        <v/>
      </c>
      <c r="AB365" s="121">
        <f t="shared" si="134"/>
        <v>0</v>
      </c>
      <c r="AC365" s="121">
        <v>0</v>
      </c>
      <c r="AD365" s="121">
        <v>0</v>
      </c>
      <c r="AE365" s="121">
        <v>0</v>
      </c>
      <c r="AF365" s="121">
        <v>0</v>
      </c>
      <c r="AG365" s="121">
        <v>0</v>
      </c>
      <c r="AH365" s="121">
        <v>0</v>
      </c>
      <c r="AI365" s="121">
        <v>0</v>
      </c>
      <c r="AJ365" s="121">
        <v>0</v>
      </c>
      <c r="AK365" s="121">
        <v>0</v>
      </c>
      <c r="AL365" s="121">
        <v>0</v>
      </c>
      <c r="AM365" s="121">
        <v>0</v>
      </c>
      <c r="AN365" s="121">
        <v>0</v>
      </c>
      <c r="AO365" s="121">
        <v>0</v>
      </c>
      <c r="AP365" s="125" t="str">
        <f>CONCATENATE(A365,M365)</f>
        <v>GLS</v>
      </c>
      <c r="AQ365" s="125" t="str">
        <f>CONCATENATE(AP365,L365,H365)</f>
        <v>GLSS0</v>
      </c>
      <c r="AS365" s="125" t="str">
        <f>CONCATENATE(L365,H365,J365)</f>
        <v>S0</v>
      </c>
    </row>
    <row r="366" spans="1:45" s="125" customFormat="1" ht="25.5" customHeight="1">
      <c r="A366" s="216" t="s">
        <v>2493</v>
      </c>
      <c r="B366" s="217" t="str">
        <f t="shared" si="126"/>
        <v>GL254908</v>
      </c>
      <c r="C366" s="186">
        <v>254908</v>
      </c>
      <c r="D366" s="201"/>
      <c r="E366" s="162"/>
      <c r="F366" s="169" t="s">
        <v>2244</v>
      </c>
      <c r="G366" s="117"/>
      <c r="H366" s="118">
        <v>0</v>
      </c>
      <c r="I366" s="119"/>
      <c r="J366" s="120"/>
      <c r="K366" s="120" t="str">
        <f t="shared" si="135"/>
        <v/>
      </c>
      <c r="L366" s="170" t="s">
        <v>1171</v>
      </c>
      <c r="M366" s="122" t="str">
        <f t="shared" si="125"/>
        <v>S</v>
      </c>
      <c r="N366" s="116" t="str">
        <f>IF($L366&lt;&gt;"",VLOOKUP($L366,Categories!$E:$G,2,FALSE),IF($F366&lt;&gt;"","NO CAT",""))</f>
        <v>Asset &amp; Liability Side Sched</v>
      </c>
      <c r="O366" s="116" t="str">
        <f>IF($L366&lt;&gt;"",VLOOKUP($L366,Categories!$E:$G,3,FALSE),IF($F366&lt;&gt;"","NO CAT",""))</f>
        <v>Reg Asset &amp; Liabilities</v>
      </c>
      <c r="P366" s="170" t="s">
        <v>1186</v>
      </c>
      <c r="Q366" s="123" t="s">
        <v>1187</v>
      </c>
      <c r="R366" s="124">
        <v>0</v>
      </c>
      <c r="S366" s="124">
        <v>0</v>
      </c>
      <c r="T366" s="124">
        <v>1</v>
      </c>
      <c r="U366" s="121">
        <f t="shared" si="127"/>
        <v>0</v>
      </c>
      <c r="V366" s="121">
        <f t="shared" si="128"/>
        <v>0</v>
      </c>
      <c r="W366" s="121">
        <f t="shared" si="129"/>
        <v>-4.1666666700000002E-7</v>
      </c>
      <c r="X366" s="121">
        <f t="shared" si="133"/>
        <v>-4.1666666700000002E-7</v>
      </c>
      <c r="Y366" s="121" t="str">
        <f t="shared" si="130"/>
        <v/>
      </c>
      <c r="Z366" s="121" t="str">
        <f t="shared" si="131"/>
        <v/>
      </c>
      <c r="AA366" s="121" t="str">
        <f t="shared" si="132"/>
        <v/>
      </c>
      <c r="AB366" s="121">
        <f t="shared" si="134"/>
        <v>0</v>
      </c>
      <c r="AC366" s="121">
        <v>-1.0000000000000001E-5</v>
      </c>
      <c r="AD366" s="121">
        <v>0</v>
      </c>
      <c r="AE366" s="121">
        <v>0</v>
      </c>
      <c r="AF366" s="121">
        <v>0</v>
      </c>
      <c r="AG366" s="121">
        <v>0</v>
      </c>
      <c r="AH366" s="121">
        <v>0</v>
      </c>
      <c r="AI366" s="121">
        <v>0</v>
      </c>
      <c r="AJ366" s="121">
        <v>0</v>
      </c>
      <c r="AK366" s="121">
        <v>0</v>
      </c>
      <c r="AL366" s="121">
        <v>0</v>
      </c>
      <c r="AM366" s="121">
        <v>0</v>
      </c>
      <c r="AN366" s="121">
        <v>0</v>
      </c>
      <c r="AO366" s="121">
        <v>0</v>
      </c>
      <c r="AP366" s="125" t="str">
        <f>CONCATENATE(A366,M366)</f>
        <v>GLS</v>
      </c>
      <c r="AQ366" s="125" t="str">
        <f>CONCATENATE(AP366,L366,H366)</f>
        <v>GLSS0</v>
      </c>
      <c r="AS366" s="125" t="str">
        <f>CONCATENATE(L366,H366,J366)</f>
        <v>S0</v>
      </c>
    </row>
    <row r="367" spans="1:45" s="125" customFormat="1" ht="25.5" customHeight="1">
      <c r="A367" s="216" t="s">
        <v>2493</v>
      </c>
      <c r="B367" s="217" t="str">
        <f t="shared" si="126"/>
        <v>GL254994</v>
      </c>
      <c r="C367" s="186">
        <v>254994</v>
      </c>
      <c r="D367" s="201"/>
      <c r="E367" s="162"/>
      <c r="F367" s="169" t="s">
        <v>2586</v>
      </c>
      <c r="G367" s="117"/>
      <c r="H367" s="118" t="s">
        <v>1180</v>
      </c>
      <c r="I367" s="119"/>
      <c r="J367" s="120"/>
      <c r="K367" s="120" t="str">
        <f t="shared" si="135"/>
        <v/>
      </c>
      <c r="L367" s="170" t="s">
        <v>1171</v>
      </c>
      <c r="M367" s="122" t="str">
        <f t="shared" si="125"/>
        <v>S</v>
      </c>
      <c r="N367" s="116" t="str">
        <f>IF($L367&lt;&gt;"",VLOOKUP($L367,Categories!$E:$G,2,FALSE),IF($F367&lt;&gt;"","NO CAT",""))</f>
        <v>Asset &amp; Liability Side Sched</v>
      </c>
      <c r="O367" s="116" t="str">
        <f>IF($L367&lt;&gt;"",VLOOKUP($L367,Categories!$E:$G,3,FALSE),IF($F367&lt;&gt;"","NO CAT",""))</f>
        <v>Reg Asset &amp; Liabilities</v>
      </c>
      <c r="P367" s="170" t="s">
        <v>1186</v>
      </c>
      <c r="Q367" s="123" t="s">
        <v>1187</v>
      </c>
      <c r="R367" s="124">
        <v>0</v>
      </c>
      <c r="S367" s="124">
        <v>0</v>
      </c>
      <c r="T367" s="124">
        <v>1</v>
      </c>
      <c r="U367" s="121">
        <f t="shared" si="127"/>
        <v>0</v>
      </c>
      <c r="V367" s="121">
        <f t="shared" si="128"/>
        <v>0</v>
      </c>
      <c r="W367" s="121">
        <f t="shared" si="129"/>
        <v>-11247.736045</v>
      </c>
      <c r="X367" s="121">
        <f t="shared" si="133"/>
        <v>-11247.736045</v>
      </c>
      <c r="Y367" s="121">
        <f t="shared" si="130"/>
        <v>0</v>
      </c>
      <c r="Z367" s="121">
        <f t="shared" si="131"/>
        <v>0</v>
      </c>
      <c r="AA367" s="121">
        <f t="shared" si="132"/>
        <v>-11575.720499999999</v>
      </c>
      <c r="AB367" s="121">
        <f t="shared" si="134"/>
        <v>-11575.720499999999</v>
      </c>
      <c r="AC367" s="121">
        <v>-10950.214179999999</v>
      </c>
      <c r="AD367" s="121">
        <v>-10948.934429999999</v>
      </c>
      <c r="AE367" s="121">
        <v>-10947.647499999999</v>
      </c>
      <c r="AF367" s="121">
        <v>-10945.50519</v>
      </c>
      <c r="AG367" s="121">
        <v>-10990.192369999999</v>
      </c>
      <c r="AH367" s="121">
        <v>-10990.89294</v>
      </c>
      <c r="AI367" s="121">
        <v>-10991.597159999999</v>
      </c>
      <c r="AJ367" s="121">
        <v>-11581.19706</v>
      </c>
      <c r="AK367" s="121">
        <v>-11580.11572</v>
      </c>
      <c r="AL367" s="121">
        <v>-11579.025449999999</v>
      </c>
      <c r="AM367" s="121">
        <v>-11577.92951</v>
      </c>
      <c r="AN367" s="121">
        <v>-11576.827869999999</v>
      </c>
      <c r="AO367" s="121">
        <v>-11575.720499999999</v>
      </c>
      <c r="AP367" s="125" t="str">
        <f>CONCATENATE(A367,M367)</f>
        <v>GLS</v>
      </c>
      <c r="AQ367" s="125" t="str">
        <f>CONCATENATE(AP367,L367,H367)</f>
        <v>GLSS</v>
      </c>
      <c r="AS367" s="125" t="str">
        <f>CONCATENATE(L367,H367,J367)</f>
        <v>S</v>
      </c>
    </row>
    <row r="368" spans="1:45" s="125" customFormat="1" ht="25.5" customHeight="1">
      <c r="A368" s="216" t="s">
        <v>2493</v>
      </c>
      <c r="B368" s="217" t="str">
        <f t="shared" si="126"/>
        <v>GL254995</v>
      </c>
      <c r="C368" s="186">
        <v>254995</v>
      </c>
      <c r="D368" s="201"/>
      <c r="E368" s="162"/>
      <c r="F368" s="169" t="s">
        <v>1886</v>
      </c>
      <c r="G368" s="117"/>
      <c r="H368" s="118" t="s">
        <v>1180</v>
      </c>
      <c r="I368" s="119"/>
      <c r="J368" s="120"/>
      <c r="K368" s="120" t="str">
        <f t="shared" si="135"/>
        <v/>
      </c>
      <c r="L368" s="170" t="s">
        <v>1171</v>
      </c>
      <c r="M368" s="122" t="str">
        <f t="shared" si="125"/>
        <v>S</v>
      </c>
      <c r="N368" s="116" t="str">
        <f>IF($L368&lt;&gt;"",VLOOKUP($L368,Categories!$E:$G,2,FALSE),IF($F368&lt;&gt;"","NO CAT",""))</f>
        <v>Asset &amp; Liability Side Sched</v>
      </c>
      <c r="O368" s="116" t="str">
        <f>IF($L368&lt;&gt;"",VLOOKUP($L368,Categories!$E:$G,3,FALSE),IF($F368&lt;&gt;"","NO CAT",""))</f>
        <v>Reg Asset &amp; Liabilities</v>
      </c>
      <c r="P368" s="170" t="s">
        <v>1186</v>
      </c>
      <c r="Q368" s="123" t="s">
        <v>1187</v>
      </c>
      <c r="R368" s="124">
        <v>0</v>
      </c>
      <c r="S368" s="124">
        <v>0</v>
      </c>
      <c r="T368" s="124">
        <v>1</v>
      </c>
      <c r="U368" s="121">
        <f t="shared" si="127"/>
        <v>0</v>
      </c>
      <c r="V368" s="121">
        <f t="shared" si="128"/>
        <v>0</v>
      </c>
      <c r="W368" s="121">
        <f t="shared" si="129"/>
        <v>11247.736045</v>
      </c>
      <c r="X368" s="121">
        <f t="shared" si="133"/>
        <v>11247.736045</v>
      </c>
      <c r="Y368" s="121">
        <f t="shared" si="130"/>
        <v>0</v>
      </c>
      <c r="Z368" s="121">
        <f t="shared" si="131"/>
        <v>0</v>
      </c>
      <c r="AA368" s="121">
        <f t="shared" si="132"/>
        <v>11575.720499999999</v>
      </c>
      <c r="AB368" s="121">
        <f t="shared" si="134"/>
        <v>11575.720499999999</v>
      </c>
      <c r="AC368" s="121">
        <v>10950.214179999999</v>
      </c>
      <c r="AD368" s="121">
        <v>10948.934429999999</v>
      </c>
      <c r="AE368" s="121">
        <v>10947.647499999999</v>
      </c>
      <c r="AF368" s="121">
        <v>10945.50519</v>
      </c>
      <c r="AG368" s="121">
        <v>10990.192369999999</v>
      </c>
      <c r="AH368" s="121">
        <v>10990.89294</v>
      </c>
      <c r="AI368" s="121">
        <v>10991.597159999999</v>
      </c>
      <c r="AJ368" s="121">
        <v>11581.19706</v>
      </c>
      <c r="AK368" s="121">
        <v>11580.11572</v>
      </c>
      <c r="AL368" s="121">
        <v>11579.025449999999</v>
      </c>
      <c r="AM368" s="121">
        <v>11577.92951</v>
      </c>
      <c r="AN368" s="121">
        <v>11576.827869999999</v>
      </c>
      <c r="AO368" s="121">
        <v>11575.720499999999</v>
      </c>
      <c r="AP368" s="125" t="str">
        <f>CONCATENATE(A368,M368)</f>
        <v>GLS</v>
      </c>
      <c r="AQ368" s="125" t="str">
        <f>CONCATENATE(AP368,L368,H368)</f>
        <v>GLSS</v>
      </c>
      <c r="AS368" s="125" t="str">
        <f>CONCATENATE(L368,H368,J368)</f>
        <v>S</v>
      </c>
    </row>
    <row r="369" spans="1:45" s="125" customFormat="1" ht="25.5" customHeight="1">
      <c r="A369" s="216" t="s">
        <v>2493</v>
      </c>
      <c r="B369" s="217" t="str">
        <f t="shared" ref="B369:B425" si="136">CONCATENATE(A369,C369,D369,E369)</f>
        <v>GL255100</v>
      </c>
      <c r="C369" s="186">
        <v>255100</v>
      </c>
      <c r="D369" s="201"/>
      <c r="E369" s="162"/>
      <c r="F369" s="169" t="s">
        <v>1887</v>
      </c>
      <c r="G369" s="117"/>
      <c r="H369" s="118" t="s">
        <v>1180</v>
      </c>
      <c r="I369" s="119"/>
      <c r="J369" s="120"/>
      <c r="K369" s="120" t="str">
        <f t="shared" si="135"/>
        <v/>
      </c>
      <c r="L369" s="170" t="s">
        <v>1174</v>
      </c>
      <c r="M369" s="122" t="str">
        <f t="shared" si="125"/>
        <v>T</v>
      </c>
      <c r="N369" s="116" t="str">
        <f>IF($L369&lt;&gt;"",VLOOKUP($L369,Categories!$E:$G,2,FALSE),IF($F369&lt;&gt;"","NO CAT",""))</f>
        <v>Def Tax Side Sched</v>
      </c>
      <c r="O369" s="116" t="str">
        <f>IF($L369&lt;&gt;"",VLOOKUP($L369,Categories!$E:$G,3,FALSE),IF($F369&lt;&gt;"","NO CAT",""))</f>
        <v>Def Taxes</v>
      </c>
      <c r="P369" s="170" t="s">
        <v>1186</v>
      </c>
      <c r="Q369" s="123" t="s">
        <v>1187</v>
      </c>
      <c r="R369" s="124">
        <v>0</v>
      </c>
      <c r="S369" s="124">
        <v>0</v>
      </c>
      <c r="T369" s="124">
        <v>1</v>
      </c>
      <c r="U369" s="121">
        <f t="shared" si="127"/>
        <v>0</v>
      </c>
      <c r="V369" s="121">
        <f t="shared" si="128"/>
        <v>0</v>
      </c>
      <c r="W369" s="121">
        <f t="shared" si="129"/>
        <v>-14721.00654</v>
      </c>
      <c r="X369" s="121">
        <f t="shared" si="133"/>
        <v>-14721.00654</v>
      </c>
      <c r="Y369" s="121">
        <f t="shared" si="130"/>
        <v>0</v>
      </c>
      <c r="Z369" s="121">
        <f t="shared" si="131"/>
        <v>0</v>
      </c>
      <c r="AA369" s="121">
        <f t="shared" si="132"/>
        <v>-14452.00654</v>
      </c>
      <c r="AB369" s="121">
        <f t="shared" si="134"/>
        <v>-14452.006539999998</v>
      </c>
      <c r="AC369" s="121">
        <v>-14990.006539999998</v>
      </c>
      <c r="AD369" s="121">
        <v>-14945.173210000001</v>
      </c>
      <c r="AE369" s="121">
        <v>-14900.33987</v>
      </c>
      <c r="AF369" s="121">
        <v>-14855.506539999998</v>
      </c>
      <c r="AG369" s="121">
        <v>-14810.673210000001</v>
      </c>
      <c r="AH369" s="121">
        <v>-14765.83987</v>
      </c>
      <c r="AI369" s="121">
        <v>-14721.006539999998</v>
      </c>
      <c r="AJ369" s="121">
        <v>-14676.173210000001</v>
      </c>
      <c r="AK369" s="121">
        <v>-14631.33987</v>
      </c>
      <c r="AL369" s="121">
        <v>-14586.506539999998</v>
      </c>
      <c r="AM369" s="121">
        <v>-14541.673210000001</v>
      </c>
      <c r="AN369" s="121">
        <v>-14496.83987</v>
      </c>
      <c r="AO369" s="121">
        <v>-14452.006539999998</v>
      </c>
      <c r="AP369" s="125" t="str">
        <f>CONCATENATE(A369,M369)</f>
        <v>GLT</v>
      </c>
      <c r="AQ369" s="125" t="str">
        <f>CONCATENATE(AP369,L369,H369)</f>
        <v>GLTT</v>
      </c>
      <c r="AS369" s="125" t="str">
        <f>CONCATENATE(L369,H369,J369)</f>
        <v>T</v>
      </c>
    </row>
    <row r="370" spans="1:45" s="125" customFormat="1" ht="25.5" customHeight="1">
      <c r="A370" s="216" t="s">
        <v>2493</v>
      </c>
      <c r="B370" s="217" t="str">
        <f t="shared" si="136"/>
        <v>GL255200</v>
      </c>
      <c r="C370" s="186">
        <v>255200</v>
      </c>
      <c r="D370" s="201"/>
      <c r="E370" s="162"/>
      <c r="F370" s="169" t="s">
        <v>51</v>
      </c>
      <c r="G370" s="117"/>
      <c r="H370" s="118" t="s">
        <v>1180</v>
      </c>
      <c r="I370" s="119"/>
      <c r="J370" s="120"/>
      <c r="K370" s="120" t="str">
        <f t="shared" si="135"/>
        <v/>
      </c>
      <c r="L370" s="170" t="s">
        <v>1174</v>
      </c>
      <c r="M370" s="122" t="str">
        <f t="shared" si="125"/>
        <v>T</v>
      </c>
      <c r="N370" s="116" t="str">
        <f>IF($L370&lt;&gt;"",VLOOKUP($L370,Categories!$E:$G,2,FALSE),IF($F370&lt;&gt;"","NO CAT",""))</f>
        <v>Def Tax Side Sched</v>
      </c>
      <c r="O370" s="116" t="str">
        <f>IF($L370&lt;&gt;"",VLOOKUP($L370,Categories!$E:$G,3,FALSE),IF($F370&lt;&gt;"","NO CAT",""))</f>
        <v>Def Taxes</v>
      </c>
      <c r="P370" s="170" t="s">
        <v>1186</v>
      </c>
      <c r="Q370" s="123" t="s">
        <v>1187</v>
      </c>
      <c r="R370" s="124">
        <v>0</v>
      </c>
      <c r="S370" s="124">
        <v>0</v>
      </c>
      <c r="T370" s="124">
        <v>1</v>
      </c>
      <c r="U370" s="121">
        <f t="shared" si="127"/>
        <v>0</v>
      </c>
      <c r="V370" s="121">
        <f t="shared" si="128"/>
        <v>0</v>
      </c>
      <c r="W370" s="121">
        <f t="shared" si="129"/>
        <v>-738.62359583333296</v>
      </c>
      <c r="X370" s="121">
        <f t="shared" si="133"/>
        <v>-738.62359583333296</v>
      </c>
      <c r="Y370" s="121">
        <f t="shared" si="130"/>
        <v>0</v>
      </c>
      <c r="Z370" s="121">
        <f t="shared" si="131"/>
        <v>0</v>
      </c>
      <c r="AA370" s="121">
        <f t="shared" si="132"/>
        <v>-663.06804</v>
      </c>
      <c r="AB370" s="121">
        <f t="shared" si="134"/>
        <v>-663.06804</v>
      </c>
      <c r="AC370" s="121">
        <v>-812.06804</v>
      </c>
      <c r="AD370" s="121">
        <v>-800.23470999999995</v>
      </c>
      <c r="AE370" s="121">
        <v>-788.40137000000004</v>
      </c>
      <c r="AF370" s="121">
        <v>-776.56804</v>
      </c>
      <c r="AG370" s="121">
        <v>-764.06804</v>
      </c>
      <c r="AH370" s="121">
        <v>-752.06804</v>
      </c>
      <c r="AI370" s="121">
        <v>-740.06804</v>
      </c>
      <c r="AJ370" s="121">
        <v>-728.06804</v>
      </c>
      <c r="AK370" s="121">
        <v>-712.73470999999995</v>
      </c>
      <c r="AL370" s="121">
        <v>-700.31804</v>
      </c>
      <c r="AM370" s="121">
        <v>-687.90137000000004</v>
      </c>
      <c r="AN370" s="121">
        <v>-675.48470999999995</v>
      </c>
      <c r="AO370" s="121">
        <v>-663.06804</v>
      </c>
      <c r="AP370" s="125" t="str">
        <f>CONCATENATE(A370,M370)</f>
        <v>GLT</v>
      </c>
      <c r="AQ370" s="125" t="str">
        <f>CONCATENATE(AP370,L370,H370)</f>
        <v>GLTT</v>
      </c>
      <c r="AS370" s="125" t="str">
        <f>CONCATENATE(L370,H370,J370)</f>
        <v>T</v>
      </c>
    </row>
    <row r="371" spans="1:45" s="125" customFormat="1" ht="25.5" customHeight="1">
      <c r="A371" s="216" t="s">
        <v>2493</v>
      </c>
      <c r="B371" s="217" t="str">
        <f t="shared" si="136"/>
        <v>GL255300</v>
      </c>
      <c r="C371" s="186">
        <v>255300</v>
      </c>
      <c r="D371" s="201"/>
      <c r="E371" s="162"/>
      <c r="F371" s="169" t="s">
        <v>2942</v>
      </c>
      <c r="G371" s="117"/>
      <c r="H371" s="118" t="s">
        <v>1180</v>
      </c>
      <c r="I371" s="119"/>
      <c r="J371" s="120"/>
      <c r="K371" s="120" t="str">
        <f t="shared" si="135"/>
        <v/>
      </c>
      <c r="L371" s="170" t="s">
        <v>1174</v>
      </c>
      <c r="M371" s="122" t="str">
        <f t="shared" si="125"/>
        <v>T</v>
      </c>
      <c r="N371" s="116" t="str">
        <f>IF($L371&lt;&gt;"",VLOOKUP($L371,Categories!$E:$G,2,FALSE),IF($F371&lt;&gt;"","NO CAT",""))</f>
        <v>Def Tax Side Sched</v>
      </c>
      <c r="O371" s="116" t="str">
        <f>IF($L371&lt;&gt;"",VLOOKUP($L371,Categories!$E:$G,3,FALSE),IF($F371&lt;&gt;"","NO CAT",""))</f>
        <v>Def Taxes</v>
      </c>
      <c r="P371" s="170" t="s">
        <v>1186</v>
      </c>
      <c r="Q371" s="123" t="s">
        <v>1187</v>
      </c>
      <c r="R371" s="124">
        <v>0</v>
      </c>
      <c r="S371" s="124">
        <v>0</v>
      </c>
      <c r="T371" s="124">
        <v>1</v>
      </c>
      <c r="U371" s="121">
        <f t="shared" si="127"/>
        <v>0</v>
      </c>
      <c r="V371" s="121">
        <f t="shared" si="128"/>
        <v>0</v>
      </c>
      <c r="W371" s="121">
        <f t="shared" si="129"/>
        <v>-562.02200000000005</v>
      </c>
      <c r="X371" s="121">
        <f t="shared" si="133"/>
        <v>-562.02200000000005</v>
      </c>
      <c r="Y371" s="121">
        <f t="shared" si="130"/>
        <v>0</v>
      </c>
      <c r="Z371" s="121">
        <f t="shared" si="131"/>
        <v>0</v>
      </c>
      <c r="AA371" s="121">
        <f t="shared" si="132"/>
        <v>-563.23800000000006</v>
      </c>
      <c r="AB371" s="121">
        <f t="shared" si="134"/>
        <v>-563.23800000000006</v>
      </c>
      <c r="AC371" s="121">
        <v>-563.23800000000006</v>
      </c>
      <c r="AD371" s="121">
        <v>-560.80600000000004</v>
      </c>
      <c r="AE371" s="121">
        <v>-558.37400000000002</v>
      </c>
      <c r="AF371" s="121">
        <v>-555.94200000000001</v>
      </c>
      <c r="AG371" s="121">
        <v>-563.23800000000006</v>
      </c>
      <c r="AH371" s="121">
        <v>-563.23800000000006</v>
      </c>
      <c r="AI371" s="121">
        <v>-563.23800000000006</v>
      </c>
      <c r="AJ371" s="121">
        <v>-563.23800000000006</v>
      </c>
      <c r="AK371" s="121">
        <v>-563.23800000000006</v>
      </c>
      <c r="AL371" s="121">
        <v>-563.23800000000006</v>
      </c>
      <c r="AM371" s="121">
        <v>-563.23800000000006</v>
      </c>
      <c r="AN371" s="121">
        <v>-563.23800000000006</v>
      </c>
      <c r="AO371" s="121">
        <v>-563.23800000000006</v>
      </c>
      <c r="AP371" s="125" t="str">
        <f>CONCATENATE(A371,M371)</f>
        <v>GLT</v>
      </c>
      <c r="AQ371" s="125" t="str">
        <f>CONCATENATE(AP371,L371,H371)</f>
        <v>GLTT</v>
      </c>
      <c r="AS371" s="125" t="str">
        <f>CONCATENATE(L371,H371,J371)</f>
        <v>T</v>
      </c>
    </row>
    <row r="372" spans="1:45" s="125" customFormat="1" ht="25.5" customHeight="1">
      <c r="A372" s="216" t="s">
        <v>2493</v>
      </c>
      <c r="B372" s="217" t="str">
        <f>CONCATENATE(A372,C372,D372,E372)</f>
        <v>GL257000</v>
      </c>
      <c r="C372" s="186">
        <v>257000</v>
      </c>
      <c r="D372" s="201"/>
      <c r="E372" s="162"/>
      <c r="F372" s="169" t="s">
        <v>4784</v>
      </c>
      <c r="G372" s="117"/>
      <c r="H372" s="118" t="s">
        <v>45</v>
      </c>
      <c r="I372" s="119"/>
      <c r="J372" s="120"/>
      <c r="K372" s="120" t="str">
        <f>IF(L372="N3","SFAS-109","")</f>
        <v/>
      </c>
      <c r="L372" s="170" t="s">
        <v>1893</v>
      </c>
      <c r="M372" s="122" t="str">
        <f>LEFT(L372,1)</f>
        <v>R</v>
      </c>
      <c r="N372" s="116" t="str">
        <f>IF($L372&lt;&gt;"",VLOOKUP($L372,Categories!$E:$G,2,FALSE),IF($F372&lt;&gt;"","NO CAT",""))</f>
        <v>Rate Base</v>
      </c>
      <c r="O372" s="116" t="str">
        <f>IF($L372&lt;&gt;"",VLOOKUP($L372,Categories!$E:$G,3,FALSE),IF($F372&lt;&gt;"","NO CAT",""))</f>
        <v>Deferred Debits &amp; Credits</v>
      </c>
      <c r="P372" s="170" t="s">
        <v>1188</v>
      </c>
      <c r="Q372" s="123" t="s">
        <v>1843</v>
      </c>
      <c r="R372" s="124">
        <v>0.76071990262269951</v>
      </c>
      <c r="S372" s="124">
        <v>0.23928009737730072</v>
      </c>
      <c r="T372" s="124">
        <v>0</v>
      </c>
      <c r="U372" s="121">
        <f t="shared" si="127"/>
        <v>-12.3578818224741</v>
      </c>
      <c r="V372" s="121">
        <f t="shared" si="128"/>
        <v>-3.8871010941925901</v>
      </c>
      <c r="W372" s="121">
        <f t="shared" si="129"/>
        <v>0</v>
      </c>
      <c r="X372" s="121">
        <f t="shared" si="133"/>
        <v>-16.2449829166667</v>
      </c>
      <c r="Y372" s="121">
        <f t="shared" si="130"/>
        <v>-16.335965440885801</v>
      </c>
      <c r="Z372" s="121">
        <f t="shared" si="131"/>
        <v>-5.1383845591142396</v>
      </c>
      <c r="AA372" s="121">
        <f t="shared" si="132"/>
        <v>0</v>
      </c>
      <c r="AB372" s="121">
        <f t="shared" si="134"/>
        <v>-21.474349999999998</v>
      </c>
      <c r="AC372" s="121"/>
      <c r="AD372" s="121"/>
      <c r="AE372" s="121"/>
      <c r="AF372" s="121"/>
      <c r="AG372" s="121"/>
      <c r="AH372" s="121"/>
      <c r="AI372" s="121"/>
      <c r="AJ372" s="121"/>
      <c r="AK372" s="121">
        <v>142.24879999999999</v>
      </c>
      <c r="AL372" s="121">
        <v>-109.28417</v>
      </c>
      <c r="AM372" s="121">
        <v>-108.81713999999999</v>
      </c>
      <c r="AN372" s="121">
        <v>-108.35011</v>
      </c>
      <c r="AO372" s="121">
        <v>-21.474349999999998</v>
      </c>
      <c r="AP372" s="125" t="str">
        <f>CONCATENATE(A372,M372)</f>
        <v>GLR</v>
      </c>
      <c r="AQ372" s="125" t="str">
        <f>CONCATENATE(AP372,L372,H372)</f>
        <v>GLRR10Gain / Loss on Reacquired Debt</v>
      </c>
      <c r="AS372" s="125" t="str">
        <f>CONCATENATE(L372,H372,J372)</f>
        <v>R10Gain / Loss on Reacquired Debt</v>
      </c>
    </row>
    <row r="373" spans="1:45" s="125" customFormat="1" ht="25.5" customHeight="1">
      <c r="A373" s="216" t="s">
        <v>2493</v>
      </c>
      <c r="B373" s="217" t="str">
        <f t="shared" si="136"/>
        <v>GL282110</v>
      </c>
      <c r="C373" s="186">
        <v>282110</v>
      </c>
      <c r="D373" s="201"/>
      <c r="E373" s="162"/>
      <c r="F373" s="169" t="s">
        <v>2943</v>
      </c>
      <c r="G373" s="117"/>
      <c r="H373" s="118" t="s">
        <v>1180</v>
      </c>
      <c r="I373" s="119"/>
      <c r="J373" s="120"/>
      <c r="K373" s="120" t="str">
        <f t="shared" si="135"/>
        <v/>
      </c>
      <c r="L373" s="170" t="s">
        <v>1174</v>
      </c>
      <c r="M373" s="122" t="str">
        <f t="shared" si="125"/>
        <v>T</v>
      </c>
      <c r="N373" s="116" t="str">
        <f>IF($L373&lt;&gt;"",VLOOKUP($L373,Categories!$E:$G,2,FALSE),IF($F373&lt;&gt;"","NO CAT",""))</f>
        <v>Def Tax Side Sched</v>
      </c>
      <c r="O373" s="116" t="str">
        <f>IF($L373&lt;&gt;"",VLOOKUP($L373,Categories!$E:$G,3,FALSE),IF($F373&lt;&gt;"","NO CAT",""))</f>
        <v>Def Taxes</v>
      </c>
      <c r="P373" s="170" t="s">
        <v>1186</v>
      </c>
      <c r="Q373" s="123" t="s">
        <v>1187</v>
      </c>
      <c r="R373" s="124">
        <v>0</v>
      </c>
      <c r="S373" s="124">
        <v>0</v>
      </c>
      <c r="T373" s="124">
        <v>1</v>
      </c>
      <c r="U373" s="121">
        <f t="shared" si="127"/>
        <v>0</v>
      </c>
      <c r="V373" s="121">
        <f t="shared" si="128"/>
        <v>0</v>
      </c>
      <c r="W373" s="121">
        <f t="shared" si="129"/>
        <v>-152.11876000000001</v>
      </c>
      <c r="X373" s="121">
        <f t="shared" si="133"/>
        <v>-152.11876000000001</v>
      </c>
      <c r="Y373" s="121">
        <f t="shared" si="130"/>
        <v>0</v>
      </c>
      <c r="Z373" s="121">
        <f t="shared" si="131"/>
        <v>0</v>
      </c>
      <c r="AA373" s="121">
        <f t="shared" si="132"/>
        <v>-137.94676000000001</v>
      </c>
      <c r="AB373" s="121">
        <f t="shared" si="134"/>
        <v>-137.94676000000001</v>
      </c>
      <c r="AC373" s="121">
        <v>-166.29076000000001</v>
      </c>
      <c r="AD373" s="121">
        <v>-163.92876000000001</v>
      </c>
      <c r="AE373" s="121">
        <v>-161.56676000000002</v>
      </c>
      <c r="AF373" s="121">
        <v>-159.20476000000002</v>
      </c>
      <c r="AG373" s="121">
        <v>-156.84276</v>
      </c>
      <c r="AH373" s="121">
        <v>-154.48076</v>
      </c>
      <c r="AI373" s="121">
        <v>-152.11876000000001</v>
      </c>
      <c r="AJ373" s="121">
        <v>-149.75676000000001</v>
      </c>
      <c r="AK373" s="121">
        <v>-147.39476000000002</v>
      </c>
      <c r="AL373" s="121">
        <v>-145.03276</v>
      </c>
      <c r="AM373" s="121">
        <v>-142.67076</v>
      </c>
      <c r="AN373" s="121">
        <v>-140.30876000000001</v>
      </c>
      <c r="AO373" s="121">
        <v>-137.94676000000001</v>
      </c>
      <c r="AP373" s="125" t="str">
        <f>CONCATENATE(A373,M373)</f>
        <v>GLT</v>
      </c>
      <c r="AQ373" s="125" t="str">
        <f>CONCATENATE(AP373,L373,H373)</f>
        <v>GLTT</v>
      </c>
      <c r="AS373" s="125" t="str">
        <f>CONCATENATE(L373,H373,J373)</f>
        <v>T</v>
      </c>
    </row>
    <row r="374" spans="1:45" s="125" customFormat="1" ht="25.5" customHeight="1">
      <c r="A374" s="216" t="s">
        <v>2493</v>
      </c>
      <c r="B374" s="217" t="str">
        <f t="shared" si="136"/>
        <v>GL282161</v>
      </c>
      <c r="C374" s="186">
        <v>282161</v>
      </c>
      <c r="D374" s="201"/>
      <c r="E374" s="162"/>
      <c r="F374" s="169" t="s">
        <v>2941</v>
      </c>
      <c r="G374" s="117"/>
      <c r="H374" s="118">
        <v>0</v>
      </c>
      <c r="I374" s="119"/>
      <c r="J374" s="120"/>
      <c r="K374" s="120" t="str">
        <f t="shared" si="135"/>
        <v/>
      </c>
      <c r="L374" s="170" t="s">
        <v>1174</v>
      </c>
      <c r="M374" s="122" t="str">
        <f t="shared" si="125"/>
        <v>T</v>
      </c>
      <c r="N374" s="116" t="str">
        <f>IF($L374&lt;&gt;"",VLOOKUP($L374,Categories!$E:$G,2,FALSE),IF($F374&lt;&gt;"","NO CAT",""))</f>
        <v>Def Tax Side Sched</v>
      </c>
      <c r="O374" s="116" t="str">
        <f>IF($L374&lt;&gt;"",VLOOKUP($L374,Categories!$E:$G,3,FALSE),IF($F374&lt;&gt;"","NO CAT",""))</f>
        <v>Def Taxes</v>
      </c>
      <c r="P374" s="170" t="s">
        <v>1186</v>
      </c>
      <c r="Q374" s="123" t="s">
        <v>1187</v>
      </c>
      <c r="R374" s="124">
        <v>0</v>
      </c>
      <c r="S374" s="124">
        <v>0</v>
      </c>
      <c r="T374" s="124">
        <v>1</v>
      </c>
      <c r="U374" s="121">
        <f t="shared" si="127"/>
        <v>0</v>
      </c>
      <c r="V374" s="121">
        <f t="shared" si="128"/>
        <v>0</v>
      </c>
      <c r="W374" s="121">
        <f t="shared" si="129"/>
        <v>-59539.938349583303</v>
      </c>
      <c r="X374" s="121">
        <f t="shared" si="133"/>
        <v>-59539.938349583303</v>
      </c>
      <c r="Y374" s="121">
        <f t="shared" si="130"/>
        <v>0</v>
      </c>
      <c r="Z374" s="121">
        <f t="shared" si="131"/>
        <v>0</v>
      </c>
      <c r="AA374" s="121">
        <f t="shared" si="132"/>
        <v>-51097.481189999999</v>
      </c>
      <c r="AB374" s="121">
        <f t="shared" si="134"/>
        <v>-51097.481189999999</v>
      </c>
      <c r="AC374" s="121">
        <v>-62970.656240000004</v>
      </c>
      <c r="AD374" s="121">
        <v>-61838.313560000002</v>
      </c>
      <c r="AE374" s="121">
        <v>-60771.377009999997</v>
      </c>
      <c r="AF374" s="121">
        <v>-59608.550579999996</v>
      </c>
      <c r="AG374" s="121">
        <v>-61383.282670000001</v>
      </c>
      <c r="AH374" s="121">
        <v>-60961.407279999999</v>
      </c>
      <c r="AI374" s="121">
        <v>-60494.032780000001</v>
      </c>
      <c r="AJ374" s="121">
        <v>-60087.780380000004</v>
      </c>
      <c r="AK374" s="121">
        <v>-59693.120090000004</v>
      </c>
      <c r="AL374" s="121">
        <v>-59451.176289999996</v>
      </c>
      <c r="AM374" s="121">
        <v>-59122.394439999996</v>
      </c>
      <c r="AN374" s="121">
        <v>-54033.756399999998</v>
      </c>
      <c r="AO374" s="121">
        <v>-51097.481189999999</v>
      </c>
      <c r="AP374" s="125" t="str">
        <f>CONCATENATE(A374,M374)</f>
        <v>GLT</v>
      </c>
      <c r="AQ374" s="125" t="str">
        <f>CONCATENATE(AP374,L374,H374)</f>
        <v>GLTT0</v>
      </c>
      <c r="AS374" s="125" t="str">
        <f>CONCATENATE(L374,H374,J374)</f>
        <v>T0</v>
      </c>
    </row>
    <row r="375" spans="1:45" s="125" customFormat="1" ht="25.5" customHeight="1">
      <c r="A375" s="216" t="s">
        <v>2493</v>
      </c>
      <c r="B375" s="217" t="str">
        <f t="shared" si="136"/>
        <v>GL282162</v>
      </c>
      <c r="C375" s="186">
        <v>282162</v>
      </c>
      <c r="D375" s="201"/>
      <c r="E375" s="162"/>
      <c r="F375" s="169" t="s">
        <v>2439</v>
      </c>
      <c r="G375" s="117"/>
      <c r="H375" s="118">
        <v>0</v>
      </c>
      <c r="I375" s="119"/>
      <c r="J375" s="120"/>
      <c r="K375" s="120" t="str">
        <f t="shared" si="135"/>
        <v/>
      </c>
      <c r="L375" s="170" t="s">
        <v>1174</v>
      </c>
      <c r="M375" s="122" t="str">
        <f t="shared" si="125"/>
        <v>T</v>
      </c>
      <c r="N375" s="116" t="str">
        <f>IF($L375&lt;&gt;"",VLOOKUP($L375,Categories!$E:$G,2,FALSE),IF($F375&lt;&gt;"","NO CAT",""))</f>
        <v>Def Tax Side Sched</v>
      </c>
      <c r="O375" s="116" t="str">
        <f>IF($L375&lt;&gt;"",VLOOKUP($L375,Categories!$E:$G,3,FALSE),IF($F375&lt;&gt;"","NO CAT",""))</f>
        <v>Def Taxes</v>
      </c>
      <c r="P375" s="170" t="s">
        <v>1186</v>
      </c>
      <c r="Q375" s="123" t="s">
        <v>1187</v>
      </c>
      <c r="R375" s="124">
        <v>0</v>
      </c>
      <c r="S375" s="124">
        <v>0</v>
      </c>
      <c r="T375" s="124">
        <v>1</v>
      </c>
      <c r="U375" s="121">
        <f t="shared" si="127"/>
        <v>0</v>
      </c>
      <c r="V375" s="121">
        <f t="shared" si="128"/>
        <v>0</v>
      </c>
      <c r="W375" s="121">
        <f t="shared" si="129"/>
        <v>51135.671820416697</v>
      </c>
      <c r="X375" s="121">
        <f t="shared" si="133"/>
        <v>51135.671820416697</v>
      </c>
      <c r="Y375" s="121">
        <f t="shared" si="130"/>
        <v>0</v>
      </c>
      <c r="Z375" s="121">
        <f t="shared" si="131"/>
        <v>0</v>
      </c>
      <c r="AA375" s="121">
        <f t="shared" si="132"/>
        <v>47294.587699999996</v>
      </c>
      <c r="AB375" s="121">
        <f t="shared" si="134"/>
        <v>47294.587700000004</v>
      </c>
      <c r="AC375" s="121">
        <v>49420.951150000001</v>
      </c>
      <c r="AD375" s="121">
        <v>49907.651359999996</v>
      </c>
      <c r="AE375" s="121">
        <v>50472.936889999997</v>
      </c>
      <c r="AF375" s="121">
        <v>50981.046419999999</v>
      </c>
      <c r="AG375" s="121">
        <v>50686.612259999994</v>
      </c>
      <c r="AH375" s="121">
        <v>50987.167240000002</v>
      </c>
      <c r="AI375" s="121">
        <v>51289.78772</v>
      </c>
      <c r="AJ375" s="121">
        <v>51589.407119999996</v>
      </c>
      <c r="AK375" s="121">
        <v>51897.196170000003</v>
      </c>
      <c r="AL375" s="121">
        <v>52190.718329999996</v>
      </c>
      <c r="AM375" s="121">
        <v>52487.325520000006</v>
      </c>
      <c r="AN375" s="121">
        <v>52780.44339</v>
      </c>
      <c r="AO375" s="121">
        <v>47294.587700000004</v>
      </c>
      <c r="AP375" s="125" t="str">
        <f>CONCATENATE(A375,M375)</f>
        <v>GLT</v>
      </c>
      <c r="AQ375" s="125" t="str">
        <f>CONCATENATE(AP375,L375,H375)</f>
        <v>GLTT0</v>
      </c>
      <c r="AS375" s="125" t="str">
        <f>CONCATENATE(L375,H375,J375)</f>
        <v>T0</v>
      </c>
    </row>
    <row r="376" spans="1:45" s="125" customFormat="1" ht="25.5" customHeight="1">
      <c r="A376" s="216" t="s">
        <v>2493</v>
      </c>
      <c r="B376" s="217" t="str">
        <f t="shared" si="136"/>
        <v>GL282171</v>
      </c>
      <c r="C376" s="186">
        <v>282171</v>
      </c>
      <c r="D376" s="201"/>
      <c r="E376" s="162"/>
      <c r="F376" s="169" t="s">
        <v>2380</v>
      </c>
      <c r="G376" s="117"/>
      <c r="H376" s="118">
        <v>0</v>
      </c>
      <c r="I376" s="119"/>
      <c r="J376" s="120"/>
      <c r="K376" s="120" t="str">
        <f t="shared" si="135"/>
        <v/>
      </c>
      <c r="L376" s="170" t="s">
        <v>1174</v>
      </c>
      <c r="M376" s="122" t="str">
        <f>LEFT(L376,1)</f>
        <v>T</v>
      </c>
      <c r="N376" s="116" t="str">
        <f>IF($L376&lt;&gt;"",VLOOKUP($L376,Categories!$E:$G,2,FALSE),IF($F376&lt;&gt;"","NO CAT",""))</f>
        <v>Def Tax Side Sched</v>
      </c>
      <c r="O376" s="116" t="str">
        <f>IF($L376&lt;&gt;"",VLOOKUP($L376,Categories!$E:$G,3,FALSE),IF($F376&lt;&gt;"","NO CAT",""))</f>
        <v>Def Taxes</v>
      </c>
      <c r="P376" s="170" t="s">
        <v>1186</v>
      </c>
      <c r="Q376" s="123" t="s">
        <v>1187</v>
      </c>
      <c r="R376" s="124">
        <v>0</v>
      </c>
      <c r="S376" s="124">
        <v>0</v>
      </c>
      <c r="T376" s="124">
        <v>1</v>
      </c>
      <c r="U376" s="121">
        <f t="shared" si="127"/>
        <v>0</v>
      </c>
      <c r="V376" s="121">
        <f t="shared" si="128"/>
        <v>0</v>
      </c>
      <c r="W376" s="121">
        <f t="shared" si="129"/>
        <v>-8426.5452620833294</v>
      </c>
      <c r="X376" s="121">
        <f t="shared" si="133"/>
        <v>-8426.5452620833294</v>
      </c>
      <c r="Y376" s="121">
        <f t="shared" si="130"/>
        <v>0</v>
      </c>
      <c r="Z376" s="121">
        <f t="shared" si="131"/>
        <v>0</v>
      </c>
      <c r="AA376" s="121">
        <f t="shared" si="132"/>
        <v>-10246.19389</v>
      </c>
      <c r="AB376" s="121">
        <f t="shared" si="134"/>
        <v>-10246.19389</v>
      </c>
      <c r="AC376" s="121">
        <v>-6727.7186200000006</v>
      </c>
      <c r="AD376" s="121">
        <v>-6986.9812999999995</v>
      </c>
      <c r="AE376" s="121">
        <v>-7243.6588000000002</v>
      </c>
      <c r="AF376" s="121">
        <v>-7496.2929400000003</v>
      </c>
      <c r="AG376" s="121">
        <v>-7836.2874800000009</v>
      </c>
      <c r="AH376" s="121">
        <v>-8109.1889099999999</v>
      </c>
      <c r="AI376" s="121">
        <v>-8379.49647</v>
      </c>
      <c r="AJ376" s="121">
        <v>-8664.4883599999994</v>
      </c>
      <c r="AK376" s="121">
        <v>-8952.4135000000006</v>
      </c>
      <c r="AL376" s="121">
        <v>-9360.0989800000007</v>
      </c>
      <c r="AM376" s="121">
        <v>-9652.2390599999999</v>
      </c>
      <c r="AN376" s="121">
        <v>-9950.4410900000003</v>
      </c>
      <c r="AO376" s="121">
        <v>-10246.19389</v>
      </c>
      <c r="AP376" s="125" t="str">
        <f>CONCATENATE(A376,M376)</f>
        <v>GLT</v>
      </c>
      <c r="AQ376" s="125" t="str">
        <f>CONCATENATE(AP376,L376,H376)</f>
        <v>GLTT0</v>
      </c>
      <c r="AS376" s="125" t="str">
        <f>CONCATENATE(L376,H376,J376)</f>
        <v>T0</v>
      </c>
    </row>
    <row r="377" spans="1:45" s="125" customFormat="1" ht="25.5" customHeight="1">
      <c r="A377" s="216" t="s">
        <v>2493</v>
      </c>
      <c r="B377" s="217" t="str">
        <f t="shared" si="136"/>
        <v>GL282172</v>
      </c>
      <c r="C377" s="186">
        <v>282172</v>
      </c>
      <c r="D377" s="201"/>
      <c r="E377" s="162"/>
      <c r="F377" s="169" t="s">
        <v>2381</v>
      </c>
      <c r="G377" s="117"/>
      <c r="H377" s="118">
        <v>0</v>
      </c>
      <c r="I377" s="119"/>
      <c r="J377" s="120"/>
      <c r="K377" s="120" t="str">
        <f t="shared" si="135"/>
        <v/>
      </c>
      <c r="L377" s="170" t="s">
        <v>1174</v>
      </c>
      <c r="M377" s="122" t="str">
        <f>LEFT(L377,1)</f>
        <v>T</v>
      </c>
      <c r="N377" s="116" t="str">
        <f>IF($L377&lt;&gt;"",VLOOKUP($L377,Categories!$E:$G,2,FALSE),IF($F377&lt;&gt;"","NO CAT",""))</f>
        <v>Def Tax Side Sched</v>
      </c>
      <c r="O377" s="116" t="str">
        <f>IF($L377&lt;&gt;"",VLOOKUP($L377,Categories!$E:$G,3,FALSE),IF($F377&lt;&gt;"","NO CAT",""))</f>
        <v>Def Taxes</v>
      </c>
      <c r="P377" s="170" t="s">
        <v>1186</v>
      </c>
      <c r="Q377" s="123" t="s">
        <v>1187</v>
      </c>
      <c r="R377" s="124">
        <v>0</v>
      </c>
      <c r="S377" s="124">
        <v>0</v>
      </c>
      <c r="T377" s="124">
        <v>1</v>
      </c>
      <c r="U377" s="121">
        <f t="shared" si="127"/>
        <v>0</v>
      </c>
      <c r="V377" s="121">
        <f t="shared" si="128"/>
        <v>0</v>
      </c>
      <c r="W377" s="121">
        <f t="shared" si="129"/>
        <v>3102.4906191666701</v>
      </c>
      <c r="X377" s="121">
        <f t="shared" si="133"/>
        <v>3102.4906191666701</v>
      </c>
      <c r="Y377" s="121">
        <f t="shared" si="130"/>
        <v>0</v>
      </c>
      <c r="Z377" s="121">
        <f t="shared" si="131"/>
        <v>0</v>
      </c>
      <c r="AA377" s="121">
        <f t="shared" si="132"/>
        <v>2769.05375</v>
      </c>
      <c r="AB377" s="121">
        <f t="shared" si="134"/>
        <v>2769.05375</v>
      </c>
      <c r="AC377" s="121">
        <v>3427.9729500000003</v>
      </c>
      <c r="AD377" s="121">
        <v>3375.5782899999999</v>
      </c>
      <c r="AE377" s="121">
        <v>3323.97649</v>
      </c>
      <c r="AF377" s="121">
        <v>3273.2789299999999</v>
      </c>
      <c r="AG377" s="121">
        <v>3211.8370299999997</v>
      </c>
      <c r="AH377" s="121">
        <v>3157.8013300000002</v>
      </c>
      <c r="AI377" s="121">
        <v>3102.6801700000001</v>
      </c>
      <c r="AJ377" s="121">
        <v>3046.4894599999998</v>
      </c>
      <c r="AK377" s="121">
        <v>2989.7706499999999</v>
      </c>
      <c r="AL377" s="121">
        <v>2940.7373299999999</v>
      </c>
      <c r="AM377" s="121">
        <v>2883.4513400000001</v>
      </c>
      <c r="AN377" s="121">
        <v>2825.77306</v>
      </c>
      <c r="AO377" s="121">
        <v>2769.05375</v>
      </c>
      <c r="AP377" s="125" t="str">
        <f>CONCATENATE(A377,M377)</f>
        <v>GLT</v>
      </c>
      <c r="AQ377" s="125" t="str">
        <f>CONCATENATE(AP377,L377,H377)</f>
        <v>GLTT0</v>
      </c>
      <c r="AS377" s="125" t="str">
        <f>CONCATENATE(L377,H377,J377)</f>
        <v>T0</v>
      </c>
    </row>
    <row r="378" spans="1:45" s="125" customFormat="1" ht="25.5" customHeight="1">
      <c r="A378" s="216" t="s">
        <v>2493</v>
      </c>
      <c r="B378" s="217" t="str">
        <f t="shared" si="136"/>
        <v>GL282200</v>
      </c>
      <c r="C378" s="186">
        <v>282200</v>
      </c>
      <c r="D378" s="201"/>
      <c r="E378" s="162"/>
      <c r="F378" s="169" t="s">
        <v>2944</v>
      </c>
      <c r="G378" s="117"/>
      <c r="H378" s="118" t="s">
        <v>1180</v>
      </c>
      <c r="I378" s="119"/>
      <c r="J378" s="120"/>
      <c r="K378" s="120" t="str">
        <f t="shared" si="135"/>
        <v/>
      </c>
      <c r="L378" s="170" t="s">
        <v>1174</v>
      </c>
      <c r="M378" s="122" t="str">
        <f t="shared" ref="M378:M425" si="137">LEFT(L378,1)</f>
        <v>T</v>
      </c>
      <c r="N378" s="116" t="str">
        <f>IF($L378&lt;&gt;"",VLOOKUP($L378,Categories!$E:$G,2,FALSE),IF($F378&lt;&gt;"","NO CAT",""))</f>
        <v>Def Tax Side Sched</v>
      </c>
      <c r="O378" s="116" t="str">
        <f>IF($L378&lt;&gt;"",VLOOKUP($L378,Categories!$E:$G,3,FALSE),IF($F378&lt;&gt;"","NO CAT",""))</f>
        <v>Def Taxes</v>
      </c>
      <c r="P378" s="170" t="s">
        <v>1186</v>
      </c>
      <c r="Q378" s="123" t="s">
        <v>1187</v>
      </c>
      <c r="R378" s="124">
        <v>0</v>
      </c>
      <c r="S378" s="124">
        <v>0</v>
      </c>
      <c r="T378" s="124">
        <v>1</v>
      </c>
      <c r="U378" s="121">
        <f t="shared" ref="U378:U425" si="138">IF(ABS(X378)=0,"",IF($R378="NO ALLOC","NO ALLOC",ROUND($R378*X378,15)))</f>
        <v>0</v>
      </c>
      <c r="V378" s="121">
        <f t="shared" ref="V378:V425" si="139">IF(ABS(X378)=0,"",IF($S378="NO ALLOC","NO ALLOC",ROUND($S378*X378,15)))</f>
        <v>0</v>
      </c>
      <c r="W378" s="121">
        <f t="shared" ref="W378:W425" si="140">IF(ABS(X378)=0,"",IF($T378="NO ALLOC","NO ALLOC",ROUND($T378*X378,15)))</f>
        <v>-474187.84806749999</v>
      </c>
      <c r="X378" s="121">
        <f t="shared" si="133"/>
        <v>-474187.84806749999</v>
      </c>
      <c r="Y378" s="121">
        <f t="shared" ref="Y378:Y425" si="141">IF(ABS(AB378)=0,"",IF($R378="NO ALLOC","NO ALLOC",ROUND($R378*AB378,15)))</f>
        <v>0</v>
      </c>
      <c r="Z378" s="121">
        <f t="shared" ref="Z378:Z425" si="142">IF(ABS(AB378)=0,"",IF($S378="NO ALLOC","NO ALLOC",ROUND($S378*AB378,15)))</f>
        <v>0</v>
      </c>
      <c r="AA378" s="121">
        <f t="shared" ref="AA378:AA425" si="143">IF(ABS(AB378)=0,"",IF($T378="NO ALLOC","NO ALLOC",ROUND($T378*AB378,15)))</f>
        <v>-496607.17971</v>
      </c>
      <c r="AB378" s="121">
        <f t="shared" si="134"/>
        <v>-496607.17971</v>
      </c>
      <c r="AC378" s="121">
        <v>-472545.08473</v>
      </c>
      <c r="AD378" s="121">
        <v>-472746.42125999997</v>
      </c>
      <c r="AE378" s="121">
        <v>-473081.65369999997</v>
      </c>
      <c r="AF378" s="121">
        <v>-473423.30557999999</v>
      </c>
      <c r="AG378" s="121">
        <v>-468962.75676000002</v>
      </c>
      <c r="AH378" s="121">
        <v>-468079.45838999999</v>
      </c>
      <c r="AI378" s="121">
        <v>-466489.0624</v>
      </c>
      <c r="AJ378" s="121">
        <v>-465594.06406</v>
      </c>
      <c r="AK378" s="121">
        <v>-466132.09360000002</v>
      </c>
      <c r="AL378" s="121">
        <v>-473298.00902</v>
      </c>
      <c r="AM378" s="121">
        <v>-488610.11398999998</v>
      </c>
      <c r="AN378" s="121">
        <v>-489261.10582999996</v>
      </c>
      <c r="AO378" s="121">
        <v>-496607.17971</v>
      </c>
      <c r="AP378" s="125" t="str">
        <f>CONCATENATE(A378,M378)</f>
        <v>GLT</v>
      </c>
      <c r="AQ378" s="125" t="str">
        <f>CONCATENATE(AP378,L378,H378)</f>
        <v>GLTT</v>
      </c>
      <c r="AS378" s="125" t="str">
        <f>CONCATENATE(L378,H378,J378)</f>
        <v>T</v>
      </c>
    </row>
    <row r="379" spans="1:45" s="125" customFormat="1" ht="25.5" customHeight="1">
      <c r="A379" s="216" t="s">
        <v>2493</v>
      </c>
      <c r="B379" s="217" t="str">
        <f t="shared" si="136"/>
        <v>GL282210</v>
      </c>
      <c r="C379" s="186">
        <v>282210</v>
      </c>
      <c r="D379" s="201"/>
      <c r="E379" s="162"/>
      <c r="F379" s="169" t="s">
        <v>1712</v>
      </c>
      <c r="G379" s="117"/>
      <c r="H379" s="118" t="s">
        <v>1180</v>
      </c>
      <c r="I379" s="119"/>
      <c r="J379" s="120"/>
      <c r="K379" s="120" t="str">
        <f t="shared" si="135"/>
        <v/>
      </c>
      <c r="L379" s="170" t="s">
        <v>1174</v>
      </c>
      <c r="M379" s="122" t="str">
        <f t="shared" si="137"/>
        <v>T</v>
      </c>
      <c r="N379" s="116" t="str">
        <f>IF($L379&lt;&gt;"",VLOOKUP($L379,Categories!$E:$G,2,FALSE),IF($F379&lt;&gt;"","NO CAT",""))</f>
        <v>Def Tax Side Sched</v>
      </c>
      <c r="O379" s="116" t="str">
        <f>IF($L379&lt;&gt;"",VLOOKUP($L379,Categories!$E:$G,3,FALSE),IF($F379&lt;&gt;"","NO CAT",""))</f>
        <v>Def Taxes</v>
      </c>
      <c r="P379" s="170" t="s">
        <v>1186</v>
      </c>
      <c r="Q379" s="123" t="s">
        <v>1187</v>
      </c>
      <c r="R379" s="124">
        <v>0</v>
      </c>
      <c r="S379" s="124">
        <v>0</v>
      </c>
      <c r="T379" s="124">
        <v>1</v>
      </c>
      <c r="U379" s="121">
        <f t="shared" si="138"/>
        <v>0</v>
      </c>
      <c r="V379" s="121">
        <f t="shared" si="139"/>
        <v>0</v>
      </c>
      <c r="W379" s="121">
        <f t="shared" si="140"/>
        <v>-184939.07073833299</v>
      </c>
      <c r="X379" s="121">
        <f t="shared" si="133"/>
        <v>-184939.07073833299</v>
      </c>
      <c r="Y379" s="121">
        <f t="shared" si="141"/>
        <v>0</v>
      </c>
      <c r="Z379" s="121">
        <f t="shared" si="142"/>
        <v>0</v>
      </c>
      <c r="AA379" s="121">
        <f t="shared" si="143"/>
        <v>-188660.07719000001</v>
      </c>
      <c r="AB379" s="121">
        <f t="shared" si="134"/>
        <v>-188660.07719000001</v>
      </c>
      <c r="AC379" s="121">
        <v>-182452.29353</v>
      </c>
      <c r="AD379" s="121">
        <v>-182773.31547</v>
      </c>
      <c r="AE379" s="121">
        <v>-183136.54407</v>
      </c>
      <c r="AF379" s="121">
        <v>-183495.49022000001</v>
      </c>
      <c r="AG379" s="121">
        <v>-182847.58721999999</v>
      </c>
      <c r="AH379" s="121">
        <v>-182946.51121999999</v>
      </c>
      <c r="AI379" s="121">
        <v>-182855.93965000001</v>
      </c>
      <c r="AJ379" s="121">
        <v>-182955.04925000001</v>
      </c>
      <c r="AK379" s="121">
        <v>-182967.1612</v>
      </c>
      <c r="AL379" s="121">
        <v>-186424.86672999998</v>
      </c>
      <c r="AM379" s="121">
        <v>-191397.35444</v>
      </c>
      <c r="AN379" s="121">
        <v>-191912.84403000001</v>
      </c>
      <c r="AO379" s="121">
        <v>-188660.07719000001</v>
      </c>
      <c r="AP379" s="125" t="str">
        <f>CONCATENATE(A379,M379)</f>
        <v>GLT</v>
      </c>
      <c r="AQ379" s="125" t="str">
        <f>CONCATENATE(AP379,L379,H379)</f>
        <v>GLTT</v>
      </c>
      <c r="AS379" s="125" t="str">
        <f>CONCATENATE(L379,H379,J379)</f>
        <v>T</v>
      </c>
    </row>
    <row r="380" spans="1:45" s="125" customFormat="1" ht="25.5" customHeight="1">
      <c r="A380" s="216" t="s">
        <v>2493</v>
      </c>
      <c r="B380" s="217" t="str">
        <f t="shared" si="136"/>
        <v>GL282230</v>
      </c>
      <c r="C380" s="186">
        <v>282230</v>
      </c>
      <c r="D380" s="201"/>
      <c r="E380" s="162"/>
      <c r="F380" s="169" t="s">
        <v>1489</v>
      </c>
      <c r="G380" s="117"/>
      <c r="H380" s="118" t="s">
        <v>1180</v>
      </c>
      <c r="I380" s="119"/>
      <c r="J380" s="120"/>
      <c r="K380" s="120" t="str">
        <f t="shared" si="135"/>
        <v/>
      </c>
      <c r="L380" s="170" t="s">
        <v>1174</v>
      </c>
      <c r="M380" s="122" t="str">
        <f t="shared" si="137"/>
        <v>T</v>
      </c>
      <c r="N380" s="116" t="str">
        <f>IF($L380&lt;&gt;"",VLOOKUP($L380,Categories!$E:$G,2,FALSE),IF($F380&lt;&gt;"","NO CAT",""))</f>
        <v>Def Tax Side Sched</v>
      </c>
      <c r="O380" s="116" t="str">
        <f>IF($L380&lt;&gt;"",VLOOKUP($L380,Categories!$E:$G,3,FALSE),IF($F380&lt;&gt;"","NO CAT",""))</f>
        <v>Def Taxes</v>
      </c>
      <c r="P380" s="170" t="s">
        <v>1186</v>
      </c>
      <c r="Q380" s="123" t="s">
        <v>1187</v>
      </c>
      <c r="R380" s="124">
        <v>0</v>
      </c>
      <c r="S380" s="124">
        <v>0</v>
      </c>
      <c r="T380" s="124">
        <v>1</v>
      </c>
      <c r="U380" s="121">
        <f t="shared" si="138"/>
        <v>0</v>
      </c>
      <c r="V380" s="121">
        <f t="shared" si="139"/>
        <v>0</v>
      </c>
      <c r="W380" s="121">
        <f t="shared" si="140"/>
        <v>2049.52925</v>
      </c>
      <c r="X380" s="121">
        <f t="shared" si="133"/>
        <v>2049.52925</v>
      </c>
      <c r="Y380" s="121">
        <f t="shared" si="141"/>
        <v>0</v>
      </c>
      <c r="Z380" s="121">
        <f t="shared" si="142"/>
        <v>0</v>
      </c>
      <c r="AA380" s="121">
        <f t="shared" si="143"/>
        <v>1712.78225</v>
      </c>
      <c r="AB380" s="121">
        <f t="shared" si="134"/>
        <v>1712.78225</v>
      </c>
      <c r="AC380" s="121">
        <v>2386.2762499999999</v>
      </c>
      <c r="AD380" s="121">
        <v>2330.15175</v>
      </c>
      <c r="AE380" s="121">
        <v>2274.0272500000001</v>
      </c>
      <c r="AF380" s="121">
        <v>2217.9027500000002</v>
      </c>
      <c r="AG380" s="121">
        <v>2161.7782499999998</v>
      </c>
      <c r="AH380" s="121">
        <v>2105.6537499999999</v>
      </c>
      <c r="AI380" s="121">
        <v>2049.52925</v>
      </c>
      <c r="AJ380" s="121">
        <v>1993.4047499999999</v>
      </c>
      <c r="AK380" s="121">
        <v>1937.28025</v>
      </c>
      <c r="AL380" s="121">
        <v>1881.1557499999999</v>
      </c>
      <c r="AM380" s="121">
        <v>1825.03125</v>
      </c>
      <c r="AN380" s="121">
        <v>1768.9067500000001</v>
      </c>
      <c r="AO380" s="121">
        <v>1712.78225</v>
      </c>
      <c r="AP380" s="125" t="str">
        <f>CONCATENATE(A380,M380)</f>
        <v>GLT</v>
      </c>
      <c r="AQ380" s="125" t="str">
        <f>CONCATENATE(AP380,L380,H380)</f>
        <v>GLTT</v>
      </c>
      <c r="AS380" s="125" t="str">
        <f>CONCATENATE(L380,H380,J380)</f>
        <v>T</v>
      </c>
    </row>
    <row r="381" spans="1:45" s="125" customFormat="1" ht="25.5" customHeight="1">
      <c r="A381" s="216" t="s">
        <v>2493</v>
      </c>
      <c r="B381" s="217" t="str">
        <f t="shared" si="136"/>
        <v>GL282240</v>
      </c>
      <c r="C381" s="186">
        <v>282240</v>
      </c>
      <c r="D381" s="201"/>
      <c r="E381" s="162"/>
      <c r="F381" s="169" t="s">
        <v>297</v>
      </c>
      <c r="G381" s="117"/>
      <c r="H381" s="118" t="s">
        <v>1180</v>
      </c>
      <c r="I381" s="119"/>
      <c r="J381" s="120"/>
      <c r="K381" s="120" t="str">
        <f t="shared" si="135"/>
        <v/>
      </c>
      <c r="L381" s="170" t="s">
        <v>1174</v>
      </c>
      <c r="M381" s="122" t="str">
        <f t="shared" si="137"/>
        <v>T</v>
      </c>
      <c r="N381" s="116" t="str">
        <f>IF($L381&lt;&gt;"",VLOOKUP($L381,Categories!$E:$G,2,FALSE),IF($F381&lt;&gt;"","NO CAT",""))</f>
        <v>Def Tax Side Sched</v>
      </c>
      <c r="O381" s="116" t="str">
        <f>IF($L381&lt;&gt;"",VLOOKUP($L381,Categories!$E:$G,3,FALSE),IF($F381&lt;&gt;"","NO CAT",""))</f>
        <v>Def Taxes</v>
      </c>
      <c r="P381" s="170" t="s">
        <v>1186</v>
      </c>
      <c r="Q381" s="123" t="s">
        <v>1187</v>
      </c>
      <c r="R381" s="124">
        <v>0</v>
      </c>
      <c r="S381" s="124">
        <v>0</v>
      </c>
      <c r="T381" s="124">
        <v>1</v>
      </c>
      <c r="U381" s="121">
        <f t="shared" si="138"/>
        <v>0</v>
      </c>
      <c r="V381" s="121">
        <f t="shared" si="139"/>
        <v>0</v>
      </c>
      <c r="W381" s="121">
        <f t="shared" si="140"/>
        <v>-22537.624621250001</v>
      </c>
      <c r="X381" s="121">
        <f t="shared" si="133"/>
        <v>-22537.624621250001</v>
      </c>
      <c r="Y381" s="121">
        <f t="shared" si="141"/>
        <v>0</v>
      </c>
      <c r="Z381" s="121">
        <f t="shared" si="142"/>
        <v>0</v>
      </c>
      <c r="AA381" s="121">
        <f t="shared" si="143"/>
        <v>-23828.95811</v>
      </c>
      <c r="AB381" s="121">
        <f t="shared" si="134"/>
        <v>-23828.95811</v>
      </c>
      <c r="AC381" s="121">
        <v>-23659.302960000001</v>
      </c>
      <c r="AD381" s="121">
        <v>-23300.403999999999</v>
      </c>
      <c r="AE381" s="121">
        <v>-22987.609920000003</v>
      </c>
      <c r="AF381" s="121">
        <v>-22659.322399999997</v>
      </c>
      <c r="AG381" s="121">
        <v>-22278.215070000002</v>
      </c>
      <c r="AH381" s="121">
        <v>-21934.400160000001</v>
      </c>
      <c r="AI381" s="121">
        <v>-21428.841519999998</v>
      </c>
      <c r="AJ381" s="121">
        <v>-21073.792750000001</v>
      </c>
      <c r="AK381" s="121">
        <v>-21575.872649999998</v>
      </c>
      <c r="AL381" s="121">
        <v>-21813.520260000001</v>
      </c>
      <c r="AM381" s="121">
        <v>-23860.01743</v>
      </c>
      <c r="AN381" s="121">
        <v>-23795.368760000001</v>
      </c>
      <c r="AO381" s="121">
        <v>-23828.95811</v>
      </c>
      <c r="AP381" s="125" t="str">
        <f>CONCATENATE(A381,M381)</f>
        <v>GLT</v>
      </c>
      <c r="AQ381" s="125" t="str">
        <f>CONCATENATE(AP381,L381,H381)</f>
        <v>GLTT</v>
      </c>
      <c r="AS381" s="125" t="str">
        <f>CONCATENATE(L381,H381,J381)</f>
        <v>T</v>
      </c>
    </row>
    <row r="382" spans="1:45" s="125" customFormat="1" ht="25.5" customHeight="1">
      <c r="A382" s="216" t="s">
        <v>2493</v>
      </c>
      <c r="B382" s="217" t="str">
        <f t="shared" si="136"/>
        <v>GL282250</v>
      </c>
      <c r="C382" s="186">
        <v>282250</v>
      </c>
      <c r="D382" s="201"/>
      <c r="E382" s="162"/>
      <c r="F382" s="169" t="s">
        <v>298</v>
      </c>
      <c r="G382" s="117"/>
      <c r="H382" s="118" t="s">
        <v>1180</v>
      </c>
      <c r="I382" s="119"/>
      <c r="J382" s="120"/>
      <c r="K382" s="120" t="str">
        <f t="shared" si="135"/>
        <v/>
      </c>
      <c r="L382" s="170" t="s">
        <v>1174</v>
      </c>
      <c r="M382" s="122" t="str">
        <f t="shared" si="137"/>
        <v>T</v>
      </c>
      <c r="N382" s="116" t="str">
        <f>IF($L382&lt;&gt;"",VLOOKUP($L382,Categories!$E:$G,2,FALSE),IF($F382&lt;&gt;"","NO CAT",""))</f>
        <v>Def Tax Side Sched</v>
      </c>
      <c r="O382" s="116" t="str">
        <f>IF($L382&lt;&gt;"",VLOOKUP($L382,Categories!$E:$G,3,FALSE),IF($F382&lt;&gt;"","NO CAT",""))</f>
        <v>Def Taxes</v>
      </c>
      <c r="P382" s="170" t="s">
        <v>1186</v>
      </c>
      <c r="Q382" s="123" t="s">
        <v>1187</v>
      </c>
      <c r="R382" s="124">
        <v>0</v>
      </c>
      <c r="S382" s="124">
        <v>0</v>
      </c>
      <c r="T382" s="124">
        <v>1</v>
      </c>
      <c r="U382" s="121">
        <f t="shared" si="138"/>
        <v>0</v>
      </c>
      <c r="V382" s="121">
        <f t="shared" si="139"/>
        <v>0</v>
      </c>
      <c r="W382" s="121">
        <f t="shared" si="140"/>
        <v>-12218.23278375</v>
      </c>
      <c r="X382" s="121">
        <f t="shared" si="133"/>
        <v>-12218.23278375</v>
      </c>
      <c r="Y382" s="121">
        <f t="shared" si="141"/>
        <v>0</v>
      </c>
      <c r="Z382" s="121">
        <f t="shared" si="142"/>
        <v>0</v>
      </c>
      <c r="AA382" s="121">
        <f t="shared" si="143"/>
        <v>-12903.32069</v>
      </c>
      <c r="AB382" s="121">
        <f t="shared" si="134"/>
        <v>-12903.320689999999</v>
      </c>
      <c r="AC382" s="121">
        <v>-12073.315060000001</v>
      </c>
      <c r="AD382" s="121">
        <v>-12050.00894</v>
      </c>
      <c r="AE382" s="121">
        <v>-12019.552039999999</v>
      </c>
      <c r="AF382" s="121">
        <v>-12001.549230000001</v>
      </c>
      <c r="AG382" s="121">
        <v>-12091.989720000001</v>
      </c>
      <c r="AH382" s="121">
        <v>-12100.141900000001</v>
      </c>
      <c r="AI382" s="121">
        <v>-12065.379199999999</v>
      </c>
      <c r="AJ382" s="121">
        <v>-12071.62117</v>
      </c>
      <c r="AK382" s="121">
        <v>-12067.814400000001</v>
      </c>
      <c r="AL382" s="121">
        <v>-12061.812330000001</v>
      </c>
      <c r="AM382" s="121">
        <v>-12769.24849</v>
      </c>
      <c r="AN382" s="121">
        <v>-12831.358109999999</v>
      </c>
      <c r="AO382" s="121">
        <v>-12903.320689999999</v>
      </c>
      <c r="AP382" s="125" t="str">
        <f>CONCATENATE(A382,M382)</f>
        <v>GLT</v>
      </c>
      <c r="AQ382" s="125" t="str">
        <f>CONCATENATE(AP382,L382,H382)</f>
        <v>GLTT</v>
      </c>
      <c r="AS382" s="125" t="str">
        <f>CONCATENATE(L382,H382,J382)</f>
        <v>T</v>
      </c>
    </row>
    <row r="383" spans="1:45" s="125" customFormat="1" ht="25.5" customHeight="1">
      <c r="A383" s="216" t="s">
        <v>2493</v>
      </c>
      <c r="B383" s="217" t="str">
        <f t="shared" si="136"/>
        <v>GL282270</v>
      </c>
      <c r="C383" s="186">
        <v>282270</v>
      </c>
      <c r="D383" s="201"/>
      <c r="E383" s="162"/>
      <c r="F383" s="169" t="s">
        <v>1091</v>
      </c>
      <c r="G383" s="117"/>
      <c r="H383" s="118" t="s">
        <v>1180</v>
      </c>
      <c r="I383" s="119"/>
      <c r="J383" s="120"/>
      <c r="K383" s="120" t="str">
        <f>IF(L383="N3","SFAS-109","")</f>
        <v/>
      </c>
      <c r="L383" s="170" t="s">
        <v>2856</v>
      </c>
      <c r="M383" s="122" t="str">
        <f t="shared" si="137"/>
        <v>T</v>
      </c>
      <c r="N383" s="116" t="e">
        <f>IF($L383&lt;&gt;"",VLOOKUP($L383,Categories!$E:$G,2,FALSE),IF($F383&lt;&gt;"","NO CAT",""))</f>
        <v>#N/A</v>
      </c>
      <c r="O383" s="116" t="e">
        <f>IF($L383&lt;&gt;"",VLOOKUP($L383,Categories!$E:$G,3,FALSE),IF($F383&lt;&gt;"","NO CAT",""))</f>
        <v>#N/A</v>
      </c>
      <c r="P383" s="170" t="s">
        <v>1186</v>
      </c>
      <c r="Q383" s="123" t="s">
        <v>1187</v>
      </c>
      <c r="R383" s="124">
        <v>0</v>
      </c>
      <c r="S383" s="124">
        <v>0</v>
      </c>
      <c r="T383" s="124">
        <v>1</v>
      </c>
      <c r="U383" s="121">
        <f t="shared" si="138"/>
        <v>0</v>
      </c>
      <c r="V383" s="121">
        <f t="shared" si="139"/>
        <v>0</v>
      </c>
      <c r="W383" s="121">
        <f t="shared" si="140"/>
        <v>3.7378999999999998</v>
      </c>
      <c r="X383" s="121">
        <f t="shared" si="133"/>
        <v>3.7378999999999998</v>
      </c>
      <c r="Y383" s="121">
        <f t="shared" si="141"/>
        <v>0</v>
      </c>
      <c r="Z383" s="121">
        <f t="shared" si="142"/>
        <v>0</v>
      </c>
      <c r="AA383" s="121">
        <f t="shared" si="143"/>
        <v>3.7378999999999998</v>
      </c>
      <c r="AB383" s="121">
        <f t="shared" si="134"/>
        <v>3.7379000000000002</v>
      </c>
      <c r="AC383" s="121">
        <v>3.7379000000000002</v>
      </c>
      <c r="AD383" s="121">
        <v>3.7379000000000002</v>
      </c>
      <c r="AE383" s="121">
        <v>3.7379000000000002</v>
      </c>
      <c r="AF383" s="121">
        <v>3.7379000000000002</v>
      </c>
      <c r="AG383" s="121">
        <v>3.7379000000000002</v>
      </c>
      <c r="AH383" s="121">
        <v>3.7379000000000002</v>
      </c>
      <c r="AI383" s="121">
        <v>3.7379000000000002</v>
      </c>
      <c r="AJ383" s="121">
        <v>3.7379000000000002</v>
      </c>
      <c r="AK383" s="121">
        <v>3.7379000000000002</v>
      </c>
      <c r="AL383" s="121">
        <v>3.7379000000000002</v>
      </c>
      <c r="AM383" s="121">
        <v>3.7379000000000002</v>
      </c>
      <c r="AN383" s="121">
        <v>3.7379000000000002</v>
      </c>
      <c r="AO383" s="121">
        <v>3.7379000000000002</v>
      </c>
      <c r="AP383" s="125" t="str">
        <f>CONCATENATE(A383,M383)</f>
        <v>GLT</v>
      </c>
      <c r="AQ383" s="125" t="str">
        <f>CONCATENATE(AP383,L383,H383)</f>
        <v xml:space="preserve">GLTT </v>
      </c>
      <c r="AS383" s="125" t="str">
        <f>CONCATENATE(L383,H383,J383)</f>
        <v xml:space="preserve">T </v>
      </c>
    </row>
    <row r="384" spans="1:45" s="125" customFormat="1" ht="25.5" customHeight="1">
      <c r="A384" s="216" t="s">
        <v>2493</v>
      </c>
      <c r="B384" s="217" t="str">
        <f t="shared" si="136"/>
        <v>GL283000</v>
      </c>
      <c r="C384" s="186">
        <v>283000</v>
      </c>
      <c r="D384" s="201"/>
      <c r="E384" s="162"/>
      <c r="F384" s="169" t="s">
        <v>299</v>
      </c>
      <c r="G384" s="117"/>
      <c r="H384" s="118" t="s">
        <v>1180</v>
      </c>
      <c r="I384" s="119"/>
      <c r="J384" s="120"/>
      <c r="K384" s="120" t="str">
        <f t="shared" si="135"/>
        <v/>
      </c>
      <c r="L384" s="170" t="s">
        <v>1174</v>
      </c>
      <c r="M384" s="122" t="str">
        <f t="shared" si="137"/>
        <v>T</v>
      </c>
      <c r="N384" s="116" t="str">
        <f>IF($L384&lt;&gt;"",VLOOKUP($L384,Categories!$E:$G,2,FALSE),IF($F384&lt;&gt;"","NO CAT",""))</f>
        <v>Def Tax Side Sched</v>
      </c>
      <c r="O384" s="116" t="str">
        <f>IF($L384&lt;&gt;"",VLOOKUP($L384,Categories!$E:$G,3,FALSE),IF($F384&lt;&gt;"","NO CAT",""))</f>
        <v>Def Taxes</v>
      </c>
      <c r="P384" s="170" t="s">
        <v>1186</v>
      </c>
      <c r="Q384" s="123" t="s">
        <v>1187</v>
      </c>
      <c r="R384" s="124">
        <v>0</v>
      </c>
      <c r="S384" s="124">
        <v>0</v>
      </c>
      <c r="T384" s="124">
        <v>1</v>
      </c>
      <c r="U384" s="121" t="str">
        <f t="shared" si="138"/>
        <v/>
      </c>
      <c r="V384" s="121" t="str">
        <f t="shared" si="139"/>
        <v/>
      </c>
      <c r="W384" s="121" t="str">
        <f t="shared" si="140"/>
        <v/>
      </c>
      <c r="X384" s="121">
        <f t="shared" si="133"/>
        <v>0</v>
      </c>
      <c r="Y384" s="121" t="str">
        <f t="shared" si="141"/>
        <v/>
      </c>
      <c r="Z384" s="121" t="str">
        <f t="shared" si="142"/>
        <v/>
      </c>
      <c r="AA384" s="121" t="str">
        <f t="shared" si="143"/>
        <v/>
      </c>
      <c r="AB384" s="121">
        <f t="shared" si="134"/>
        <v>0</v>
      </c>
      <c r="AC384" s="121">
        <v>0</v>
      </c>
      <c r="AD384" s="121">
        <v>0</v>
      </c>
      <c r="AE384" s="121">
        <v>0</v>
      </c>
      <c r="AF384" s="121">
        <v>0</v>
      </c>
      <c r="AG384" s="121">
        <v>0</v>
      </c>
      <c r="AH384" s="121">
        <v>0</v>
      </c>
      <c r="AI384" s="121">
        <v>0</v>
      </c>
      <c r="AJ384" s="121">
        <v>0</v>
      </c>
      <c r="AK384" s="121">
        <v>0</v>
      </c>
      <c r="AL384" s="121">
        <v>0</v>
      </c>
      <c r="AM384" s="121">
        <v>0</v>
      </c>
      <c r="AN384" s="121">
        <v>0</v>
      </c>
      <c r="AO384" s="121">
        <v>0</v>
      </c>
      <c r="AP384" s="125" t="str">
        <f>CONCATENATE(A384,M384)</f>
        <v>GLT</v>
      </c>
      <c r="AQ384" s="125" t="str">
        <f>CONCATENATE(AP384,L384,H384)</f>
        <v>GLTT</v>
      </c>
      <c r="AS384" s="125" t="str">
        <f>CONCATENATE(L384,H384,J384)</f>
        <v>T</v>
      </c>
    </row>
    <row r="385" spans="1:45" s="125" customFormat="1" ht="25.5" customHeight="1">
      <c r="A385" s="216" t="s">
        <v>2493</v>
      </c>
      <c r="B385" s="217" t="str">
        <f t="shared" si="136"/>
        <v>GL283006</v>
      </c>
      <c r="C385" s="186">
        <v>283006</v>
      </c>
      <c r="D385" s="201"/>
      <c r="E385" s="162"/>
      <c r="F385" s="169" t="s">
        <v>1856</v>
      </c>
      <c r="G385" s="117"/>
      <c r="H385" s="118" t="e">
        <v>#N/A</v>
      </c>
      <c r="I385" s="119"/>
      <c r="J385" s="120"/>
      <c r="K385" s="120" t="str">
        <f t="shared" si="135"/>
        <v/>
      </c>
      <c r="L385" s="170" t="s">
        <v>1174</v>
      </c>
      <c r="M385" s="122" t="str">
        <f t="shared" si="137"/>
        <v>T</v>
      </c>
      <c r="N385" s="116" t="str">
        <f>IF($L385&lt;&gt;"",VLOOKUP($L385,Categories!$E:$G,2,FALSE),IF($F385&lt;&gt;"","NO CAT",""))</f>
        <v>Def Tax Side Sched</v>
      </c>
      <c r="O385" s="116" t="str">
        <f>IF($L385&lt;&gt;"",VLOOKUP($L385,Categories!$E:$G,3,FALSE),IF($F385&lt;&gt;"","NO CAT",""))</f>
        <v>Def Taxes</v>
      </c>
      <c r="P385" s="170" t="s">
        <v>1186</v>
      </c>
      <c r="Q385" s="123" t="s">
        <v>1187</v>
      </c>
      <c r="R385" s="124">
        <v>0</v>
      </c>
      <c r="S385" s="124">
        <v>0</v>
      </c>
      <c r="T385" s="124">
        <v>1</v>
      </c>
      <c r="U385" s="121">
        <f t="shared" si="138"/>
        <v>0</v>
      </c>
      <c r="V385" s="121">
        <f t="shared" si="139"/>
        <v>0</v>
      </c>
      <c r="W385" s="121">
        <f t="shared" si="140"/>
        <v>-50117.824541666698</v>
      </c>
      <c r="X385" s="121">
        <f t="shared" si="133"/>
        <v>-50117.824541666698</v>
      </c>
      <c r="Y385" s="121">
        <f t="shared" si="141"/>
        <v>0</v>
      </c>
      <c r="Z385" s="121">
        <f t="shared" si="142"/>
        <v>0</v>
      </c>
      <c r="AA385" s="121">
        <f t="shared" si="143"/>
        <v>-53528.358999999997</v>
      </c>
      <c r="AB385" s="121">
        <f t="shared" si="134"/>
        <v>-53528.358999999997</v>
      </c>
      <c r="AC385" s="121">
        <v>-42810.904000000002</v>
      </c>
      <c r="AD385" s="121">
        <v>-46565.913999999997</v>
      </c>
      <c r="AE385" s="121">
        <v>-47943.7</v>
      </c>
      <c r="AF385" s="121">
        <v>-47943.7</v>
      </c>
      <c r="AG385" s="121">
        <v>-49809.392</v>
      </c>
      <c r="AH385" s="121">
        <v>-49809.392</v>
      </c>
      <c r="AI385" s="121">
        <v>-49809.392</v>
      </c>
      <c r="AJ385" s="121">
        <v>-49809.392</v>
      </c>
      <c r="AK385" s="121">
        <v>-51412.243999999999</v>
      </c>
      <c r="AL385" s="121">
        <v>-53306.389000000003</v>
      </c>
      <c r="AM385" s="121">
        <v>-53306.389000000003</v>
      </c>
      <c r="AN385" s="121">
        <v>-53528.358999999997</v>
      </c>
      <c r="AO385" s="121">
        <v>-53528.358999999997</v>
      </c>
      <c r="AP385" s="125" t="str">
        <f>CONCATENATE(A385,M385)</f>
        <v>GLT</v>
      </c>
      <c r="AQ385" s="125" t="e">
        <f>CONCATENATE(AP385,L385,H385)</f>
        <v>#N/A</v>
      </c>
      <c r="AS385" s="125" t="e">
        <f>CONCATENATE(L385,H385,J385)</f>
        <v>#N/A</v>
      </c>
    </row>
    <row r="386" spans="1:45" s="125" customFormat="1" ht="25.5" customHeight="1">
      <c r="A386" s="216" t="s">
        <v>2493</v>
      </c>
      <c r="B386" s="217" t="str">
        <f t="shared" si="136"/>
        <v>GL283007</v>
      </c>
      <c r="C386" s="186">
        <v>283007</v>
      </c>
      <c r="D386" s="201"/>
      <c r="E386" s="162"/>
      <c r="F386" s="169" t="s">
        <v>2215</v>
      </c>
      <c r="G386" s="117"/>
      <c r="H386" s="118">
        <v>0</v>
      </c>
      <c r="I386" s="119"/>
      <c r="J386" s="120"/>
      <c r="K386" s="120" t="str">
        <f t="shared" si="135"/>
        <v/>
      </c>
      <c r="L386" s="170" t="s">
        <v>1174</v>
      </c>
      <c r="M386" s="122" t="str">
        <f t="shared" si="137"/>
        <v>T</v>
      </c>
      <c r="N386" s="116" t="str">
        <f>IF($L386&lt;&gt;"",VLOOKUP($L386,Categories!$E:$G,2,FALSE),IF($F386&lt;&gt;"","NO CAT",""))</f>
        <v>Def Tax Side Sched</v>
      </c>
      <c r="O386" s="116" t="str">
        <f>IF($L386&lt;&gt;"",VLOOKUP($L386,Categories!$E:$G,3,FALSE),IF($F386&lt;&gt;"","NO CAT",""))</f>
        <v>Def Taxes</v>
      </c>
      <c r="P386" s="170" t="s">
        <v>1186</v>
      </c>
      <c r="Q386" s="123" t="s">
        <v>1187</v>
      </c>
      <c r="R386" s="124">
        <v>0</v>
      </c>
      <c r="S386" s="124">
        <v>0</v>
      </c>
      <c r="T386" s="124">
        <v>1</v>
      </c>
      <c r="U386" s="121">
        <f t="shared" si="138"/>
        <v>0</v>
      </c>
      <c r="V386" s="121">
        <f t="shared" si="139"/>
        <v>0</v>
      </c>
      <c r="W386" s="121">
        <f t="shared" si="140"/>
        <v>-35455.061500000003</v>
      </c>
      <c r="X386" s="121">
        <f t="shared" si="133"/>
        <v>-35455.061500000003</v>
      </c>
      <c r="Y386" s="121">
        <f t="shared" si="141"/>
        <v>0</v>
      </c>
      <c r="Z386" s="121">
        <f t="shared" si="142"/>
        <v>0</v>
      </c>
      <c r="AA386" s="121">
        <f t="shared" si="143"/>
        <v>-36452.781999999999</v>
      </c>
      <c r="AB386" s="121">
        <f t="shared" si="134"/>
        <v>-36452.781999999999</v>
      </c>
      <c r="AC386" s="121">
        <v>-33577.61</v>
      </c>
      <c r="AD386" s="121">
        <v>-34516.362000000001</v>
      </c>
      <c r="AE386" s="121">
        <v>-34860.807999999997</v>
      </c>
      <c r="AF386" s="121">
        <v>-34860.807999999997</v>
      </c>
      <c r="AG386" s="121">
        <v>-35327.232000000004</v>
      </c>
      <c r="AH386" s="121">
        <v>-35327.232000000004</v>
      </c>
      <c r="AI386" s="121">
        <v>-35327.232000000004</v>
      </c>
      <c r="AJ386" s="121">
        <v>-35327.232000000004</v>
      </c>
      <c r="AK386" s="121">
        <v>-35836.375999999997</v>
      </c>
      <c r="AL386" s="121">
        <v>-36304.739000000001</v>
      </c>
      <c r="AM386" s="121">
        <v>-36304.739000000001</v>
      </c>
      <c r="AN386" s="121">
        <v>-36452.781999999999</v>
      </c>
      <c r="AO386" s="121">
        <v>-36452.781999999999</v>
      </c>
      <c r="AP386" s="125" t="str">
        <f>CONCATENATE(A386,M386)</f>
        <v>GLT</v>
      </c>
      <c r="AQ386" s="125" t="str">
        <f>CONCATENATE(AP386,L386,H386)</f>
        <v>GLTT0</v>
      </c>
      <c r="AS386" s="125" t="str">
        <f>CONCATENATE(L386,H386,J386)</f>
        <v>T0</v>
      </c>
    </row>
    <row r="387" spans="1:45" s="125" customFormat="1" ht="25.5" customHeight="1">
      <c r="A387" s="216" t="s">
        <v>2493</v>
      </c>
      <c r="B387" s="217" t="str">
        <f t="shared" si="136"/>
        <v>GL283008</v>
      </c>
      <c r="C387" s="186">
        <v>283008</v>
      </c>
      <c r="D387" s="201"/>
      <c r="E387" s="162"/>
      <c r="F387" s="169" t="s">
        <v>1841</v>
      </c>
      <c r="G387" s="117"/>
      <c r="H387" s="118" t="e">
        <v>#N/A</v>
      </c>
      <c r="I387" s="119"/>
      <c r="J387" s="120"/>
      <c r="K387" s="120" t="str">
        <f t="shared" si="135"/>
        <v/>
      </c>
      <c r="L387" s="170" t="s">
        <v>1174</v>
      </c>
      <c r="M387" s="122" t="str">
        <f t="shared" si="137"/>
        <v>T</v>
      </c>
      <c r="N387" s="116" t="str">
        <f>IF($L387&lt;&gt;"",VLOOKUP($L387,Categories!$E:$G,2,FALSE),IF($F387&lt;&gt;"","NO CAT",""))</f>
        <v>Def Tax Side Sched</v>
      </c>
      <c r="O387" s="116" t="str">
        <f>IF($L387&lt;&gt;"",VLOOKUP($L387,Categories!$E:$G,3,FALSE),IF($F387&lt;&gt;"","NO CAT",""))</f>
        <v>Def Taxes</v>
      </c>
      <c r="P387" s="170" t="s">
        <v>1186</v>
      </c>
      <c r="Q387" s="123" t="s">
        <v>1187</v>
      </c>
      <c r="R387" s="124">
        <v>0</v>
      </c>
      <c r="S387" s="124">
        <v>0</v>
      </c>
      <c r="T387" s="124">
        <v>1</v>
      </c>
      <c r="U387" s="121">
        <f t="shared" si="138"/>
        <v>0</v>
      </c>
      <c r="V387" s="121">
        <f t="shared" si="139"/>
        <v>0</v>
      </c>
      <c r="W387" s="121">
        <f t="shared" si="140"/>
        <v>-52375.760999999999</v>
      </c>
      <c r="X387" s="121">
        <f t="shared" si="133"/>
        <v>-52375.760999999999</v>
      </c>
      <c r="Y387" s="121">
        <f t="shared" si="141"/>
        <v>0</v>
      </c>
      <c r="Z387" s="121">
        <f t="shared" si="142"/>
        <v>0</v>
      </c>
      <c r="AA387" s="121">
        <f t="shared" si="143"/>
        <v>-52375.760999999999</v>
      </c>
      <c r="AB387" s="121">
        <f t="shared" si="134"/>
        <v>-52375.760999999999</v>
      </c>
      <c r="AC387" s="121">
        <v>-52375.760999999999</v>
      </c>
      <c r="AD387" s="121">
        <v>-52375.760999999999</v>
      </c>
      <c r="AE387" s="121">
        <v>-52375.760999999999</v>
      </c>
      <c r="AF387" s="121">
        <v>-52375.760999999999</v>
      </c>
      <c r="AG387" s="121">
        <v>-52375.760999999999</v>
      </c>
      <c r="AH387" s="121">
        <v>-52375.760999999999</v>
      </c>
      <c r="AI387" s="121">
        <v>-52375.760999999999</v>
      </c>
      <c r="AJ387" s="121">
        <v>-52375.760999999999</v>
      </c>
      <c r="AK387" s="121">
        <v>-52375.760999999999</v>
      </c>
      <c r="AL387" s="121">
        <v>-52375.760999999999</v>
      </c>
      <c r="AM387" s="121">
        <v>-52375.760999999999</v>
      </c>
      <c r="AN387" s="121">
        <v>-52375.760999999999</v>
      </c>
      <c r="AO387" s="121">
        <v>-52375.760999999999</v>
      </c>
      <c r="AP387" s="125" t="str">
        <f>CONCATENATE(A387,M387)</f>
        <v>GLT</v>
      </c>
      <c r="AQ387" s="125" t="e">
        <f>CONCATENATE(AP387,L387,H387)</f>
        <v>#N/A</v>
      </c>
      <c r="AS387" s="125" t="e">
        <f>CONCATENATE(L387,H387,J387)</f>
        <v>#N/A</v>
      </c>
    </row>
    <row r="388" spans="1:45" s="125" customFormat="1" ht="25.5" customHeight="1">
      <c r="A388" s="216" t="s">
        <v>2493</v>
      </c>
      <c r="B388" s="217" t="str">
        <f t="shared" si="136"/>
        <v>GL283015</v>
      </c>
      <c r="C388" s="186">
        <v>283015</v>
      </c>
      <c r="D388" s="201"/>
      <c r="E388" s="162"/>
      <c r="F388" s="169" t="s">
        <v>1842</v>
      </c>
      <c r="G388" s="117"/>
      <c r="H388" s="118" t="e">
        <v>#N/A</v>
      </c>
      <c r="I388" s="119"/>
      <c r="J388" s="120"/>
      <c r="K388" s="120" t="str">
        <f t="shared" si="135"/>
        <v/>
      </c>
      <c r="L388" s="170" t="s">
        <v>1174</v>
      </c>
      <c r="M388" s="122" t="str">
        <f t="shared" si="137"/>
        <v>T</v>
      </c>
      <c r="N388" s="116" t="str">
        <f>IF($L388&lt;&gt;"",VLOOKUP($L388,Categories!$E:$G,2,FALSE),IF($F388&lt;&gt;"","NO CAT",""))</f>
        <v>Def Tax Side Sched</v>
      </c>
      <c r="O388" s="116" t="str">
        <f>IF($L388&lt;&gt;"",VLOOKUP($L388,Categories!$E:$G,3,FALSE),IF($F388&lt;&gt;"","NO CAT",""))</f>
        <v>Def Taxes</v>
      </c>
      <c r="P388" s="170" t="s">
        <v>1186</v>
      </c>
      <c r="Q388" s="123" t="s">
        <v>1187</v>
      </c>
      <c r="R388" s="124">
        <v>0</v>
      </c>
      <c r="S388" s="124">
        <v>0</v>
      </c>
      <c r="T388" s="124">
        <v>1</v>
      </c>
      <c r="U388" s="121">
        <f t="shared" si="138"/>
        <v>0</v>
      </c>
      <c r="V388" s="121">
        <f t="shared" si="139"/>
        <v>0</v>
      </c>
      <c r="W388" s="121">
        <f t="shared" si="140"/>
        <v>-27166.077000000001</v>
      </c>
      <c r="X388" s="121">
        <f t="shared" si="133"/>
        <v>-27166.077000000001</v>
      </c>
      <c r="Y388" s="121">
        <f t="shared" si="141"/>
        <v>0</v>
      </c>
      <c r="Z388" s="121">
        <f t="shared" si="142"/>
        <v>0</v>
      </c>
      <c r="AA388" s="121">
        <f t="shared" si="143"/>
        <v>-27166.077000000001</v>
      </c>
      <c r="AB388" s="121">
        <f t="shared" si="134"/>
        <v>-27166.077000000001</v>
      </c>
      <c r="AC388" s="121">
        <v>-27166.077000000001</v>
      </c>
      <c r="AD388" s="121">
        <v>-27166.077000000001</v>
      </c>
      <c r="AE388" s="121">
        <v>-27166.077000000001</v>
      </c>
      <c r="AF388" s="121">
        <v>-27166.077000000001</v>
      </c>
      <c r="AG388" s="121">
        <v>-27166.077000000001</v>
      </c>
      <c r="AH388" s="121">
        <v>-27166.077000000001</v>
      </c>
      <c r="AI388" s="121">
        <v>-27166.077000000001</v>
      </c>
      <c r="AJ388" s="121">
        <v>-27166.077000000001</v>
      </c>
      <c r="AK388" s="121">
        <v>-27166.077000000001</v>
      </c>
      <c r="AL388" s="121">
        <v>-27166.077000000001</v>
      </c>
      <c r="AM388" s="121">
        <v>-27166.077000000001</v>
      </c>
      <c r="AN388" s="121">
        <v>-27166.077000000001</v>
      </c>
      <c r="AO388" s="121">
        <v>-27166.077000000001</v>
      </c>
      <c r="AP388" s="125" t="str">
        <f>CONCATENATE(A388,M388)</f>
        <v>GLT</v>
      </c>
      <c r="AQ388" s="125" t="e">
        <f>CONCATENATE(AP388,L388,H388)</f>
        <v>#N/A</v>
      </c>
      <c r="AS388" s="125" t="e">
        <f>CONCATENATE(L388,H388,J388)</f>
        <v>#N/A</v>
      </c>
    </row>
    <row r="389" spans="1:45" s="125" customFormat="1" ht="25.5" customHeight="1">
      <c r="A389" s="216" t="s">
        <v>2493</v>
      </c>
      <c r="B389" s="217" t="str">
        <f t="shared" si="136"/>
        <v>GL283016</v>
      </c>
      <c r="C389" s="186">
        <v>283016</v>
      </c>
      <c r="D389" s="201"/>
      <c r="E389" s="162"/>
      <c r="F389" s="169" t="s">
        <v>1857</v>
      </c>
      <c r="G389" s="117"/>
      <c r="H389" s="118" t="e">
        <v>#N/A</v>
      </c>
      <c r="I389" s="119"/>
      <c r="J389" s="120"/>
      <c r="K389" s="120" t="str">
        <f t="shared" si="135"/>
        <v/>
      </c>
      <c r="L389" s="170" t="s">
        <v>1174</v>
      </c>
      <c r="M389" s="122" t="str">
        <f t="shared" si="137"/>
        <v>T</v>
      </c>
      <c r="N389" s="116" t="str">
        <f>IF($L389&lt;&gt;"",VLOOKUP($L389,Categories!$E:$G,2,FALSE),IF($F389&lt;&gt;"","NO CAT",""))</f>
        <v>Def Tax Side Sched</v>
      </c>
      <c r="O389" s="116" t="str">
        <f>IF($L389&lt;&gt;"",VLOOKUP($L389,Categories!$E:$G,3,FALSE),IF($F389&lt;&gt;"","NO CAT",""))</f>
        <v>Def Taxes</v>
      </c>
      <c r="P389" s="170" t="s">
        <v>1186</v>
      </c>
      <c r="Q389" s="123" t="s">
        <v>1187</v>
      </c>
      <c r="R389" s="124">
        <v>0</v>
      </c>
      <c r="S389" s="124">
        <v>0</v>
      </c>
      <c r="T389" s="124">
        <v>1</v>
      </c>
      <c r="U389" s="121">
        <f t="shared" si="138"/>
        <v>0</v>
      </c>
      <c r="V389" s="121">
        <f t="shared" si="139"/>
        <v>0</v>
      </c>
      <c r="W389" s="121">
        <f t="shared" si="140"/>
        <v>-10943.7635416667</v>
      </c>
      <c r="X389" s="121">
        <f t="shared" si="133"/>
        <v>-10943.7635416667</v>
      </c>
      <c r="Y389" s="121">
        <f t="shared" si="141"/>
        <v>0</v>
      </c>
      <c r="Z389" s="121">
        <f t="shared" si="142"/>
        <v>0</v>
      </c>
      <c r="AA389" s="121">
        <f t="shared" si="143"/>
        <v>-11688.49</v>
      </c>
      <c r="AB389" s="121">
        <f t="shared" si="134"/>
        <v>-11688.49</v>
      </c>
      <c r="AC389" s="121">
        <v>-9348.2189999999991</v>
      </c>
      <c r="AD389" s="121">
        <v>-10168.165999999999</v>
      </c>
      <c r="AE389" s="121">
        <v>-10469.02</v>
      </c>
      <c r="AF389" s="121">
        <v>-10469.02</v>
      </c>
      <c r="AG389" s="121">
        <v>-10876.414000000001</v>
      </c>
      <c r="AH389" s="121">
        <v>-10876.414000000001</v>
      </c>
      <c r="AI389" s="121">
        <v>-10876.414000000001</v>
      </c>
      <c r="AJ389" s="121">
        <v>-10876.414000000001</v>
      </c>
      <c r="AK389" s="121">
        <v>-11226.414000000001</v>
      </c>
      <c r="AL389" s="121">
        <v>-11640.021000000001</v>
      </c>
      <c r="AM389" s="121">
        <v>-11640.021000000001</v>
      </c>
      <c r="AN389" s="121">
        <v>-11688.49</v>
      </c>
      <c r="AO389" s="121">
        <v>-11688.49</v>
      </c>
      <c r="AP389" s="125" t="str">
        <f>CONCATENATE(A389,M389)</f>
        <v>GLT</v>
      </c>
      <c r="AQ389" s="125" t="e">
        <f>CONCATENATE(AP389,L389,H389)</f>
        <v>#N/A</v>
      </c>
      <c r="AS389" s="125" t="e">
        <f>CONCATENATE(L389,H389,J389)</f>
        <v>#N/A</v>
      </c>
    </row>
    <row r="390" spans="1:45" s="125" customFormat="1" ht="25.5" customHeight="1">
      <c r="A390" s="216" t="s">
        <v>2493</v>
      </c>
      <c r="B390" s="217" t="str">
        <f t="shared" si="136"/>
        <v>GL283017</v>
      </c>
      <c r="C390" s="186">
        <v>283017</v>
      </c>
      <c r="D390" s="201"/>
      <c r="E390" s="162"/>
      <c r="F390" s="169" t="s">
        <v>522</v>
      </c>
      <c r="G390" s="117"/>
      <c r="H390" s="118">
        <v>0</v>
      </c>
      <c r="I390" s="119"/>
      <c r="J390" s="120"/>
      <c r="K390" s="120" t="str">
        <f t="shared" si="135"/>
        <v/>
      </c>
      <c r="L390" s="170" t="s">
        <v>1174</v>
      </c>
      <c r="M390" s="122" t="str">
        <f t="shared" si="137"/>
        <v>T</v>
      </c>
      <c r="N390" s="116" t="str">
        <f>IF($L390&lt;&gt;"",VLOOKUP($L390,Categories!$E:$G,2,FALSE),IF($F390&lt;&gt;"","NO CAT",""))</f>
        <v>Def Tax Side Sched</v>
      </c>
      <c r="O390" s="116" t="str">
        <f>IF($L390&lt;&gt;"",VLOOKUP($L390,Categories!$E:$G,3,FALSE),IF($F390&lt;&gt;"","NO CAT",""))</f>
        <v>Def Taxes</v>
      </c>
      <c r="P390" s="170" t="s">
        <v>1186</v>
      </c>
      <c r="Q390" s="123" t="s">
        <v>1187</v>
      </c>
      <c r="R390" s="124">
        <v>0</v>
      </c>
      <c r="S390" s="124">
        <v>0</v>
      </c>
      <c r="T390" s="124">
        <v>1</v>
      </c>
      <c r="U390" s="121">
        <f t="shared" si="138"/>
        <v>0</v>
      </c>
      <c r="V390" s="121">
        <f t="shared" si="139"/>
        <v>0</v>
      </c>
      <c r="W390" s="121">
        <f t="shared" si="140"/>
        <v>-7741.9940416666695</v>
      </c>
      <c r="X390" s="121">
        <f t="shared" si="133"/>
        <v>-7741.9940416666695</v>
      </c>
      <c r="Y390" s="121">
        <f t="shared" si="141"/>
        <v>0</v>
      </c>
      <c r="Z390" s="121">
        <f t="shared" si="142"/>
        <v>0</v>
      </c>
      <c r="AA390" s="121">
        <f t="shared" si="143"/>
        <v>-7959.857</v>
      </c>
      <c r="AB390" s="121">
        <f t="shared" si="134"/>
        <v>-7959.857</v>
      </c>
      <c r="AC390" s="121">
        <v>-7332.0320000000002</v>
      </c>
      <c r="AD390" s="121">
        <v>-7537.0190000000002</v>
      </c>
      <c r="AE390" s="121">
        <v>-7612.2330000000002</v>
      </c>
      <c r="AF390" s="121">
        <v>-7612.2330000000002</v>
      </c>
      <c r="AG390" s="121">
        <v>-7714.0810000000001</v>
      </c>
      <c r="AH390" s="121">
        <v>-7714.0810000000001</v>
      </c>
      <c r="AI390" s="121">
        <v>-7714.0810000000001</v>
      </c>
      <c r="AJ390" s="121">
        <v>-7714.0810000000001</v>
      </c>
      <c r="AK390" s="121">
        <v>-7825.2579999999998</v>
      </c>
      <c r="AL390" s="121">
        <v>-7927.53</v>
      </c>
      <c r="AM390" s="121">
        <v>-7927.53</v>
      </c>
      <c r="AN390" s="121">
        <v>-7959.857</v>
      </c>
      <c r="AO390" s="121">
        <v>-7959.857</v>
      </c>
      <c r="AP390" s="125" t="str">
        <f>CONCATENATE(A390,M390)</f>
        <v>GLT</v>
      </c>
      <c r="AQ390" s="125" t="str">
        <f>CONCATENATE(AP390,L390,H390)</f>
        <v>GLTT0</v>
      </c>
      <c r="AS390" s="125" t="str">
        <f>CONCATENATE(L390,H390,J390)</f>
        <v>T0</v>
      </c>
    </row>
    <row r="391" spans="1:45" s="125" customFormat="1" ht="25.5" customHeight="1">
      <c r="A391" s="216" t="s">
        <v>2493</v>
      </c>
      <c r="B391" s="217" t="str">
        <f t="shared" si="136"/>
        <v>GL283018</v>
      </c>
      <c r="C391" s="186">
        <v>283018</v>
      </c>
      <c r="D391" s="201"/>
      <c r="E391" s="162"/>
      <c r="F391" s="169" t="s">
        <v>979</v>
      </c>
      <c r="G391" s="117"/>
      <c r="H391" s="118" t="e">
        <v>#N/A</v>
      </c>
      <c r="I391" s="119"/>
      <c r="J391" s="120"/>
      <c r="K391" s="120" t="str">
        <f t="shared" si="135"/>
        <v/>
      </c>
      <c r="L391" s="170" t="s">
        <v>1174</v>
      </c>
      <c r="M391" s="122" t="str">
        <f t="shared" si="137"/>
        <v>T</v>
      </c>
      <c r="N391" s="116" t="str">
        <f>IF($L391&lt;&gt;"",VLOOKUP($L391,Categories!$E:$G,2,FALSE),IF($F391&lt;&gt;"","NO CAT",""))</f>
        <v>Def Tax Side Sched</v>
      </c>
      <c r="O391" s="116" t="str">
        <f>IF($L391&lt;&gt;"",VLOOKUP($L391,Categories!$E:$G,3,FALSE),IF($F391&lt;&gt;"","NO CAT",""))</f>
        <v>Def Taxes</v>
      </c>
      <c r="P391" s="170" t="s">
        <v>1186</v>
      </c>
      <c r="Q391" s="123" t="s">
        <v>1187</v>
      </c>
      <c r="R391" s="124">
        <v>0</v>
      </c>
      <c r="S391" s="124">
        <v>0</v>
      </c>
      <c r="T391" s="124">
        <v>1</v>
      </c>
      <c r="U391" s="121">
        <f t="shared" si="138"/>
        <v>0</v>
      </c>
      <c r="V391" s="121">
        <f t="shared" si="139"/>
        <v>0</v>
      </c>
      <c r="W391" s="121">
        <f t="shared" si="140"/>
        <v>-43499.951000000001</v>
      </c>
      <c r="X391" s="121">
        <f t="shared" si="133"/>
        <v>-43499.951000000001</v>
      </c>
      <c r="Y391" s="121">
        <f t="shared" si="141"/>
        <v>0</v>
      </c>
      <c r="Z391" s="121">
        <f t="shared" si="142"/>
        <v>0</v>
      </c>
      <c r="AA391" s="121">
        <f t="shared" si="143"/>
        <v>-43499.951000000001</v>
      </c>
      <c r="AB391" s="121">
        <f t="shared" si="134"/>
        <v>-43499.951000000001</v>
      </c>
      <c r="AC391" s="121">
        <v>-43499.951000000001</v>
      </c>
      <c r="AD391" s="121">
        <v>-43499.951000000001</v>
      </c>
      <c r="AE391" s="121">
        <v>-43499.951000000001</v>
      </c>
      <c r="AF391" s="121">
        <v>-43499.951000000001</v>
      </c>
      <c r="AG391" s="121">
        <v>-43499.951000000001</v>
      </c>
      <c r="AH391" s="121">
        <v>-43499.951000000001</v>
      </c>
      <c r="AI391" s="121">
        <v>-43499.951000000001</v>
      </c>
      <c r="AJ391" s="121">
        <v>-43499.951000000001</v>
      </c>
      <c r="AK391" s="121">
        <v>-43499.951000000001</v>
      </c>
      <c r="AL391" s="121">
        <v>-43499.951000000001</v>
      </c>
      <c r="AM391" s="121">
        <v>-43499.951000000001</v>
      </c>
      <c r="AN391" s="121">
        <v>-43499.951000000001</v>
      </c>
      <c r="AO391" s="121">
        <v>-43499.951000000001</v>
      </c>
      <c r="AP391" s="125" t="str">
        <f>CONCATENATE(A391,M391)</f>
        <v>GLT</v>
      </c>
      <c r="AQ391" s="125" t="e">
        <f>CONCATENATE(AP391,L391,H391)</f>
        <v>#N/A</v>
      </c>
      <c r="AS391" s="125" t="e">
        <f>CONCATENATE(L391,H391,J391)</f>
        <v>#N/A</v>
      </c>
    </row>
    <row r="392" spans="1:45" s="125" customFormat="1" ht="25.5" customHeight="1">
      <c r="A392" s="216" t="s">
        <v>2493</v>
      </c>
      <c r="B392" s="217" t="str">
        <f t="shared" si="136"/>
        <v>GL283019</v>
      </c>
      <c r="C392" s="186">
        <v>283019</v>
      </c>
      <c r="D392" s="201"/>
      <c r="E392" s="162"/>
      <c r="F392" s="169" t="s">
        <v>980</v>
      </c>
      <c r="G392" s="117"/>
      <c r="H392" s="118">
        <v>0</v>
      </c>
      <c r="I392" s="119"/>
      <c r="J392" s="120"/>
      <c r="K392" s="120" t="str">
        <f t="shared" si="135"/>
        <v/>
      </c>
      <c r="L392" s="170" t="s">
        <v>1174</v>
      </c>
      <c r="M392" s="122" t="str">
        <f t="shared" si="137"/>
        <v>T</v>
      </c>
      <c r="N392" s="116" t="str">
        <f>IF($L392&lt;&gt;"",VLOOKUP($L392,Categories!$E:$G,2,FALSE),IF($F392&lt;&gt;"","NO CAT",""))</f>
        <v>Def Tax Side Sched</v>
      </c>
      <c r="O392" s="116" t="str">
        <f>IF($L392&lt;&gt;"",VLOOKUP($L392,Categories!$E:$G,3,FALSE),IF($F392&lt;&gt;"","NO CAT",""))</f>
        <v>Def Taxes</v>
      </c>
      <c r="P392" s="170" t="s">
        <v>1186</v>
      </c>
      <c r="Q392" s="123" t="s">
        <v>1187</v>
      </c>
      <c r="R392" s="124">
        <v>0</v>
      </c>
      <c r="S392" s="124">
        <v>0</v>
      </c>
      <c r="T392" s="124">
        <v>1</v>
      </c>
      <c r="U392" s="121">
        <f t="shared" si="138"/>
        <v>0</v>
      </c>
      <c r="V392" s="121">
        <f t="shared" si="139"/>
        <v>0</v>
      </c>
      <c r="W392" s="121">
        <f t="shared" si="140"/>
        <v>-6028.3509999999997</v>
      </c>
      <c r="X392" s="121">
        <f t="shared" si="133"/>
        <v>-6028.3509999999997</v>
      </c>
      <c r="Y392" s="121">
        <f t="shared" si="141"/>
        <v>0</v>
      </c>
      <c r="Z392" s="121">
        <f t="shared" si="142"/>
        <v>0</v>
      </c>
      <c r="AA392" s="121">
        <f t="shared" si="143"/>
        <v>-6028.3509999999997</v>
      </c>
      <c r="AB392" s="121">
        <f t="shared" si="134"/>
        <v>-6028.3509999999997</v>
      </c>
      <c r="AC392" s="121">
        <v>-6028.3509999999997</v>
      </c>
      <c r="AD392" s="121">
        <v>-6028.3509999999997</v>
      </c>
      <c r="AE392" s="121">
        <v>-6028.3509999999997</v>
      </c>
      <c r="AF392" s="121">
        <v>-6028.3509999999997</v>
      </c>
      <c r="AG392" s="121">
        <v>-6028.3509999999997</v>
      </c>
      <c r="AH392" s="121">
        <v>-6028.3509999999997</v>
      </c>
      <c r="AI392" s="121">
        <v>-6028.3509999999997</v>
      </c>
      <c r="AJ392" s="121">
        <v>-6028.3509999999997</v>
      </c>
      <c r="AK392" s="121">
        <v>-6028.3509999999997</v>
      </c>
      <c r="AL392" s="121">
        <v>-6028.3509999999997</v>
      </c>
      <c r="AM392" s="121">
        <v>-6028.3509999999997</v>
      </c>
      <c r="AN392" s="121">
        <v>-6028.3509999999997</v>
      </c>
      <c r="AO392" s="121">
        <v>-6028.3509999999997</v>
      </c>
      <c r="AP392" s="125" t="str">
        <f>CONCATENATE(A392,M392)</f>
        <v>GLT</v>
      </c>
      <c r="AQ392" s="125" t="str">
        <f>CONCATENATE(AP392,L392,H392)</f>
        <v>GLTT0</v>
      </c>
      <c r="AS392" s="125" t="str">
        <f>CONCATENATE(L392,H392,J392)</f>
        <v>T0</v>
      </c>
    </row>
    <row r="393" spans="1:45" s="125" customFormat="1" ht="25.5" customHeight="1">
      <c r="A393" s="216" t="s">
        <v>2493</v>
      </c>
      <c r="B393" s="217" t="str">
        <f t="shared" si="136"/>
        <v>GL283161</v>
      </c>
      <c r="C393" s="186">
        <v>283161</v>
      </c>
      <c r="D393" s="201"/>
      <c r="E393" s="162"/>
      <c r="F393" s="169" t="s">
        <v>2236</v>
      </c>
      <c r="G393" s="117"/>
      <c r="H393" s="118">
        <v>0</v>
      </c>
      <c r="I393" s="119"/>
      <c r="J393" s="120"/>
      <c r="K393" s="120" t="str">
        <f t="shared" si="135"/>
        <v/>
      </c>
      <c r="L393" s="170" t="s">
        <v>1174</v>
      </c>
      <c r="M393" s="122" t="str">
        <f t="shared" si="137"/>
        <v>T</v>
      </c>
      <c r="N393" s="116" t="str">
        <f>IF($L393&lt;&gt;"",VLOOKUP($L393,Categories!$E:$G,2,FALSE),IF($F393&lt;&gt;"","NO CAT",""))</f>
        <v>Def Tax Side Sched</v>
      </c>
      <c r="O393" s="116" t="str">
        <f>IF($L393&lt;&gt;"",VLOOKUP($L393,Categories!$E:$G,3,FALSE),IF($F393&lt;&gt;"","NO CAT",""))</f>
        <v>Def Taxes</v>
      </c>
      <c r="P393" s="170" t="s">
        <v>1186</v>
      </c>
      <c r="Q393" s="123" t="s">
        <v>1187</v>
      </c>
      <c r="R393" s="124">
        <v>0</v>
      </c>
      <c r="S393" s="124">
        <v>0</v>
      </c>
      <c r="T393" s="124">
        <v>1</v>
      </c>
      <c r="U393" s="121">
        <f t="shared" si="138"/>
        <v>0</v>
      </c>
      <c r="V393" s="121">
        <f t="shared" si="139"/>
        <v>0</v>
      </c>
      <c r="W393" s="121">
        <f t="shared" si="140"/>
        <v>-4175.6505883333302</v>
      </c>
      <c r="X393" s="121">
        <f t="shared" si="133"/>
        <v>-4175.6505883333302</v>
      </c>
      <c r="Y393" s="121">
        <f t="shared" si="141"/>
        <v>0</v>
      </c>
      <c r="Z393" s="121">
        <f t="shared" si="142"/>
        <v>0</v>
      </c>
      <c r="AA393" s="121">
        <f t="shared" si="143"/>
        <v>-4423.7400500000003</v>
      </c>
      <c r="AB393" s="121">
        <f t="shared" si="134"/>
        <v>-4423.7400499999994</v>
      </c>
      <c r="AC393" s="121">
        <v>-3927.56115</v>
      </c>
      <c r="AD393" s="121">
        <v>-3968.9093700000003</v>
      </c>
      <c r="AE393" s="121">
        <v>-4010.2576300000001</v>
      </c>
      <c r="AF393" s="121">
        <v>-4051.6058199999998</v>
      </c>
      <c r="AG393" s="121">
        <v>-4092.95408</v>
      </c>
      <c r="AH393" s="121">
        <v>-4134.3023800000001</v>
      </c>
      <c r="AI393" s="121">
        <v>-4175.6505699999998</v>
      </c>
      <c r="AJ393" s="121">
        <v>-4216.9988499999999</v>
      </c>
      <c r="AK393" s="121">
        <v>-4258.3470599999991</v>
      </c>
      <c r="AL393" s="121">
        <v>-4299.6952899999997</v>
      </c>
      <c r="AM393" s="121">
        <v>-4341.0435700000007</v>
      </c>
      <c r="AN393" s="121">
        <v>-4382.3918400000002</v>
      </c>
      <c r="AO393" s="121">
        <v>-4423.7400499999994</v>
      </c>
      <c r="AP393" s="125" t="str">
        <f>CONCATENATE(A393,M393)</f>
        <v>GLT</v>
      </c>
      <c r="AQ393" s="125" t="str">
        <f>CONCATENATE(AP393,L393,H393)</f>
        <v>GLTT0</v>
      </c>
      <c r="AS393" s="125" t="str">
        <f>CONCATENATE(L393,H393,J393)</f>
        <v>T0</v>
      </c>
    </row>
    <row r="394" spans="1:45" s="125" customFormat="1" ht="25.5" customHeight="1">
      <c r="A394" s="216" t="s">
        <v>2493</v>
      </c>
      <c r="B394" s="217" t="str">
        <f t="shared" si="136"/>
        <v>GL283162</v>
      </c>
      <c r="C394" s="186">
        <v>283162</v>
      </c>
      <c r="D394" s="201"/>
      <c r="E394" s="162"/>
      <c r="F394" s="169" t="s">
        <v>2593</v>
      </c>
      <c r="G394" s="117"/>
      <c r="H394" s="118">
        <v>0</v>
      </c>
      <c r="I394" s="119"/>
      <c r="J394" s="120"/>
      <c r="K394" s="120" t="str">
        <f t="shared" si="135"/>
        <v/>
      </c>
      <c r="L394" s="170" t="s">
        <v>1174</v>
      </c>
      <c r="M394" s="122" t="str">
        <f t="shared" si="137"/>
        <v>T</v>
      </c>
      <c r="N394" s="116" t="str">
        <f>IF($L394&lt;&gt;"",VLOOKUP($L394,Categories!$E:$G,2,FALSE),IF($F394&lt;&gt;"","NO CAT",""))</f>
        <v>Def Tax Side Sched</v>
      </c>
      <c r="O394" s="116" t="str">
        <f>IF($L394&lt;&gt;"",VLOOKUP($L394,Categories!$E:$G,3,FALSE),IF($F394&lt;&gt;"","NO CAT",""))</f>
        <v>Def Taxes</v>
      </c>
      <c r="P394" s="170" t="s">
        <v>1186</v>
      </c>
      <c r="Q394" s="123" t="s">
        <v>1187</v>
      </c>
      <c r="R394" s="124">
        <v>0</v>
      </c>
      <c r="S394" s="124">
        <v>0</v>
      </c>
      <c r="T394" s="124">
        <v>1</v>
      </c>
      <c r="U394" s="121">
        <f t="shared" si="138"/>
        <v>0</v>
      </c>
      <c r="V394" s="121">
        <f t="shared" si="139"/>
        <v>0</v>
      </c>
      <c r="W394" s="121">
        <f t="shared" si="140"/>
        <v>-1359.4018791666699</v>
      </c>
      <c r="X394" s="121">
        <f t="shared" si="133"/>
        <v>-1359.4018791666699</v>
      </c>
      <c r="Y394" s="121">
        <f t="shared" si="141"/>
        <v>0</v>
      </c>
      <c r="Z394" s="121">
        <f t="shared" si="142"/>
        <v>0</v>
      </c>
      <c r="AA394" s="121">
        <f t="shared" si="143"/>
        <v>-1452.50513</v>
      </c>
      <c r="AB394" s="121">
        <f t="shared" si="134"/>
        <v>-1452.5051299999998</v>
      </c>
      <c r="AC394" s="121">
        <v>-1266.19427</v>
      </c>
      <c r="AD394" s="121">
        <v>-1282.32123</v>
      </c>
      <c r="AE394" s="121">
        <v>-1298.44821</v>
      </c>
      <c r="AF394" s="121">
        <v>-1314.57529</v>
      </c>
      <c r="AG394" s="121">
        <v>-1327.7560100000001</v>
      </c>
      <c r="AH394" s="121">
        <v>-1343.1463600000002</v>
      </c>
      <c r="AI394" s="121">
        <v>-1358.53683</v>
      </c>
      <c r="AJ394" s="121">
        <v>-1373.9272699999999</v>
      </c>
      <c r="AK394" s="121">
        <v>-1390.4015200000001</v>
      </c>
      <c r="AL394" s="121">
        <v>-1405.92749</v>
      </c>
      <c r="AM394" s="121">
        <v>-1421.45335</v>
      </c>
      <c r="AN394" s="121">
        <v>-1436.97929</v>
      </c>
      <c r="AO394" s="121">
        <v>-1452.5051299999998</v>
      </c>
      <c r="AP394" s="125" t="str">
        <f>CONCATENATE(A394,M394)</f>
        <v>GLT</v>
      </c>
      <c r="AQ394" s="125" t="str">
        <f>CONCATENATE(AP394,L394,H394)</f>
        <v>GLTT0</v>
      </c>
      <c r="AS394" s="125" t="str">
        <f>CONCATENATE(L394,H394,J394)</f>
        <v>T0</v>
      </c>
    </row>
    <row r="395" spans="1:45" s="125" customFormat="1" ht="25.5" customHeight="1">
      <c r="A395" s="216" t="s">
        <v>2493</v>
      </c>
      <c r="B395" s="217" t="str">
        <f t="shared" si="136"/>
        <v>GL283171</v>
      </c>
      <c r="C395" s="186">
        <v>283171</v>
      </c>
      <c r="D395" s="201"/>
      <c r="E395" s="162"/>
      <c r="F395" s="169" t="s">
        <v>2003</v>
      </c>
      <c r="G395" s="117"/>
      <c r="H395" s="118">
        <v>0</v>
      </c>
      <c r="I395" s="119"/>
      <c r="J395" s="120"/>
      <c r="K395" s="120" t="str">
        <f t="shared" si="135"/>
        <v/>
      </c>
      <c r="L395" s="170" t="s">
        <v>1174</v>
      </c>
      <c r="M395" s="122" t="str">
        <f t="shared" si="137"/>
        <v>T</v>
      </c>
      <c r="N395" s="116" t="str">
        <f>IF($L395&lt;&gt;"",VLOOKUP($L395,Categories!$E:$G,2,FALSE),IF($F395&lt;&gt;"","NO CAT",""))</f>
        <v>Def Tax Side Sched</v>
      </c>
      <c r="O395" s="116" t="str">
        <f>IF($L395&lt;&gt;"",VLOOKUP($L395,Categories!$E:$G,3,FALSE),IF($F395&lt;&gt;"","NO CAT",""))</f>
        <v>Def Taxes</v>
      </c>
      <c r="P395" s="170" t="s">
        <v>1186</v>
      </c>
      <c r="Q395" s="123" t="s">
        <v>1187</v>
      </c>
      <c r="R395" s="124">
        <v>0</v>
      </c>
      <c r="S395" s="124">
        <v>0</v>
      </c>
      <c r="T395" s="124">
        <v>1</v>
      </c>
      <c r="U395" s="121">
        <f t="shared" si="138"/>
        <v>0</v>
      </c>
      <c r="V395" s="121">
        <f t="shared" si="139"/>
        <v>0</v>
      </c>
      <c r="W395" s="121">
        <f t="shared" si="140"/>
        <v>-685.65815166666698</v>
      </c>
      <c r="X395" s="121">
        <f t="shared" si="133"/>
        <v>-685.65815166666698</v>
      </c>
      <c r="Y395" s="121">
        <f t="shared" si="141"/>
        <v>0</v>
      </c>
      <c r="Z395" s="121">
        <f t="shared" si="142"/>
        <v>0</v>
      </c>
      <c r="AA395" s="121">
        <f t="shared" si="143"/>
        <v>-739.83113000000003</v>
      </c>
      <c r="AB395" s="121">
        <f t="shared" si="134"/>
        <v>-739.83113000000003</v>
      </c>
      <c r="AC395" s="121">
        <v>-631.48517000000004</v>
      </c>
      <c r="AD395" s="121">
        <v>-640.51397999999995</v>
      </c>
      <c r="AE395" s="121">
        <v>-649.54284999999993</v>
      </c>
      <c r="AF395" s="121">
        <v>-658.57168999999999</v>
      </c>
      <c r="AG395" s="121">
        <v>-667.60046999999997</v>
      </c>
      <c r="AH395" s="121">
        <v>-676.62932999999998</v>
      </c>
      <c r="AI395" s="121">
        <v>-685.65813000000003</v>
      </c>
      <c r="AJ395" s="121">
        <v>-694.68700999999999</v>
      </c>
      <c r="AK395" s="121">
        <v>-703.71581000000003</v>
      </c>
      <c r="AL395" s="121">
        <v>-712.74464</v>
      </c>
      <c r="AM395" s="121">
        <v>-721.77344999999991</v>
      </c>
      <c r="AN395" s="121">
        <v>-730.80231000000003</v>
      </c>
      <c r="AO395" s="121">
        <v>-739.83113000000003</v>
      </c>
      <c r="AP395" s="125" t="str">
        <f>CONCATENATE(A395,M395)</f>
        <v>GLT</v>
      </c>
      <c r="AQ395" s="125" t="str">
        <f>CONCATENATE(AP395,L395,H395)</f>
        <v>GLTT0</v>
      </c>
      <c r="AS395" s="125" t="str">
        <f>CONCATENATE(L395,H395,J395)</f>
        <v>T0</v>
      </c>
    </row>
    <row r="396" spans="1:45" s="125" customFormat="1" ht="25.5" customHeight="1">
      <c r="A396" s="216" t="s">
        <v>2493</v>
      </c>
      <c r="B396" s="217" t="str">
        <f t="shared" si="136"/>
        <v>GL283172</v>
      </c>
      <c r="C396" s="186">
        <v>283172</v>
      </c>
      <c r="D396" s="201"/>
      <c r="E396" s="162"/>
      <c r="F396" s="169" t="s">
        <v>2004</v>
      </c>
      <c r="G396" s="117"/>
      <c r="H396" s="118">
        <v>0</v>
      </c>
      <c r="I396" s="119"/>
      <c r="J396" s="120"/>
      <c r="K396" s="120" t="str">
        <f t="shared" si="135"/>
        <v/>
      </c>
      <c r="L396" s="170" t="s">
        <v>1174</v>
      </c>
      <c r="M396" s="122" t="str">
        <f t="shared" si="137"/>
        <v>T</v>
      </c>
      <c r="N396" s="116" t="str">
        <f>IF($L396&lt;&gt;"",VLOOKUP($L396,Categories!$E:$G,2,FALSE),IF($F396&lt;&gt;"","NO CAT",""))</f>
        <v>Def Tax Side Sched</v>
      </c>
      <c r="O396" s="116" t="str">
        <f>IF($L396&lt;&gt;"",VLOOKUP($L396,Categories!$E:$G,3,FALSE),IF($F396&lt;&gt;"","NO CAT",""))</f>
        <v>Def Taxes</v>
      </c>
      <c r="P396" s="170" t="s">
        <v>1186</v>
      </c>
      <c r="Q396" s="123" t="s">
        <v>1187</v>
      </c>
      <c r="R396" s="124">
        <v>0</v>
      </c>
      <c r="S396" s="124">
        <v>0</v>
      </c>
      <c r="T396" s="124">
        <v>1</v>
      </c>
      <c r="U396" s="121">
        <f t="shared" si="138"/>
        <v>0</v>
      </c>
      <c r="V396" s="121">
        <f t="shared" si="139"/>
        <v>0</v>
      </c>
      <c r="W396" s="121">
        <f t="shared" si="140"/>
        <v>-223.619380833333</v>
      </c>
      <c r="X396" s="121">
        <f t="shared" si="133"/>
        <v>-223.619380833333</v>
      </c>
      <c r="Y396" s="121">
        <f t="shared" si="141"/>
        <v>0</v>
      </c>
      <c r="Z396" s="121">
        <f t="shared" si="142"/>
        <v>0</v>
      </c>
      <c r="AA396" s="121">
        <f t="shared" si="143"/>
        <v>-243.94949</v>
      </c>
      <c r="AB396" s="121">
        <f t="shared" si="134"/>
        <v>-243.94949</v>
      </c>
      <c r="AC396" s="121">
        <v>-203.26649</v>
      </c>
      <c r="AD396" s="121">
        <v>-206.78798</v>
      </c>
      <c r="AE396" s="121">
        <v>-210.30950000000001</v>
      </c>
      <c r="AF396" s="121">
        <v>-213.83098000000001</v>
      </c>
      <c r="AG396" s="121">
        <v>-216.70916</v>
      </c>
      <c r="AH396" s="121">
        <v>-220.06984</v>
      </c>
      <c r="AI396" s="121">
        <v>-223.43048000000002</v>
      </c>
      <c r="AJ396" s="121">
        <v>-226.79114000000001</v>
      </c>
      <c r="AK396" s="121">
        <v>-230.38849999999999</v>
      </c>
      <c r="AL396" s="121">
        <v>-233.77875</v>
      </c>
      <c r="AM396" s="121">
        <v>-237.16902999999999</v>
      </c>
      <c r="AN396" s="121">
        <v>-240.55922000000001</v>
      </c>
      <c r="AO396" s="121">
        <v>-243.94949</v>
      </c>
      <c r="AP396" s="125" t="str">
        <f>CONCATENATE(A396,M396)</f>
        <v>GLT</v>
      </c>
      <c r="AQ396" s="125" t="str">
        <f>CONCATENATE(AP396,L396,H396)</f>
        <v>GLTT0</v>
      </c>
      <c r="AS396" s="125" t="str">
        <f>CONCATENATE(L396,H396,J396)</f>
        <v>T0</v>
      </c>
    </row>
    <row r="397" spans="1:45" s="125" customFormat="1" ht="25.5" customHeight="1">
      <c r="A397" s="216" t="s">
        <v>2493</v>
      </c>
      <c r="B397" s="217" t="str">
        <f t="shared" si="136"/>
        <v>GL283200</v>
      </c>
      <c r="C397" s="186">
        <v>283200</v>
      </c>
      <c r="D397" s="201"/>
      <c r="E397" s="162"/>
      <c r="F397" s="169" t="s">
        <v>300</v>
      </c>
      <c r="G397" s="117"/>
      <c r="H397" s="118" t="s">
        <v>1180</v>
      </c>
      <c r="I397" s="119"/>
      <c r="J397" s="120"/>
      <c r="K397" s="120" t="str">
        <f t="shared" si="135"/>
        <v/>
      </c>
      <c r="L397" s="170" t="s">
        <v>1174</v>
      </c>
      <c r="M397" s="122" t="str">
        <f t="shared" si="137"/>
        <v>T</v>
      </c>
      <c r="N397" s="116" t="str">
        <f>IF($L397&lt;&gt;"",VLOOKUP($L397,Categories!$E:$G,2,FALSE),IF($F397&lt;&gt;"","NO CAT",""))</f>
        <v>Def Tax Side Sched</v>
      </c>
      <c r="O397" s="116" t="str">
        <f>IF($L397&lt;&gt;"",VLOOKUP($L397,Categories!$E:$G,3,FALSE),IF($F397&lt;&gt;"","NO CAT",""))</f>
        <v>Def Taxes</v>
      </c>
      <c r="P397" s="170" t="s">
        <v>1186</v>
      </c>
      <c r="Q397" s="123" t="s">
        <v>1187</v>
      </c>
      <c r="R397" s="124">
        <v>0</v>
      </c>
      <c r="S397" s="124">
        <v>0</v>
      </c>
      <c r="T397" s="124">
        <v>1</v>
      </c>
      <c r="U397" s="121">
        <f t="shared" si="138"/>
        <v>0</v>
      </c>
      <c r="V397" s="121">
        <f t="shared" si="139"/>
        <v>0</v>
      </c>
      <c r="W397" s="121">
        <f t="shared" si="140"/>
        <v>5145.4603291666699</v>
      </c>
      <c r="X397" s="121">
        <f t="shared" si="133"/>
        <v>5145.4603291666699</v>
      </c>
      <c r="Y397" s="121">
        <f t="shared" si="141"/>
        <v>0</v>
      </c>
      <c r="Z397" s="121">
        <f t="shared" si="142"/>
        <v>0</v>
      </c>
      <c r="AA397" s="121">
        <f t="shared" si="143"/>
        <v>-5430.4699799999999</v>
      </c>
      <c r="AB397" s="121">
        <f t="shared" si="134"/>
        <v>-5430.4699800000008</v>
      </c>
      <c r="AC397" s="121">
        <v>17489.210579999999</v>
      </c>
      <c r="AD397" s="121">
        <v>17571.923149999999</v>
      </c>
      <c r="AE397" s="121">
        <v>17612.94688</v>
      </c>
      <c r="AF397" s="121">
        <v>17719.969860000001</v>
      </c>
      <c r="AG397" s="121">
        <v>17638.886129999999</v>
      </c>
      <c r="AH397" s="121">
        <v>18185.07908</v>
      </c>
      <c r="AI397" s="121">
        <v>-4960.8608099999992</v>
      </c>
      <c r="AJ397" s="121">
        <v>-5391.8307599999998</v>
      </c>
      <c r="AK397" s="121">
        <v>-5763.9068799999995</v>
      </c>
      <c r="AL397" s="121">
        <v>-5708.2173300000004</v>
      </c>
      <c r="AM397" s="121">
        <v>-5600.3888699999998</v>
      </c>
      <c r="AN397" s="121">
        <v>-5587.4467999999997</v>
      </c>
      <c r="AO397" s="121">
        <v>-5430.4699800000008</v>
      </c>
      <c r="AP397" s="125" t="str">
        <f>CONCATENATE(A397,M397)</f>
        <v>GLT</v>
      </c>
      <c r="AQ397" s="125" t="str">
        <f>CONCATENATE(AP397,L397,H397)</f>
        <v>GLTT</v>
      </c>
      <c r="AS397" s="125" t="str">
        <f>CONCATENATE(L397,H397,J397)</f>
        <v>T</v>
      </c>
    </row>
    <row r="398" spans="1:45" s="125" customFormat="1" ht="25.5" customHeight="1">
      <c r="A398" s="216" t="s">
        <v>2493</v>
      </c>
      <c r="B398" s="217" t="str">
        <f t="shared" si="136"/>
        <v>GL283210</v>
      </c>
      <c r="C398" s="186">
        <v>283210</v>
      </c>
      <c r="D398" s="201"/>
      <c r="E398" s="162"/>
      <c r="F398" s="169" t="s">
        <v>2883</v>
      </c>
      <c r="G398" s="117"/>
      <c r="H398" s="118" t="s">
        <v>1180</v>
      </c>
      <c r="I398" s="119"/>
      <c r="J398" s="120"/>
      <c r="K398" s="120" t="str">
        <f t="shared" si="135"/>
        <v/>
      </c>
      <c r="L398" s="170" t="s">
        <v>1174</v>
      </c>
      <c r="M398" s="122" t="str">
        <f t="shared" si="137"/>
        <v>T</v>
      </c>
      <c r="N398" s="116" t="str">
        <f>IF($L398&lt;&gt;"",VLOOKUP($L398,Categories!$E:$G,2,FALSE),IF($F398&lt;&gt;"","NO CAT",""))</f>
        <v>Def Tax Side Sched</v>
      </c>
      <c r="O398" s="116" t="str">
        <f>IF($L398&lt;&gt;"",VLOOKUP($L398,Categories!$E:$G,3,FALSE),IF($F398&lt;&gt;"","NO CAT",""))</f>
        <v>Def Taxes</v>
      </c>
      <c r="P398" s="170" t="s">
        <v>1186</v>
      </c>
      <c r="Q398" s="123" t="s">
        <v>1187</v>
      </c>
      <c r="R398" s="124">
        <v>0</v>
      </c>
      <c r="S398" s="124">
        <v>0</v>
      </c>
      <c r="T398" s="124">
        <v>1</v>
      </c>
      <c r="U398" s="121">
        <f t="shared" si="138"/>
        <v>0</v>
      </c>
      <c r="V398" s="121">
        <f t="shared" si="139"/>
        <v>0</v>
      </c>
      <c r="W398" s="121">
        <f t="shared" si="140"/>
        <v>416.84344666666698</v>
      </c>
      <c r="X398" s="121">
        <f t="shared" si="133"/>
        <v>416.84344666666698</v>
      </c>
      <c r="Y398" s="121">
        <f t="shared" si="141"/>
        <v>0</v>
      </c>
      <c r="Z398" s="121">
        <f t="shared" si="142"/>
        <v>0</v>
      </c>
      <c r="AA398" s="121">
        <f t="shared" si="143"/>
        <v>-1024.87177</v>
      </c>
      <c r="AB398" s="121">
        <f t="shared" si="134"/>
        <v>-1024.87177</v>
      </c>
      <c r="AC398" s="121">
        <v>2005.27449</v>
      </c>
      <c r="AD398" s="121">
        <v>2017.24218</v>
      </c>
      <c r="AE398" s="121">
        <v>2023.0355099999999</v>
      </c>
      <c r="AF398" s="121">
        <v>2038.6036999999999</v>
      </c>
      <c r="AG398" s="121">
        <v>2026.31223</v>
      </c>
      <c r="AH398" s="121">
        <v>2102.0142000000001</v>
      </c>
      <c r="AI398" s="121">
        <v>-851.29084</v>
      </c>
      <c r="AJ398" s="121">
        <v>-915.40242000000001</v>
      </c>
      <c r="AK398" s="121">
        <v>-970.79150000000004</v>
      </c>
      <c r="AL398" s="121">
        <v>-962.82606999999996</v>
      </c>
      <c r="AM398" s="121">
        <v>-947.13859000000002</v>
      </c>
      <c r="AN398" s="121">
        <v>-1047.8384000000001</v>
      </c>
      <c r="AO398" s="121">
        <v>-1024.87177</v>
      </c>
      <c r="AP398" s="125" t="str">
        <f>CONCATENATE(A398,M398)</f>
        <v>GLT</v>
      </c>
      <c r="AQ398" s="125" t="str">
        <f>CONCATENATE(AP398,L398,H398)</f>
        <v>GLTT</v>
      </c>
      <c r="AS398" s="125" t="str">
        <f>CONCATENATE(L398,H398,J398)</f>
        <v>T</v>
      </c>
    </row>
    <row r="399" spans="1:45" s="125" customFormat="1" ht="25.5" customHeight="1">
      <c r="A399" s="216" t="s">
        <v>2493</v>
      </c>
      <c r="B399" s="217" t="str">
        <f t="shared" si="136"/>
        <v>GL283300</v>
      </c>
      <c r="C399" s="186">
        <v>283300</v>
      </c>
      <c r="D399" s="201"/>
      <c r="E399" s="162"/>
      <c r="F399" s="169" t="s">
        <v>2884</v>
      </c>
      <c r="G399" s="117"/>
      <c r="H399" s="118" t="s">
        <v>1180</v>
      </c>
      <c r="I399" s="119"/>
      <c r="J399" s="120"/>
      <c r="K399" s="120" t="str">
        <f t="shared" si="135"/>
        <v/>
      </c>
      <c r="L399" s="170" t="s">
        <v>1174</v>
      </c>
      <c r="M399" s="122" t="str">
        <f t="shared" si="137"/>
        <v>T</v>
      </c>
      <c r="N399" s="116" t="str">
        <f>IF($L399&lt;&gt;"",VLOOKUP($L399,Categories!$E:$G,2,FALSE),IF($F399&lt;&gt;"","NO CAT",""))</f>
        <v>Def Tax Side Sched</v>
      </c>
      <c r="O399" s="116" t="str">
        <f>IF($L399&lt;&gt;"",VLOOKUP($L399,Categories!$E:$G,3,FALSE),IF($F399&lt;&gt;"","NO CAT",""))</f>
        <v>Def Taxes</v>
      </c>
      <c r="P399" s="170" t="s">
        <v>1186</v>
      </c>
      <c r="Q399" s="123" t="s">
        <v>1187</v>
      </c>
      <c r="R399" s="124">
        <v>0</v>
      </c>
      <c r="S399" s="124">
        <v>0</v>
      </c>
      <c r="T399" s="124">
        <v>1</v>
      </c>
      <c r="U399" s="121">
        <f t="shared" si="138"/>
        <v>0</v>
      </c>
      <c r="V399" s="121">
        <f t="shared" si="139"/>
        <v>0</v>
      </c>
      <c r="W399" s="121">
        <f t="shared" si="140"/>
        <v>-385.81867583333297</v>
      </c>
      <c r="X399" s="121">
        <f t="shared" si="133"/>
        <v>-385.81867583333297</v>
      </c>
      <c r="Y399" s="121">
        <f t="shared" si="141"/>
        <v>0</v>
      </c>
      <c r="Z399" s="121">
        <f t="shared" si="142"/>
        <v>0</v>
      </c>
      <c r="AA399" s="121">
        <f t="shared" si="143"/>
        <v>-339.47958</v>
      </c>
      <c r="AB399" s="121">
        <f t="shared" si="134"/>
        <v>-339.47958</v>
      </c>
      <c r="AC399" s="121">
        <v>-404.89947999999998</v>
      </c>
      <c r="AD399" s="121">
        <v>-404.89947999999998</v>
      </c>
      <c r="AE399" s="121">
        <v>-404.89947999999998</v>
      </c>
      <c r="AF399" s="121">
        <v>-404.89947999999998</v>
      </c>
      <c r="AG399" s="121">
        <v>-404.89947999999998</v>
      </c>
      <c r="AH399" s="121">
        <v>-404.89947999999998</v>
      </c>
      <c r="AI399" s="121">
        <v>-404.89947999999998</v>
      </c>
      <c r="AJ399" s="121">
        <v>-404.89947999999998</v>
      </c>
      <c r="AK399" s="121">
        <v>-404.89947999999998</v>
      </c>
      <c r="AL399" s="121">
        <v>-339.47958</v>
      </c>
      <c r="AM399" s="121">
        <v>-339.47958</v>
      </c>
      <c r="AN399" s="121">
        <v>-339.47958</v>
      </c>
      <c r="AO399" s="121">
        <v>-339.47958</v>
      </c>
      <c r="AP399" s="125" t="str">
        <f>CONCATENATE(A399,M399)</f>
        <v>GLT</v>
      </c>
      <c r="AQ399" s="125" t="str">
        <f>CONCATENATE(AP399,L399,H399)</f>
        <v>GLTT</v>
      </c>
      <c r="AS399" s="125" t="str">
        <f>CONCATENATE(L399,H399,J399)</f>
        <v>T</v>
      </c>
    </row>
    <row r="400" spans="1:45" s="125" customFormat="1" ht="25.5" customHeight="1">
      <c r="A400" s="216" t="s">
        <v>2493</v>
      </c>
      <c r="B400" s="217" t="str">
        <f t="shared" si="136"/>
        <v>GL283310</v>
      </c>
      <c r="C400" s="186">
        <v>283310</v>
      </c>
      <c r="D400" s="201"/>
      <c r="E400" s="162"/>
      <c r="F400" s="169" t="s">
        <v>1530</v>
      </c>
      <c r="G400" s="117"/>
      <c r="H400" s="118" t="s">
        <v>1180</v>
      </c>
      <c r="I400" s="119"/>
      <c r="J400" s="120"/>
      <c r="K400" s="120" t="str">
        <f t="shared" si="135"/>
        <v/>
      </c>
      <c r="L400" s="170" t="s">
        <v>1174</v>
      </c>
      <c r="M400" s="122" t="str">
        <f t="shared" si="137"/>
        <v>T</v>
      </c>
      <c r="N400" s="116" t="str">
        <f>IF($L400&lt;&gt;"",VLOOKUP($L400,Categories!$E:$G,2,FALSE),IF($F400&lt;&gt;"","NO CAT",""))</f>
        <v>Def Tax Side Sched</v>
      </c>
      <c r="O400" s="116" t="str">
        <f>IF($L400&lt;&gt;"",VLOOKUP($L400,Categories!$E:$G,3,FALSE),IF($F400&lt;&gt;"","NO CAT",""))</f>
        <v>Def Taxes</v>
      </c>
      <c r="P400" s="170" t="s">
        <v>1186</v>
      </c>
      <c r="Q400" s="123" t="s">
        <v>1187</v>
      </c>
      <c r="R400" s="124">
        <v>0</v>
      </c>
      <c r="S400" s="124">
        <v>0</v>
      </c>
      <c r="T400" s="124">
        <v>1</v>
      </c>
      <c r="U400" s="121">
        <f t="shared" si="138"/>
        <v>0</v>
      </c>
      <c r="V400" s="121">
        <f t="shared" si="139"/>
        <v>0</v>
      </c>
      <c r="W400" s="121">
        <f t="shared" si="140"/>
        <v>-2.25508958333333</v>
      </c>
      <c r="X400" s="121">
        <f t="shared" si="133"/>
        <v>-2.25508958333333</v>
      </c>
      <c r="Y400" s="121">
        <f t="shared" si="141"/>
        <v>0</v>
      </c>
      <c r="Z400" s="121">
        <f t="shared" si="142"/>
        <v>0</v>
      </c>
      <c r="AA400" s="121">
        <f t="shared" si="143"/>
        <v>1.9944500000000001</v>
      </c>
      <c r="AB400" s="121">
        <f t="shared" si="134"/>
        <v>1.9944500000000001</v>
      </c>
      <c r="AC400" s="121">
        <v>-4.0049000000000001</v>
      </c>
      <c r="AD400" s="121">
        <v>-4.0049000000000001</v>
      </c>
      <c r="AE400" s="121">
        <v>-4.0049000000000001</v>
      </c>
      <c r="AF400" s="121">
        <v>-4.0049000000000001</v>
      </c>
      <c r="AG400" s="121">
        <v>-4.0049000000000001</v>
      </c>
      <c r="AH400" s="121">
        <v>-4.0049000000000001</v>
      </c>
      <c r="AI400" s="121">
        <v>-4.0049000000000001</v>
      </c>
      <c r="AJ400" s="121">
        <v>-4.0049000000000001</v>
      </c>
      <c r="AK400" s="121">
        <v>-4.0049000000000001</v>
      </c>
      <c r="AL400" s="121">
        <v>1.9944500000000001</v>
      </c>
      <c r="AM400" s="121">
        <v>1.9944500000000001</v>
      </c>
      <c r="AN400" s="121">
        <v>1.9944500000000001</v>
      </c>
      <c r="AO400" s="121">
        <v>1.9944500000000001</v>
      </c>
      <c r="AP400" s="125" t="str">
        <f>CONCATENATE(A400,M400)</f>
        <v>GLT</v>
      </c>
      <c r="AQ400" s="125" t="str">
        <f>CONCATENATE(AP400,L400,H400)</f>
        <v>GLTT</v>
      </c>
      <c r="AS400" s="125" t="str">
        <f>CONCATENATE(L400,H400,J400)</f>
        <v>T</v>
      </c>
    </row>
    <row r="401" spans="1:45" s="125" customFormat="1" ht="25.5" customHeight="1">
      <c r="A401" s="216" t="s">
        <v>2493</v>
      </c>
      <c r="B401" s="217" t="str">
        <f t="shared" si="136"/>
        <v>GL283400</v>
      </c>
      <c r="C401" s="186">
        <v>283400</v>
      </c>
      <c r="D401" s="201"/>
      <c r="E401" s="162"/>
      <c r="F401" s="169" t="s">
        <v>848</v>
      </c>
      <c r="G401" s="117"/>
      <c r="H401" s="118" t="s">
        <v>1180</v>
      </c>
      <c r="I401" s="119"/>
      <c r="J401" s="120"/>
      <c r="K401" s="120" t="str">
        <f t="shared" si="135"/>
        <v/>
      </c>
      <c r="L401" s="170" t="s">
        <v>1174</v>
      </c>
      <c r="M401" s="122" t="str">
        <f t="shared" si="137"/>
        <v>T</v>
      </c>
      <c r="N401" s="116" t="str">
        <f>IF($L401&lt;&gt;"",VLOOKUP($L401,Categories!$E:$G,2,FALSE),IF($F401&lt;&gt;"","NO CAT",""))</f>
        <v>Def Tax Side Sched</v>
      </c>
      <c r="O401" s="116" t="str">
        <f>IF($L401&lt;&gt;"",VLOOKUP($L401,Categories!$E:$G,3,FALSE),IF($F401&lt;&gt;"","NO CAT",""))</f>
        <v>Def Taxes</v>
      </c>
      <c r="P401" s="170" t="s">
        <v>1186</v>
      </c>
      <c r="Q401" s="123" t="s">
        <v>1187</v>
      </c>
      <c r="R401" s="124">
        <v>0</v>
      </c>
      <c r="S401" s="124">
        <v>0</v>
      </c>
      <c r="T401" s="124">
        <v>1</v>
      </c>
      <c r="U401" s="121">
        <f t="shared" si="138"/>
        <v>0</v>
      </c>
      <c r="V401" s="121">
        <f t="shared" si="139"/>
        <v>0</v>
      </c>
      <c r="W401" s="121">
        <f t="shared" si="140"/>
        <v>5150.9190245833297</v>
      </c>
      <c r="X401" s="121">
        <f t="shared" si="133"/>
        <v>5150.9190245833297</v>
      </c>
      <c r="Y401" s="121">
        <f t="shared" si="141"/>
        <v>0</v>
      </c>
      <c r="Z401" s="121">
        <f t="shared" si="142"/>
        <v>0</v>
      </c>
      <c r="AA401" s="121">
        <f t="shared" si="143"/>
        <v>8588.7077800000006</v>
      </c>
      <c r="AB401" s="121">
        <f t="shared" si="134"/>
        <v>8588.7077799999988</v>
      </c>
      <c r="AC401" s="121">
        <v>2904.6066700000001</v>
      </c>
      <c r="AD401" s="121">
        <v>2919.7652000000003</v>
      </c>
      <c r="AE401" s="121">
        <v>2925.8205099999996</v>
      </c>
      <c r="AF401" s="121">
        <v>2946.28748</v>
      </c>
      <c r="AG401" s="121">
        <v>2925.6793199999997</v>
      </c>
      <c r="AH401" s="121">
        <v>3042.0437700000002</v>
      </c>
      <c r="AI401" s="121">
        <v>-1257.7487100000001</v>
      </c>
      <c r="AJ401" s="121">
        <v>8555.2417100000002</v>
      </c>
      <c r="AK401" s="121">
        <v>8471.0922300000002</v>
      </c>
      <c r="AL401" s="121">
        <v>8480.3499900000006</v>
      </c>
      <c r="AM401" s="121">
        <v>8500.992839999999</v>
      </c>
      <c r="AN401" s="121">
        <v>8554.8467300000011</v>
      </c>
      <c r="AO401" s="121">
        <v>8588.7077799999988</v>
      </c>
      <c r="AP401" s="125" t="str">
        <f>CONCATENATE(A401,M401)</f>
        <v>GLT</v>
      </c>
      <c r="AQ401" s="125" t="str">
        <f>CONCATENATE(AP401,L401,H401)</f>
        <v>GLTT</v>
      </c>
      <c r="AS401" s="125" t="str">
        <f>CONCATENATE(L401,H401,J401)</f>
        <v>T</v>
      </c>
    </row>
    <row r="402" spans="1:45" s="125" customFormat="1" ht="25.5" customHeight="1">
      <c r="A402" s="216" t="s">
        <v>2493</v>
      </c>
      <c r="B402" s="217" t="str">
        <f t="shared" si="136"/>
        <v>GL283410</v>
      </c>
      <c r="C402" s="186">
        <v>283410</v>
      </c>
      <c r="D402" s="201"/>
      <c r="E402" s="162"/>
      <c r="F402" s="169" t="s">
        <v>905</v>
      </c>
      <c r="G402" s="117"/>
      <c r="H402" s="118" t="s">
        <v>1180</v>
      </c>
      <c r="I402" s="119"/>
      <c r="J402" s="120"/>
      <c r="K402" s="120" t="str">
        <f t="shared" si="135"/>
        <v/>
      </c>
      <c r="L402" s="170" t="s">
        <v>1174</v>
      </c>
      <c r="M402" s="122" t="str">
        <f t="shared" si="137"/>
        <v>T</v>
      </c>
      <c r="N402" s="116" t="str">
        <f>IF($L402&lt;&gt;"",VLOOKUP($L402,Categories!$E:$G,2,FALSE),IF($F402&lt;&gt;"","NO CAT",""))</f>
        <v>Def Tax Side Sched</v>
      </c>
      <c r="O402" s="116" t="str">
        <f>IF($L402&lt;&gt;"",VLOOKUP($L402,Categories!$E:$G,3,FALSE),IF($F402&lt;&gt;"","NO CAT",""))</f>
        <v>Def Taxes</v>
      </c>
      <c r="P402" s="170" t="s">
        <v>1186</v>
      </c>
      <c r="Q402" s="123" t="s">
        <v>1187</v>
      </c>
      <c r="R402" s="124">
        <v>0</v>
      </c>
      <c r="S402" s="124">
        <v>0</v>
      </c>
      <c r="T402" s="124">
        <v>1</v>
      </c>
      <c r="U402" s="121">
        <f t="shared" si="138"/>
        <v>0</v>
      </c>
      <c r="V402" s="121">
        <f t="shared" si="139"/>
        <v>0</v>
      </c>
      <c r="W402" s="121">
        <f t="shared" si="140"/>
        <v>1225.1205420833301</v>
      </c>
      <c r="X402" s="121">
        <f t="shared" si="133"/>
        <v>1225.1205420833301</v>
      </c>
      <c r="Y402" s="121">
        <f t="shared" si="141"/>
        <v>0</v>
      </c>
      <c r="Z402" s="121">
        <f t="shared" si="142"/>
        <v>0</v>
      </c>
      <c r="AA402" s="121">
        <f t="shared" si="143"/>
        <v>2442.6223300000001</v>
      </c>
      <c r="AB402" s="121">
        <f t="shared" si="134"/>
        <v>2442.6223300000001</v>
      </c>
      <c r="AC402" s="121">
        <v>448.62365999999997</v>
      </c>
      <c r="AD402" s="121">
        <v>451.23692999999997</v>
      </c>
      <c r="AE402" s="121">
        <v>452.50196999999997</v>
      </c>
      <c r="AF402" s="121">
        <v>455.90145000000001</v>
      </c>
      <c r="AG402" s="121">
        <v>453.21747999999997</v>
      </c>
      <c r="AH402" s="121">
        <v>469.74781999999999</v>
      </c>
      <c r="AI402" s="121">
        <v>-9.4022900000000007</v>
      </c>
      <c r="AJ402" s="121">
        <v>2143.5982599999998</v>
      </c>
      <c r="AK402" s="121">
        <v>2131.5034599999999</v>
      </c>
      <c r="AL402" s="121">
        <v>2133.2427900000002</v>
      </c>
      <c r="AM402" s="121">
        <v>2136.6683199999998</v>
      </c>
      <c r="AN402" s="121">
        <v>2437.6073199999996</v>
      </c>
      <c r="AO402" s="121">
        <v>2442.6223300000001</v>
      </c>
      <c r="AP402" s="125" t="str">
        <f>CONCATENATE(A402,M402)</f>
        <v>GLT</v>
      </c>
      <c r="AQ402" s="125" t="str">
        <f>CONCATENATE(AP402,L402,H402)</f>
        <v>GLTT</v>
      </c>
      <c r="AS402" s="125" t="str">
        <f>CONCATENATE(L402,H402,J402)</f>
        <v>T</v>
      </c>
    </row>
    <row r="403" spans="1:45" s="125" customFormat="1" ht="25.5" customHeight="1">
      <c r="A403" s="216" t="s">
        <v>2493</v>
      </c>
      <c r="B403" s="217" t="str">
        <f t="shared" si="136"/>
        <v>GL283420</v>
      </c>
      <c r="C403" s="186">
        <v>283420</v>
      </c>
      <c r="D403" s="201"/>
      <c r="E403" s="162"/>
      <c r="F403" s="169" t="s">
        <v>906</v>
      </c>
      <c r="G403" s="117"/>
      <c r="H403" s="118" t="s">
        <v>1180</v>
      </c>
      <c r="I403" s="119"/>
      <c r="J403" s="120"/>
      <c r="K403" s="120" t="str">
        <f t="shared" si="135"/>
        <v/>
      </c>
      <c r="L403" s="170" t="s">
        <v>1174</v>
      </c>
      <c r="M403" s="122" t="str">
        <f t="shared" si="137"/>
        <v>T</v>
      </c>
      <c r="N403" s="116" t="str">
        <f>IF($L403&lt;&gt;"",VLOOKUP($L403,Categories!$E:$G,2,FALSE),IF($F403&lt;&gt;"","NO CAT",""))</f>
        <v>Def Tax Side Sched</v>
      </c>
      <c r="O403" s="116" t="str">
        <f>IF($L403&lt;&gt;"",VLOOKUP($L403,Categories!$E:$G,3,FALSE),IF($F403&lt;&gt;"","NO CAT",""))</f>
        <v>Def Taxes</v>
      </c>
      <c r="P403" s="170" t="s">
        <v>1186</v>
      </c>
      <c r="Q403" s="123" t="s">
        <v>1187</v>
      </c>
      <c r="R403" s="124">
        <v>0</v>
      </c>
      <c r="S403" s="124">
        <v>0</v>
      </c>
      <c r="T403" s="124">
        <v>1</v>
      </c>
      <c r="U403" s="121">
        <f t="shared" si="138"/>
        <v>0</v>
      </c>
      <c r="V403" s="121">
        <f t="shared" si="139"/>
        <v>0</v>
      </c>
      <c r="W403" s="121">
        <f t="shared" si="140"/>
        <v>-72.965199999999996</v>
      </c>
      <c r="X403" s="121">
        <f t="shared" si="133"/>
        <v>-72.965199999999996</v>
      </c>
      <c r="Y403" s="121">
        <f t="shared" si="141"/>
        <v>0</v>
      </c>
      <c r="Z403" s="121">
        <f t="shared" si="142"/>
        <v>0</v>
      </c>
      <c r="AA403" s="121">
        <f t="shared" si="143"/>
        <v>-72.965199999999996</v>
      </c>
      <c r="AB403" s="121">
        <f t="shared" si="134"/>
        <v>-72.965199999999996</v>
      </c>
      <c r="AC403" s="121">
        <v>-72.965199999999996</v>
      </c>
      <c r="AD403" s="121">
        <v>-72.965199999999996</v>
      </c>
      <c r="AE403" s="121">
        <v>-72.965199999999996</v>
      </c>
      <c r="AF403" s="121">
        <v>-72.965199999999996</v>
      </c>
      <c r="AG403" s="121">
        <v>-72.965199999999996</v>
      </c>
      <c r="AH403" s="121">
        <v>-72.965199999999996</v>
      </c>
      <c r="AI403" s="121">
        <v>-72.965199999999996</v>
      </c>
      <c r="AJ403" s="121">
        <v>-72.965199999999996</v>
      </c>
      <c r="AK403" s="121">
        <v>-72.965199999999996</v>
      </c>
      <c r="AL403" s="121">
        <v>-72.965199999999996</v>
      </c>
      <c r="AM403" s="121">
        <v>-72.965199999999996</v>
      </c>
      <c r="AN403" s="121">
        <v>-72.965199999999996</v>
      </c>
      <c r="AO403" s="121">
        <v>-72.965199999999996</v>
      </c>
      <c r="AP403" s="125" t="str">
        <f>CONCATENATE(A403,M403)</f>
        <v>GLT</v>
      </c>
      <c r="AQ403" s="125" t="str">
        <f>CONCATENATE(AP403,L403,H403)</f>
        <v>GLTT</v>
      </c>
      <c r="AS403" s="125" t="str">
        <f>CONCATENATE(L403,H403,J403)</f>
        <v>T</v>
      </c>
    </row>
    <row r="404" spans="1:45" s="125" customFormat="1" ht="25.5" customHeight="1">
      <c r="A404" s="216" t="s">
        <v>2493</v>
      </c>
      <c r="B404" s="217" t="str">
        <f t="shared" si="136"/>
        <v>GL283430</v>
      </c>
      <c r="C404" s="186">
        <v>283430</v>
      </c>
      <c r="D404" s="201"/>
      <c r="E404" s="162"/>
      <c r="F404" s="169" t="s">
        <v>1459</v>
      </c>
      <c r="G404" s="117"/>
      <c r="H404" s="118" t="s">
        <v>1180</v>
      </c>
      <c r="I404" s="119"/>
      <c r="J404" s="120"/>
      <c r="K404" s="120" t="str">
        <f t="shared" si="135"/>
        <v/>
      </c>
      <c r="L404" s="170" t="s">
        <v>1174</v>
      </c>
      <c r="M404" s="122" t="str">
        <f t="shared" si="137"/>
        <v>T</v>
      </c>
      <c r="N404" s="116" t="str">
        <f>IF($L404&lt;&gt;"",VLOOKUP($L404,Categories!$E:$G,2,FALSE),IF($F404&lt;&gt;"","NO CAT",""))</f>
        <v>Def Tax Side Sched</v>
      </c>
      <c r="O404" s="116" t="str">
        <f>IF($L404&lt;&gt;"",VLOOKUP($L404,Categories!$E:$G,3,FALSE),IF($F404&lt;&gt;"","NO CAT",""))</f>
        <v>Def Taxes</v>
      </c>
      <c r="P404" s="170" t="s">
        <v>1186</v>
      </c>
      <c r="Q404" s="123" t="s">
        <v>1187</v>
      </c>
      <c r="R404" s="124">
        <v>0</v>
      </c>
      <c r="S404" s="124">
        <v>0</v>
      </c>
      <c r="T404" s="124">
        <v>1</v>
      </c>
      <c r="U404" s="121">
        <f t="shared" si="138"/>
        <v>0</v>
      </c>
      <c r="V404" s="121">
        <f t="shared" si="139"/>
        <v>0</v>
      </c>
      <c r="W404" s="121">
        <f t="shared" si="140"/>
        <v>-0.53100000000000003</v>
      </c>
      <c r="X404" s="121">
        <f t="shared" ref="X404:X428" si="144">IF(ISERROR(ROUND((SUM(AC404:AO404)-((AC404+AO404))/2)/12,15)),"",ROUND((SUM(AC404:AO404)-((AC404+AO404))/2)/12,15))</f>
        <v>-0.53100000000000003</v>
      </c>
      <c r="Y404" s="121">
        <f t="shared" si="141"/>
        <v>0</v>
      </c>
      <c r="Z404" s="121">
        <f t="shared" si="142"/>
        <v>0</v>
      </c>
      <c r="AA404" s="121">
        <f t="shared" si="143"/>
        <v>-0.53100000000000003</v>
      </c>
      <c r="AB404" s="121">
        <f t="shared" ref="AB404:AB428" si="145">IF(AO404="",0,+AO404)</f>
        <v>-0.53100000000000003</v>
      </c>
      <c r="AC404" s="121">
        <v>-0.53100000000000003</v>
      </c>
      <c r="AD404" s="121">
        <v>-0.53100000000000003</v>
      </c>
      <c r="AE404" s="121">
        <v>-0.53100000000000003</v>
      </c>
      <c r="AF404" s="121">
        <v>-0.53100000000000003</v>
      </c>
      <c r="AG404" s="121">
        <v>-0.53100000000000003</v>
      </c>
      <c r="AH404" s="121">
        <v>-0.53100000000000003</v>
      </c>
      <c r="AI404" s="121">
        <v>-0.53100000000000003</v>
      </c>
      <c r="AJ404" s="121">
        <v>-0.53100000000000003</v>
      </c>
      <c r="AK404" s="121">
        <v>-0.53100000000000003</v>
      </c>
      <c r="AL404" s="121">
        <v>-0.53100000000000003</v>
      </c>
      <c r="AM404" s="121">
        <v>-0.53100000000000003</v>
      </c>
      <c r="AN404" s="121">
        <v>-0.53100000000000003</v>
      </c>
      <c r="AO404" s="121">
        <v>-0.53100000000000003</v>
      </c>
      <c r="AP404" s="125" t="str">
        <f>CONCATENATE(A404,M404)</f>
        <v>GLT</v>
      </c>
      <c r="AQ404" s="125" t="str">
        <f>CONCATENATE(AP404,L404,H404)</f>
        <v>GLTT</v>
      </c>
      <c r="AS404" s="125" t="str">
        <f>CONCATENATE(L404,H404,J404)</f>
        <v>T</v>
      </c>
    </row>
    <row r="405" spans="1:45" s="125" customFormat="1" ht="25.5" customHeight="1">
      <c r="A405" s="216" t="s">
        <v>2493</v>
      </c>
      <c r="B405" s="217" t="str">
        <f t="shared" si="136"/>
        <v>GL283500</v>
      </c>
      <c r="C405" s="186">
        <v>283500</v>
      </c>
      <c r="D405" s="201"/>
      <c r="E405" s="162"/>
      <c r="F405" s="169" t="s">
        <v>1295</v>
      </c>
      <c r="G405" s="117"/>
      <c r="H405" s="118">
        <v>0</v>
      </c>
      <c r="I405" s="119"/>
      <c r="J405" s="120"/>
      <c r="K405" s="120" t="str">
        <f t="shared" si="135"/>
        <v/>
      </c>
      <c r="L405" s="170" t="s">
        <v>1174</v>
      </c>
      <c r="M405" s="122" t="str">
        <f t="shared" si="137"/>
        <v>T</v>
      </c>
      <c r="N405" s="116" t="str">
        <f>IF($L405&lt;&gt;"",VLOOKUP($L405,Categories!$E:$G,2,FALSE),IF($F405&lt;&gt;"","NO CAT",""))</f>
        <v>Def Tax Side Sched</v>
      </c>
      <c r="O405" s="116" t="str">
        <f>IF($L405&lt;&gt;"",VLOOKUP($L405,Categories!$E:$G,3,FALSE),IF($F405&lt;&gt;"","NO CAT",""))</f>
        <v>Def Taxes</v>
      </c>
      <c r="P405" s="170" t="s">
        <v>1186</v>
      </c>
      <c r="Q405" s="123" t="s">
        <v>1187</v>
      </c>
      <c r="R405" s="124">
        <v>0</v>
      </c>
      <c r="S405" s="124">
        <v>0</v>
      </c>
      <c r="T405" s="124">
        <v>1</v>
      </c>
      <c r="U405" s="121">
        <f t="shared" si="138"/>
        <v>0</v>
      </c>
      <c r="V405" s="121">
        <f t="shared" si="139"/>
        <v>0</v>
      </c>
      <c r="W405" s="121">
        <f t="shared" si="140"/>
        <v>-129772.367335417</v>
      </c>
      <c r="X405" s="121">
        <f t="shared" si="144"/>
        <v>-129772.367335417</v>
      </c>
      <c r="Y405" s="121">
        <f t="shared" si="141"/>
        <v>0</v>
      </c>
      <c r="Z405" s="121">
        <f t="shared" si="142"/>
        <v>0</v>
      </c>
      <c r="AA405" s="121">
        <f t="shared" si="143"/>
        <v>-134215.25179000001</v>
      </c>
      <c r="AB405" s="121">
        <f t="shared" si="145"/>
        <v>-134215.25179000001</v>
      </c>
      <c r="AC405" s="121">
        <v>-128215.45699999999</v>
      </c>
      <c r="AD405" s="121">
        <v>-133605.48681</v>
      </c>
      <c r="AE405" s="121">
        <v>-131680.72506999999</v>
      </c>
      <c r="AF405" s="121">
        <v>-127874.9016</v>
      </c>
      <c r="AG405" s="121">
        <v>-127287.25221999999</v>
      </c>
      <c r="AH405" s="121">
        <v>-127266.60550000001</v>
      </c>
      <c r="AI405" s="121">
        <v>-127248.57575</v>
      </c>
      <c r="AJ405" s="121">
        <v>-132937.72598000002</v>
      </c>
      <c r="AK405" s="121">
        <v>-129104.46587999999</v>
      </c>
      <c r="AL405" s="121">
        <v>-128555.66053000001</v>
      </c>
      <c r="AM405" s="121">
        <v>-130314.49665999999</v>
      </c>
      <c r="AN405" s="121">
        <v>-130177.15763</v>
      </c>
      <c r="AO405" s="121">
        <v>-134215.25179000001</v>
      </c>
      <c r="AP405" s="125" t="str">
        <f>CONCATENATE(A405,M405)</f>
        <v>GLT</v>
      </c>
      <c r="AQ405" s="125" t="str">
        <f>CONCATENATE(AP405,L405,H405)</f>
        <v>GLTT0</v>
      </c>
      <c r="AS405" s="125" t="str">
        <f>CONCATENATE(L405,H405,J405)</f>
        <v>T0</v>
      </c>
    </row>
    <row r="406" spans="1:45" s="125" customFormat="1" ht="25.5" customHeight="1">
      <c r="A406" s="216" t="s">
        <v>2493</v>
      </c>
      <c r="B406" s="217" t="str">
        <f t="shared" si="136"/>
        <v>GL283505</v>
      </c>
      <c r="C406" s="186">
        <v>283505</v>
      </c>
      <c r="D406" s="201"/>
      <c r="E406" s="162"/>
      <c r="F406" s="169" t="s">
        <v>2005</v>
      </c>
      <c r="G406" s="117"/>
      <c r="H406" s="118">
        <v>0</v>
      </c>
      <c r="I406" s="119"/>
      <c r="J406" s="120"/>
      <c r="K406" s="120" t="str">
        <f t="shared" si="135"/>
        <v/>
      </c>
      <c r="L406" s="170" t="s">
        <v>1174</v>
      </c>
      <c r="M406" s="122" t="str">
        <f t="shared" si="137"/>
        <v>T</v>
      </c>
      <c r="N406" s="116" t="str">
        <f>IF($L406&lt;&gt;"",VLOOKUP($L406,Categories!$E:$G,2,FALSE),IF($F406&lt;&gt;"","NO CAT",""))</f>
        <v>Def Tax Side Sched</v>
      </c>
      <c r="O406" s="116" t="str">
        <f>IF($L406&lt;&gt;"",VLOOKUP($L406,Categories!$E:$G,3,FALSE),IF($F406&lt;&gt;"","NO CAT",""))</f>
        <v>Def Taxes</v>
      </c>
      <c r="P406" s="170" t="s">
        <v>1186</v>
      </c>
      <c r="Q406" s="123" t="s">
        <v>1187</v>
      </c>
      <c r="R406" s="124">
        <v>0</v>
      </c>
      <c r="S406" s="124">
        <v>0</v>
      </c>
      <c r="T406" s="124">
        <v>1</v>
      </c>
      <c r="U406" s="121">
        <f t="shared" si="138"/>
        <v>0</v>
      </c>
      <c r="V406" s="121">
        <f t="shared" si="139"/>
        <v>0</v>
      </c>
      <c r="W406" s="121">
        <f t="shared" si="140"/>
        <v>-31290.263180416699</v>
      </c>
      <c r="X406" s="121">
        <f t="shared" si="144"/>
        <v>-31290.263180416699</v>
      </c>
      <c r="Y406" s="121">
        <f t="shared" si="141"/>
        <v>0</v>
      </c>
      <c r="Z406" s="121">
        <f t="shared" si="142"/>
        <v>0</v>
      </c>
      <c r="AA406" s="121">
        <f t="shared" si="143"/>
        <v>-26832.598139999998</v>
      </c>
      <c r="AB406" s="121">
        <f t="shared" si="145"/>
        <v>-26832.598140000002</v>
      </c>
      <c r="AC406" s="121">
        <v>-33475.96875</v>
      </c>
      <c r="AD406" s="121">
        <v>-32991.413350000003</v>
      </c>
      <c r="AE406" s="121">
        <v>-32540.68463</v>
      </c>
      <c r="AF406" s="121">
        <v>-30701.5792</v>
      </c>
      <c r="AG406" s="121">
        <v>-31804.620420000003</v>
      </c>
      <c r="AH406" s="121">
        <v>-31704.662700000001</v>
      </c>
      <c r="AI406" s="121">
        <v>-31578.808699999998</v>
      </c>
      <c r="AJ406" s="121">
        <v>-31493.773719999997</v>
      </c>
      <c r="AK406" s="121">
        <v>-31416.559920000003</v>
      </c>
      <c r="AL406" s="121">
        <v>-31445.319530000001</v>
      </c>
      <c r="AM406" s="121">
        <v>-31405.84835</v>
      </c>
      <c r="AN406" s="121">
        <v>-28245.604199999998</v>
      </c>
      <c r="AO406" s="121">
        <v>-26832.598140000002</v>
      </c>
      <c r="AP406" s="125" t="str">
        <f>CONCATENATE(A406,M406)</f>
        <v>GLT</v>
      </c>
      <c r="AQ406" s="125" t="str">
        <f>CONCATENATE(AP406,L406,H406)</f>
        <v>GLTT0</v>
      </c>
      <c r="AS406" s="125" t="str">
        <f>CONCATENATE(L406,H406,J406)</f>
        <v>T0</v>
      </c>
    </row>
    <row r="407" spans="1:45" s="125" customFormat="1" ht="25.5" customHeight="1">
      <c r="A407" s="216" t="s">
        <v>2493</v>
      </c>
      <c r="B407" s="217" t="str">
        <f t="shared" si="136"/>
        <v>GL283506</v>
      </c>
      <c r="C407" s="186">
        <v>283506</v>
      </c>
      <c r="D407" s="201"/>
      <c r="E407" s="162"/>
      <c r="F407" s="169" t="s">
        <v>2006</v>
      </c>
      <c r="G407" s="117"/>
      <c r="H407" s="118">
        <v>0</v>
      </c>
      <c r="I407" s="119"/>
      <c r="J407" s="120"/>
      <c r="K407" s="120" t="str">
        <f t="shared" si="135"/>
        <v/>
      </c>
      <c r="L407" s="170" t="s">
        <v>1174</v>
      </c>
      <c r="M407" s="122" t="str">
        <f t="shared" si="137"/>
        <v>T</v>
      </c>
      <c r="N407" s="116" t="str">
        <f>IF($L407&lt;&gt;"",VLOOKUP($L407,Categories!$E:$G,2,FALSE),IF($F407&lt;&gt;"","NO CAT",""))</f>
        <v>Def Tax Side Sched</v>
      </c>
      <c r="O407" s="116" t="str">
        <f>IF($L407&lt;&gt;"",VLOOKUP($L407,Categories!$E:$G,3,FALSE),IF($F407&lt;&gt;"","NO CAT",""))</f>
        <v>Def Taxes</v>
      </c>
      <c r="P407" s="170" t="s">
        <v>1186</v>
      </c>
      <c r="Q407" s="123" t="s">
        <v>1187</v>
      </c>
      <c r="R407" s="124">
        <v>0</v>
      </c>
      <c r="S407" s="124">
        <v>0</v>
      </c>
      <c r="T407" s="124">
        <v>1</v>
      </c>
      <c r="U407" s="121">
        <f t="shared" si="138"/>
        <v>0</v>
      </c>
      <c r="V407" s="121">
        <f t="shared" si="139"/>
        <v>0</v>
      </c>
      <c r="W407" s="121">
        <f t="shared" si="140"/>
        <v>35489.516199999998</v>
      </c>
      <c r="X407" s="121">
        <f t="shared" si="144"/>
        <v>35489.516199999998</v>
      </c>
      <c r="Y407" s="121">
        <f t="shared" si="141"/>
        <v>0</v>
      </c>
      <c r="Z407" s="121">
        <f t="shared" si="142"/>
        <v>0</v>
      </c>
      <c r="AA407" s="121">
        <f t="shared" si="143"/>
        <v>33504.544029999997</v>
      </c>
      <c r="AB407" s="121">
        <f t="shared" si="145"/>
        <v>33504.544030000005</v>
      </c>
      <c r="AC407" s="121">
        <v>35104.954829999995</v>
      </c>
      <c r="AD407" s="121">
        <v>35418.711779999998</v>
      </c>
      <c r="AE407" s="121">
        <v>35775.210850000003</v>
      </c>
      <c r="AF407" s="121">
        <v>35028.024859999998</v>
      </c>
      <c r="AG407" s="121">
        <v>34921.912149999996</v>
      </c>
      <c r="AH407" s="121">
        <v>35135.956549999995</v>
      </c>
      <c r="AI407" s="121">
        <v>35350.528780000001</v>
      </c>
      <c r="AJ407" s="121">
        <v>35562.909009999996</v>
      </c>
      <c r="AK407" s="121">
        <v>35779.404040000001</v>
      </c>
      <c r="AL407" s="121">
        <v>35989.457119999999</v>
      </c>
      <c r="AM407" s="121">
        <v>36199.625659999998</v>
      </c>
      <c r="AN407" s="121">
        <v>36407.704170000005</v>
      </c>
      <c r="AO407" s="121">
        <v>33504.544030000005</v>
      </c>
      <c r="AP407" s="125" t="str">
        <f>CONCATENATE(A407,M407)</f>
        <v>GLT</v>
      </c>
      <c r="AQ407" s="125" t="str">
        <f>CONCATENATE(AP407,L407,H407)</f>
        <v>GLTT0</v>
      </c>
      <c r="AS407" s="125" t="str">
        <f>CONCATENATE(L407,H407,J407)</f>
        <v>T0</v>
      </c>
    </row>
    <row r="408" spans="1:45" s="125" customFormat="1" ht="25.5" customHeight="1">
      <c r="A408" s="216" t="s">
        <v>2493</v>
      </c>
      <c r="B408" s="217" t="str">
        <f t="shared" si="136"/>
        <v>GL283510</v>
      </c>
      <c r="C408" s="186">
        <v>283510</v>
      </c>
      <c r="D408" s="201"/>
      <c r="E408" s="162"/>
      <c r="F408" s="169" t="s">
        <v>1296</v>
      </c>
      <c r="G408" s="117"/>
      <c r="H408" s="118">
        <v>0</v>
      </c>
      <c r="I408" s="119"/>
      <c r="J408" s="120"/>
      <c r="K408" s="120" t="str">
        <f t="shared" si="135"/>
        <v/>
      </c>
      <c r="L408" s="170" t="s">
        <v>1174</v>
      </c>
      <c r="M408" s="122" t="str">
        <f t="shared" si="137"/>
        <v>T</v>
      </c>
      <c r="N408" s="116" t="str">
        <f>IF($L408&lt;&gt;"",VLOOKUP($L408,Categories!$E:$G,2,FALSE),IF($F408&lt;&gt;"","NO CAT",""))</f>
        <v>Def Tax Side Sched</v>
      </c>
      <c r="O408" s="116" t="str">
        <f>IF($L408&lt;&gt;"",VLOOKUP($L408,Categories!$E:$G,3,FALSE),IF($F408&lt;&gt;"","NO CAT",""))</f>
        <v>Def Taxes</v>
      </c>
      <c r="P408" s="170" t="s">
        <v>1186</v>
      </c>
      <c r="Q408" s="123" t="s">
        <v>1187</v>
      </c>
      <c r="R408" s="124">
        <v>0</v>
      </c>
      <c r="S408" s="124">
        <v>0</v>
      </c>
      <c r="T408" s="124">
        <v>1</v>
      </c>
      <c r="U408" s="121">
        <f t="shared" si="138"/>
        <v>0</v>
      </c>
      <c r="V408" s="121">
        <f t="shared" si="139"/>
        <v>0</v>
      </c>
      <c r="W408" s="121">
        <f t="shared" si="140"/>
        <v>-16038.510874166701</v>
      </c>
      <c r="X408" s="121">
        <f t="shared" si="144"/>
        <v>-16038.510874166701</v>
      </c>
      <c r="Y408" s="121">
        <f t="shared" si="141"/>
        <v>0</v>
      </c>
      <c r="Z408" s="121">
        <f t="shared" si="142"/>
        <v>0</v>
      </c>
      <c r="AA408" s="121">
        <f t="shared" si="143"/>
        <v>-12335.193020000001</v>
      </c>
      <c r="AB408" s="121">
        <f t="shared" si="145"/>
        <v>-12335.193019999999</v>
      </c>
      <c r="AC408" s="121">
        <v>-15326.555619999999</v>
      </c>
      <c r="AD408" s="121">
        <v>-15289.766160000001</v>
      </c>
      <c r="AE408" s="121">
        <v>-15374.677250000001</v>
      </c>
      <c r="AF408" s="121">
        <v>-15419.046789999999</v>
      </c>
      <c r="AG408" s="121">
        <v>-14926.47631</v>
      </c>
      <c r="AH408" s="121">
        <v>-15496.57792</v>
      </c>
      <c r="AI408" s="121">
        <v>-16087.149240000001</v>
      </c>
      <c r="AJ408" s="121">
        <v>-16989.750929999998</v>
      </c>
      <c r="AK408" s="121">
        <v>-17074.069070000001</v>
      </c>
      <c r="AL408" s="121">
        <v>-17208.469260000002</v>
      </c>
      <c r="AM408" s="121">
        <v>-18179.847839999999</v>
      </c>
      <c r="AN408" s="121">
        <v>-16585.4254</v>
      </c>
      <c r="AO408" s="121">
        <v>-12335.193019999999</v>
      </c>
      <c r="AP408" s="125" t="str">
        <f>CONCATENATE(A408,M408)</f>
        <v>GLT</v>
      </c>
      <c r="AQ408" s="125" t="str">
        <f>CONCATENATE(AP408,L408,H408)</f>
        <v>GLTT0</v>
      </c>
      <c r="AS408" s="125" t="str">
        <f>CONCATENATE(L408,H408,J408)</f>
        <v>T0</v>
      </c>
    </row>
    <row r="409" spans="1:45" s="125" customFormat="1" ht="25.5" customHeight="1">
      <c r="A409" s="216" t="s">
        <v>2493</v>
      </c>
      <c r="B409" s="217" t="str">
        <f t="shared" si="136"/>
        <v>GL283515</v>
      </c>
      <c r="C409" s="186">
        <v>283515</v>
      </c>
      <c r="D409" s="201"/>
      <c r="E409" s="162"/>
      <c r="F409" s="169" t="s">
        <v>2007</v>
      </c>
      <c r="G409" s="117"/>
      <c r="H409" s="118">
        <v>0</v>
      </c>
      <c r="I409" s="119"/>
      <c r="J409" s="120"/>
      <c r="K409" s="120" t="str">
        <f t="shared" si="135"/>
        <v/>
      </c>
      <c r="L409" s="170" t="s">
        <v>1174</v>
      </c>
      <c r="M409" s="122" t="str">
        <f t="shared" si="137"/>
        <v>T</v>
      </c>
      <c r="N409" s="116" t="str">
        <f>IF($L409&lt;&gt;"",VLOOKUP($L409,Categories!$E:$G,2,FALSE),IF($F409&lt;&gt;"","NO CAT",""))</f>
        <v>Def Tax Side Sched</v>
      </c>
      <c r="O409" s="116" t="str">
        <f>IF($L409&lt;&gt;"",VLOOKUP($L409,Categories!$E:$G,3,FALSE),IF($F409&lt;&gt;"","NO CAT",""))</f>
        <v>Def Taxes</v>
      </c>
      <c r="P409" s="170" t="s">
        <v>1186</v>
      </c>
      <c r="Q409" s="123" t="s">
        <v>1187</v>
      </c>
      <c r="R409" s="124">
        <v>0</v>
      </c>
      <c r="S409" s="124">
        <v>0</v>
      </c>
      <c r="T409" s="124">
        <v>1</v>
      </c>
      <c r="U409" s="121">
        <f t="shared" si="138"/>
        <v>0</v>
      </c>
      <c r="V409" s="121">
        <f t="shared" si="139"/>
        <v>0</v>
      </c>
      <c r="W409" s="121">
        <f t="shared" si="140"/>
        <v>-9410.21765291667</v>
      </c>
      <c r="X409" s="121">
        <f t="shared" si="144"/>
        <v>-9410.21765291667</v>
      </c>
      <c r="Y409" s="121">
        <f t="shared" si="141"/>
        <v>0</v>
      </c>
      <c r="Z409" s="121">
        <f t="shared" si="142"/>
        <v>0</v>
      </c>
      <c r="AA409" s="121">
        <f t="shared" si="143"/>
        <v>-8950.4971499999992</v>
      </c>
      <c r="AB409" s="121">
        <f t="shared" si="145"/>
        <v>-8950.4971500000011</v>
      </c>
      <c r="AC409" s="121">
        <v>-9997.6929199999995</v>
      </c>
      <c r="AD409" s="121">
        <v>-9891.8850600000005</v>
      </c>
      <c r="AE409" s="121">
        <v>-9793.4635699999999</v>
      </c>
      <c r="AF409" s="121">
        <v>-9146.5739900000008</v>
      </c>
      <c r="AG409" s="121">
        <v>-9387.4348900000005</v>
      </c>
      <c r="AH409" s="121">
        <v>-9365.6080299999994</v>
      </c>
      <c r="AI409" s="121">
        <v>-9338.1264900000006</v>
      </c>
      <c r="AJ409" s="121">
        <v>-9319.5581600000005</v>
      </c>
      <c r="AK409" s="121">
        <v>-9302.6976799999993</v>
      </c>
      <c r="AL409" s="121">
        <v>-9308.9776700000002</v>
      </c>
      <c r="AM409" s="121">
        <v>-9300.3587200000002</v>
      </c>
      <c r="AN409" s="121">
        <v>-9293.8325399999994</v>
      </c>
      <c r="AO409" s="121">
        <v>-8950.4971500000011</v>
      </c>
      <c r="AP409" s="125" t="str">
        <f>CONCATENATE(A409,M409)</f>
        <v>GLT</v>
      </c>
      <c r="AQ409" s="125" t="str">
        <f>CONCATENATE(AP409,L409,H409)</f>
        <v>GLTT0</v>
      </c>
      <c r="AS409" s="125" t="str">
        <f>CONCATENATE(L409,H409,J409)</f>
        <v>T0</v>
      </c>
    </row>
    <row r="410" spans="1:45" s="125" customFormat="1" ht="25.5" customHeight="1">
      <c r="A410" s="216" t="s">
        <v>2493</v>
      </c>
      <c r="B410" s="217" t="str">
        <f t="shared" si="136"/>
        <v>GL283516</v>
      </c>
      <c r="C410" s="186">
        <v>283516</v>
      </c>
      <c r="D410" s="201"/>
      <c r="E410" s="162"/>
      <c r="F410" s="169" t="s">
        <v>2008</v>
      </c>
      <c r="G410" s="117"/>
      <c r="H410" s="118">
        <v>0</v>
      </c>
      <c r="I410" s="119"/>
      <c r="J410" s="120"/>
      <c r="K410" s="120" t="str">
        <f t="shared" si="135"/>
        <v/>
      </c>
      <c r="L410" s="170" t="s">
        <v>1174</v>
      </c>
      <c r="M410" s="122" t="str">
        <f t="shared" si="137"/>
        <v>T</v>
      </c>
      <c r="N410" s="116" t="str">
        <f>IF($L410&lt;&gt;"",VLOOKUP($L410,Categories!$E:$G,2,FALSE),IF($F410&lt;&gt;"","NO CAT",""))</f>
        <v>Def Tax Side Sched</v>
      </c>
      <c r="O410" s="116" t="str">
        <f>IF($L410&lt;&gt;"",VLOOKUP($L410,Categories!$E:$G,3,FALSE),IF($F410&lt;&gt;"","NO CAT",""))</f>
        <v>Def Taxes</v>
      </c>
      <c r="P410" s="170" t="s">
        <v>1186</v>
      </c>
      <c r="Q410" s="123" t="s">
        <v>1187</v>
      </c>
      <c r="R410" s="124">
        <v>0</v>
      </c>
      <c r="S410" s="124">
        <v>0</v>
      </c>
      <c r="T410" s="124">
        <v>1</v>
      </c>
      <c r="U410" s="121">
        <f t="shared" si="138"/>
        <v>0</v>
      </c>
      <c r="V410" s="121">
        <f t="shared" si="139"/>
        <v>0</v>
      </c>
      <c r="W410" s="121">
        <f t="shared" si="140"/>
        <v>7897.2556445833297</v>
      </c>
      <c r="X410" s="121">
        <f t="shared" si="144"/>
        <v>7897.2556445833297</v>
      </c>
      <c r="Y410" s="121">
        <f t="shared" si="141"/>
        <v>0</v>
      </c>
      <c r="Z410" s="121">
        <f t="shared" si="142"/>
        <v>0</v>
      </c>
      <c r="AA410" s="121">
        <f t="shared" si="143"/>
        <v>7463.5204100000001</v>
      </c>
      <c r="AB410" s="121">
        <f t="shared" si="145"/>
        <v>7463.5204100000001</v>
      </c>
      <c r="AC410" s="121">
        <v>7814.4043000000001</v>
      </c>
      <c r="AD410" s="121">
        <v>7882.9165000000003</v>
      </c>
      <c r="AE410" s="121">
        <v>7960.76188</v>
      </c>
      <c r="AF410" s="121">
        <v>7796.1888300000001</v>
      </c>
      <c r="AG410" s="121">
        <v>7773.018</v>
      </c>
      <c r="AH410" s="121">
        <v>7819.7569199999998</v>
      </c>
      <c r="AI410" s="121">
        <v>7866.61103</v>
      </c>
      <c r="AJ410" s="121">
        <v>7912.9865599999994</v>
      </c>
      <c r="AK410" s="121">
        <v>7960.2605899999999</v>
      </c>
      <c r="AL410" s="121">
        <v>8006.1279100000002</v>
      </c>
      <c r="AM410" s="121">
        <v>8052.0204899999999</v>
      </c>
      <c r="AN410" s="121">
        <v>8097.4566699999996</v>
      </c>
      <c r="AO410" s="121">
        <v>7463.5204100000001</v>
      </c>
      <c r="AP410" s="125" t="str">
        <f>CONCATENATE(A410,M410)</f>
        <v>GLT</v>
      </c>
      <c r="AQ410" s="125" t="str">
        <f>CONCATENATE(AP410,L410,H410)</f>
        <v>GLTT0</v>
      </c>
      <c r="AS410" s="125" t="str">
        <f>CONCATENATE(L410,H410,J410)</f>
        <v>T0</v>
      </c>
    </row>
    <row r="411" spans="1:45" s="125" customFormat="1" ht="25.5" customHeight="1">
      <c r="A411" s="216" t="s">
        <v>2493</v>
      </c>
      <c r="B411" s="217" t="str">
        <f t="shared" si="136"/>
        <v>GL283550</v>
      </c>
      <c r="C411" s="186">
        <v>283550</v>
      </c>
      <c r="D411" s="201"/>
      <c r="E411" s="162"/>
      <c r="F411" s="169" t="s">
        <v>1814</v>
      </c>
      <c r="G411" s="117"/>
      <c r="H411" s="118">
        <v>0</v>
      </c>
      <c r="I411" s="119"/>
      <c r="J411" s="120"/>
      <c r="K411" s="120" t="str">
        <f t="shared" si="135"/>
        <v/>
      </c>
      <c r="L411" s="170" t="s">
        <v>1174</v>
      </c>
      <c r="M411" s="122" t="str">
        <f t="shared" si="137"/>
        <v>T</v>
      </c>
      <c r="N411" s="116" t="str">
        <f>IF($L411&lt;&gt;"",VLOOKUP($L411,Categories!$E:$G,2,FALSE),IF($F411&lt;&gt;"","NO CAT",""))</f>
        <v>Def Tax Side Sched</v>
      </c>
      <c r="O411" s="116" t="str">
        <f>IF($L411&lt;&gt;"",VLOOKUP($L411,Categories!$E:$G,3,FALSE),IF($F411&lt;&gt;"","NO CAT",""))</f>
        <v>Def Taxes</v>
      </c>
      <c r="P411" s="170" t="s">
        <v>1186</v>
      </c>
      <c r="Q411" s="123" t="s">
        <v>1187</v>
      </c>
      <c r="R411" s="124">
        <v>0</v>
      </c>
      <c r="S411" s="124">
        <v>0</v>
      </c>
      <c r="T411" s="124">
        <v>1</v>
      </c>
      <c r="U411" s="121">
        <f t="shared" si="138"/>
        <v>0</v>
      </c>
      <c r="V411" s="121">
        <f t="shared" si="139"/>
        <v>0</v>
      </c>
      <c r="W411" s="121">
        <f t="shared" si="140"/>
        <v>-26606.037792083302</v>
      </c>
      <c r="X411" s="121">
        <f t="shared" si="144"/>
        <v>-26606.037792083302</v>
      </c>
      <c r="Y411" s="121">
        <f t="shared" si="141"/>
        <v>0</v>
      </c>
      <c r="Z411" s="121">
        <f t="shared" si="142"/>
        <v>0</v>
      </c>
      <c r="AA411" s="121">
        <f t="shared" si="143"/>
        <v>-27575.045770000001</v>
      </c>
      <c r="AB411" s="121">
        <f t="shared" si="145"/>
        <v>-27575.045770000001</v>
      </c>
      <c r="AC411" s="121">
        <v>-26265.98602</v>
      </c>
      <c r="AD411" s="121">
        <v>-27442.956989999999</v>
      </c>
      <c r="AE411" s="121">
        <v>-27022.66459</v>
      </c>
      <c r="AF411" s="121">
        <v>-26191.622079999997</v>
      </c>
      <c r="AG411" s="121">
        <v>-26064.836380000001</v>
      </c>
      <c r="AH411" s="121">
        <v>-26058.79408</v>
      </c>
      <c r="AI411" s="121">
        <v>-26054.857120000001</v>
      </c>
      <c r="AJ411" s="121">
        <v>-27297.144250000001</v>
      </c>
      <c r="AK411" s="121">
        <v>-26460.110670000002</v>
      </c>
      <c r="AL411" s="121">
        <v>-26340.273100000002</v>
      </c>
      <c r="AM411" s="121">
        <v>-26724.333899999998</v>
      </c>
      <c r="AN411" s="121">
        <v>-26694.344450000001</v>
      </c>
      <c r="AO411" s="121">
        <v>-27575.045770000001</v>
      </c>
      <c r="AP411" s="125" t="str">
        <f>CONCATENATE(A411,M411)</f>
        <v>GLT</v>
      </c>
      <c r="AQ411" s="125" t="str">
        <f>CONCATENATE(AP411,L411,H411)</f>
        <v>GLTT0</v>
      </c>
      <c r="AS411" s="125" t="str">
        <f>CONCATENATE(L411,H411,J411)</f>
        <v>T0</v>
      </c>
    </row>
    <row r="412" spans="1:45" s="125" customFormat="1" ht="25.5" customHeight="1">
      <c r="A412" s="216" t="s">
        <v>2493</v>
      </c>
      <c r="B412" s="217" t="str">
        <f t="shared" si="136"/>
        <v>GL283560</v>
      </c>
      <c r="C412" s="186">
        <v>283560</v>
      </c>
      <c r="D412" s="201"/>
      <c r="E412" s="162"/>
      <c r="F412" s="169" t="s">
        <v>1815</v>
      </c>
      <c r="G412" s="117"/>
      <c r="H412" s="118">
        <v>0</v>
      </c>
      <c r="I412" s="119"/>
      <c r="J412" s="120"/>
      <c r="K412" s="120" t="str">
        <f t="shared" si="135"/>
        <v/>
      </c>
      <c r="L412" s="170" t="s">
        <v>1174</v>
      </c>
      <c r="M412" s="122" t="str">
        <f t="shared" si="137"/>
        <v>T</v>
      </c>
      <c r="N412" s="116" t="str">
        <f>IF($L412&lt;&gt;"",VLOOKUP($L412,Categories!$E:$G,2,FALSE),IF($F412&lt;&gt;"","NO CAT",""))</f>
        <v>Def Tax Side Sched</v>
      </c>
      <c r="O412" s="116" t="str">
        <f>IF($L412&lt;&gt;"",VLOOKUP($L412,Categories!$E:$G,3,FALSE),IF($F412&lt;&gt;"","NO CAT",""))</f>
        <v>Def Taxes</v>
      </c>
      <c r="P412" s="170" t="s">
        <v>1186</v>
      </c>
      <c r="Q412" s="123" t="s">
        <v>1187</v>
      </c>
      <c r="R412" s="124">
        <v>0</v>
      </c>
      <c r="S412" s="124">
        <v>0</v>
      </c>
      <c r="T412" s="124">
        <v>1</v>
      </c>
      <c r="U412" s="121">
        <f t="shared" si="138"/>
        <v>0</v>
      </c>
      <c r="V412" s="121">
        <f t="shared" si="139"/>
        <v>0</v>
      </c>
      <c r="W412" s="121">
        <f t="shared" si="140"/>
        <v>-3582.3818133333298</v>
      </c>
      <c r="X412" s="121">
        <f t="shared" si="144"/>
        <v>-3582.3818133333298</v>
      </c>
      <c r="Y412" s="121">
        <f t="shared" si="141"/>
        <v>0</v>
      </c>
      <c r="Z412" s="121">
        <f t="shared" si="142"/>
        <v>0</v>
      </c>
      <c r="AA412" s="121">
        <f t="shared" si="143"/>
        <v>-2777.5953</v>
      </c>
      <c r="AB412" s="121">
        <f t="shared" si="145"/>
        <v>-2777.5953</v>
      </c>
      <c r="AC412" s="121">
        <v>-3426.7070800000001</v>
      </c>
      <c r="AD412" s="121">
        <v>-3418.56727</v>
      </c>
      <c r="AE412" s="121">
        <v>-3437.0020800000002</v>
      </c>
      <c r="AF412" s="121">
        <v>-3446.58421</v>
      </c>
      <c r="AG412" s="121">
        <v>-3339.0261499999997</v>
      </c>
      <c r="AH412" s="121">
        <v>-3463.3011299999998</v>
      </c>
      <c r="AI412" s="121">
        <v>-3594.8554300000001</v>
      </c>
      <c r="AJ412" s="121">
        <v>-3787.9255200000002</v>
      </c>
      <c r="AK412" s="121">
        <v>-3806.41086</v>
      </c>
      <c r="AL412" s="121">
        <v>-3837.52063</v>
      </c>
      <c r="AM412" s="121">
        <v>-4049.5580299999997</v>
      </c>
      <c r="AN412" s="121">
        <v>-3705.6792599999999</v>
      </c>
      <c r="AO412" s="121">
        <v>-2777.5953</v>
      </c>
      <c r="AP412" s="125" t="str">
        <f>CONCATENATE(A412,M412)</f>
        <v>GLT</v>
      </c>
      <c r="AQ412" s="125" t="str">
        <f>CONCATENATE(AP412,L412,H412)</f>
        <v>GLTT0</v>
      </c>
      <c r="AS412" s="125" t="str">
        <f>CONCATENATE(L412,H412,J412)</f>
        <v>T0</v>
      </c>
    </row>
    <row r="413" spans="1:45" s="125" customFormat="1" ht="25.5" customHeight="1">
      <c r="A413" s="216" t="s">
        <v>2493</v>
      </c>
      <c r="B413" s="217" t="str">
        <f t="shared" si="136"/>
        <v>GL283883</v>
      </c>
      <c r="C413" s="186">
        <v>283883</v>
      </c>
      <c r="D413" s="201"/>
      <c r="E413" s="162"/>
      <c r="F413" s="169" t="s">
        <v>1637</v>
      </c>
      <c r="G413" s="117"/>
      <c r="H413" s="118">
        <v>0</v>
      </c>
      <c r="I413" s="119"/>
      <c r="J413" s="120"/>
      <c r="K413" s="120" t="str">
        <f>IF(L413="N3","SFAS-109","")</f>
        <v/>
      </c>
      <c r="L413" s="170" t="s">
        <v>1174</v>
      </c>
      <c r="M413" s="122" t="str">
        <f t="shared" si="137"/>
        <v>T</v>
      </c>
      <c r="N413" s="116" t="str">
        <f>IF($L413&lt;&gt;"",VLOOKUP($L413,Categories!$E:$G,2,FALSE),IF($F413&lt;&gt;"","NO CAT",""))</f>
        <v>Def Tax Side Sched</v>
      </c>
      <c r="O413" s="116" t="str">
        <f>IF($L413&lt;&gt;"",VLOOKUP($L413,Categories!$E:$G,3,FALSE),IF($F413&lt;&gt;"","NO CAT",""))</f>
        <v>Def Taxes</v>
      </c>
      <c r="P413" s="170" t="s">
        <v>1186</v>
      </c>
      <c r="Q413" s="123" t="s">
        <v>1187</v>
      </c>
      <c r="R413" s="124">
        <v>0</v>
      </c>
      <c r="S413" s="124">
        <v>0</v>
      </c>
      <c r="T413" s="124">
        <v>1</v>
      </c>
      <c r="U413" s="121">
        <f t="shared" si="138"/>
        <v>0</v>
      </c>
      <c r="V413" s="121">
        <f t="shared" si="139"/>
        <v>0</v>
      </c>
      <c r="W413" s="121">
        <f t="shared" si="140"/>
        <v>-7681.3607549999997</v>
      </c>
      <c r="X413" s="121">
        <f t="shared" si="144"/>
        <v>-7681.3607549999997</v>
      </c>
      <c r="Y413" s="121">
        <f t="shared" si="141"/>
        <v>0</v>
      </c>
      <c r="Z413" s="121">
        <f t="shared" si="142"/>
        <v>0</v>
      </c>
      <c r="AA413" s="121">
        <f t="shared" si="143"/>
        <v>-877.61738000000003</v>
      </c>
      <c r="AB413" s="121">
        <f t="shared" si="145"/>
        <v>-877.61738000000003</v>
      </c>
      <c r="AC413" s="121">
        <v>-15722.148380000001</v>
      </c>
      <c r="AD413" s="121">
        <v>-15722.148380000001</v>
      </c>
      <c r="AE413" s="121">
        <v>-15722.148380000001</v>
      </c>
      <c r="AF413" s="121">
        <v>-15722.148380000001</v>
      </c>
      <c r="AG413" s="121">
        <v>-15722.148380000001</v>
      </c>
      <c r="AH413" s="121">
        <v>-15722.148380000001</v>
      </c>
      <c r="AI413" s="121">
        <v>-877.61738000000003</v>
      </c>
      <c r="AJ413" s="121">
        <v>-877.61738000000003</v>
      </c>
      <c r="AK413" s="121">
        <v>-877.61738000000003</v>
      </c>
      <c r="AL413" s="121">
        <v>-877.61738000000003</v>
      </c>
      <c r="AM413" s="121">
        <v>-877.61738000000003</v>
      </c>
      <c r="AN413" s="121">
        <v>-877.61738000000003</v>
      </c>
      <c r="AO413" s="121">
        <v>-877.61738000000003</v>
      </c>
      <c r="AP413" s="125" t="str">
        <f>CONCATENATE(A413,M413)</f>
        <v>GLT</v>
      </c>
      <c r="AQ413" s="125" t="str">
        <f>CONCATENATE(AP413,L413,H413)</f>
        <v>GLTT0</v>
      </c>
      <c r="AS413" s="125" t="str">
        <f>CONCATENATE(L413,H413,J413)</f>
        <v>T0</v>
      </c>
    </row>
    <row r="414" spans="1:45" s="125" customFormat="1" ht="25.5" customHeight="1">
      <c r="A414" s="216" t="s">
        <v>2493</v>
      </c>
      <c r="B414" s="217" t="str">
        <f t="shared" si="136"/>
        <v>GL283884</v>
      </c>
      <c r="C414" s="186">
        <v>283884</v>
      </c>
      <c r="D414" s="201"/>
      <c r="E414" s="162"/>
      <c r="F414" s="169" t="s">
        <v>1638</v>
      </c>
      <c r="G414" s="117"/>
      <c r="H414" s="118">
        <v>0</v>
      </c>
      <c r="I414" s="119"/>
      <c r="J414" s="120"/>
      <c r="K414" s="120" t="str">
        <f>IF(L414="N3","SFAS-109","")</f>
        <v/>
      </c>
      <c r="L414" s="170" t="s">
        <v>1174</v>
      </c>
      <c r="M414" s="122" t="str">
        <f t="shared" si="137"/>
        <v>T</v>
      </c>
      <c r="N414" s="116" t="str">
        <f>IF($L414&lt;&gt;"",VLOOKUP($L414,Categories!$E:$G,2,FALSE),IF($F414&lt;&gt;"","NO CAT",""))</f>
        <v>Def Tax Side Sched</v>
      </c>
      <c r="O414" s="116" t="str">
        <f>IF($L414&lt;&gt;"",VLOOKUP($L414,Categories!$E:$G,3,FALSE),IF($F414&lt;&gt;"","NO CAT",""))</f>
        <v>Def Taxes</v>
      </c>
      <c r="P414" s="170" t="s">
        <v>1186</v>
      </c>
      <c r="Q414" s="123" t="s">
        <v>1187</v>
      </c>
      <c r="R414" s="124">
        <v>0</v>
      </c>
      <c r="S414" s="124">
        <v>0</v>
      </c>
      <c r="T414" s="124">
        <v>1</v>
      </c>
      <c r="U414" s="121">
        <f t="shared" si="138"/>
        <v>0</v>
      </c>
      <c r="V414" s="121">
        <f t="shared" si="139"/>
        <v>0</v>
      </c>
      <c r="W414" s="121">
        <f t="shared" si="140"/>
        <v>-7603.4168200000004</v>
      </c>
      <c r="X414" s="121">
        <f t="shared" si="144"/>
        <v>-7603.4168200000004</v>
      </c>
      <c r="Y414" s="121">
        <f t="shared" si="141"/>
        <v>0</v>
      </c>
      <c r="Z414" s="121">
        <f t="shared" si="142"/>
        <v>0</v>
      </c>
      <c r="AA414" s="121">
        <f t="shared" si="143"/>
        <v>-7603.4168200000004</v>
      </c>
      <c r="AB414" s="121">
        <f t="shared" si="145"/>
        <v>-7603.4168200000004</v>
      </c>
      <c r="AC414" s="121">
        <v>-7603.4168200000004</v>
      </c>
      <c r="AD414" s="121">
        <v>-7603.4168200000004</v>
      </c>
      <c r="AE414" s="121">
        <v>-7603.4168200000004</v>
      </c>
      <c r="AF414" s="121">
        <v>-7603.4168200000004</v>
      </c>
      <c r="AG414" s="121">
        <v>-7603.4168200000004</v>
      </c>
      <c r="AH414" s="121">
        <v>-7603.4168200000004</v>
      </c>
      <c r="AI414" s="121">
        <v>-7603.4168200000004</v>
      </c>
      <c r="AJ414" s="121">
        <v>-7603.4168200000004</v>
      </c>
      <c r="AK414" s="121">
        <v>-7603.4168200000004</v>
      </c>
      <c r="AL414" s="121">
        <v>-7603.4168200000004</v>
      </c>
      <c r="AM414" s="121">
        <v>-7603.4168200000004</v>
      </c>
      <c r="AN414" s="121">
        <v>-7603.4168200000004</v>
      </c>
      <c r="AO414" s="121">
        <v>-7603.4168200000004</v>
      </c>
      <c r="AP414" s="125" t="str">
        <f>CONCATENATE(A414,M414)</f>
        <v>GLT</v>
      </c>
      <c r="AQ414" s="125" t="str">
        <f>CONCATENATE(AP414,L414,H414)</f>
        <v>GLTT0</v>
      </c>
      <c r="AS414" s="125" t="str">
        <f>CONCATENATE(L414,H414,J414)</f>
        <v>T0</v>
      </c>
    </row>
    <row r="415" spans="1:45" s="125" customFormat="1" ht="25.5" customHeight="1">
      <c r="A415" s="216" t="s">
        <v>2493</v>
      </c>
      <c r="B415" s="217" t="str">
        <f t="shared" si="136"/>
        <v>GL283983</v>
      </c>
      <c r="C415" s="186">
        <v>283983</v>
      </c>
      <c r="D415" s="201"/>
      <c r="E415" s="162"/>
      <c r="F415" s="169" t="s">
        <v>1003</v>
      </c>
      <c r="G415" s="117"/>
      <c r="H415" s="118" t="e">
        <v>#N/A</v>
      </c>
      <c r="I415" s="119"/>
      <c r="J415" s="120"/>
      <c r="K415" s="120" t="str">
        <f>IF(L415="N3","SFAS-109","")</f>
        <v/>
      </c>
      <c r="L415" s="170" t="s">
        <v>1174</v>
      </c>
      <c r="M415" s="122" t="str">
        <f t="shared" si="137"/>
        <v>T</v>
      </c>
      <c r="N415" s="116" t="str">
        <f>IF($L415&lt;&gt;"",VLOOKUP($L415,Categories!$E:$G,2,FALSE),IF($F415&lt;&gt;"","NO CAT",""))</f>
        <v>Def Tax Side Sched</v>
      </c>
      <c r="O415" s="116" t="str">
        <f>IF($L415&lt;&gt;"",VLOOKUP($L415,Categories!$E:$G,3,FALSE),IF($F415&lt;&gt;"","NO CAT",""))</f>
        <v>Def Taxes</v>
      </c>
      <c r="P415" s="170" t="s">
        <v>1186</v>
      </c>
      <c r="Q415" s="123" t="s">
        <v>1187</v>
      </c>
      <c r="R415" s="124">
        <v>0</v>
      </c>
      <c r="S415" s="124">
        <v>0</v>
      </c>
      <c r="T415" s="124">
        <v>1</v>
      </c>
      <c r="U415" s="121">
        <f t="shared" si="138"/>
        <v>0</v>
      </c>
      <c r="V415" s="121">
        <f t="shared" si="139"/>
        <v>0</v>
      </c>
      <c r="W415" s="121">
        <f t="shared" si="140"/>
        <v>7681.3607549999997</v>
      </c>
      <c r="X415" s="121">
        <f t="shared" si="144"/>
        <v>7681.3607549999997</v>
      </c>
      <c r="Y415" s="121">
        <f t="shared" si="141"/>
        <v>0</v>
      </c>
      <c r="Z415" s="121">
        <f t="shared" si="142"/>
        <v>0</v>
      </c>
      <c r="AA415" s="121">
        <f t="shared" si="143"/>
        <v>877.61738000000003</v>
      </c>
      <c r="AB415" s="121">
        <f t="shared" si="145"/>
        <v>877.61738000000003</v>
      </c>
      <c r="AC415" s="121">
        <v>15722.148380000001</v>
      </c>
      <c r="AD415" s="121">
        <v>15722.148380000001</v>
      </c>
      <c r="AE415" s="121">
        <v>15722.148380000001</v>
      </c>
      <c r="AF415" s="121">
        <v>15722.148380000001</v>
      </c>
      <c r="AG415" s="121">
        <v>15722.148380000001</v>
      </c>
      <c r="AH415" s="121">
        <v>15722.148380000001</v>
      </c>
      <c r="AI415" s="121">
        <v>877.61738000000003</v>
      </c>
      <c r="AJ415" s="121">
        <v>877.61738000000003</v>
      </c>
      <c r="AK415" s="121">
        <v>877.61738000000003</v>
      </c>
      <c r="AL415" s="121">
        <v>877.61738000000003</v>
      </c>
      <c r="AM415" s="121">
        <v>877.61738000000003</v>
      </c>
      <c r="AN415" s="121">
        <v>877.61738000000003</v>
      </c>
      <c r="AO415" s="121">
        <v>877.61738000000003</v>
      </c>
      <c r="AP415" s="125" t="str">
        <f>CONCATENATE(A415,M415)</f>
        <v>GLT</v>
      </c>
      <c r="AQ415" s="125" t="e">
        <f>CONCATENATE(AP415,L415,H415)</f>
        <v>#N/A</v>
      </c>
      <c r="AS415" s="125" t="e">
        <f>CONCATENATE(L415,H415,J415)</f>
        <v>#N/A</v>
      </c>
    </row>
    <row r="416" spans="1:45" s="125" customFormat="1" ht="25.5" customHeight="1">
      <c r="A416" s="216" t="s">
        <v>2493</v>
      </c>
      <c r="B416" s="217" t="str">
        <f t="shared" si="136"/>
        <v>GL283984</v>
      </c>
      <c r="C416" s="186">
        <v>283984</v>
      </c>
      <c r="D416" s="201"/>
      <c r="E416" s="162"/>
      <c r="F416" s="169" t="s">
        <v>603</v>
      </c>
      <c r="G416" s="117"/>
      <c r="H416" s="118" t="e">
        <v>#N/A</v>
      </c>
      <c r="I416" s="119"/>
      <c r="J416" s="120"/>
      <c r="K416" s="120" t="str">
        <f>IF(L416="N3","SFAS-109","")</f>
        <v/>
      </c>
      <c r="L416" s="170" t="s">
        <v>1174</v>
      </c>
      <c r="M416" s="122" t="str">
        <f t="shared" si="137"/>
        <v>T</v>
      </c>
      <c r="N416" s="116" t="str">
        <f>IF($L416&lt;&gt;"",VLOOKUP($L416,Categories!$E:$G,2,FALSE),IF($F416&lt;&gt;"","NO CAT",""))</f>
        <v>Def Tax Side Sched</v>
      </c>
      <c r="O416" s="116" t="str">
        <f>IF($L416&lt;&gt;"",VLOOKUP($L416,Categories!$E:$G,3,FALSE),IF($F416&lt;&gt;"","NO CAT",""))</f>
        <v>Def Taxes</v>
      </c>
      <c r="P416" s="170" t="s">
        <v>1186</v>
      </c>
      <c r="Q416" s="123" t="s">
        <v>1187</v>
      </c>
      <c r="R416" s="124">
        <v>0</v>
      </c>
      <c r="S416" s="124">
        <v>0</v>
      </c>
      <c r="T416" s="124">
        <v>1</v>
      </c>
      <c r="U416" s="121">
        <f t="shared" si="138"/>
        <v>0</v>
      </c>
      <c r="V416" s="121">
        <f t="shared" si="139"/>
        <v>0</v>
      </c>
      <c r="W416" s="121">
        <f t="shared" si="140"/>
        <v>7603.4168200000004</v>
      </c>
      <c r="X416" s="121">
        <f t="shared" si="144"/>
        <v>7603.4168200000004</v>
      </c>
      <c r="Y416" s="121">
        <f t="shared" si="141"/>
        <v>0</v>
      </c>
      <c r="Z416" s="121">
        <f t="shared" si="142"/>
        <v>0</v>
      </c>
      <c r="AA416" s="121">
        <f t="shared" si="143"/>
        <v>7603.4168200000004</v>
      </c>
      <c r="AB416" s="121">
        <f t="shared" si="145"/>
        <v>7603.4168200000004</v>
      </c>
      <c r="AC416" s="121">
        <v>7603.4168200000004</v>
      </c>
      <c r="AD416" s="121">
        <v>7603.4168200000004</v>
      </c>
      <c r="AE416" s="121">
        <v>7603.4168200000004</v>
      </c>
      <c r="AF416" s="121">
        <v>7603.4168200000004</v>
      </c>
      <c r="AG416" s="121">
        <v>7603.4168200000004</v>
      </c>
      <c r="AH416" s="121">
        <v>7603.4168200000004</v>
      </c>
      <c r="AI416" s="121">
        <v>7603.4168200000004</v>
      </c>
      <c r="AJ416" s="121">
        <v>7603.4168200000004</v>
      </c>
      <c r="AK416" s="121">
        <v>7603.4168200000004</v>
      </c>
      <c r="AL416" s="121">
        <v>7603.4168200000004</v>
      </c>
      <c r="AM416" s="121">
        <v>7603.4168200000004</v>
      </c>
      <c r="AN416" s="121">
        <v>7603.4168200000004</v>
      </c>
      <c r="AO416" s="121">
        <v>7603.4168200000004</v>
      </c>
      <c r="AP416" s="125" t="str">
        <f>CONCATENATE(A416,M416)</f>
        <v>GLT</v>
      </c>
      <c r="AQ416" s="125" t="e">
        <f>CONCATENATE(AP416,L416,H416)</f>
        <v>#N/A</v>
      </c>
      <c r="AS416" s="125" t="e">
        <f>CONCATENATE(L416,H416,J416)</f>
        <v>#N/A</v>
      </c>
    </row>
    <row r="417" spans="1:45" s="125" customFormat="1" ht="25.5" customHeight="1">
      <c r="A417" s="216" t="s">
        <v>2493</v>
      </c>
      <c r="B417" s="217" t="str">
        <f t="shared" si="136"/>
        <v>GL283986</v>
      </c>
      <c r="C417" s="186">
        <v>283986</v>
      </c>
      <c r="D417" s="201"/>
      <c r="E417" s="162"/>
      <c r="F417" s="169" t="s">
        <v>1858</v>
      </c>
      <c r="G417" s="117"/>
      <c r="H417" s="118" t="e">
        <v>#N/A</v>
      </c>
      <c r="I417" s="119"/>
      <c r="J417" s="120"/>
      <c r="K417" s="120" t="str">
        <f t="shared" si="135"/>
        <v/>
      </c>
      <c r="L417" s="170" t="s">
        <v>1174</v>
      </c>
      <c r="M417" s="122" t="str">
        <f t="shared" si="137"/>
        <v>T</v>
      </c>
      <c r="N417" s="116" t="str">
        <f>IF($L417&lt;&gt;"",VLOOKUP($L417,Categories!$E:$G,2,FALSE),IF($F417&lt;&gt;"","NO CAT",""))</f>
        <v>Def Tax Side Sched</v>
      </c>
      <c r="O417" s="116" t="str">
        <f>IF($L417&lt;&gt;"",VLOOKUP($L417,Categories!$E:$G,3,FALSE),IF($F417&lt;&gt;"","NO CAT",""))</f>
        <v>Def Taxes</v>
      </c>
      <c r="P417" s="170" t="s">
        <v>1186</v>
      </c>
      <c r="Q417" s="123" t="s">
        <v>1187</v>
      </c>
      <c r="R417" s="124">
        <v>0</v>
      </c>
      <c r="S417" s="124">
        <v>0</v>
      </c>
      <c r="T417" s="124">
        <v>1</v>
      </c>
      <c r="U417" s="121">
        <f t="shared" si="138"/>
        <v>0</v>
      </c>
      <c r="V417" s="121">
        <f t="shared" si="139"/>
        <v>0</v>
      </c>
      <c r="W417" s="121">
        <f t="shared" si="140"/>
        <v>127949.58554166699</v>
      </c>
      <c r="X417" s="121">
        <f t="shared" si="144"/>
        <v>127949.58554166699</v>
      </c>
      <c r="Y417" s="121">
        <f t="shared" si="141"/>
        <v>0</v>
      </c>
      <c r="Z417" s="121">
        <f t="shared" si="142"/>
        <v>0</v>
      </c>
      <c r="AA417" s="121">
        <f t="shared" si="143"/>
        <v>131360.12</v>
      </c>
      <c r="AB417" s="121">
        <f t="shared" si="145"/>
        <v>131360.12</v>
      </c>
      <c r="AC417" s="121">
        <v>120642.66499999999</v>
      </c>
      <c r="AD417" s="121">
        <v>124397.675</v>
      </c>
      <c r="AE417" s="121">
        <v>125775.461</v>
      </c>
      <c r="AF417" s="121">
        <v>125775.461</v>
      </c>
      <c r="AG417" s="121">
        <v>127641.15300000001</v>
      </c>
      <c r="AH417" s="121">
        <v>127641.15300000001</v>
      </c>
      <c r="AI417" s="121">
        <v>127641.15300000001</v>
      </c>
      <c r="AJ417" s="121">
        <v>127641.15300000001</v>
      </c>
      <c r="AK417" s="121">
        <v>129244.005</v>
      </c>
      <c r="AL417" s="121">
        <v>131138.15</v>
      </c>
      <c r="AM417" s="121">
        <v>131138.15</v>
      </c>
      <c r="AN417" s="121">
        <v>131360.12</v>
      </c>
      <c r="AO417" s="121">
        <v>131360.12</v>
      </c>
      <c r="AP417" s="125" t="str">
        <f>CONCATENATE(A417,M417)</f>
        <v>GLT</v>
      </c>
      <c r="AQ417" s="125" t="e">
        <f>CONCATENATE(AP417,L417,H417)</f>
        <v>#N/A</v>
      </c>
      <c r="AS417" s="125" t="e">
        <f>CONCATENATE(L417,H417,J417)</f>
        <v>#N/A</v>
      </c>
    </row>
    <row r="418" spans="1:45" s="125" customFormat="1" ht="25.5" customHeight="1">
      <c r="A418" s="216" t="s">
        <v>2493</v>
      </c>
      <c r="B418" s="217" t="str">
        <f t="shared" si="136"/>
        <v>GL283987</v>
      </c>
      <c r="C418" s="186">
        <v>283987</v>
      </c>
      <c r="D418" s="201"/>
      <c r="E418" s="162"/>
      <c r="F418" s="169" t="s">
        <v>2712</v>
      </c>
      <c r="G418" s="117"/>
      <c r="H418" s="118" t="e">
        <v>#N/A</v>
      </c>
      <c r="I418" s="119"/>
      <c r="J418" s="120"/>
      <c r="K418" s="120" t="str">
        <f t="shared" si="135"/>
        <v/>
      </c>
      <c r="L418" s="170" t="s">
        <v>1174</v>
      </c>
      <c r="M418" s="122" t="str">
        <f t="shared" si="137"/>
        <v>T</v>
      </c>
      <c r="N418" s="116" t="str">
        <f>IF($L418&lt;&gt;"",VLOOKUP($L418,Categories!$E:$G,2,FALSE),IF($F418&lt;&gt;"","NO CAT",""))</f>
        <v>Def Tax Side Sched</v>
      </c>
      <c r="O418" s="116" t="str">
        <f>IF($L418&lt;&gt;"",VLOOKUP($L418,Categories!$E:$G,3,FALSE),IF($F418&lt;&gt;"","NO CAT",""))</f>
        <v>Def Taxes</v>
      </c>
      <c r="P418" s="170" t="s">
        <v>1186</v>
      </c>
      <c r="Q418" s="123" t="s">
        <v>1187</v>
      </c>
      <c r="R418" s="124">
        <v>0</v>
      </c>
      <c r="S418" s="124">
        <v>0</v>
      </c>
      <c r="T418" s="124">
        <v>1</v>
      </c>
      <c r="U418" s="121">
        <f t="shared" si="138"/>
        <v>0</v>
      </c>
      <c r="V418" s="121">
        <f t="shared" si="139"/>
        <v>0</v>
      </c>
      <c r="W418" s="121">
        <f t="shared" si="140"/>
        <v>62621.138500000001</v>
      </c>
      <c r="X418" s="121">
        <f t="shared" si="144"/>
        <v>62621.138500000001</v>
      </c>
      <c r="Y418" s="121">
        <f t="shared" si="141"/>
        <v>0</v>
      </c>
      <c r="Z418" s="121">
        <f t="shared" si="142"/>
        <v>0</v>
      </c>
      <c r="AA418" s="121">
        <f t="shared" si="143"/>
        <v>63618.858999999997</v>
      </c>
      <c r="AB418" s="121">
        <f t="shared" si="145"/>
        <v>63618.858999999997</v>
      </c>
      <c r="AC418" s="121">
        <v>60743.686999999998</v>
      </c>
      <c r="AD418" s="121">
        <v>61682.438999999998</v>
      </c>
      <c r="AE418" s="121">
        <v>62026.885000000002</v>
      </c>
      <c r="AF418" s="121">
        <v>62026.885000000002</v>
      </c>
      <c r="AG418" s="121">
        <v>62493.309000000001</v>
      </c>
      <c r="AH418" s="121">
        <v>62493.309000000001</v>
      </c>
      <c r="AI418" s="121">
        <v>62493.309000000001</v>
      </c>
      <c r="AJ418" s="121">
        <v>62493.309000000001</v>
      </c>
      <c r="AK418" s="121">
        <v>63002.453000000001</v>
      </c>
      <c r="AL418" s="121">
        <v>63470.815999999999</v>
      </c>
      <c r="AM418" s="121">
        <v>63470.815999999999</v>
      </c>
      <c r="AN418" s="121">
        <v>63618.858999999997</v>
      </c>
      <c r="AO418" s="121">
        <v>63618.858999999997</v>
      </c>
      <c r="AP418" s="125" t="str">
        <f>CONCATENATE(A418,M418)</f>
        <v>GLT</v>
      </c>
      <c r="AQ418" s="125" t="e">
        <f>CONCATENATE(AP418,L418,H418)</f>
        <v>#N/A</v>
      </c>
      <c r="AS418" s="125" t="e">
        <f>CONCATENATE(L418,H418,J418)</f>
        <v>#N/A</v>
      </c>
    </row>
    <row r="419" spans="1:45" s="125" customFormat="1" ht="25.5" customHeight="1">
      <c r="A419" s="216" t="s">
        <v>2493</v>
      </c>
      <c r="B419" s="217" t="str">
        <f t="shared" si="136"/>
        <v>GL283988</v>
      </c>
      <c r="C419" s="186">
        <v>283988</v>
      </c>
      <c r="D419" s="201"/>
      <c r="E419" s="162"/>
      <c r="F419" s="169" t="s">
        <v>981</v>
      </c>
      <c r="G419" s="117"/>
      <c r="H419" s="118" t="e">
        <v>#N/A</v>
      </c>
      <c r="I419" s="119"/>
      <c r="J419" s="120"/>
      <c r="K419" s="120" t="str">
        <f t="shared" ref="K419:K425" si="146">IF(L419="N3","SFAS-109","")</f>
        <v/>
      </c>
      <c r="L419" s="170" t="s">
        <v>1174</v>
      </c>
      <c r="M419" s="122" t="str">
        <f t="shared" si="137"/>
        <v>T</v>
      </c>
      <c r="N419" s="116" t="str">
        <f>IF($L419&lt;&gt;"",VLOOKUP($L419,Categories!$E:$G,2,FALSE),IF($F419&lt;&gt;"","NO CAT",""))</f>
        <v>Def Tax Side Sched</v>
      </c>
      <c r="O419" s="116" t="str">
        <f>IF($L419&lt;&gt;"",VLOOKUP($L419,Categories!$E:$G,3,FALSE),IF($F419&lt;&gt;"","NO CAT",""))</f>
        <v>Def Taxes</v>
      </c>
      <c r="P419" s="170" t="s">
        <v>1186</v>
      </c>
      <c r="Q419" s="123" t="s">
        <v>1187</v>
      </c>
      <c r="R419" s="124">
        <v>0</v>
      </c>
      <c r="S419" s="124">
        <v>0</v>
      </c>
      <c r="T419" s="124">
        <v>1</v>
      </c>
      <c r="U419" s="121">
        <f t="shared" si="138"/>
        <v>0</v>
      </c>
      <c r="V419" s="121">
        <f t="shared" si="139"/>
        <v>0</v>
      </c>
      <c r="W419" s="121">
        <f t="shared" si="140"/>
        <v>28987.714541666701</v>
      </c>
      <c r="X419" s="121">
        <f t="shared" si="144"/>
        <v>28987.714541666701</v>
      </c>
      <c r="Y419" s="121">
        <f t="shared" si="141"/>
        <v>0</v>
      </c>
      <c r="Z419" s="121">
        <f t="shared" si="142"/>
        <v>0</v>
      </c>
      <c r="AA419" s="121">
        <f t="shared" si="143"/>
        <v>29732.440999999999</v>
      </c>
      <c r="AB419" s="121">
        <f t="shared" si="145"/>
        <v>29732.440999999999</v>
      </c>
      <c r="AC419" s="121">
        <v>27392.17</v>
      </c>
      <c r="AD419" s="121">
        <v>28212.116999999998</v>
      </c>
      <c r="AE419" s="121">
        <v>28512.971000000001</v>
      </c>
      <c r="AF419" s="121">
        <v>28512.971000000001</v>
      </c>
      <c r="AG419" s="121">
        <v>28920.365000000002</v>
      </c>
      <c r="AH419" s="121">
        <v>28920.365000000002</v>
      </c>
      <c r="AI419" s="121">
        <v>28920.365000000002</v>
      </c>
      <c r="AJ419" s="121">
        <v>28920.365000000002</v>
      </c>
      <c r="AK419" s="121">
        <v>29270.365000000002</v>
      </c>
      <c r="AL419" s="121">
        <v>29683.972000000002</v>
      </c>
      <c r="AM419" s="121">
        <v>29683.972000000002</v>
      </c>
      <c r="AN419" s="121">
        <v>29732.440999999999</v>
      </c>
      <c r="AO419" s="121">
        <v>29732.440999999999</v>
      </c>
      <c r="AP419" s="125" t="str">
        <f>CONCATENATE(A419,M419)</f>
        <v>GLT</v>
      </c>
      <c r="AQ419" s="125" t="e">
        <f>CONCATENATE(AP419,L419,H419)</f>
        <v>#N/A</v>
      </c>
      <c r="AS419" s="125" t="e">
        <f>CONCATENATE(L419,H419,J419)</f>
        <v>#N/A</v>
      </c>
    </row>
    <row r="420" spans="1:45" s="125" customFormat="1" ht="25.5" customHeight="1">
      <c r="A420" s="216" t="s">
        <v>2493</v>
      </c>
      <c r="B420" s="217" t="str">
        <f t="shared" si="136"/>
        <v>GL283989</v>
      </c>
      <c r="C420" s="186">
        <v>283989</v>
      </c>
      <c r="D420" s="201"/>
      <c r="E420" s="162"/>
      <c r="F420" s="169" t="s">
        <v>982</v>
      </c>
      <c r="G420" s="117"/>
      <c r="H420" s="118" t="e">
        <v>#N/A</v>
      </c>
      <c r="I420" s="119"/>
      <c r="J420" s="120"/>
      <c r="K420" s="120" t="str">
        <f t="shared" si="146"/>
        <v/>
      </c>
      <c r="L420" s="170" t="s">
        <v>1174</v>
      </c>
      <c r="M420" s="122" t="str">
        <f t="shared" si="137"/>
        <v>T</v>
      </c>
      <c r="N420" s="116" t="str">
        <f>IF($L420&lt;&gt;"",VLOOKUP($L420,Categories!$E:$G,2,FALSE),IF($F420&lt;&gt;"","NO CAT",""))</f>
        <v>Def Tax Side Sched</v>
      </c>
      <c r="O420" s="116" t="str">
        <f>IF($L420&lt;&gt;"",VLOOKUP($L420,Categories!$E:$G,3,FALSE),IF($F420&lt;&gt;"","NO CAT",""))</f>
        <v>Def Taxes</v>
      </c>
      <c r="P420" s="170" t="s">
        <v>1186</v>
      </c>
      <c r="Q420" s="123" t="s">
        <v>1187</v>
      </c>
      <c r="R420" s="124">
        <v>0</v>
      </c>
      <c r="S420" s="124">
        <v>0</v>
      </c>
      <c r="T420" s="124">
        <v>1</v>
      </c>
      <c r="U420" s="121">
        <f t="shared" si="138"/>
        <v>0</v>
      </c>
      <c r="V420" s="121">
        <f t="shared" si="139"/>
        <v>0</v>
      </c>
      <c r="W420" s="121">
        <f t="shared" si="140"/>
        <v>13770.3450416667</v>
      </c>
      <c r="X420" s="121">
        <f t="shared" si="144"/>
        <v>13770.3450416667</v>
      </c>
      <c r="Y420" s="121">
        <f t="shared" si="141"/>
        <v>0</v>
      </c>
      <c r="Z420" s="121">
        <f t="shared" si="142"/>
        <v>0</v>
      </c>
      <c r="AA420" s="121">
        <f t="shared" si="143"/>
        <v>13988.208000000001</v>
      </c>
      <c r="AB420" s="121">
        <f t="shared" si="145"/>
        <v>13988.208000000001</v>
      </c>
      <c r="AC420" s="121">
        <v>13360.383</v>
      </c>
      <c r="AD420" s="121">
        <v>13565.37</v>
      </c>
      <c r="AE420" s="121">
        <v>13640.584000000001</v>
      </c>
      <c r="AF420" s="121">
        <v>13640.584000000001</v>
      </c>
      <c r="AG420" s="121">
        <v>13742.432000000001</v>
      </c>
      <c r="AH420" s="121">
        <v>13742.432000000001</v>
      </c>
      <c r="AI420" s="121">
        <v>13742.432000000001</v>
      </c>
      <c r="AJ420" s="121">
        <v>13742.432000000001</v>
      </c>
      <c r="AK420" s="121">
        <v>13853.609</v>
      </c>
      <c r="AL420" s="121">
        <v>13955.880999999999</v>
      </c>
      <c r="AM420" s="121">
        <v>13955.880999999999</v>
      </c>
      <c r="AN420" s="121">
        <v>13988.208000000001</v>
      </c>
      <c r="AO420" s="121">
        <v>13988.208000000001</v>
      </c>
      <c r="AP420" s="125" t="str">
        <f>CONCATENATE(A420,M420)</f>
        <v>GLT</v>
      </c>
      <c r="AQ420" s="125" t="e">
        <f>CONCATENATE(AP420,L420,H420)</f>
        <v>#N/A</v>
      </c>
      <c r="AS420" s="125" t="e">
        <f>CONCATENATE(L420,H420,J420)</f>
        <v>#N/A</v>
      </c>
    </row>
    <row r="421" spans="1:45" s="125" customFormat="1" ht="25.5" customHeight="1">
      <c r="A421" s="216" t="s">
        <v>2493</v>
      </c>
      <c r="B421" s="217" t="str">
        <f t="shared" si="136"/>
        <v>GL283990</v>
      </c>
      <c r="C421" s="186">
        <v>283990</v>
      </c>
      <c r="D421" s="201"/>
      <c r="E421" s="162"/>
      <c r="F421" s="169" t="s">
        <v>1460</v>
      </c>
      <c r="G421" s="117"/>
      <c r="H421" s="118" t="s">
        <v>1149</v>
      </c>
      <c r="I421" s="119"/>
      <c r="J421" s="120"/>
      <c r="K421" s="120" t="str">
        <f t="shared" si="146"/>
        <v/>
      </c>
      <c r="L421" s="170" t="s">
        <v>1174</v>
      </c>
      <c r="M421" s="122" t="str">
        <f t="shared" si="137"/>
        <v>T</v>
      </c>
      <c r="N421" s="116" t="str">
        <f>IF($L421&lt;&gt;"",VLOOKUP($L421,Categories!$E:$G,2,FALSE),IF($F421&lt;&gt;"","NO CAT",""))</f>
        <v>Def Tax Side Sched</v>
      </c>
      <c r="O421" s="116" t="str">
        <f>IF($L421&lt;&gt;"",VLOOKUP($L421,Categories!$E:$G,3,FALSE),IF($F421&lt;&gt;"","NO CAT",""))</f>
        <v>Def Taxes</v>
      </c>
      <c r="P421" s="170" t="s">
        <v>1186</v>
      </c>
      <c r="Q421" s="123" t="s">
        <v>1187</v>
      </c>
      <c r="R421" s="124">
        <v>0</v>
      </c>
      <c r="S421" s="124">
        <v>0</v>
      </c>
      <c r="T421" s="124">
        <v>1</v>
      </c>
      <c r="U421" s="121">
        <f t="shared" si="138"/>
        <v>0</v>
      </c>
      <c r="V421" s="121">
        <f t="shared" si="139"/>
        <v>0</v>
      </c>
      <c r="W421" s="121">
        <f t="shared" si="140"/>
        <v>-6030.7901250000004</v>
      </c>
      <c r="X421" s="121">
        <f t="shared" si="144"/>
        <v>-6030.7901250000004</v>
      </c>
      <c r="Y421" s="121">
        <f t="shared" si="141"/>
        <v>0</v>
      </c>
      <c r="Z421" s="121">
        <f t="shared" si="142"/>
        <v>0</v>
      </c>
      <c r="AA421" s="121">
        <f t="shared" si="143"/>
        <v>8560.2729999999992</v>
      </c>
      <c r="AB421" s="121">
        <f t="shared" si="145"/>
        <v>8560.2729999999992</v>
      </c>
      <c r="AC421" s="121">
        <v>-2436.0479999999998</v>
      </c>
      <c r="AD421" s="121">
        <v>-7762.41</v>
      </c>
      <c r="AE421" s="121">
        <v>-9033.4590000000007</v>
      </c>
      <c r="AF421" s="121">
        <v>-8319.2659999999996</v>
      </c>
      <c r="AG421" s="121">
        <v>-13105.799000000001</v>
      </c>
      <c r="AH421" s="121">
        <v>-10581.419</v>
      </c>
      <c r="AI421" s="121">
        <v>-6501.9859999999999</v>
      </c>
      <c r="AJ421" s="121">
        <v>1014.581</v>
      </c>
      <c r="AK421" s="121">
        <v>-2398.3739999999998</v>
      </c>
      <c r="AL421" s="121">
        <v>-6199.924</v>
      </c>
      <c r="AM421" s="121">
        <v>-5797.5159999999996</v>
      </c>
      <c r="AN421" s="121">
        <v>-6746.0219999999999</v>
      </c>
      <c r="AO421" s="121">
        <v>8560.2729999999992</v>
      </c>
      <c r="AP421" s="125" t="str">
        <f>CONCATENATE(A421,M421)</f>
        <v>GLT</v>
      </c>
      <c r="AQ421" s="125" t="str">
        <f>CONCATENATE(AP421,L421,H421)</f>
        <v>GLTTSFAS-109</v>
      </c>
      <c r="AS421" s="125" t="str">
        <f>CONCATENATE(L421,H421,J421)</f>
        <v>TSFAS-109</v>
      </c>
    </row>
    <row r="422" spans="1:45" s="125" customFormat="1" ht="25.5" customHeight="1">
      <c r="A422" s="216" t="s">
        <v>2493</v>
      </c>
      <c r="B422" s="217" t="str">
        <f t="shared" si="136"/>
        <v>GL283991</v>
      </c>
      <c r="C422" s="186">
        <v>283991</v>
      </c>
      <c r="D422" s="201"/>
      <c r="E422" s="162"/>
      <c r="F422" s="169" t="s">
        <v>1461</v>
      </c>
      <c r="G422" s="117"/>
      <c r="H422" s="118" t="s">
        <v>1149</v>
      </c>
      <c r="I422" s="119"/>
      <c r="J422" s="120"/>
      <c r="K422" s="120" t="str">
        <f t="shared" si="146"/>
        <v/>
      </c>
      <c r="L422" s="170" t="s">
        <v>1174</v>
      </c>
      <c r="M422" s="122" t="str">
        <f t="shared" si="137"/>
        <v>T</v>
      </c>
      <c r="N422" s="116" t="str">
        <f>IF($L422&lt;&gt;"",VLOOKUP($L422,Categories!$E:$G,2,FALSE),IF($F422&lt;&gt;"","NO CAT",""))</f>
        <v>Def Tax Side Sched</v>
      </c>
      <c r="O422" s="116" t="str">
        <f>IF($L422&lt;&gt;"",VLOOKUP($L422,Categories!$E:$G,3,FALSE),IF($F422&lt;&gt;"","NO CAT",""))</f>
        <v>Def Taxes</v>
      </c>
      <c r="P422" s="170" t="s">
        <v>1186</v>
      </c>
      <c r="Q422" s="123" t="s">
        <v>1187</v>
      </c>
      <c r="R422" s="124">
        <v>0</v>
      </c>
      <c r="S422" s="124">
        <v>0</v>
      </c>
      <c r="T422" s="124">
        <v>1</v>
      </c>
      <c r="U422" s="121">
        <f t="shared" si="138"/>
        <v>0</v>
      </c>
      <c r="V422" s="121">
        <f t="shared" si="139"/>
        <v>0</v>
      </c>
      <c r="W422" s="121">
        <f t="shared" si="140"/>
        <v>6030.7901250000004</v>
      </c>
      <c r="X422" s="121">
        <f t="shared" si="144"/>
        <v>6030.7901250000004</v>
      </c>
      <c r="Y422" s="121">
        <f t="shared" si="141"/>
        <v>0</v>
      </c>
      <c r="Z422" s="121">
        <f t="shared" si="142"/>
        <v>0</v>
      </c>
      <c r="AA422" s="121">
        <f t="shared" si="143"/>
        <v>-8560.2729999999992</v>
      </c>
      <c r="AB422" s="121">
        <f t="shared" si="145"/>
        <v>-8560.2729999999992</v>
      </c>
      <c r="AC422" s="121">
        <v>2436.0479999999998</v>
      </c>
      <c r="AD422" s="121">
        <v>7762.41</v>
      </c>
      <c r="AE422" s="121">
        <v>9033.4590000000007</v>
      </c>
      <c r="AF422" s="121">
        <v>8319.2659999999996</v>
      </c>
      <c r="AG422" s="121">
        <v>13105.799000000001</v>
      </c>
      <c r="AH422" s="121">
        <v>10581.419</v>
      </c>
      <c r="AI422" s="121">
        <v>6501.9859999999999</v>
      </c>
      <c r="AJ422" s="121">
        <v>-1014.581</v>
      </c>
      <c r="AK422" s="121">
        <v>2398.3739999999998</v>
      </c>
      <c r="AL422" s="121">
        <v>6199.924</v>
      </c>
      <c r="AM422" s="121">
        <v>5797.5159999999996</v>
      </c>
      <c r="AN422" s="121">
        <v>6746.0219999999999</v>
      </c>
      <c r="AO422" s="121">
        <v>-8560.2729999999992</v>
      </c>
      <c r="AP422" s="125" t="str">
        <f>CONCATENATE(A422,M422)</f>
        <v>GLT</v>
      </c>
      <c r="AQ422" s="125" t="str">
        <f>CONCATENATE(AP422,L422,H422)</f>
        <v>GLTTSFAS-109</v>
      </c>
      <c r="AS422" s="125" t="str">
        <f>CONCATENATE(L422,H422,J422)</f>
        <v>TSFAS-109</v>
      </c>
    </row>
    <row r="423" spans="1:45" s="125" customFormat="1" ht="25.5" customHeight="1">
      <c r="A423" s="216" t="s">
        <v>2493</v>
      </c>
      <c r="B423" s="217" t="str">
        <f t="shared" si="136"/>
        <v>GL283992</v>
      </c>
      <c r="C423" s="186">
        <v>283992</v>
      </c>
      <c r="D423" s="201"/>
      <c r="E423" s="162"/>
      <c r="F423" s="169" t="s">
        <v>1462</v>
      </c>
      <c r="G423" s="117"/>
      <c r="H423" s="118" t="s">
        <v>1180</v>
      </c>
      <c r="I423" s="119"/>
      <c r="J423" s="120"/>
      <c r="K423" s="120" t="str">
        <f t="shared" si="146"/>
        <v/>
      </c>
      <c r="L423" s="170" t="s">
        <v>1174</v>
      </c>
      <c r="M423" s="122" t="str">
        <f t="shared" si="137"/>
        <v>T</v>
      </c>
      <c r="N423" s="116" t="str">
        <f>IF($L423&lt;&gt;"",VLOOKUP($L423,Categories!$E:$G,2,FALSE),IF($F423&lt;&gt;"","NO CAT",""))</f>
        <v>Def Tax Side Sched</v>
      </c>
      <c r="O423" s="116" t="str">
        <f>IF($L423&lt;&gt;"",VLOOKUP($L423,Categories!$E:$G,3,FALSE),IF($F423&lt;&gt;"","NO CAT",""))</f>
        <v>Def Taxes</v>
      </c>
      <c r="P423" s="170" t="s">
        <v>1186</v>
      </c>
      <c r="Q423" s="123" t="s">
        <v>1187</v>
      </c>
      <c r="R423" s="124">
        <v>0</v>
      </c>
      <c r="S423" s="124">
        <v>0</v>
      </c>
      <c r="T423" s="124">
        <v>1</v>
      </c>
      <c r="U423" s="121">
        <f t="shared" si="138"/>
        <v>0</v>
      </c>
      <c r="V423" s="121">
        <f t="shared" si="139"/>
        <v>0</v>
      </c>
      <c r="W423" s="121">
        <f t="shared" si="140"/>
        <v>-21.8072083333333</v>
      </c>
      <c r="X423" s="121">
        <f t="shared" si="144"/>
        <v>-21.8072083333333</v>
      </c>
      <c r="Y423" s="121">
        <f t="shared" si="141"/>
        <v>0</v>
      </c>
      <c r="Z423" s="121">
        <f t="shared" si="142"/>
        <v>0</v>
      </c>
      <c r="AA423" s="121">
        <f t="shared" si="143"/>
        <v>922.18100000000004</v>
      </c>
      <c r="AB423" s="121">
        <f t="shared" si="145"/>
        <v>922.18100000000004</v>
      </c>
      <c r="AC423" s="121">
        <v>-120.39</v>
      </c>
      <c r="AD423" s="121">
        <v>-481.95600000000002</v>
      </c>
      <c r="AE423" s="121">
        <v>-325.23500000000001</v>
      </c>
      <c r="AF423" s="121">
        <v>-168.50200000000001</v>
      </c>
      <c r="AG423" s="121">
        <v>-414.56299999999999</v>
      </c>
      <c r="AH423" s="121">
        <v>-174.62700000000001</v>
      </c>
      <c r="AI423" s="121">
        <v>-122.628</v>
      </c>
      <c r="AJ423" s="121">
        <v>240.26900000000001</v>
      </c>
      <c r="AK423" s="121">
        <v>100</v>
      </c>
      <c r="AL423" s="121">
        <v>107.467</v>
      </c>
      <c r="AM423" s="121">
        <v>346.39299999999997</v>
      </c>
      <c r="AN423" s="121">
        <v>230.8</v>
      </c>
      <c r="AO423" s="121">
        <v>922.18100000000004</v>
      </c>
      <c r="AP423" s="125" t="str">
        <f>CONCATENATE(A423,M423)</f>
        <v>GLT</v>
      </c>
      <c r="AQ423" s="125" t="str">
        <f>CONCATENATE(AP423,L423,H423)</f>
        <v>GLTT</v>
      </c>
      <c r="AS423" s="125" t="str">
        <f>CONCATENATE(L423,H423,J423)</f>
        <v>T</v>
      </c>
    </row>
    <row r="424" spans="1:45" s="125" customFormat="1" ht="25.5" customHeight="1">
      <c r="A424" s="216" t="s">
        <v>2493</v>
      </c>
      <c r="B424" s="217" t="str">
        <f t="shared" si="136"/>
        <v>GL283993</v>
      </c>
      <c r="C424" s="186">
        <v>283993</v>
      </c>
      <c r="D424" s="201"/>
      <c r="E424" s="162"/>
      <c r="F424" s="169" t="s">
        <v>1440</v>
      </c>
      <c r="G424" s="117"/>
      <c r="H424" s="118" t="s">
        <v>1180</v>
      </c>
      <c r="I424" s="119"/>
      <c r="J424" s="120"/>
      <c r="K424" s="120" t="str">
        <f t="shared" si="146"/>
        <v/>
      </c>
      <c r="L424" s="170" t="s">
        <v>1174</v>
      </c>
      <c r="M424" s="122" t="str">
        <f t="shared" si="137"/>
        <v>T</v>
      </c>
      <c r="N424" s="116" t="str">
        <f>IF($L424&lt;&gt;"",VLOOKUP($L424,Categories!$E:$G,2,FALSE),IF($F424&lt;&gt;"","NO CAT",""))</f>
        <v>Def Tax Side Sched</v>
      </c>
      <c r="O424" s="116" t="str">
        <f>IF($L424&lt;&gt;"",VLOOKUP($L424,Categories!$E:$G,3,FALSE),IF($F424&lt;&gt;"","NO CAT",""))</f>
        <v>Def Taxes</v>
      </c>
      <c r="P424" s="170" t="s">
        <v>1186</v>
      </c>
      <c r="Q424" s="123" t="s">
        <v>1187</v>
      </c>
      <c r="R424" s="124">
        <v>0</v>
      </c>
      <c r="S424" s="124">
        <v>0</v>
      </c>
      <c r="T424" s="124">
        <v>1</v>
      </c>
      <c r="U424" s="121">
        <f t="shared" si="138"/>
        <v>0</v>
      </c>
      <c r="V424" s="121">
        <f t="shared" si="139"/>
        <v>0</v>
      </c>
      <c r="W424" s="121">
        <f t="shared" si="140"/>
        <v>21.8072083333333</v>
      </c>
      <c r="X424" s="121">
        <f t="shared" si="144"/>
        <v>21.8072083333333</v>
      </c>
      <c r="Y424" s="121">
        <f t="shared" si="141"/>
        <v>0</v>
      </c>
      <c r="Z424" s="121">
        <f t="shared" si="142"/>
        <v>0</v>
      </c>
      <c r="AA424" s="121">
        <f t="shared" si="143"/>
        <v>-922.18100000000004</v>
      </c>
      <c r="AB424" s="121">
        <f t="shared" si="145"/>
        <v>-922.18100000000004</v>
      </c>
      <c r="AC424" s="121">
        <v>120.39</v>
      </c>
      <c r="AD424" s="121">
        <v>481.95600000000002</v>
      </c>
      <c r="AE424" s="121">
        <v>325.23500000000001</v>
      </c>
      <c r="AF424" s="121">
        <v>168.50200000000001</v>
      </c>
      <c r="AG424" s="121">
        <v>414.56299999999999</v>
      </c>
      <c r="AH424" s="121">
        <v>174.62700000000001</v>
      </c>
      <c r="AI424" s="121">
        <v>122.628</v>
      </c>
      <c r="AJ424" s="121">
        <v>-240.26900000000001</v>
      </c>
      <c r="AK424" s="121">
        <v>-100</v>
      </c>
      <c r="AL424" s="121">
        <v>-107.467</v>
      </c>
      <c r="AM424" s="121">
        <v>-346.39299999999997</v>
      </c>
      <c r="AN424" s="121">
        <v>-230.8</v>
      </c>
      <c r="AO424" s="121">
        <v>-922.18100000000004</v>
      </c>
      <c r="AP424" s="125" t="str">
        <f>CONCATENATE(A424,M424)</f>
        <v>GLT</v>
      </c>
      <c r="AQ424" s="125" t="str">
        <f>CONCATENATE(AP424,L424,H424)</f>
        <v>GLTT</v>
      </c>
      <c r="AS424" s="125" t="str">
        <f>CONCATENATE(L424,H424,J424)</f>
        <v>T</v>
      </c>
    </row>
    <row r="425" spans="1:45" s="125" customFormat="1" ht="25.5" customHeight="1">
      <c r="A425" s="216" t="s">
        <v>2493</v>
      </c>
      <c r="B425" s="217" t="str">
        <f t="shared" si="136"/>
        <v>GL800000</v>
      </c>
      <c r="C425" s="186">
        <v>800000</v>
      </c>
      <c r="D425" s="201"/>
      <c r="E425" s="162"/>
      <c r="F425" s="169" t="s">
        <v>1441</v>
      </c>
      <c r="G425" s="117"/>
      <c r="H425" s="118" t="s">
        <v>1180</v>
      </c>
      <c r="I425" s="119"/>
      <c r="J425" s="120"/>
      <c r="K425" s="120" t="str">
        <f t="shared" si="146"/>
        <v/>
      </c>
      <c r="L425" s="170" t="s">
        <v>266</v>
      </c>
      <c r="M425" s="122" t="str">
        <f t="shared" si="137"/>
        <v>C</v>
      </c>
      <c r="N425" s="116" t="str">
        <f>IF($L425&lt;&gt;"",VLOOKUP($L425,Categories!$E:$G,2,FALSE),IF($F425&lt;&gt;"","NO CAT",""))</f>
        <v>Capitalization</v>
      </c>
      <c r="O425" s="116" t="str">
        <f>IF($L425&lt;&gt;"",VLOOKUP($L425,Categories!$E:$G,3,FALSE),IF($F425&lt;&gt;"","NO CAT",""))</f>
        <v>Common Equity</v>
      </c>
      <c r="P425" s="170" t="s">
        <v>1186</v>
      </c>
      <c r="Q425" s="123" t="s">
        <v>1187</v>
      </c>
      <c r="R425" s="124">
        <v>0</v>
      </c>
      <c r="S425" s="124">
        <v>0</v>
      </c>
      <c r="T425" s="124">
        <v>1</v>
      </c>
      <c r="U425" s="121">
        <f t="shared" si="138"/>
        <v>0</v>
      </c>
      <c r="V425" s="121">
        <f t="shared" si="139"/>
        <v>0</v>
      </c>
      <c r="W425" s="121">
        <f t="shared" si="140"/>
        <v>-68018.317472499999</v>
      </c>
      <c r="X425" s="121">
        <f t="shared" si="144"/>
        <v>-68018.317472499999</v>
      </c>
      <c r="Y425" s="121">
        <f t="shared" si="141"/>
        <v>0</v>
      </c>
      <c r="Z425" s="121">
        <f t="shared" si="142"/>
        <v>0</v>
      </c>
      <c r="AA425" s="121">
        <f t="shared" si="143"/>
        <v>-114978.52107</v>
      </c>
      <c r="AB425" s="121">
        <f t="shared" si="145"/>
        <v>-114978.52106999999</v>
      </c>
      <c r="AC425" s="121">
        <v>-110202.18618999999</v>
      </c>
      <c r="AD425" s="121">
        <v>-14684.885179999999</v>
      </c>
      <c r="AE425" s="121">
        <v>-26076.145660000002</v>
      </c>
      <c r="AF425" s="121">
        <v>-38065.739409999995</v>
      </c>
      <c r="AG425" s="121">
        <v>-47517.293189999997</v>
      </c>
      <c r="AH425" s="121">
        <v>-55830.544569999998</v>
      </c>
      <c r="AI425" s="121">
        <v>-67928.754079999999</v>
      </c>
      <c r="AJ425" s="121">
        <v>-76000.47825</v>
      </c>
      <c r="AK425" s="121">
        <v>-84064.551619999998</v>
      </c>
      <c r="AL425" s="121">
        <v>-90104.965620000003</v>
      </c>
      <c r="AM425" s="121">
        <v>-97966.195110000001</v>
      </c>
      <c r="AN425" s="121">
        <v>-105389.90334999999</v>
      </c>
      <c r="AO425" s="121">
        <v>-114978.52106999999</v>
      </c>
      <c r="AP425" s="125" t="str">
        <f>CONCATENATE(A425,M425)</f>
        <v>GLC</v>
      </c>
      <c r="AQ425" s="125" t="str">
        <f>CONCATENATE(AP425,L425,H425)</f>
        <v>GLCC15</v>
      </c>
      <c r="AS425" s="125" t="str">
        <f>CONCATENATE(L425,H425,J425)</f>
        <v>C15</v>
      </c>
    </row>
    <row r="426" spans="1:45" s="125" customFormat="1" ht="25.5" customHeight="1">
      <c r="A426" s="216" t="s">
        <v>1442</v>
      </c>
      <c r="B426" s="217" t="str">
        <f t="shared" ref="B426:B432" si="147">CONCATENATE(A426,C426,D426,E426)</f>
        <v>Reg Asset1823000-146.02.00BC030163</v>
      </c>
      <c r="C426" s="186">
        <v>182300</v>
      </c>
      <c r="D426" s="201" t="s">
        <v>58</v>
      </c>
      <c r="E426" s="162" t="s">
        <v>1727</v>
      </c>
      <c r="F426" s="169" t="s">
        <v>326</v>
      </c>
      <c r="G426" s="117" t="s">
        <v>1483</v>
      </c>
      <c r="H426" s="118" t="s">
        <v>1484</v>
      </c>
      <c r="I426" s="119"/>
      <c r="J426" s="120"/>
      <c r="K426" s="120" t="str">
        <f t="shared" ref="K426:K431" si="148">IF(L426="N3","SFAS-109","")</f>
        <v/>
      </c>
      <c r="L426" s="170" t="s">
        <v>1893</v>
      </c>
      <c r="M426" s="122" t="str">
        <f t="shared" ref="M426:M533" si="149">LEFT(L426,1)</f>
        <v>R</v>
      </c>
      <c r="N426" s="116" t="str">
        <f>IF($L426&lt;&gt;"",VLOOKUP($L426,Categories!$E:$G,2,FALSE),IF($F426&lt;&gt;"","NO CAT",""))</f>
        <v>Rate Base</v>
      </c>
      <c r="O426" s="116" t="str">
        <f>IF($L426&lt;&gt;"",VLOOKUP($L426,Categories!$E:$G,3,FALSE),IF($F426&lt;&gt;"","NO CAT",""))</f>
        <v>Deferred Debits &amp; Credits</v>
      </c>
      <c r="P426" s="170" t="s">
        <v>1185</v>
      </c>
      <c r="Q426" s="123" t="s">
        <v>1185</v>
      </c>
      <c r="R426" s="124">
        <v>0.91800000000000004</v>
      </c>
      <c r="S426" s="124">
        <v>8.2000000000000003E-2</v>
      </c>
      <c r="T426" s="124">
        <v>0</v>
      </c>
      <c r="U426" s="121" t="str">
        <f t="shared" ref="U426:U431" si="150">IF(ABS(X426)=0,"",IF($R426="NO ALLOC","NO ALLOC",ROUND($R426*X426,15)))</f>
        <v/>
      </c>
      <c r="V426" s="121" t="str">
        <f t="shared" ref="V426:V431" si="151">IF(ABS(X426)=0,"",IF($S426="NO ALLOC","NO ALLOC",ROUND($S426*X426,15)))</f>
        <v/>
      </c>
      <c r="W426" s="121" t="str">
        <f t="shared" ref="W426:W431" si="152">IF(ABS(X426)=0,"",IF($T426="NO ALLOC","NO ALLOC",ROUND($T426*X426,15)))</f>
        <v/>
      </c>
      <c r="X426" s="121">
        <f t="shared" si="144"/>
        <v>0</v>
      </c>
      <c r="Y426" s="121" t="str">
        <f t="shared" ref="Y426:Y431" si="153">IF(ABS(AB426)=0,"",IF($R426="NO ALLOC","NO ALLOC",ROUND($R426*AB426,15)))</f>
        <v/>
      </c>
      <c r="Z426" s="121" t="str">
        <f t="shared" ref="Z426:Z431" si="154">IF(ABS(AB426)=0,"",IF($S426="NO ALLOC","NO ALLOC",ROUND($S426*AB426,15)))</f>
        <v/>
      </c>
      <c r="AA426" s="121" t="str">
        <f t="shared" ref="AA426:AA431" si="155">IF(ABS(AB426)=0,"",IF($T426="NO ALLOC","NO ALLOC",ROUND($T426*AB426,15)))</f>
        <v/>
      </c>
      <c r="AB426" s="121">
        <f t="shared" si="145"/>
        <v>0</v>
      </c>
      <c r="AC426" s="121">
        <v>0</v>
      </c>
      <c r="AD426" s="121">
        <v>0</v>
      </c>
      <c r="AE426" s="121">
        <v>0</v>
      </c>
      <c r="AF426" s="121">
        <v>0</v>
      </c>
      <c r="AG426" s="121">
        <v>0</v>
      </c>
      <c r="AH426" s="121">
        <v>0</v>
      </c>
      <c r="AI426" s="121">
        <v>0</v>
      </c>
      <c r="AJ426" s="121">
        <v>0</v>
      </c>
      <c r="AK426" s="121">
        <v>0</v>
      </c>
      <c r="AL426" s="121">
        <v>0</v>
      </c>
      <c r="AM426" s="121">
        <v>0</v>
      </c>
      <c r="AN426" s="121">
        <v>0</v>
      </c>
      <c r="AO426" s="121">
        <v>0</v>
      </c>
      <c r="AP426" s="125" t="str">
        <f>CONCATENATE(A426,M426)</f>
        <v>Reg AssetR</v>
      </c>
      <c r="AQ426" s="125" t="str">
        <f>CONCATENATE(AP426,L426,H426)</f>
        <v>Reg AssetRR10MTA Surcharge</v>
      </c>
      <c r="AS426" s="125" t="str">
        <f>CONCATENATE(L426,H426,J426)</f>
        <v>R10MTA Surcharge</v>
      </c>
    </row>
    <row r="427" spans="1:45" s="125" customFormat="1" ht="25.5" customHeight="1">
      <c r="A427" s="216" t="s">
        <v>1442</v>
      </c>
      <c r="B427" s="217" t="str">
        <f t="shared" si="147"/>
        <v>Reg Asset1823000-307.01-00BC030163</v>
      </c>
      <c r="C427" s="186">
        <v>182300</v>
      </c>
      <c r="D427" s="201" t="s">
        <v>463</v>
      </c>
      <c r="E427" s="162" t="s">
        <v>1727</v>
      </c>
      <c r="F427" s="169" t="s">
        <v>326</v>
      </c>
      <c r="G427" s="117" t="s">
        <v>466</v>
      </c>
      <c r="H427" s="118" t="s">
        <v>1484</v>
      </c>
      <c r="I427" s="119"/>
      <c r="J427" s="120"/>
      <c r="K427" s="120" t="str">
        <f>IF(L427="N3","SFAS-109","")</f>
        <v/>
      </c>
      <c r="L427" s="170" t="s">
        <v>1893</v>
      </c>
      <c r="M427" s="122" t="str">
        <f t="shared" si="149"/>
        <v>R</v>
      </c>
      <c r="N427" s="116" t="str">
        <f>IF($L427&lt;&gt;"",VLOOKUP($L427,Categories!$E:$G,2,FALSE),IF($F427&lt;&gt;"","NO CAT",""))</f>
        <v>Rate Base</v>
      </c>
      <c r="O427" s="116" t="str">
        <f>IF($L427&lt;&gt;"",VLOOKUP($L427,Categories!$E:$G,3,FALSE),IF($F427&lt;&gt;"","NO CAT",""))</f>
        <v>Deferred Debits &amp; Credits</v>
      </c>
      <c r="P427" s="170" t="s">
        <v>1185</v>
      </c>
      <c r="Q427" s="123" t="s">
        <v>1185</v>
      </c>
      <c r="R427" s="124">
        <v>0.91800000000000004</v>
      </c>
      <c r="S427" s="124">
        <v>8.2000000000000003E-2</v>
      </c>
      <c r="T427" s="124">
        <v>0</v>
      </c>
      <c r="U427" s="121">
        <f t="shared" si="150"/>
        <v>-281.58259574250002</v>
      </c>
      <c r="V427" s="121">
        <f t="shared" si="151"/>
        <v>-25.152258007499999</v>
      </c>
      <c r="W427" s="121">
        <f t="shared" si="152"/>
        <v>0</v>
      </c>
      <c r="X427" s="121">
        <f t="shared" si="144"/>
        <v>-306.73485375000001</v>
      </c>
      <c r="Y427" s="121">
        <f t="shared" si="153"/>
        <v>13.8983272200001</v>
      </c>
      <c r="Z427" s="121">
        <f t="shared" si="154"/>
        <v>1.24146278000001</v>
      </c>
      <c r="AA427" s="121">
        <f t="shared" si="155"/>
        <v>0</v>
      </c>
      <c r="AB427" s="121">
        <f t="shared" si="145"/>
        <v>15.139790000000085</v>
      </c>
      <c r="AC427" s="121">
        <v>-532.03591999999992</v>
      </c>
      <c r="AD427" s="121">
        <v>-570.58616999999992</v>
      </c>
      <c r="AE427" s="121">
        <v>-628.51053999999988</v>
      </c>
      <c r="AF427" s="121">
        <v>-601.93804999999998</v>
      </c>
      <c r="AG427" s="121">
        <v>-608.94539999999995</v>
      </c>
      <c r="AH427" s="121">
        <v>-648.28340999999989</v>
      </c>
      <c r="AI427" s="121">
        <v>-139.33260999999993</v>
      </c>
      <c r="AJ427" s="121">
        <v>-160.25252</v>
      </c>
      <c r="AK427" s="121">
        <v>-180.01235999999992</v>
      </c>
      <c r="AL427" s="121">
        <v>46.623840000000087</v>
      </c>
      <c r="AM427" s="121">
        <v>39.740480000000083</v>
      </c>
      <c r="AN427" s="121">
        <v>29.126560000000087</v>
      </c>
      <c r="AO427" s="121">
        <v>15.139790000000085</v>
      </c>
      <c r="AP427" s="125" t="str">
        <f>CONCATENATE(A427,M427)</f>
        <v>Reg AssetR</v>
      </c>
      <c r="AQ427" s="125" t="str">
        <f>CONCATENATE(AP427,L427,H427)</f>
        <v>Reg AssetRR10MTA Surcharge</v>
      </c>
      <c r="AS427" s="125" t="str">
        <f>CONCATENATE(L427,H427,J427)</f>
        <v>R10MTA Surcharge</v>
      </c>
    </row>
    <row r="428" spans="1:45" s="125" customFormat="1" ht="25.5" customHeight="1">
      <c r="A428" s="216" t="s">
        <v>1442</v>
      </c>
      <c r="B428" s="217" t="str">
        <f t="shared" si="147"/>
        <v>Reg Asset1823000-307.02.00BC030163</v>
      </c>
      <c r="C428" s="186">
        <v>182300</v>
      </c>
      <c r="D428" s="201" t="s">
        <v>464</v>
      </c>
      <c r="E428" s="162" t="s">
        <v>1727</v>
      </c>
      <c r="F428" s="169" t="s">
        <v>326</v>
      </c>
      <c r="G428" s="117" t="s">
        <v>467</v>
      </c>
      <c r="H428" s="118" t="s">
        <v>1484</v>
      </c>
      <c r="I428" s="119"/>
      <c r="J428" s="120"/>
      <c r="K428" s="120" t="str">
        <f>IF(L428="N3","SFAS-109","")</f>
        <v/>
      </c>
      <c r="L428" s="170" t="s">
        <v>1893</v>
      </c>
      <c r="M428" s="122" t="str">
        <f t="shared" si="149"/>
        <v>R</v>
      </c>
      <c r="N428" s="116" t="str">
        <f>IF($L428&lt;&gt;"",VLOOKUP($L428,Categories!$E:$G,2,FALSE),IF($F428&lt;&gt;"","NO CAT",""))</f>
        <v>Rate Base</v>
      </c>
      <c r="O428" s="116" t="str">
        <f>IF($L428&lt;&gt;"",VLOOKUP($L428,Categories!$E:$G,3,FALSE),IF($F428&lt;&gt;"","NO CAT",""))</f>
        <v>Deferred Debits &amp; Credits</v>
      </c>
      <c r="P428" s="170" t="s">
        <v>1185</v>
      </c>
      <c r="Q428" s="123" t="s">
        <v>1185</v>
      </c>
      <c r="R428" s="124">
        <v>0.91800000000000004</v>
      </c>
      <c r="S428" s="124">
        <v>8.2000000000000003E-2</v>
      </c>
      <c r="T428" s="124">
        <v>0</v>
      </c>
      <c r="U428" s="121">
        <f t="shared" si="150"/>
        <v>-22.339130669999999</v>
      </c>
      <c r="V428" s="121">
        <f t="shared" si="151"/>
        <v>-1.9954343299999999</v>
      </c>
      <c r="W428" s="121">
        <f t="shared" si="152"/>
        <v>0</v>
      </c>
      <c r="X428" s="121">
        <f t="shared" si="144"/>
        <v>-24.334565000000001</v>
      </c>
      <c r="Y428" s="121">
        <f t="shared" si="153"/>
        <v>0.17478719999999701</v>
      </c>
      <c r="Z428" s="121">
        <f t="shared" si="154"/>
        <v>1.56128E-2</v>
      </c>
      <c r="AA428" s="121">
        <f t="shared" si="155"/>
        <v>0</v>
      </c>
      <c r="AB428" s="121">
        <f t="shared" si="145"/>
        <v>0.19039999999999624</v>
      </c>
      <c r="AC428" s="121">
        <v>-33.503999999999998</v>
      </c>
      <c r="AD428" s="121">
        <v>-37.662970000000001</v>
      </c>
      <c r="AE428" s="121">
        <v>-42.11468</v>
      </c>
      <c r="AF428" s="121">
        <v>-47.204440000000005</v>
      </c>
      <c r="AG428" s="121">
        <v>-49.920920000000002</v>
      </c>
      <c r="AH428" s="121">
        <v>-50.744160000000001</v>
      </c>
      <c r="AI428" s="121">
        <v>-17.525740000000006</v>
      </c>
      <c r="AJ428" s="121">
        <v>-18.041950000000003</v>
      </c>
      <c r="AK428" s="121">
        <v>-18.534670000000006</v>
      </c>
      <c r="AL428" s="121">
        <v>2.5586599999999962</v>
      </c>
      <c r="AM428" s="121">
        <v>2.2657699999999963</v>
      </c>
      <c r="AN428" s="121">
        <v>1.5671199999999963</v>
      </c>
      <c r="AO428" s="121">
        <v>0.19039999999999624</v>
      </c>
      <c r="AP428" s="125" t="str">
        <f>CONCATENATE(A428,M428)</f>
        <v>Reg AssetR</v>
      </c>
      <c r="AQ428" s="125" t="str">
        <f>CONCATENATE(AP428,L428,H428)</f>
        <v>Reg AssetRR10MTA Surcharge</v>
      </c>
      <c r="AS428" s="125" t="str">
        <f>CONCATENATE(L428,H428,J428)</f>
        <v>R10MTA Surcharge</v>
      </c>
    </row>
    <row r="429" spans="1:45" s="125" customFormat="1" ht="25.5" customHeight="1">
      <c r="A429" s="216" t="s">
        <v>1442</v>
      </c>
      <c r="B429" s="217" t="str">
        <f t="shared" si="147"/>
        <v>Reg Asset182300VariousBC030163</v>
      </c>
      <c r="C429" s="186">
        <v>182300</v>
      </c>
      <c r="D429" s="201" t="s">
        <v>465</v>
      </c>
      <c r="E429" s="162" t="s">
        <v>1727</v>
      </c>
      <c r="F429" s="169" t="s">
        <v>326</v>
      </c>
      <c r="G429" s="117" t="s">
        <v>468</v>
      </c>
      <c r="H429" s="118" t="s">
        <v>1484</v>
      </c>
      <c r="I429" s="119"/>
      <c r="J429" s="120"/>
      <c r="K429" s="120" t="str">
        <f>IF(L429="N3","SFAS-109","")</f>
        <v/>
      </c>
      <c r="L429" s="170" t="s">
        <v>1893</v>
      </c>
      <c r="M429" s="122" t="str">
        <f t="shared" si="149"/>
        <v>R</v>
      </c>
      <c r="N429" s="116" t="str">
        <f>IF($L429&lt;&gt;"",VLOOKUP($L429,Categories!$E:$G,2,FALSE),IF($F429&lt;&gt;"","NO CAT",""))</f>
        <v>Rate Base</v>
      </c>
      <c r="O429" s="116" t="str">
        <f>IF($L429&lt;&gt;"",VLOOKUP($L429,Categories!$E:$G,3,FALSE),IF($F429&lt;&gt;"","NO CAT",""))</f>
        <v>Deferred Debits &amp; Credits</v>
      </c>
      <c r="P429" s="170" t="s">
        <v>1185</v>
      </c>
      <c r="Q429" s="123" t="s">
        <v>1185</v>
      </c>
      <c r="R429" s="124">
        <v>0.91800000000000004</v>
      </c>
      <c r="S429" s="124">
        <v>8.2000000000000003E-2</v>
      </c>
      <c r="T429" s="124">
        <v>0</v>
      </c>
      <c r="U429" s="121">
        <f t="shared" si="150"/>
        <v>1003.23806103</v>
      </c>
      <c r="V429" s="121">
        <f t="shared" si="151"/>
        <v>89.613857303333106</v>
      </c>
      <c r="W429" s="121">
        <f t="shared" si="152"/>
        <v>0</v>
      </c>
      <c r="X429" s="121">
        <f t="shared" ref="X429:X461" si="156">IF(ISERROR(ROUND((SUM(AC429:AO429)-((AC429+AO429))/2)/12,15)),"",ROUND((SUM(AC429:AO429)-((AC429+AO429))/2)/12,15))</f>
        <v>1092.8519183333301</v>
      </c>
      <c r="Y429" s="121">
        <f t="shared" si="153"/>
        <v>987.60485303999894</v>
      </c>
      <c r="Z429" s="121">
        <f t="shared" si="154"/>
        <v>88.217426959999898</v>
      </c>
      <c r="AA429" s="121">
        <f t="shared" si="155"/>
        <v>0</v>
      </c>
      <c r="AB429" s="121">
        <f t="shared" ref="AB429:AB461" si="157">IF(AO429="",0,+AO429)</f>
        <v>1075.8222799999992</v>
      </c>
      <c r="AC429" s="121">
        <v>1224.8668799999994</v>
      </c>
      <c r="AD429" s="121">
        <v>1252.9778999999999</v>
      </c>
      <c r="AE429" s="121">
        <v>1281.0889299999992</v>
      </c>
      <c r="AF429" s="121">
        <v>1309.1999499999993</v>
      </c>
      <c r="AG429" s="121">
        <v>1337.3109699999993</v>
      </c>
      <c r="AH429" s="121">
        <v>1365.422</v>
      </c>
      <c r="AI429" s="121">
        <v>845.72413999999935</v>
      </c>
      <c r="AJ429" s="121">
        <v>873.83515999999997</v>
      </c>
      <c r="AK429" s="121">
        <v>895.28243999999927</v>
      </c>
      <c r="AL429" s="121">
        <v>774.88345999999922</v>
      </c>
      <c r="AM429" s="121">
        <v>993.49489999999912</v>
      </c>
      <c r="AN429" s="121">
        <v>1034.6585899999991</v>
      </c>
      <c r="AO429" s="121">
        <v>1075.8222799999992</v>
      </c>
      <c r="AP429" s="125" t="str">
        <f>CONCATENATE(A429,M429)</f>
        <v>Reg AssetR</v>
      </c>
      <c r="AQ429" s="125" t="str">
        <f>CONCATENATE(AP429,L429,H429)</f>
        <v>Reg AssetRR10MTA Surcharge</v>
      </c>
      <c r="AS429" s="125" t="str">
        <f>CONCATENATE(L429,H429,J429)</f>
        <v>R10MTA Surcharge</v>
      </c>
    </row>
    <row r="430" spans="1:45" s="125" customFormat="1" ht="25.5" customHeight="1">
      <c r="A430" s="216" t="s">
        <v>1442</v>
      </c>
      <c r="B430" s="217" t="str">
        <f t="shared" si="147"/>
        <v>Reg Asset1823010-149.48.02BE030175</v>
      </c>
      <c r="C430" s="186">
        <v>182301</v>
      </c>
      <c r="D430" s="201" t="s">
        <v>1769</v>
      </c>
      <c r="E430" s="162" t="s">
        <v>1729</v>
      </c>
      <c r="F430" s="169" t="s">
        <v>1728</v>
      </c>
      <c r="G430" s="117" t="s">
        <v>1770</v>
      </c>
      <c r="H430" s="118" t="s">
        <v>1665</v>
      </c>
      <c r="I430" s="119"/>
      <c r="J430" s="120"/>
      <c r="K430" s="120" t="str">
        <f t="shared" si="148"/>
        <v/>
      </c>
      <c r="L430" s="170" t="s">
        <v>1893</v>
      </c>
      <c r="M430" s="122" t="str">
        <f t="shared" si="149"/>
        <v>R</v>
      </c>
      <c r="N430" s="116" t="str">
        <f>IF($L430&lt;&gt;"",VLOOKUP($L430,Categories!$E:$G,2,FALSE),IF($F430&lt;&gt;"","NO CAT",""))</f>
        <v>Rate Base</v>
      </c>
      <c r="O430" s="116" t="str">
        <f>IF($L430&lt;&gt;"",VLOOKUP($L430,Categories!$E:$G,3,FALSE),IF($F430&lt;&gt;"","NO CAT",""))</f>
        <v>Deferred Debits &amp; Credits</v>
      </c>
      <c r="P430" s="170" t="s">
        <v>1183</v>
      </c>
      <c r="Q430" s="123" t="s">
        <v>1177</v>
      </c>
      <c r="R430" s="124">
        <v>1</v>
      </c>
      <c r="S430" s="124">
        <v>0</v>
      </c>
      <c r="T430" s="124">
        <v>0</v>
      </c>
      <c r="U430" s="121" t="str">
        <f t="shared" si="150"/>
        <v/>
      </c>
      <c r="V430" s="121" t="str">
        <f t="shared" si="151"/>
        <v/>
      </c>
      <c r="W430" s="121" t="str">
        <f t="shared" si="152"/>
        <v/>
      </c>
      <c r="X430" s="121">
        <f t="shared" si="156"/>
        <v>0</v>
      </c>
      <c r="Y430" s="121" t="str">
        <f t="shared" si="153"/>
        <v/>
      </c>
      <c r="Z430" s="121" t="str">
        <f t="shared" si="154"/>
        <v/>
      </c>
      <c r="AA430" s="121" t="str">
        <f t="shared" si="155"/>
        <v/>
      </c>
      <c r="AB430" s="121">
        <f t="shared" si="157"/>
        <v>0</v>
      </c>
      <c r="AC430" s="121">
        <v>0</v>
      </c>
      <c r="AD430" s="121">
        <v>0</v>
      </c>
      <c r="AE430" s="121">
        <v>0</v>
      </c>
      <c r="AF430" s="121">
        <v>0</v>
      </c>
      <c r="AG430" s="121">
        <v>0</v>
      </c>
      <c r="AH430" s="121">
        <v>0</v>
      </c>
      <c r="AI430" s="121">
        <v>0</v>
      </c>
      <c r="AJ430" s="121">
        <v>0</v>
      </c>
      <c r="AK430" s="121">
        <v>0</v>
      </c>
      <c r="AL430" s="121">
        <v>0</v>
      </c>
      <c r="AM430" s="121">
        <v>0</v>
      </c>
      <c r="AN430" s="121">
        <v>0</v>
      </c>
      <c r="AO430" s="121">
        <v>0</v>
      </c>
      <c r="AP430" s="125" t="str">
        <f>CONCATENATE(A430,M430)</f>
        <v>Reg AssetR</v>
      </c>
      <c r="AQ430" s="125" t="str">
        <f>CONCATENATE(AP430,L430,H430)</f>
        <v>Reg AssetRR10NYPA Ancillaries</v>
      </c>
      <c r="AS430" s="125" t="str">
        <f>CONCATENATE(L430,H430,J430)</f>
        <v>R10NYPA Ancillaries</v>
      </c>
    </row>
    <row r="431" spans="1:45" s="125" customFormat="1" ht="25.5" customHeight="1">
      <c r="A431" s="216" t="s">
        <v>1442</v>
      </c>
      <c r="B431" s="217" t="str">
        <f t="shared" si="147"/>
        <v>Reg Asset1823010-149.48.03BE030175</v>
      </c>
      <c r="C431" s="186">
        <v>182301</v>
      </c>
      <c r="D431" s="201" t="s">
        <v>1303</v>
      </c>
      <c r="E431" s="162" t="s">
        <v>1729</v>
      </c>
      <c r="F431" s="169" t="s">
        <v>1728</v>
      </c>
      <c r="G431" s="117" t="s">
        <v>1304</v>
      </c>
      <c r="H431" s="118" t="s">
        <v>1665</v>
      </c>
      <c r="I431" s="119"/>
      <c r="J431" s="120"/>
      <c r="K431" s="120" t="str">
        <f t="shared" si="148"/>
        <v/>
      </c>
      <c r="L431" s="170" t="s">
        <v>1893</v>
      </c>
      <c r="M431" s="122" t="str">
        <f t="shared" si="149"/>
        <v>R</v>
      </c>
      <c r="N431" s="116" t="str">
        <f>IF($L431&lt;&gt;"",VLOOKUP($L431,Categories!$E:$G,2,FALSE),IF($F431&lt;&gt;"","NO CAT",""))</f>
        <v>Rate Base</v>
      </c>
      <c r="O431" s="116" t="str">
        <f>IF($L431&lt;&gt;"",VLOOKUP($L431,Categories!$E:$G,3,FALSE),IF($F431&lt;&gt;"","NO CAT",""))</f>
        <v>Deferred Debits &amp; Credits</v>
      </c>
      <c r="P431" s="170" t="s">
        <v>1183</v>
      </c>
      <c r="Q431" s="123" t="s">
        <v>1177</v>
      </c>
      <c r="R431" s="124">
        <v>1</v>
      </c>
      <c r="S431" s="124">
        <v>0</v>
      </c>
      <c r="T431" s="124">
        <v>0</v>
      </c>
      <c r="U431" s="121">
        <f t="shared" si="150"/>
        <v>26.860700000000001</v>
      </c>
      <c r="V431" s="121">
        <f t="shared" si="151"/>
        <v>0</v>
      </c>
      <c r="W431" s="121">
        <f t="shared" si="152"/>
        <v>0</v>
      </c>
      <c r="X431" s="121">
        <f t="shared" si="156"/>
        <v>26.860700000000001</v>
      </c>
      <c r="Y431" s="121">
        <f t="shared" si="153"/>
        <v>26.860700000000001</v>
      </c>
      <c r="Z431" s="121">
        <f t="shared" si="154"/>
        <v>0</v>
      </c>
      <c r="AA431" s="121">
        <f t="shared" si="155"/>
        <v>0</v>
      </c>
      <c r="AB431" s="121">
        <f t="shared" si="157"/>
        <v>26.860699999999984</v>
      </c>
      <c r="AC431" s="121">
        <v>26.860699999999984</v>
      </c>
      <c r="AD431" s="121">
        <v>26.860699999999984</v>
      </c>
      <c r="AE431" s="121">
        <v>26.860699999999984</v>
      </c>
      <c r="AF431" s="121">
        <v>26.860699999999984</v>
      </c>
      <c r="AG431" s="121">
        <v>26.860699999999984</v>
      </c>
      <c r="AH431" s="121">
        <v>26.860699999999984</v>
      </c>
      <c r="AI431" s="121">
        <v>26.860699999999984</v>
      </c>
      <c r="AJ431" s="121">
        <v>26.860699999999984</v>
      </c>
      <c r="AK431" s="121">
        <v>26.860699999999984</v>
      </c>
      <c r="AL431" s="121">
        <v>26.860699999999984</v>
      </c>
      <c r="AM431" s="121">
        <v>26.860699999999984</v>
      </c>
      <c r="AN431" s="121">
        <v>26.860699999999984</v>
      </c>
      <c r="AO431" s="121">
        <v>26.860699999999984</v>
      </c>
      <c r="AP431" s="125" t="str">
        <f>CONCATENATE(A431,M431)</f>
        <v>Reg AssetR</v>
      </c>
      <c r="AQ431" s="125" t="str">
        <f>CONCATENATE(AP431,L431,H431)</f>
        <v>Reg AssetRR10NYPA Ancillaries</v>
      </c>
      <c r="AS431" s="125" t="str">
        <f>CONCATENATE(L431,H431,J431)</f>
        <v>R10NYPA Ancillaries</v>
      </c>
    </row>
    <row r="432" spans="1:45" s="125" customFormat="1" ht="25.5" customHeight="1">
      <c r="A432" s="216" t="s">
        <v>1442</v>
      </c>
      <c r="B432" s="217" t="str">
        <f t="shared" si="147"/>
        <v>Reg Asset182301809008BE030581</v>
      </c>
      <c r="C432" s="186">
        <v>182301</v>
      </c>
      <c r="D432" s="201">
        <v>809008</v>
      </c>
      <c r="E432" s="162" t="s">
        <v>3221</v>
      </c>
      <c r="F432" s="169" t="s">
        <v>1728</v>
      </c>
      <c r="G432" s="117" t="s">
        <v>462</v>
      </c>
      <c r="H432" s="118" t="s">
        <v>1844</v>
      </c>
      <c r="I432" s="119"/>
      <c r="J432" s="120" t="s">
        <v>105</v>
      </c>
      <c r="K432" s="120" t="str">
        <f t="shared" ref="K432:K451" si="158">IF(L432="N3","SFAS-109","")</f>
        <v/>
      </c>
      <c r="L432" s="170" t="s">
        <v>2821</v>
      </c>
      <c r="M432" s="122" t="str">
        <f t="shared" si="149"/>
        <v>N</v>
      </c>
      <c r="N432" s="116" t="str">
        <f>IF($L432&lt;&gt;"",VLOOKUP($L432,Categories!$E:$G,2,FALSE),IF($F432&lt;&gt;"","NO CAT",""))</f>
        <v>Not in Rate Base</v>
      </c>
      <c r="O432" s="116" t="str">
        <f>IF($L432&lt;&gt;"",VLOOKUP($L432,Categories!$E:$G,3,FALSE),IF($F432&lt;&gt;"","NO CAT",""))</f>
        <v>Deferrals Accruing Non-Cash Return   (other than ASGA)</v>
      </c>
      <c r="P432" s="170" t="s">
        <v>1186</v>
      </c>
      <c r="Q432" s="123" t="s">
        <v>1187</v>
      </c>
      <c r="R432" s="124">
        <v>0</v>
      </c>
      <c r="S432" s="124">
        <v>0</v>
      </c>
      <c r="T432" s="124">
        <v>1</v>
      </c>
      <c r="U432" s="121">
        <f t="shared" ref="U432:U474" si="159">IF(ABS(X432)=0,"",IF($R432="NO ALLOC","NO ALLOC",ROUND($R432*X432,15)))</f>
        <v>0</v>
      </c>
      <c r="V432" s="121">
        <f t="shared" ref="V432:V474" si="160">IF(ABS(X432)=0,"",IF($S432="NO ALLOC","NO ALLOC",ROUND($S432*X432,15)))</f>
        <v>0</v>
      </c>
      <c r="W432" s="121">
        <f t="shared" ref="W432:W474" si="161">IF(ABS(X432)=0,"",IF($T432="NO ALLOC","NO ALLOC",ROUND($T432*X432,15)))</f>
        <v>2233.0357979166702</v>
      </c>
      <c r="X432" s="121">
        <f t="shared" si="156"/>
        <v>2233.0357979166702</v>
      </c>
      <c r="Y432" s="121">
        <f t="shared" ref="Y432:Y474" si="162">IF(ABS(AB432)=0,"",IF($R432="NO ALLOC","NO ALLOC",ROUND($R432*AB432,15)))</f>
        <v>0</v>
      </c>
      <c r="Z432" s="121">
        <f t="shared" ref="Z432:Z474" si="163">IF(ABS(AB432)=0,"",IF($S432="NO ALLOC","NO ALLOC",ROUND($S432*AB432,15)))</f>
        <v>0</v>
      </c>
      <c r="AA432" s="121">
        <f t="shared" ref="AA432:AA474" si="164">IF(ABS(AB432)=0,"",IF($T432="NO ALLOC","NO ALLOC",ROUND($T432*AB432,15)))</f>
        <v>4961.1934899999997</v>
      </c>
      <c r="AB432" s="121">
        <f t="shared" si="157"/>
        <v>4961.1934900000006</v>
      </c>
      <c r="AC432" s="121">
        <v>0</v>
      </c>
      <c r="AD432" s="121">
        <v>0</v>
      </c>
      <c r="AE432" s="121">
        <v>0</v>
      </c>
      <c r="AF432" s="121">
        <v>0</v>
      </c>
      <c r="AG432" s="121">
        <v>0</v>
      </c>
      <c r="AH432" s="121">
        <v>0</v>
      </c>
      <c r="AI432" s="121">
        <v>0</v>
      </c>
      <c r="AJ432" s="121">
        <v>5004.3653099999992</v>
      </c>
      <c r="AK432" s="121">
        <v>5352.4145799999997</v>
      </c>
      <c r="AL432" s="121">
        <v>4343.5523200000007</v>
      </c>
      <c r="AM432" s="121">
        <v>4686.4771700000001</v>
      </c>
      <c r="AN432" s="121">
        <v>4929.0234500000006</v>
      </c>
      <c r="AO432" s="121">
        <v>4961.1934900000006</v>
      </c>
      <c r="AP432" s="125" t="str">
        <f>CONCATENATE(A432,M432)</f>
        <v>Reg AssetN</v>
      </c>
      <c r="AQ432" s="125" t="str">
        <f>CONCATENATE(AP432,L432,H432)</f>
        <v>Reg AssetNN10PSC Assessment</v>
      </c>
      <c r="AS432" s="125" t="str">
        <f>CONCATENATE(L432,H432,J432)</f>
        <v>N10PSC AssessmentNCR</v>
      </c>
    </row>
    <row r="433" spans="1:45" s="125" customFormat="1" ht="25.5" customHeight="1">
      <c r="A433" s="216" t="s">
        <v>1442</v>
      </c>
      <c r="B433" s="217" t="str">
        <f t="shared" ref="B433:B474" si="165">CONCATENATE(A433,C433,D433,E433)</f>
        <v>Reg Asset182301809008-CCBE030581</v>
      </c>
      <c r="C433" s="186">
        <v>182301</v>
      </c>
      <c r="D433" s="201" t="s">
        <v>569</v>
      </c>
      <c r="E433" s="162" t="s">
        <v>3221</v>
      </c>
      <c r="F433" s="169" t="s">
        <v>1728</v>
      </c>
      <c r="G433" s="117" t="s">
        <v>570</v>
      </c>
      <c r="H433" s="118" t="s">
        <v>1844</v>
      </c>
      <c r="I433" s="119"/>
      <c r="J433" s="120" t="s">
        <v>105</v>
      </c>
      <c r="K433" s="120" t="str">
        <f t="shared" si="158"/>
        <v/>
      </c>
      <c r="L433" s="170" t="s">
        <v>2821</v>
      </c>
      <c r="M433" s="122" t="str">
        <f t="shared" si="149"/>
        <v>N</v>
      </c>
      <c r="N433" s="116" t="str">
        <f>IF($L433&lt;&gt;"",VLOOKUP($L433,Categories!$E:$G,2,FALSE),IF($F433&lt;&gt;"","NO CAT",""))</f>
        <v>Not in Rate Base</v>
      </c>
      <c r="O433" s="116" t="str">
        <f>IF($L433&lt;&gt;"",VLOOKUP($L433,Categories!$E:$G,3,FALSE),IF($F433&lt;&gt;"","NO CAT",""))</f>
        <v>Deferrals Accruing Non-Cash Return   (other than ASGA)</v>
      </c>
      <c r="P433" s="170" t="s">
        <v>1186</v>
      </c>
      <c r="Q433" s="123" t="s">
        <v>1187</v>
      </c>
      <c r="R433" s="124">
        <v>0</v>
      </c>
      <c r="S433" s="124">
        <v>0</v>
      </c>
      <c r="T433" s="124">
        <v>1</v>
      </c>
      <c r="U433" s="121">
        <f t="shared" si="159"/>
        <v>0</v>
      </c>
      <c r="V433" s="121">
        <f t="shared" si="160"/>
        <v>0</v>
      </c>
      <c r="W433" s="121">
        <f t="shared" si="161"/>
        <v>117.84996875</v>
      </c>
      <c r="X433" s="121">
        <f t="shared" si="156"/>
        <v>117.84996875</v>
      </c>
      <c r="Y433" s="121">
        <f t="shared" si="162"/>
        <v>0</v>
      </c>
      <c r="Z433" s="121">
        <f t="shared" si="163"/>
        <v>0</v>
      </c>
      <c r="AA433" s="121">
        <f t="shared" si="164"/>
        <v>231.62035</v>
      </c>
      <c r="AB433" s="121">
        <f t="shared" si="157"/>
        <v>231.62035</v>
      </c>
      <c r="AC433" s="121">
        <v>0</v>
      </c>
      <c r="AD433" s="121">
        <v>0</v>
      </c>
      <c r="AE433" s="121">
        <v>0</v>
      </c>
      <c r="AF433" s="121">
        <v>0</v>
      </c>
      <c r="AG433" s="121">
        <v>0</v>
      </c>
      <c r="AH433" s="121">
        <v>0</v>
      </c>
      <c r="AI433" s="121">
        <v>0</v>
      </c>
      <c r="AJ433" s="121">
        <v>287.17897999999997</v>
      </c>
      <c r="AK433" s="121">
        <v>254.74256999999997</v>
      </c>
      <c r="AL433" s="121">
        <v>250.12858</v>
      </c>
      <c r="AM433" s="121">
        <v>254.23194000000001</v>
      </c>
      <c r="AN433" s="121">
        <v>252.10738000000001</v>
      </c>
      <c r="AO433" s="121">
        <v>231.62035</v>
      </c>
      <c r="AP433" s="125" t="str">
        <f>CONCATENATE(A433,M433)</f>
        <v>Reg AssetN</v>
      </c>
      <c r="AQ433" s="125" t="str">
        <f>CONCATENATE(AP433,L433,H433)</f>
        <v>Reg AssetNN10PSC Assessment</v>
      </c>
      <c r="AS433" s="125" t="str">
        <f>CONCATENATE(L433,H433,J433)</f>
        <v>N10PSC AssessmentNCR</v>
      </c>
    </row>
    <row r="434" spans="1:45" s="125" customFormat="1" ht="25.5" customHeight="1">
      <c r="A434" s="216" t="s">
        <v>1442</v>
      </c>
      <c r="B434" s="217" t="str">
        <f t="shared" si="165"/>
        <v>Reg Asset182301809008-GENBE030581</v>
      </c>
      <c r="C434" s="186">
        <v>182301</v>
      </c>
      <c r="D434" s="201" t="s">
        <v>303</v>
      </c>
      <c r="E434" s="162" t="s">
        <v>3221</v>
      </c>
      <c r="F434" s="169" t="s">
        <v>1728</v>
      </c>
      <c r="G434" s="117" t="s">
        <v>302</v>
      </c>
      <c r="H434" s="118" t="s">
        <v>1844</v>
      </c>
      <c r="I434" s="119"/>
      <c r="J434" s="120"/>
      <c r="K434" s="120" t="str">
        <f t="shared" si="158"/>
        <v/>
      </c>
      <c r="L434" s="170" t="s">
        <v>1893</v>
      </c>
      <c r="M434" s="122" t="str">
        <f t="shared" si="149"/>
        <v>R</v>
      </c>
      <c r="N434" s="116" t="str">
        <f>IF($L434&lt;&gt;"",VLOOKUP($L434,Categories!$E:$G,2,FALSE),IF($F434&lt;&gt;"","NO CAT",""))</f>
        <v>Rate Base</v>
      </c>
      <c r="O434" s="116" t="str">
        <f>IF($L434&lt;&gt;"",VLOOKUP($L434,Categories!$E:$G,3,FALSE),IF($F434&lt;&gt;"","NO CAT",""))</f>
        <v>Deferred Debits &amp; Credits</v>
      </c>
      <c r="P434" s="170" t="s">
        <v>1183</v>
      </c>
      <c r="Q434" s="123" t="s">
        <v>1177</v>
      </c>
      <c r="R434" s="124">
        <v>1</v>
      </c>
      <c r="S434" s="124">
        <v>0</v>
      </c>
      <c r="T434" s="124">
        <v>0</v>
      </c>
      <c r="U434" s="121">
        <f t="shared" si="159"/>
        <v>145.21123125</v>
      </c>
      <c r="V434" s="121">
        <f t="shared" si="160"/>
        <v>0</v>
      </c>
      <c r="W434" s="121">
        <f t="shared" si="161"/>
        <v>0</v>
      </c>
      <c r="X434" s="121">
        <f t="shared" si="156"/>
        <v>145.21123125</v>
      </c>
      <c r="Y434" s="121">
        <f t="shared" si="162"/>
        <v>200.39098999999999</v>
      </c>
      <c r="Z434" s="121">
        <f t="shared" si="163"/>
        <v>0</v>
      </c>
      <c r="AA434" s="121">
        <f t="shared" si="164"/>
        <v>0</v>
      </c>
      <c r="AB434" s="121">
        <f t="shared" si="157"/>
        <v>200.39098999999996</v>
      </c>
      <c r="AC434" s="121">
        <v>0</v>
      </c>
      <c r="AD434" s="121">
        <v>0</v>
      </c>
      <c r="AE434" s="121">
        <v>0</v>
      </c>
      <c r="AF434" s="121">
        <v>0</v>
      </c>
      <c r="AG434" s="121">
        <v>0</v>
      </c>
      <c r="AH434" s="121">
        <v>0</v>
      </c>
      <c r="AI434" s="121">
        <v>0</v>
      </c>
      <c r="AJ434" s="121">
        <v>401.02379999999999</v>
      </c>
      <c r="AK434" s="121">
        <v>337.87534999999997</v>
      </c>
      <c r="AL434" s="121">
        <v>352.24091999999996</v>
      </c>
      <c r="AM434" s="121">
        <v>300.99244999999996</v>
      </c>
      <c r="AN434" s="121">
        <v>250.20675999999995</v>
      </c>
      <c r="AO434" s="121">
        <v>200.39098999999996</v>
      </c>
      <c r="AP434" s="125" t="str">
        <f>CONCATENATE(A434,M434)</f>
        <v>Reg AssetR</v>
      </c>
      <c r="AQ434" s="125" t="str">
        <f>CONCATENATE(AP434,L434,H434)</f>
        <v>Reg AssetRR10PSC Assessment</v>
      </c>
      <c r="AS434" s="125" t="str">
        <f>CONCATENATE(L434,H434,J434)</f>
        <v>R10PSC Assessment</v>
      </c>
    </row>
    <row r="435" spans="1:45" s="125" customFormat="1" ht="25.5" customHeight="1">
      <c r="A435" s="216" t="s">
        <v>1442</v>
      </c>
      <c r="B435" s="217" t="str">
        <f t="shared" si="165"/>
        <v>Reg Asset182301809015BE030587</v>
      </c>
      <c r="C435" s="186">
        <v>182301</v>
      </c>
      <c r="D435" s="201">
        <v>809015</v>
      </c>
      <c r="E435" s="162" t="s">
        <v>3440</v>
      </c>
      <c r="F435" s="169" t="s">
        <v>1728</v>
      </c>
      <c r="G435" s="117" t="s">
        <v>304</v>
      </c>
      <c r="H435" s="118" t="s">
        <v>3215</v>
      </c>
      <c r="I435" s="119"/>
      <c r="J435" s="120"/>
      <c r="K435" s="120" t="str">
        <f t="shared" si="158"/>
        <v/>
      </c>
      <c r="L435" s="170" t="s">
        <v>928</v>
      </c>
      <c r="M435" s="122" t="str">
        <f t="shared" si="149"/>
        <v>N</v>
      </c>
      <c r="N435" s="116" t="str">
        <f>IF($L435&lt;&gt;"",VLOOKUP($L435,Categories!$E:$G,2,FALSE),IF($F435&lt;&gt;"","NO CAT",""))</f>
        <v>Not in Rate Base</v>
      </c>
      <c r="O435" s="116" t="str">
        <f>IF($L435&lt;&gt;"",VLOOKUP($L435,Categories!$E:$G,3,FALSE),IF($F435&lt;&gt;"","NO CAT",""))</f>
        <v>Direct Assign Items Not in RB</v>
      </c>
      <c r="P435" s="170" t="s">
        <v>1186</v>
      </c>
      <c r="Q435" s="123" t="s">
        <v>1187</v>
      </c>
      <c r="R435" s="124">
        <v>0</v>
      </c>
      <c r="S435" s="124">
        <v>0</v>
      </c>
      <c r="T435" s="124">
        <v>1</v>
      </c>
      <c r="U435" s="121">
        <f t="shared" si="159"/>
        <v>0</v>
      </c>
      <c r="V435" s="121">
        <f t="shared" si="160"/>
        <v>0</v>
      </c>
      <c r="W435" s="121">
        <f t="shared" si="161"/>
        <v>12.823460000000001</v>
      </c>
      <c r="X435" s="121">
        <f t="shared" si="156"/>
        <v>12.823460000000001</v>
      </c>
      <c r="Y435" s="121">
        <f t="shared" si="162"/>
        <v>0</v>
      </c>
      <c r="Z435" s="121">
        <f t="shared" si="163"/>
        <v>0</v>
      </c>
      <c r="AA435" s="121">
        <f t="shared" si="164"/>
        <v>12.823460000000001</v>
      </c>
      <c r="AB435" s="121">
        <f t="shared" si="157"/>
        <v>12.823459999999999</v>
      </c>
      <c r="AC435" s="121">
        <v>12.823459999999999</v>
      </c>
      <c r="AD435" s="121">
        <v>12.823459999999999</v>
      </c>
      <c r="AE435" s="121">
        <v>12.823459999999999</v>
      </c>
      <c r="AF435" s="121">
        <v>12.823459999999999</v>
      </c>
      <c r="AG435" s="121">
        <v>12.823459999999999</v>
      </c>
      <c r="AH435" s="121">
        <v>12.823459999999999</v>
      </c>
      <c r="AI435" s="121">
        <v>12.823459999999999</v>
      </c>
      <c r="AJ435" s="121">
        <v>12.823459999999999</v>
      </c>
      <c r="AK435" s="121">
        <v>12.823459999999999</v>
      </c>
      <c r="AL435" s="121">
        <v>12.823459999999999</v>
      </c>
      <c r="AM435" s="121">
        <v>12.823459999999999</v>
      </c>
      <c r="AN435" s="121">
        <v>12.823459999999999</v>
      </c>
      <c r="AO435" s="121">
        <v>12.823459999999999</v>
      </c>
      <c r="AP435" s="125" t="str">
        <f>CONCATENATE(A435,M435)</f>
        <v>Reg AssetN</v>
      </c>
      <c r="AQ435" s="125" t="str">
        <f>CONCATENATE(AP435,L435,H435)</f>
        <v>Reg AssetNN2MHP Meter Deferral</v>
      </c>
      <c r="AS435" s="125" t="str">
        <f>CONCATENATE(L435,H435,J435)</f>
        <v>N2MHP Meter Deferral</v>
      </c>
    </row>
    <row r="436" spans="1:45" s="125" customFormat="1" ht="25.5" customHeight="1">
      <c r="A436" s="216" t="s">
        <v>1442</v>
      </c>
      <c r="B436" s="217" t="str">
        <f t="shared" si="165"/>
        <v>Reg Asset182301807045-10BE030155</v>
      </c>
      <c r="C436" s="186">
        <v>182301</v>
      </c>
      <c r="D436" s="201" t="s">
        <v>2901</v>
      </c>
      <c r="E436" s="162" t="s">
        <v>1611</v>
      </c>
      <c r="F436" s="169" t="s">
        <v>1728</v>
      </c>
      <c r="G436" s="117" t="s">
        <v>2902</v>
      </c>
      <c r="H436" s="118" t="s">
        <v>556</v>
      </c>
      <c r="I436" s="119"/>
      <c r="J436" s="120"/>
      <c r="K436" s="120" t="str">
        <f t="shared" si="158"/>
        <v/>
      </c>
      <c r="L436" s="170" t="s">
        <v>928</v>
      </c>
      <c r="M436" s="122" t="str">
        <f t="shared" si="149"/>
        <v>N</v>
      </c>
      <c r="N436" s="116" t="str">
        <f>IF($L436&lt;&gt;"",VLOOKUP($L436,Categories!$E:$G,2,FALSE),IF($F436&lt;&gt;"","NO CAT",""))</f>
        <v>Not in Rate Base</v>
      </c>
      <c r="O436" s="116" t="str">
        <f>IF($L436&lt;&gt;"",VLOOKUP($L436,Categories!$E:$G,3,FALSE),IF($F436&lt;&gt;"","NO CAT",""))</f>
        <v>Direct Assign Items Not in RB</v>
      </c>
      <c r="P436" s="170" t="s">
        <v>1186</v>
      </c>
      <c r="Q436" s="123" t="s">
        <v>1187</v>
      </c>
      <c r="R436" s="124">
        <v>0</v>
      </c>
      <c r="S436" s="124">
        <v>0</v>
      </c>
      <c r="T436" s="124">
        <v>1</v>
      </c>
      <c r="U436" s="121" t="str">
        <f t="shared" si="159"/>
        <v/>
      </c>
      <c r="V436" s="121" t="str">
        <f t="shared" si="160"/>
        <v/>
      </c>
      <c r="W436" s="121" t="str">
        <f t="shared" si="161"/>
        <v/>
      </c>
      <c r="X436" s="121">
        <f t="shared" si="156"/>
        <v>0</v>
      </c>
      <c r="Y436" s="121" t="str">
        <f t="shared" si="162"/>
        <v/>
      </c>
      <c r="Z436" s="121" t="str">
        <f t="shared" si="163"/>
        <v/>
      </c>
      <c r="AA436" s="121" t="str">
        <f t="shared" si="164"/>
        <v/>
      </c>
      <c r="AB436" s="121">
        <f t="shared" si="157"/>
        <v>0</v>
      </c>
      <c r="AC436" s="121">
        <v>0</v>
      </c>
      <c r="AD436" s="121">
        <v>0</v>
      </c>
      <c r="AE436" s="121">
        <v>0</v>
      </c>
      <c r="AF436" s="121">
        <v>0</v>
      </c>
      <c r="AG436" s="121">
        <v>0</v>
      </c>
      <c r="AH436" s="121">
        <v>0</v>
      </c>
      <c r="AI436" s="121">
        <v>0</v>
      </c>
      <c r="AJ436" s="121">
        <v>0</v>
      </c>
      <c r="AK436" s="121">
        <v>0</v>
      </c>
      <c r="AL436" s="121">
        <v>0</v>
      </c>
      <c r="AM436" s="121">
        <v>0</v>
      </c>
      <c r="AN436" s="121">
        <v>0</v>
      </c>
      <c r="AO436" s="121">
        <v>0</v>
      </c>
      <c r="AP436" s="125" t="str">
        <f>CONCATENATE(A436,M436)</f>
        <v>Reg AssetN</v>
      </c>
      <c r="AQ436" s="125" t="str">
        <f>CONCATENATE(AP436,L436,H436)</f>
        <v>Reg AssetNN2Merchant Function Charge - Electric</v>
      </c>
      <c r="AS436" s="125" t="str">
        <f>CONCATENATE(L436,H436,J436)</f>
        <v>N2Merchant Function Charge - Electric</v>
      </c>
    </row>
    <row r="437" spans="1:45" s="125" customFormat="1" ht="25.5" customHeight="1">
      <c r="A437" s="216" t="s">
        <v>1442</v>
      </c>
      <c r="B437" s="217" t="str">
        <f t="shared" si="165"/>
        <v>Reg Asset182301807045-11BE030155</v>
      </c>
      <c r="C437" s="186">
        <v>182301</v>
      </c>
      <c r="D437" s="201" t="s">
        <v>788</v>
      </c>
      <c r="E437" s="162" t="s">
        <v>1611</v>
      </c>
      <c r="F437" s="169" t="s">
        <v>1728</v>
      </c>
      <c r="G437" s="117" t="s">
        <v>789</v>
      </c>
      <c r="H437" s="118" t="s">
        <v>556</v>
      </c>
      <c r="I437" s="119"/>
      <c r="J437" s="120"/>
      <c r="K437" s="120" t="str">
        <f>IF(L437="N3","SFAS-109","")</f>
        <v/>
      </c>
      <c r="L437" s="170" t="s">
        <v>928</v>
      </c>
      <c r="M437" s="122" t="str">
        <f t="shared" si="149"/>
        <v>N</v>
      </c>
      <c r="N437" s="116" t="str">
        <f>IF($L437&lt;&gt;"",VLOOKUP($L437,Categories!$E:$G,2,FALSE),IF($F437&lt;&gt;"","NO CAT",""))</f>
        <v>Not in Rate Base</v>
      </c>
      <c r="O437" s="116" t="str">
        <f>IF($L437&lt;&gt;"",VLOOKUP($L437,Categories!$E:$G,3,FALSE),IF($F437&lt;&gt;"","NO CAT",""))</f>
        <v>Direct Assign Items Not in RB</v>
      </c>
      <c r="P437" s="170" t="s">
        <v>1186</v>
      </c>
      <c r="Q437" s="123" t="s">
        <v>1187</v>
      </c>
      <c r="R437" s="124">
        <v>0</v>
      </c>
      <c r="S437" s="124">
        <v>0</v>
      </c>
      <c r="T437" s="124">
        <v>1</v>
      </c>
      <c r="U437" s="121">
        <f t="shared" si="159"/>
        <v>0</v>
      </c>
      <c r="V437" s="121">
        <f t="shared" si="160"/>
        <v>0</v>
      </c>
      <c r="W437" s="121">
        <f t="shared" si="161"/>
        <v>39.758200000000002</v>
      </c>
      <c r="X437" s="121">
        <f t="shared" si="156"/>
        <v>39.758200000000002</v>
      </c>
      <c r="Y437" s="121">
        <f t="shared" si="162"/>
        <v>0</v>
      </c>
      <c r="Z437" s="121">
        <f t="shared" si="163"/>
        <v>0</v>
      </c>
      <c r="AA437" s="121">
        <f t="shared" si="164"/>
        <v>39.758200000000002</v>
      </c>
      <c r="AB437" s="121">
        <f t="shared" si="157"/>
        <v>39.758200000000009</v>
      </c>
      <c r="AC437" s="121">
        <v>39.758200000000009</v>
      </c>
      <c r="AD437" s="121">
        <v>39.758200000000009</v>
      </c>
      <c r="AE437" s="121">
        <v>39.758200000000009</v>
      </c>
      <c r="AF437" s="121">
        <v>39.758200000000009</v>
      </c>
      <c r="AG437" s="121">
        <v>39.758200000000009</v>
      </c>
      <c r="AH437" s="121">
        <v>39.758200000000009</v>
      </c>
      <c r="AI437" s="121">
        <v>39.758200000000009</v>
      </c>
      <c r="AJ437" s="121">
        <v>39.758200000000009</v>
      </c>
      <c r="AK437" s="121">
        <v>39.758200000000009</v>
      </c>
      <c r="AL437" s="121">
        <v>39.758200000000009</v>
      </c>
      <c r="AM437" s="121">
        <v>39.758200000000009</v>
      </c>
      <c r="AN437" s="121">
        <v>39.758200000000009</v>
      </c>
      <c r="AO437" s="121">
        <v>39.758200000000009</v>
      </c>
      <c r="AP437" s="125" t="str">
        <f>CONCATENATE(A437,M437)</f>
        <v>Reg AssetN</v>
      </c>
      <c r="AQ437" s="125" t="str">
        <f>CONCATENATE(AP437,L437,H437)</f>
        <v>Reg AssetNN2Merchant Function Charge - Electric</v>
      </c>
      <c r="AS437" s="125" t="str">
        <f>CONCATENATE(L437,H437,J437)</f>
        <v>N2Merchant Function Charge - Electric</v>
      </c>
    </row>
    <row r="438" spans="1:45" s="125" customFormat="1" ht="25.5" customHeight="1">
      <c r="A438" s="216" t="s">
        <v>1442</v>
      </c>
      <c r="B438" s="217" t="str">
        <f t="shared" si="165"/>
        <v>Reg Asset182301807045-12BE030155</v>
      </c>
      <c r="C438" s="186">
        <v>182301</v>
      </c>
      <c r="D438" s="201" t="s">
        <v>3114</v>
      </c>
      <c r="E438" s="162" t="s">
        <v>1611</v>
      </c>
      <c r="F438" s="169" t="s">
        <v>1728</v>
      </c>
      <c r="G438" s="117" t="s">
        <v>3115</v>
      </c>
      <c r="H438" s="118" t="s">
        <v>556</v>
      </c>
      <c r="I438" s="119"/>
      <c r="J438" s="120"/>
      <c r="K438" s="120" t="str">
        <f>IF(L438="N3","SFAS-109","")</f>
        <v/>
      </c>
      <c r="L438" s="170" t="s">
        <v>928</v>
      </c>
      <c r="M438" s="122" t="str">
        <f>LEFT(L438,1)</f>
        <v>N</v>
      </c>
      <c r="N438" s="116" t="str">
        <f>IF($L438&lt;&gt;"",VLOOKUP($L438,Categories!$E:$G,2,FALSE),IF($F438&lt;&gt;"","NO CAT",""))</f>
        <v>Not in Rate Base</v>
      </c>
      <c r="O438" s="116" t="str">
        <f>IF($L438&lt;&gt;"",VLOOKUP($L438,Categories!$E:$G,3,FALSE),IF($F438&lt;&gt;"","NO CAT",""))</f>
        <v>Direct Assign Items Not in RB</v>
      </c>
      <c r="P438" s="170" t="s">
        <v>1186</v>
      </c>
      <c r="Q438" s="123" t="s">
        <v>1187</v>
      </c>
      <c r="R438" s="124">
        <v>0</v>
      </c>
      <c r="S438" s="124">
        <v>0</v>
      </c>
      <c r="T438" s="124">
        <v>1</v>
      </c>
      <c r="U438" s="121">
        <f>IF(ABS(X438)=0,"",IF($R438="NO ALLOC","NO ALLOC",ROUND($R438*X438,15)))</f>
        <v>0</v>
      </c>
      <c r="V438" s="121">
        <f>IF(ABS(X438)=0,"",IF($S438="NO ALLOC","NO ALLOC",ROUND($S438*X438,15)))</f>
        <v>0</v>
      </c>
      <c r="W438" s="121">
        <f>IF(ABS(X438)=0,"",IF($T438="NO ALLOC","NO ALLOC",ROUND($T438*X438,15)))</f>
        <v>199.12707</v>
      </c>
      <c r="X438" s="121">
        <f t="shared" si="156"/>
        <v>199.12707</v>
      </c>
      <c r="Y438" s="121">
        <f>IF(ABS(AB438)=0,"",IF($R438="NO ALLOC","NO ALLOC",ROUND($R438*AB438,15)))</f>
        <v>0</v>
      </c>
      <c r="Z438" s="121">
        <f>IF(ABS(AB438)=0,"",IF($S438="NO ALLOC","NO ALLOC",ROUND($S438*AB438,15)))</f>
        <v>0</v>
      </c>
      <c r="AA438" s="121">
        <f>IF(ABS(AB438)=0,"",IF($T438="NO ALLOC","NO ALLOC",ROUND($T438*AB438,15)))</f>
        <v>199.12707</v>
      </c>
      <c r="AB438" s="121">
        <f t="shared" si="157"/>
        <v>199.12706999999992</v>
      </c>
      <c r="AC438" s="121">
        <v>199.12706999999992</v>
      </c>
      <c r="AD438" s="121">
        <v>199.12706999999992</v>
      </c>
      <c r="AE438" s="121">
        <v>199.12706999999992</v>
      </c>
      <c r="AF438" s="121">
        <v>199.12706999999992</v>
      </c>
      <c r="AG438" s="121">
        <v>199.12706999999992</v>
      </c>
      <c r="AH438" s="121">
        <v>199.12706999999992</v>
      </c>
      <c r="AI438" s="121">
        <v>199.12706999999992</v>
      </c>
      <c r="AJ438" s="121">
        <v>199.12706999999992</v>
      </c>
      <c r="AK438" s="121">
        <v>199.12706999999992</v>
      </c>
      <c r="AL438" s="121">
        <v>199.12706999999992</v>
      </c>
      <c r="AM438" s="121">
        <v>199.12706999999992</v>
      </c>
      <c r="AN438" s="121">
        <v>199.12706999999992</v>
      </c>
      <c r="AO438" s="121">
        <v>199.12706999999992</v>
      </c>
      <c r="AP438" s="125" t="str">
        <f>CONCATENATE(A438,M438)</f>
        <v>Reg AssetN</v>
      </c>
      <c r="AQ438" s="125" t="str">
        <f>CONCATENATE(AP438,L438,H438)</f>
        <v>Reg AssetNN2Merchant Function Charge - Electric</v>
      </c>
      <c r="AS438" s="125" t="str">
        <f>CONCATENATE(L438,H438,J438)</f>
        <v>N2Merchant Function Charge - Electric</v>
      </c>
    </row>
    <row r="439" spans="1:45" s="125" customFormat="1" ht="25.5" customHeight="1">
      <c r="A439" s="216" t="s">
        <v>1442</v>
      </c>
      <c r="B439" s="217" t="str">
        <f>CONCATENATE(A439,C439,D439,E439)</f>
        <v>Reg Asset182301807045-14BE030155</v>
      </c>
      <c r="C439" s="186">
        <v>182301</v>
      </c>
      <c r="D439" s="201" t="s">
        <v>4627</v>
      </c>
      <c r="E439" s="162" t="s">
        <v>1611</v>
      </c>
      <c r="F439" s="169" t="s">
        <v>1728</v>
      </c>
      <c r="G439" s="117" t="s">
        <v>4626</v>
      </c>
      <c r="H439" s="118" t="s">
        <v>556</v>
      </c>
      <c r="I439" s="119"/>
      <c r="J439" s="120"/>
      <c r="K439" s="120" t="str">
        <f>IF(L439="N3","SFAS-109","")</f>
        <v/>
      </c>
      <c r="L439" s="170" t="s">
        <v>928</v>
      </c>
      <c r="M439" s="122" t="str">
        <f>LEFT(L439,1)</f>
        <v>N</v>
      </c>
      <c r="N439" s="116" t="str">
        <f>IF($L439&lt;&gt;"",VLOOKUP($L439,Categories!$E:$G,2,FALSE),IF($F439&lt;&gt;"","NO CAT",""))</f>
        <v>Not in Rate Base</v>
      </c>
      <c r="O439" s="116" t="str">
        <f>IF($L439&lt;&gt;"",VLOOKUP($L439,Categories!$E:$G,3,FALSE),IF($F439&lt;&gt;"","NO CAT",""))</f>
        <v>Direct Assign Items Not in RB</v>
      </c>
      <c r="P439" s="170" t="s">
        <v>1186</v>
      </c>
      <c r="Q439" s="123" t="s">
        <v>1187</v>
      </c>
      <c r="R439" s="124">
        <v>0</v>
      </c>
      <c r="S439" s="124">
        <v>0</v>
      </c>
      <c r="T439" s="124">
        <v>1</v>
      </c>
      <c r="U439" s="121">
        <f>IF(ABS(X439)=0,"",IF($R439="NO ALLOC","NO ALLOC",ROUND($R439*X439,15)))</f>
        <v>0</v>
      </c>
      <c r="V439" s="121">
        <f>IF(ABS(X439)=0,"",IF($S439="NO ALLOC","NO ALLOC",ROUND($S439*X439,15)))</f>
        <v>0</v>
      </c>
      <c r="W439" s="121">
        <f>IF(ABS(X439)=0,"",IF($T439="NO ALLOC","NO ALLOC",ROUND($T439*X439,15)))</f>
        <v>-260.28715958333299</v>
      </c>
      <c r="X439" s="121">
        <f t="shared" si="156"/>
        <v>-260.28715958333299</v>
      </c>
      <c r="Y439" s="121">
        <f>IF(ABS(AB439)=0,"",IF($R439="NO ALLOC","NO ALLOC",ROUND($R439*AB439,15)))</f>
        <v>0</v>
      </c>
      <c r="Z439" s="121">
        <f>IF(ABS(AB439)=0,"",IF($S439="NO ALLOC","NO ALLOC",ROUND($S439*AB439,15)))</f>
        <v>0</v>
      </c>
      <c r="AA439" s="121">
        <f>IF(ABS(AB439)=0,"",IF($T439="NO ALLOC","NO ALLOC",ROUND($T439*AB439,15)))</f>
        <v>246.89672999999999</v>
      </c>
      <c r="AB439" s="121">
        <f t="shared" si="157"/>
        <v>246.89672999999999</v>
      </c>
      <c r="AC439" s="121">
        <v>348.28384</v>
      </c>
      <c r="AD439" s="121">
        <v>-53.739839999999965</v>
      </c>
      <c r="AE439" s="121">
        <v>-344.57769999999994</v>
      </c>
      <c r="AF439" s="121">
        <v>-580.95656999999994</v>
      </c>
      <c r="AG439" s="121">
        <v>-578.80263000000002</v>
      </c>
      <c r="AH439" s="121">
        <v>-424.84503000000001</v>
      </c>
      <c r="AI439" s="121">
        <v>-449.93508000000003</v>
      </c>
      <c r="AJ439" s="121">
        <v>-473.96024</v>
      </c>
      <c r="AK439" s="121">
        <v>-415.29951</v>
      </c>
      <c r="AL439" s="121">
        <v>-254.70520000000002</v>
      </c>
      <c r="AM439" s="121">
        <v>-36.679610000000018</v>
      </c>
      <c r="AN439" s="121">
        <v>192.46520999999998</v>
      </c>
      <c r="AO439" s="121">
        <v>246.89672999999999</v>
      </c>
      <c r="AP439" s="125" t="str">
        <f>CONCATENATE(A439,M439)</f>
        <v>Reg AssetN</v>
      </c>
      <c r="AQ439" s="125" t="str">
        <f>CONCATENATE(AP439,L439,H439)</f>
        <v>Reg AssetNN2Merchant Function Charge - Electric</v>
      </c>
      <c r="AS439" s="125" t="str">
        <f>CONCATENATE(L439,H439,J439)</f>
        <v>N2Merchant Function Charge - Electric</v>
      </c>
    </row>
    <row r="440" spans="1:45" s="125" customFormat="1" ht="25.5" customHeight="1">
      <c r="A440" s="216" t="s">
        <v>1442</v>
      </c>
      <c r="B440" s="217" t="str">
        <f t="shared" si="165"/>
        <v>Reg Asset182301809008-10BE030581</v>
      </c>
      <c r="C440" s="186">
        <v>182301</v>
      </c>
      <c r="D440" s="201" t="s">
        <v>2905</v>
      </c>
      <c r="E440" s="162" t="s">
        <v>3221</v>
      </c>
      <c r="F440" s="169" t="s">
        <v>1728</v>
      </c>
      <c r="G440" s="117" t="s">
        <v>2906</v>
      </c>
      <c r="H440" s="118" t="s">
        <v>1844</v>
      </c>
      <c r="I440" s="119"/>
      <c r="J440" s="120" t="s">
        <v>105</v>
      </c>
      <c r="K440" s="120" t="str">
        <f t="shared" si="158"/>
        <v/>
      </c>
      <c r="L440" s="170" t="s">
        <v>2821</v>
      </c>
      <c r="M440" s="122" t="str">
        <f t="shared" si="149"/>
        <v>N</v>
      </c>
      <c r="N440" s="116" t="str">
        <f>IF($L440&lt;&gt;"",VLOOKUP($L440,Categories!$E:$G,2,FALSE),IF($F440&lt;&gt;"","NO CAT",""))</f>
        <v>Not in Rate Base</v>
      </c>
      <c r="O440" s="116" t="str">
        <f>IF($L440&lt;&gt;"",VLOOKUP($L440,Categories!$E:$G,3,FALSE),IF($F440&lt;&gt;"","NO CAT",""))</f>
        <v>Deferrals Accruing Non-Cash Return   (other than ASGA)</v>
      </c>
      <c r="P440" s="170" t="s">
        <v>1186</v>
      </c>
      <c r="Q440" s="123" t="s">
        <v>1187</v>
      </c>
      <c r="R440" s="124">
        <v>0</v>
      </c>
      <c r="S440" s="124">
        <v>0</v>
      </c>
      <c r="T440" s="124">
        <v>1</v>
      </c>
      <c r="U440" s="121">
        <f t="shared" si="159"/>
        <v>0</v>
      </c>
      <c r="V440" s="121">
        <f t="shared" si="160"/>
        <v>0</v>
      </c>
      <c r="W440" s="121">
        <f t="shared" si="161"/>
        <v>-6.8000000000000001E-14</v>
      </c>
      <c r="X440" s="121">
        <f t="shared" si="156"/>
        <v>-6.8000000000000001E-14</v>
      </c>
      <c r="Y440" s="121" t="str">
        <f t="shared" si="162"/>
        <v/>
      </c>
      <c r="Z440" s="121" t="str">
        <f t="shared" si="163"/>
        <v/>
      </c>
      <c r="AA440" s="121" t="str">
        <f t="shared" si="164"/>
        <v/>
      </c>
      <c r="AB440" s="121">
        <f t="shared" si="157"/>
        <v>0</v>
      </c>
      <c r="AC440" s="121">
        <v>-2.3283064365386963E-13</v>
      </c>
      <c r="AD440" s="121">
        <v>-2.3283064365386963E-13</v>
      </c>
      <c r="AE440" s="121">
        <v>-2.3283064365386963E-13</v>
      </c>
      <c r="AF440" s="121">
        <v>-2.3283064365386963E-13</v>
      </c>
      <c r="AG440" s="121">
        <v>0</v>
      </c>
      <c r="AH440" s="121">
        <v>0</v>
      </c>
      <c r="AI440" s="121">
        <v>0</v>
      </c>
      <c r="AJ440" s="121">
        <v>0</v>
      </c>
      <c r="AK440" s="121">
        <v>0</v>
      </c>
      <c r="AL440" s="121">
        <v>0</v>
      </c>
      <c r="AM440" s="121">
        <v>0</v>
      </c>
      <c r="AN440" s="121">
        <v>0</v>
      </c>
      <c r="AO440" s="121">
        <v>0</v>
      </c>
      <c r="AP440" s="125" t="str">
        <f>CONCATENATE(A440,M440)</f>
        <v>Reg AssetN</v>
      </c>
      <c r="AQ440" s="125" t="str">
        <f>CONCATENATE(AP440,L440,H440)</f>
        <v>Reg AssetNN10PSC Assessment</v>
      </c>
      <c r="AS440" s="125" t="str">
        <f>CONCATENATE(L440,H440,J440)</f>
        <v>N10PSC AssessmentNCR</v>
      </c>
    </row>
    <row r="441" spans="1:45" s="125" customFormat="1" ht="25.5" customHeight="1">
      <c r="A441" s="216" t="s">
        <v>1442</v>
      </c>
      <c r="B441" s="217" t="str">
        <f t="shared" si="165"/>
        <v>Reg Asset182301801243BE030594</v>
      </c>
      <c r="C441" s="186">
        <v>182301</v>
      </c>
      <c r="D441" s="201">
        <v>801243</v>
      </c>
      <c r="E441" s="162" t="s">
        <v>342</v>
      </c>
      <c r="F441" s="169" t="s">
        <v>1728</v>
      </c>
      <c r="G441" s="117" t="s">
        <v>701</v>
      </c>
      <c r="H441" s="118" t="s">
        <v>2833</v>
      </c>
      <c r="I441" s="119"/>
      <c r="J441" s="120" t="s">
        <v>105</v>
      </c>
      <c r="K441" s="120" t="str">
        <f t="shared" si="158"/>
        <v/>
      </c>
      <c r="L441" s="170" t="s">
        <v>2821</v>
      </c>
      <c r="M441" s="122" t="str">
        <f t="shared" si="149"/>
        <v>N</v>
      </c>
      <c r="N441" s="116" t="str">
        <f>IF($L441&lt;&gt;"",VLOOKUP($L441,Categories!$E:$G,2,FALSE),IF($F441&lt;&gt;"","NO CAT",""))</f>
        <v>Not in Rate Base</v>
      </c>
      <c r="O441" s="116" t="str">
        <f>IF($L441&lt;&gt;"",VLOOKUP($L441,Categories!$E:$G,3,FALSE),IF($F441&lt;&gt;"","NO CAT",""))</f>
        <v>Deferrals Accruing Non-Cash Return   (other than ASGA)</v>
      </c>
      <c r="P441" s="170" t="s">
        <v>1186</v>
      </c>
      <c r="Q441" s="123" t="s">
        <v>1187</v>
      </c>
      <c r="R441" s="124">
        <v>0</v>
      </c>
      <c r="S441" s="124">
        <v>0</v>
      </c>
      <c r="T441" s="124">
        <v>1</v>
      </c>
      <c r="U441" s="121">
        <f t="shared" si="159"/>
        <v>0</v>
      </c>
      <c r="V441" s="121">
        <f t="shared" si="160"/>
        <v>0</v>
      </c>
      <c r="W441" s="121">
        <f t="shared" si="161"/>
        <v>-103.22073666666699</v>
      </c>
      <c r="X441" s="121">
        <f t="shared" si="156"/>
        <v>-103.22073666666699</v>
      </c>
      <c r="Y441" s="121" t="str">
        <f t="shared" si="162"/>
        <v/>
      </c>
      <c r="Z441" s="121" t="str">
        <f t="shared" si="163"/>
        <v/>
      </c>
      <c r="AA441" s="121" t="str">
        <f t="shared" si="164"/>
        <v/>
      </c>
      <c r="AB441" s="121">
        <f t="shared" si="157"/>
        <v>0</v>
      </c>
      <c r="AC441" s="121">
        <v>-2477.2976800000001</v>
      </c>
      <c r="AD441" s="121">
        <v>0</v>
      </c>
      <c r="AE441" s="121">
        <v>0</v>
      </c>
      <c r="AF441" s="121">
        <v>0</v>
      </c>
      <c r="AG441" s="121">
        <v>0</v>
      </c>
      <c r="AH441" s="121">
        <v>0</v>
      </c>
      <c r="AI441" s="121">
        <v>0</v>
      </c>
      <c r="AJ441" s="121">
        <v>0</v>
      </c>
      <c r="AK441" s="121">
        <v>0</v>
      </c>
      <c r="AL441" s="121">
        <v>0</v>
      </c>
      <c r="AM441" s="121">
        <v>0</v>
      </c>
      <c r="AN441" s="121">
        <v>0</v>
      </c>
      <c r="AO441" s="121">
        <v>0</v>
      </c>
      <c r="AP441" s="125" t="str">
        <f>CONCATENATE(A441,M441)</f>
        <v>Reg AssetN</v>
      </c>
      <c r="AQ441" s="125" t="str">
        <f>CONCATENATE(AP441,L441,H441)</f>
        <v>Reg AssetNN10Low Income</v>
      </c>
      <c r="AS441" s="125" t="str">
        <f>CONCATENATE(L441,H441,J441)</f>
        <v>N10Low IncomeNCR</v>
      </c>
    </row>
    <row r="442" spans="1:45" s="125" customFormat="1" ht="25.5" customHeight="1">
      <c r="A442" s="216" t="s">
        <v>1442</v>
      </c>
      <c r="B442" s="217" t="str">
        <f t="shared" si="165"/>
        <v>Reg Asset182301801245BE030594</v>
      </c>
      <c r="C442" s="186">
        <v>182301</v>
      </c>
      <c r="D442" s="201">
        <v>801245</v>
      </c>
      <c r="E442" s="163" t="s">
        <v>342</v>
      </c>
      <c r="F442" s="169" t="s">
        <v>1728</v>
      </c>
      <c r="G442" s="218" t="s">
        <v>2261</v>
      </c>
      <c r="H442" s="118" t="s">
        <v>2833</v>
      </c>
      <c r="I442" s="119"/>
      <c r="J442" s="120" t="s">
        <v>105</v>
      </c>
      <c r="K442" s="120" t="str">
        <f>IF(L442="N3","SFAS-109","")</f>
        <v/>
      </c>
      <c r="L442" s="170" t="s">
        <v>2821</v>
      </c>
      <c r="M442" s="122" t="str">
        <f t="shared" si="149"/>
        <v>N</v>
      </c>
      <c r="N442" s="116" t="str">
        <f>IF($L442&lt;&gt;"",VLOOKUP($L442,Categories!$E:$G,2,FALSE),IF($F442&lt;&gt;"","NO CAT",""))</f>
        <v>Not in Rate Base</v>
      </c>
      <c r="O442" s="116" t="str">
        <f>IF($L442&lt;&gt;"",VLOOKUP($L442,Categories!$E:$G,3,FALSE),IF($F442&lt;&gt;"","NO CAT",""))</f>
        <v>Deferrals Accruing Non-Cash Return   (other than ASGA)</v>
      </c>
      <c r="P442" s="170" t="s">
        <v>1186</v>
      </c>
      <c r="Q442" s="123" t="s">
        <v>1187</v>
      </c>
      <c r="R442" s="124">
        <v>0</v>
      </c>
      <c r="S442" s="124">
        <v>0</v>
      </c>
      <c r="T442" s="124">
        <v>1</v>
      </c>
      <c r="U442" s="121">
        <f t="shared" si="159"/>
        <v>0</v>
      </c>
      <c r="V442" s="121">
        <f t="shared" si="160"/>
        <v>0</v>
      </c>
      <c r="W442" s="121">
        <f t="shared" si="161"/>
        <v>-6.8279179166666699</v>
      </c>
      <c r="X442" s="121">
        <f t="shared" si="156"/>
        <v>-6.8279179166666699</v>
      </c>
      <c r="Y442" s="121" t="str">
        <f t="shared" si="162"/>
        <v/>
      </c>
      <c r="Z442" s="121" t="str">
        <f t="shared" si="163"/>
        <v/>
      </c>
      <c r="AA442" s="121" t="str">
        <f t="shared" si="164"/>
        <v/>
      </c>
      <c r="AB442" s="121">
        <f t="shared" si="157"/>
        <v>0</v>
      </c>
      <c r="AC442" s="121">
        <v>-163.87003000000007</v>
      </c>
      <c r="AD442" s="121">
        <v>0</v>
      </c>
      <c r="AE442" s="121">
        <v>0</v>
      </c>
      <c r="AF442" s="121">
        <v>0</v>
      </c>
      <c r="AG442" s="121">
        <v>0</v>
      </c>
      <c r="AH442" s="121">
        <v>0</v>
      </c>
      <c r="AI442" s="121">
        <v>0</v>
      </c>
      <c r="AJ442" s="121">
        <v>0</v>
      </c>
      <c r="AK442" s="121">
        <v>0</v>
      </c>
      <c r="AL442" s="121">
        <v>0</v>
      </c>
      <c r="AM442" s="121">
        <v>0</v>
      </c>
      <c r="AN442" s="121">
        <v>0</v>
      </c>
      <c r="AO442" s="121">
        <v>0</v>
      </c>
      <c r="AP442" s="125" t="str">
        <f>CONCATENATE(A442,M442)</f>
        <v>Reg AssetN</v>
      </c>
      <c r="AQ442" s="125" t="str">
        <f>CONCATENATE(AP442,L442,H442)</f>
        <v>Reg AssetNN10Low Income</v>
      </c>
      <c r="AS442" s="125" t="str">
        <f>CONCATENATE(L442,H442,J442)</f>
        <v>N10Low IncomeNCR</v>
      </c>
    </row>
    <row r="443" spans="1:45" s="125" customFormat="1" ht="25.5" customHeight="1">
      <c r="A443" s="216" t="s">
        <v>1442</v>
      </c>
      <c r="B443" s="217" t="str">
        <f t="shared" si="165"/>
        <v>Reg Asset182301801244BE030594</v>
      </c>
      <c r="C443" s="186">
        <v>182301</v>
      </c>
      <c r="D443" s="201">
        <v>801244</v>
      </c>
      <c r="E443" s="162" t="s">
        <v>342</v>
      </c>
      <c r="F443" s="169" t="s">
        <v>1728</v>
      </c>
      <c r="G443" s="117" t="s">
        <v>702</v>
      </c>
      <c r="H443" s="118" t="s">
        <v>2833</v>
      </c>
      <c r="I443" s="119"/>
      <c r="J443" s="120" t="s">
        <v>105</v>
      </c>
      <c r="K443" s="120" t="str">
        <f t="shared" si="158"/>
        <v/>
      </c>
      <c r="L443" s="170" t="s">
        <v>2821</v>
      </c>
      <c r="M443" s="122" t="str">
        <f t="shared" si="149"/>
        <v>N</v>
      </c>
      <c r="N443" s="116" t="str">
        <f>IF($L443&lt;&gt;"",VLOOKUP($L443,Categories!$E:$G,2,FALSE),IF($F443&lt;&gt;"","NO CAT",""))</f>
        <v>Not in Rate Base</v>
      </c>
      <c r="O443" s="116" t="str">
        <f>IF($L443&lt;&gt;"",VLOOKUP($L443,Categories!$E:$G,3,FALSE),IF($F443&lt;&gt;"","NO CAT",""))</f>
        <v>Deferrals Accruing Non-Cash Return   (other than ASGA)</v>
      </c>
      <c r="P443" s="170" t="s">
        <v>1186</v>
      </c>
      <c r="Q443" s="123" t="s">
        <v>1187</v>
      </c>
      <c r="R443" s="124">
        <v>0</v>
      </c>
      <c r="S443" s="124">
        <v>0</v>
      </c>
      <c r="T443" s="124">
        <v>1</v>
      </c>
      <c r="U443" s="121">
        <f t="shared" si="159"/>
        <v>0</v>
      </c>
      <c r="V443" s="121">
        <f t="shared" si="160"/>
        <v>0</v>
      </c>
      <c r="W443" s="121">
        <f t="shared" si="161"/>
        <v>-90.439437916666606</v>
      </c>
      <c r="X443" s="121">
        <f t="shared" si="156"/>
        <v>-90.439437916666606</v>
      </c>
      <c r="Y443" s="121" t="str">
        <f t="shared" si="162"/>
        <v/>
      </c>
      <c r="Z443" s="121" t="str">
        <f t="shared" si="163"/>
        <v/>
      </c>
      <c r="AA443" s="121" t="str">
        <f t="shared" si="164"/>
        <v/>
      </c>
      <c r="AB443" s="121">
        <f t="shared" si="157"/>
        <v>0</v>
      </c>
      <c r="AC443" s="121">
        <v>-2170.5465099999997</v>
      </c>
      <c r="AD443" s="121">
        <v>0</v>
      </c>
      <c r="AE443" s="121">
        <v>0</v>
      </c>
      <c r="AF443" s="121">
        <v>0</v>
      </c>
      <c r="AG443" s="121">
        <v>0</v>
      </c>
      <c r="AH443" s="121">
        <v>0</v>
      </c>
      <c r="AI443" s="121">
        <v>0</v>
      </c>
      <c r="AJ443" s="121">
        <v>0</v>
      </c>
      <c r="AK443" s="121">
        <v>0</v>
      </c>
      <c r="AL443" s="121">
        <v>0</v>
      </c>
      <c r="AM443" s="121">
        <v>0</v>
      </c>
      <c r="AN443" s="121">
        <v>0</v>
      </c>
      <c r="AO443" s="121">
        <v>0</v>
      </c>
      <c r="AP443" s="125" t="str">
        <f>CONCATENATE(A443,M443)</f>
        <v>Reg AssetN</v>
      </c>
      <c r="AQ443" s="125" t="str">
        <f>CONCATENATE(AP443,L443,H443)</f>
        <v>Reg AssetNN10Low Income</v>
      </c>
      <c r="AS443" s="125" t="str">
        <f>CONCATENATE(L443,H443,J443)</f>
        <v>N10Low IncomeNCR</v>
      </c>
    </row>
    <row r="444" spans="1:45" s="125" customFormat="1" ht="25.5" customHeight="1">
      <c r="A444" s="216" t="s">
        <v>1442</v>
      </c>
      <c r="B444" s="217" t="str">
        <f t="shared" si="165"/>
        <v>Reg Asset182301801211BE030903</v>
      </c>
      <c r="C444" s="186">
        <v>182301</v>
      </c>
      <c r="D444" s="201">
        <v>801211</v>
      </c>
      <c r="E444" s="162" t="s">
        <v>703</v>
      </c>
      <c r="F444" s="169" t="s">
        <v>1728</v>
      </c>
      <c r="G444" s="117" t="s">
        <v>704</v>
      </c>
      <c r="H444" s="118" t="s">
        <v>1151</v>
      </c>
      <c r="I444" s="119"/>
      <c r="J444" s="120"/>
      <c r="K444" s="120" t="str">
        <f t="shared" si="158"/>
        <v/>
      </c>
      <c r="L444" s="170" t="s">
        <v>1893</v>
      </c>
      <c r="M444" s="122" t="str">
        <f t="shared" si="149"/>
        <v>R</v>
      </c>
      <c r="N444" s="116" t="str">
        <f>IF($L444&lt;&gt;"",VLOOKUP($L444,Categories!$E:$G,2,FALSE),IF($F444&lt;&gt;"","NO CAT",""))</f>
        <v>Rate Base</v>
      </c>
      <c r="O444" s="116" t="str">
        <f>IF($L444&lt;&gt;"",VLOOKUP($L444,Categories!$E:$G,3,FALSE),IF($F444&lt;&gt;"","NO CAT",""))</f>
        <v>Deferred Debits &amp; Credits</v>
      </c>
      <c r="P444" s="170" t="s">
        <v>1183</v>
      </c>
      <c r="Q444" s="123" t="s">
        <v>1177</v>
      </c>
      <c r="R444" s="124">
        <v>1</v>
      </c>
      <c r="S444" s="124">
        <v>0</v>
      </c>
      <c r="T444" s="124">
        <v>0</v>
      </c>
      <c r="U444" s="121">
        <f t="shared" si="159"/>
        <v>637.37647999999797</v>
      </c>
      <c r="V444" s="121">
        <f t="shared" si="160"/>
        <v>0</v>
      </c>
      <c r="W444" s="121">
        <f t="shared" si="161"/>
        <v>0</v>
      </c>
      <c r="X444" s="121">
        <f t="shared" si="156"/>
        <v>637.37647999999797</v>
      </c>
      <c r="Y444" s="121">
        <f t="shared" si="162"/>
        <v>637.37647999999797</v>
      </c>
      <c r="Z444" s="121">
        <f t="shared" si="163"/>
        <v>0</v>
      </c>
      <c r="AA444" s="121">
        <f t="shared" si="164"/>
        <v>0</v>
      </c>
      <c r="AB444" s="121">
        <f t="shared" si="157"/>
        <v>637.37647999999808</v>
      </c>
      <c r="AC444" s="121">
        <v>637.37647999999808</v>
      </c>
      <c r="AD444" s="121">
        <v>637.37647999999808</v>
      </c>
      <c r="AE444" s="121">
        <v>637.37647999999808</v>
      </c>
      <c r="AF444" s="121">
        <v>637.37647999999808</v>
      </c>
      <c r="AG444" s="121">
        <v>637.37647999999808</v>
      </c>
      <c r="AH444" s="121">
        <v>637.37647999999808</v>
      </c>
      <c r="AI444" s="121">
        <v>637.37647999999808</v>
      </c>
      <c r="AJ444" s="121">
        <v>637.37647999999808</v>
      </c>
      <c r="AK444" s="121">
        <v>637.37647999999808</v>
      </c>
      <c r="AL444" s="121">
        <v>637.37647999999808</v>
      </c>
      <c r="AM444" s="121">
        <v>637.37647999999808</v>
      </c>
      <c r="AN444" s="121">
        <v>637.37647999999808</v>
      </c>
      <c r="AO444" s="121">
        <v>637.37647999999808</v>
      </c>
      <c r="AP444" s="125" t="str">
        <f>CONCATENATE(A444,M444)</f>
        <v>Reg AssetR</v>
      </c>
      <c r="AQ444" s="125" t="str">
        <f>CONCATENATE(AP444,L444,H444)</f>
        <v>Reg AssetRR10CTA Efficiency</v>
      </c>
      <c r="AS444" s="125" t="str">
        <f>CONCATENATE(L444,H444,J444)</f>
        <v>R10CTA Efficiency</v>
      </c>
    </row>
    <row r="445" spans="1:45" s="125" customFormat="1" ht="25.5" customHeight="1">
      <c r="A445" s="216" t="s">
        <v>1442</v>
      </c>
      <c r="B445" s="217" t="str">
        <f t="shared" si="165"/>
        <v>Reg Asset182301801225BE030904</v>
      </c>
      <c r="C445" s="186">
        <v>182301</v>
      </c>
      <c r="D445" s="202">
        <v>801225</v>
      </c>
      <c r="E445" s="163" t="s">
        <v>112</v>
      </c>
      <c r="F445" s="169" t="s">
        <v>1728</v>
      </c>
      <c r="G445" s="218" t="s">
        <v>2263</v>
      </c>
      <c r="H445" s="118" t="s">
        <v>623</v>
      </c>
      <c r="I445" s="119"/>
      <c r="J445" s="120" t="s">
        <v>105</v>
      </c>
      <c r="K445" s="120" t="str">
        <f>IF(L445="N3","SFAS-109","")</f>
        <v/>
      </c>
      <c r="L445" s="170" t="s">
        <v>2821</v>
      </c>
      <c r="M445" s="122" t="str">
        <f t="shared" si="149"/>
        <v>N</v>
      </c>
      <c r="N445" s="116" t="str">
        <f>IF($L445&lt;&gt;"",VLOOKUP($L445,Categories!$E:$G,2,FALSE),IF($F445&lt;&gt;"","NO CAT",""))</f>
        <v>Not in Rate Base</v>
      </c>
      <c r="O445" s="116" t="str">
        <f>IF($L445&lt;&gt;"",VLOOKUP($L445,Categories!$E:$G,3,FALSE),IF($F445&lt;&gt;"","NO CAT",""))</f>
        <v>Deferrals Accruing Non-Cash Return   (other than ASGA)</v>
      </c>
      <c r="P445" s="170" t="s">
        <v>1186</v>
      </c>
      <c r="Q445" s="123" t="s">
        <v>1187</v>
      </c>
      <c r="R445" s="124">
        <v>0</v>
      </c>
      <c r="S445" s="124">
        <v>0</v>
      </c>
      <c r="T445" s="124">
        <v>1</v>
      </c>
      <c r="U445" s="121" t="str">
        <f t="shared" si="159"/>
        <v/>
      </c>
      <c r="V445" s="121" t="str">
        <f t="shared" si="160"/>
        <v/>
      </c>
      <c r="W445" s="121" t="str">
        <f t="shared" si="161"/>
        <v/>
      </c>
      <c r="X445" s="121">
        <f t="shared" si="156"/>
        <v>0</v>
      </c>
      <c r="Y445" s="121" t="str">
        <f t="shared" si="162"/>
        <v/>
      </c>
      <c r="Z445" s="121" t="str">
        <f t="shared" si="163"/>
        <v/>
      </c>
      <c r="AA445" s="121" t="str">
        <f t="shared" si="164"/>
        <v/>
      </c>
      <c r="AB445" s="121">
        <f t="shared" si="157"/>
        <v>0</v>
      </c>
      <c r="AC445" s="121">
        <v>0</v>
      </c>
      <c r="AD445" s="121">
        <v>0</v>
      </c>
      <c r="AE445" s="121">
        <v>0</v>
      </c>
      <c r="AF445" s="121">
        <v>0</v>
      </c>
      <c r="AG445" s="121">
        <v>0</v>
      </c>
      <c r="AH445" s="121">
        <v>0</v>
      </c>
      <c r="AI445" s="121">
        <v>0</v>
      </c>
      <c r="AJ445" s="121">
        <v>0</v>
      </c>
      <c r="AK445" s="121">
        <v>0</v>
      </c>
      <c r="AL445" s="121">
        <v>0</v>
      </c>
      <c r="AM445" s="121">
        <v>0</v>
      </c>
      <c r="AN445" s="121">
        <v>0</v>
      </c>
      <c r="AO445" s="121">
        <v>0</v>
      </c>
      <c r="AP445" s="125" t="str">
        <f>CONCATENATE(A445,M445)</f>
        <v>Reg AssetN</v>
      </c>
      <c r="AQ445" s="125" t="str">
        <f>CONCATENATE(AP445,L445,H445)</f>
        <v>Reg AssetNN10RDM</v>
      </c>
      <c r="AS445" s="125" t="str">
        <f>CONCATENATE(L445,H445,J445)</f>
        <v>N10RDMNCR</v>
      </c>
    </row>
    <row r="446" spans="1:45" s="125" customFormat="1" ht="25.5" customHeight="1">
      <c r="A446" s="216" t="s">
        <v>1442</v>
      </c>
      <c r="B446" s="217" t="str">
        <f t="shared" si="165"/>
        <v>Reg Asset182301801225-11BE030904</v>
      </c>
      <c r="C446" s="186">
        <v>182301</v>
      </c>
      <c r="D446" s="202" t="s">
        <v>2323</v>
      </c>
      <c r="E446" s="163" t="s">
        <v>112</v>
      </c>
      <c r="F446" s="169" t="s">
        <v>1728</v>
      </c>
      <c r="G446" s="218" t="s">
        <v>2263</v>
      </c>
      <c r="H446" s="118" t="s">
        <v>623</v>
      </c>
      <c r="I446" s="119"/>
      <c r="J446" s="120" t="s">
        <v>105</v>
      </c>
      <c r="K446" s="120" t="str">
        <f>IF(L446="N3","SFAS-109","")</f>
        <v/>
      </c>
      <c r="L446" s="170" t="s">
        <v>2821</v>
      </c>
      <c r="M446" s="122" t="str">
        <f t="shared" si="149"/>
        <v>N</v>
      </c>
      <c r="N446" s="116" t="str">
        <f>IF($L446&lt;&gt;"",VLOOKUP($L446,Categories!$E:$G,2,FALSE),IF($F446&lt;&gt;"","NO CAT",""))</f>
        <v>Not in Rate Base</v>
      </c>
      <c r="O446" s="116" t="str">
        <f>IF($L446&lt;&gt;"",VLOOKUP($L446,Categories!$E:$G,3,FALSE),IF($F446&lt;&gt;"","NO CAT",""))</f>
        <v>Deferrals Accruing Non-Cash Return   (other than ASGA)</v>
      </c>
      <c r="P446" s="170" t="s">
        <v>1186</v>
      </c>
      <c r="Q446" s="123" t="s">
        <v>1187</v>
      </c>
      <c r="R446" s="124">
        <v>0</v>
      </c>
      <c r="S446" s="124">
        <v>0</v>
      </c>
      <c r="T446" s="124">
        <v>1</v>
      </c>
      <c r="U446" s="121" t="str">
        <f t="shared" si="159"/>
        <v/>
      </c>
      <c r="V446" s="121" t="str">
        <f t="shared" si="160"/>
        <v/>
      </c>
      <c r="W446" s="121" t="str">
        <f t="shared" si="161"/>
        <v/>
      </c>
      <c r="X446" s="121">
        <f t="shared" si="156"/>
        <v>0</v>
      </c>
      <c r="Y446" s="121" t="str">
        <f t="shared" si="162"/>
        <v/>
      </c>
      <c r="Z446" s="121" t="str">
        <f t="shared" si="163"/>
        <v/>
      </c>
      <c r="AA446" s="121" t="str">
        <f t="shared" si="164"/>
        <v/>
      </c>
      <c r="AB446" s="121">
        <f t="shared" si="157"/>
        <v>0</v>
      </c>
      <c r="AC446" s="121">
        <v>0</v>
      </c>
      <c r="AD446" s="121">
        <v>0</v>
      </c>
      <c r="AE446" s="121">
        <v>0</v>
      </c>
      <c r="AF446" s="121">
        <v>0</v>
      </c>
      <c r="AG446" s="121">
        <v>0</v>
      </c>
      <c r="AH446" s="121">
        <v>0</v>
      </c>
      <c r="AI446" s="121">
        <v>0</v>
      </c>
      <c r="AJ446" s="121">
        <v>0</v>
      </c>
      <c r="AK446" s="121">
        <v>0</v>
      </c>
      <c r="AL446" s="121">
        <v>0</v>
      </c>
      <c r="AM446" s="121">
        <v>0</v>
      </c>
      <c r="AN446" s="121">
        <v>0</v>
      </c>
      <c r="AO446" s="121">
        <v>0</v>
      </c>
      <c r="AP446" s="125" t="str">
        <f>CONCATENATE(A446,M446)</f>
        <v>Reg AssetN</v>
      </c>
      <c r="AQ446" s="125" t="str">
        <f>CONCATENATE(AP446,L446,H446)</f>
        <v>Reg AssetNN10RDM</v>
      </c>
      <c r="AS446" s="125" t="str">
        <f>CONCATENATE(L446,H446,J446)</f>
        <v>N10RDMNCR</v>
      </c>
    </row>
    <row r="447" spans="1:45" s="125" customFormat="1" ht="25.5" customHeight="1">
      <c r="A447" s="216" t="s">
        <v>1442</v>
      </c>
      <c r="B447" s="217" t="str">
        <f>CONCATENATE(A447,C447,D447,E447)</f>
        <v>Reg Asset182301801225-UBBE030904</v>
      </c>
      <c r="C447" s="186">
        <v>182301</v>
      </c>
      <c r="D447" s="202" t="s">
        <v>4410</v>
      </c>
      <c r="E447" s="163" t="s">
        <v>112</v>
      </c>
      <c r="F447" s="169" t="s">
        <v>1728</v>
      </c>
      <c r="G447" s="218" t="s">
        <v>4411</v>
      </c>
      <c r="H447" s="118" t="s">
        <v>4432</v>
      </c>
      <c r="I447" s="119"/>
      <c r="J447" s="120"/>
      <c r="K447" s="120" t="str">
        <f>IF(L447="N3","SFAS-109","")</f>
        <v/>
      </c>
      <c r="L447" s="170" t="s">
        <v>1419</v>
      </c>
      <c r="M447" s="122" t="str">
        <f>LEFT(L447,1)</f>
        <v>A</v>
      </c>
      <c r="N447" s="116" t="str">
        <f>IF($L447&lt;&gt;"",VLOOKUP($L447,Categories!$E:$G,2,FALSE),IF($F447&lt;&gt;"","NO CAT",""))</f>
        <v>All Other</v>
      </c>
      <c r="O447" s="116" t="str">
        <f>IF($L447&lt;&gt;"",VLOOKUP($L447,Categories!$E:$G,3,FALSE),IF($F447&lt;&gt;"","NO CAT",""))</f>
        <v>EB-Cap</v>
      </c>
      <c r="P447" s="170" t="s">
        <v>1557</v>
      </c>
      <c r="Q447" s="123" t="s">
        <v>1891</v>
      </c>
      <c r="R447" s="124">
        <v>0.77544352505021785</v>
      </c>
      <c r="S447" s="124">
        <v>0.22455647494978223</v>
      </c>
      <c r="T447" s="124">
        <v>0</v>
      </c>
      <c r="U447" s="121" t="str">
        <f>IF(ABS(X447)=0,"",IF($R447="NO ALLOC","NO ALLOC",ROUND($R447*X447,15)))</f>
        <v/>
      </c>
      <c r="V447" s="121" t="str">
        <f>IF(ABS(X447)=0,"",IF($S447="NO ALLOC","NO ALLOC",ROUND($S447*X447,15)))</f>
        <v/>
      </c>
      <c r="W447" s="121" t="str">
        <f>IF(ABS(X447)=0,"",IF($T447="NO ALLOC","NO ALLOC",ROUND($T447*X447,15)))</f>
        <v/>
      </c>
      <c r="X447" s="121">
        <f t="shared" si="156"/>
        <v>0</v>
      </c>
      <c r="Y447" s="121" t="str">
        <f>IF(ABS(AB447)=0,"",IF($R447="NO ALLOC","NO ALLOC",ROUND($R447*AB447,15)))</f>
        <v/>
      </c>
      <c r="Z447" s="121" t="str">
        <f>IF(ABS(AB447)=0,"",IF($S447="NO ALLOC","NO ALLOC",ROUND($S447*AB447,15)))</f>
        <v/>
      </c>
      <c r="AA447" s="121" t="str">
        <f>IF(ABS(AB447)=0,"",IF($T447="NO ALLOC","NO ALLOC",ROUND($T447*AB447,15)))</f>
        <v/>
      </c>
      <c r="AB447" s="121">
        <f t="shared" si="157"/>
        <v>0</v>
      </c>
      <c r="AC447" s="121">
        <v>0</v>
      </c>
      <c r="AD447" s="121">
        <v>0</v>
      </c>
      <c r="AE447" s="121">
        <v>0</v>
      </c>
      <c r="AF447" s="121">
        <v>0</v>
      </c>
      <c r="AG447" s="121">
        <v>0</v>
      </c>
      <c r="AH447" s="121">
        <v>0</v>
      </c>
      <c r="AI447" s="121">
        <v>0</v>
      </c>
      <c r="AJ447" s="121">
        <v>0</v>
      </c>
      <c r="AK447" s="121">
        <v>0</v>
      </c>
      <c r="AL447" s="121">
        <v>0</v>
      </c>
      <c r="AM447" s="121">
        <v>0</v>
      </c>
      <c r="AN447" s="121">
        <v>0</v>
      </c>
      <c r="AO447" s="121">
        <v>0</v>
      </c>
      <c r="AP447" s="125" t="str">
        <f>CONCATENATE(A447,M447)</f>
        <v>Reg AssetA</v>
      </c>
      <c r="AQ447" s="125" t="str">
        <f>CONCATENATE(AP447,L447,H447)</f>
        <v>Reg AssetAA2RDM Unbilled</v>
      </c>
      <c r="AS447" s="125" t="str">
        <f>CONCATENATE(L447,H447,J447)</f>
        <v>A2RDM Unbilled</v>
      </c>
    </row>
    <row r="448" spans="1:45" s="125" customFormat="1" ht="25.5" customHeight="1">
      <c r="A448" s="216" t="s">
        <v>1442</v>
      </c>
      <c r="B448" s="217" t="str">
        <f t="shared" si="165"/>
        <v>Reg Asset182301801215BE030597</v>
      </c>
      <c r="C448" s="186">
        <v>182301</v>
      </c>
      <c r="D448" s="201">
        <v>801215</v>
      </c>
      <c r="E448" s="162" t="s">
        <v>1935</v>
      </c>
      <c r="F448" s="169" t="s">
        <v>1728</v>
      </c>
      <c r="G448" s="219" t="s">
        <v>4312</v>
      </c>
      <c r="H448" s="118" t="s">
        <v>2574</v>
      </c>
      <c r="I448" s="119"/>
      <c r="J448" s="120" t="s">
        <v>105</v>
      </c>
      <c r="K448" s="120" t="str">
        <f t="shared" si="158"/>
        <v/>
      </c>
      <c r="L448" s="170" t="s">
        <v>2821</v>
      </c>
      <c r="M448" s="122" t="str">
        <f t="shared" si="149"/>
        <v>N</v>
      </c>
      <c r="N448" s="116" t="str">
        <f>IF($L448&lt;&gt;"",VLOOKUP($L448,Categories!$E:$G,2,FALSE),IF($F448&lt;&gt;"","NO CAT",""))</f>
        <v>Not in Rate Base</v>
      </c>
      <c r="O448" s="116" t="str">
        <f>IF($L448&lt;&gt;"",VLOOKUP($L448,Categories!$E:$G,3,FALSE),IF($F448&lt;&gt;"","NO CAT",""))</f>
        <v>Deferrals Accruing Non-Cash Return   (other than ASGA)</v>
      </c>
      <c r="P448" s="170" t="s">
        <v>1186</v>
      </c>
      <c r="Q448" s="123" t="s">
        <v>1187</v>
      </c>
      <c r="R448" s="124">
        <v>0</v>
      </c>
      <c r="S448" s="124">
        <v>0</v>
      </c>
      <c r="T448" s="124">
        <v>1</v>
      </c>
      <c r="U448" s="121">
        <f t="shared" si="159"/>
        <v>0</v>
      </c>
      <c r="V448" s="121">
        <f t="shared" si="160"/>
        <v>0</v>
      </c>
      <c r="W448" s="121">
        <f t="shared" si="161"/>
        <v>83.062450833333301</v>
      </c>
      <c r="X448" s="121">
        <f t="shared" si="156"/>
        <v>83.062450833333301</v>
      </c>
      <c r="Y448" s="121">
        <f t="shared" si="162"/>
        <v>0</v>
      </c>
      <c r="Z448" s="121">
        <f t="shared" si="163"/>
        <v>0</v>
      </c>
      <c r="AA448" s="121">
        <f t="shared" si="164"/>
        <v>85.675240000000002</v>
      </c>
      <c r="AB448" s="121">
        <f t="shared" si="157"/>
        <v>85.675239999999988</v>
      </c>
      <c r="AC448" s="121">
        <v>80.502959999999987</v>
      </c>
      <c r="AD448" s="121">
        <v>80.921789999999987</v>
      </c>
      <c r="AE448" s="121">
        <v>81.342799999999983</v>
      </c>
      <c r="AF448" s="121">
        <v>81.765999999999991</v>
      </c>
      <c r="AG448" s="121">
        <v>82.191399999999973</v>
      </c>
      <c r="AH448" s="121">
        <v>82.619009999999975</v>
      </c>
      <c r="AI448" s="121">
        <v>83.048849999999973</v>
      </c>
      <c r="AJ448" s="121">
        <v>83.480919999999983</v>
      </c>
      <c r="AK448" s="121">
        <v>83.915239999999997</v>
      </c>
      <c r="AL448" s="121">
        <v>84.351819999999989</v>
      </c>
      <c r="AM448" s="121">
        <v>84.790669999999992</v>
      </c>
      <c r="AN448" s="121">
        <v>85.231809999999996</v>
      </c>
      <c r="AO448" s="121">
        <v>85.675239999999988</v>
      </c>
      <c r="AP448" s="125" t="str">
        <f>CONCATENATE(A448,M448)</f>
        <v>Reg AssetN</v>
      </c>
      <c r="AQ448" s="125" t="str">
        <f>CONCATENATE(AP448,L448,H448)</f>
        <v>Reg AssetNN10CAIDI/SAIFI Study</v>
      </c>
      <c r="AS448" s="125" t="str">
        <f>CONCATENATE(L448,H448,J448)</f>
        <v>N10CAIDI/SAIFI StudyNCR</v>
      </c>
    </row>
    <row r="449" spans="1:45" s="125" customFormat="1" ht="25.5" customHeight="1">
      <c r="A449" s="216" t="s">
        <v>1442</v>
      </c>
      <c r="B449" s="217" t="str">
        <f t="shared" si="165"/>
        <v>Reg Asset182301801246BE030594</v>
      </c>
      <c r="C449" s="186">
        <v>182301</v>
      </c>
      <c r="D449" s="202">
        <v>801246</v>
      </c>
      <c r="E449" s="163" t="s">
        <v>342</v>
      </c>
      <c r="F449" s="169" t="s">
        <v>1728</v>
      </c>
      <c r="G449" s="218" t="s">
        <v>2262</v>
      </c>
      <c r="H449" s="118" t="s">
        <v>2833</v>
      </c>
      <c r="I449" s="119"/>
      <c r="J449" s="120" t="s">
        <v>105</v>
      </c>
      <c r="K449" s="120" t="str">
        <f t="shared" si="158"/>
        <v/>
      </c>
      <c r="L449" s="170" t="s">
        <v>2821</v>
      </c>
      <c r="M449" s="122" t="str">
        <f t="shared" si="149"/>
        <v>N</v>
      </c>
      <c r="N449" s="116" t="str">
        <f>IF($L449&lt;&gt;"",VLOOKUP($L449,Categories!$E:$G,2,FALSE),IF($F449&lt;&gt;"","NO CAT",""))</f>
        <v>Not in Rate Base</v>
      </c>
      <c r="O449" s="116" t="str">
        <f>IF($L449&lt;&gt;"",VLOOKUP($L449,Categories!$E:$G,3,FALSE),IF($F449&lt;&gt;"","NO CAT",""))</f>
        <v>Deferrals Accruing Non-Cash Return   (other than ASGA)</v>
      </c>
      <c r="P449" s="170" t="s">
        <v>1186</v>
      </c>
      <c r="Q449" s="123" t="s">
        <v>1187</v>
      </c>
      <c r="R449" s="124">
        <v>0</v>
      </c>
      <c r="S449" s="124">
        <v>0</v>
      </c>
      <c r="T449" s="124">
        <v>1</v>
      </c>
      <c r="U449" s="121">
        <f t="shared" si="159"/>
        <v>0</v>
      </c>
      <c r="V449" s="121">
        <f t="shared" si="160"/>
        <v>0</v>
      </c>
      <c r="W449" s="121">
        <f t="shared" si="161"/>
        <v>-2.32948625</v>
      </c>
      <c r="X449" s="121">
        <f t="shared" si="156"/>
        <v>-2.32948625</v>
      </c>
      <c r="Y449" s="121" t="str">
        <f t="shared" si="162"/>
        <v/>
      </c>
      <c r="Z449" s="121" t="str">
        <f t="shared" si="163"/>
        <v/>
      </c>
      <c r="AA449" s="121" t="str">
        <f t="shared" si="164"/>
        <v/>
      </c>
      <c r="AB449" s="121">
        <f t="shared" si="157"/>
        <v>0</v>
      </c>
      <c r="AC449" s="121">
        <v>-55.907670000000003</v>
      </c>
      <c r="AD449" s="121">
        <v>0</v>
      </c>
      <c r="AE449" s="121">
        <v>0</v>
      </c>
      <c r="AF449" s="121">
        <v>0</v>
      </c>
      <c r="AG449" s="121">
        <v>0</v>
      </c>
      <c r="AH449" s="121">
        <v>0</v>
      </c>
      <c r="AI449" s="121">
        <v>0</v>
      </c>
      <c r="AJ449" s="121">
        <v>0</v>
      </c>
      <c r="AK449" s="121">
        <v>0</v>
      </c>
      <c r="AL449" s="121">
        <v>0</v>
      </c>
      <c r="AM449" s="121">
        <v>0</v>
      </c>
      <c r="AN449" s="121">
        <v>0</v>
      </c>
      <c r="AO449" s="121">
        <v>0</v>
      </c>
      <c r="AP449" s="125" t="str">
        <f>CONCATENATE(A449,M449)</f>
        <v>Reg AssetN</v>
      </c>
      <c r="AQ449" s="125" t="str">
        <f>CONCATENATE(AP449,L449,H449)</f>
        <v>Reg AssetNN10Low Income</v>
      </c>
      <c r="AS449" s="125" t="str">
        <f>CONCATENATE(L449,H449,J449)</f>
        <v>N10Low IncomeNCR</v>
      </c>
    </row>
    <row r="450" spans="1:45" s="125" customFormat="1" ht="25.5" customHeight="1">
      <c r="A450" s="216" t="s">
        <v>1442</v>
      </c>
      <c r="B450" s="217" t="str">
        <f>CONCATENATE(A450,C450,D450,E450)</f>
        <v>Reg Asset182301810001BE030589</v>
      </c>
      <c r="C450" s="186">
        <v>182301</v>
      </c>
      <c r="D450" s="201">
        <v>810001</v>
      </c>
      <c r="E450" s="162" t="s">
        <v>3797</v>
      </c>
      <c r="F450" s="169" t="s">
        <v>1728</v>
      </c>
      <c r="G450" s="117" t="s">
        <v>4586</v>
      </c>
      <c r="H450" s="118" t="s">
        <v>2915</v>
      </c>
      <c r="I450" s="119"/>
      <c r="J450" s="120"/>
      <c r="K450" s="120" t="str">
        <f t="shared" si="158"/>
        <v/>
      </c>
      <c r="L450" s="170" t="s">
        <v>1893</v>
      </c>
      <c r="M450" s="122" t="str">
        <f t="shared" si="149"/>
        <v>R</v>
      </c>
      <c r="N450" s="116" t="str">
        <f>IF($L450&lt;&gt;"",VLOOKUP($L450,Categories!$E:$G,2,FALSE),IF($F450&lt;&gt;"","NO CAT",""))</f>
        <v>Rate Base</v>
      </c>
      <c r="O450" s="116" t="str">
        <f>IF($L450&lt;&gt;"",VLOOKUP($L450,Categories!$E:$G,3,FALSE),IF($F450&lt;&gt;"","NO CAT",""))</f>
        <v>Deferred Debits &amp; Credits</v>
      </c>
      <c r="P450" s="170" t="s">
        <v>1183</v>
      </c>
      <c r="Q450" s="123" t="s">
        <v>1177</v>
      </c>
      <c r="R450" s="124">
        <v>1</v>
      </c>
      <c r="S450" s="124">
        <v>0</v>
      </c>
      <c r="T450" s="124">
        <v>0</v>
      </c>
      <c r="U450" s="121">
        <f t="shared" si="159"/>
        <v>15522.336699166701</v>
      </c>
      <c r="V450" s="121">
        <f t="shared" si="160"/>
        <v>0</v>
      </c>
      <c r="W450" s="121">
        <f t="shared" si="161"/>
        <v>0</v>
      </c>
      <c r="X450" s="121">
        <f t="shared" si="156"/>
        <v>15522.336699166701</v>
      </c>
      <c r="Y450" s="121">
        <f t="shared" si="162"/>
        <v>3854.02528999999</v>
      </c>
      <c r="Z450" s="121">
        <f t="shared" si="163"/>
        <v>0</v>
      </c>
      <c r="AA450" s="121">
        <f t="shared" si="164"/>
        <v>0</v>
      </c>
      <c r="AB450" s="121">
        <f t="shared" si="157"/>
        <v>3854.0252899999932</v>
      </c>
      <c r="AC450" s="121">
        <v>-1066.1491900000003</v>
      </c>
      <c r="AD450" s="121">
        <v>45794.260430000002</v>
      </c>
      <c r="AE450" s="121">
        <v>56199.169629999997</v>
      </c>
      <c r="AF450" s="121">
        <v>56934.186319999993</v>
      </c>
      <c r="AG450" s="121">
        <v>24406.495839999992</v>
      </c>
      <c r="AH450" s="121">
        <v>1026.6096199999936</v>
      </c>
      <c r="AI450" s="121">
        <v>-7118.4760800000067</v>
      </c>
      <c r="AJ450" s="121">
        <v>-3373.7053600000063</v>
      </c>
      <c r="AK450" s="121">
        <v>413.85814999999337</v>
      </c>
      <c r="AL450" s="121">
        <v>1209.4174299999934</v>
      </c>
      <c r="AM450" s="121">
        <v>4570.3295099999932</v>
      </c>
      <c r="AN450" s="121">
        <v>4811.9568499999932</v>
      </c>
      <c r="AO450" s="121">
        <v>3854.0252899999932</v>
      </c>
      <c r="AP450" s="125" t="str">
        <f>CONCATENATE(A450,M450)</f>
        <v>Reg AssetR</v>
      </c>
      <c r="AQ450" s="125" t="str">
        <f>CONCATENATE(AP450,L450,H450)</f>
        <v>Reg AssetRR10Energy Supply Reconciliation</v>
      </c>
      <c r="AS450" s="125" t="str">
        <f>CONCATENATE(L450,H450,J450)</f>
        <v>R10Energy Supply Reconciliation</v>
      </c>
    </row>
    <row r="451" spans="1:45" s="125" customFormat="1" ht="25.5" customHeight="1">
      <c r="A451" s="216" t="s">
        <v>1442</v>
      </c>
      <c r="B451" s="217" t="str">
        <f t="shared" si="165"/>
        <v>Reg Asset182301801205BE030251</v>
      </c>
      <c r="C451" s="186">
        <v>182301</v>
      </c>
      <c r="D451" s="201">
        <v>801205</v>
      </c>
      <c r="E451" s="162" t="s">
        <v>3794</v>
      </c>
      <c r="F451" s="169" t="s">
        <v>1728</v>
      </c>
      <c r="G451" s="117" t="s">
        <v>1879</v>
      </c>
      <c r="H451" s="118" t="s">
        <v>815</v>
      </c>
      <c r="I451" s="119"/>
      <c r="J451" s="120" t="s">
        <v>105</v>
      </c>
      <c r="K451" s="120" t="str">
        <f t="shared" si="158"/>
        <v/>
      </c>
      <c r="L451" s="170" t="s">
        <v>2821</v>
      </c>
      <c r="M451" s="122" t="str">
        <f t="shared" si="149"/>
        <v>N</v>
      </c>
      <c r="N451" s="116" t="str">
        <f>IF($L451&lt;&gt;"",VLOOKUP($L451,Categories!$E:$G,2,FALSE),IF($F451&lt;&gt;"","NO CAT",""))</f>
        <v>Not in Rate Base</v>
      </c>
      <c r="O451" s="116" t="str">
        <f>IF($L451&lt;&gt;"",VLOOKUP($L451,Categories!$E:$G,3,FALSE),IF($F451&lt;&gt;"","NO CAT",""))</f>
        <v>Deferrals Accruing Non-Cash Return   (other than ASGA)</v>
      </c>
      <c r="P451" s="170" t="s">
        <v>1186</v>
      </c>
      <c r="Q451" s="123" t="s">
        <v>1187</v>
      </c>
      <c r="R451" s="124">
        <v>0</v>
      </c>
      <c r="S451" s="124">
        <v>0</v>
      </c>
      <c r="T451" s="124">
        <v>1</v>
      </c>
      <c r="U451" s="121">
        <f t="shared" si="159"/>
        <v>0</v>
      </c>
      <c r="V451" s="121">
        <f t="shared" si="160"/>
        <v>0</v>
      </c>
      <c r="W451" s="121">
        <f t="shared" si="161"/>
        <v>5255.3253495833296</v>
      </c>
      <c r="X451" s="121">
        <f t="shared" si="156"/>
        <v>5255.3253495833296</v>
      </c>
      <c r="Y451" s="121" t="str">
        <f t="shared" si="162"/>
        <v/>
      </c>
      <c r="Z451" s="121" t="str">
        <f t="shared" si="163"/>
        <v/>
      </c>
      <c r="AA451" s="121" t="str">
        <f t="shared" si="164"/>
        <v/>
      </c>
      <c r="AB451" s="121">
        <f t="shared" si="157"/>
        <v>0</v>
      </c>
      <c r="AC451" s="121">
        <v>17185.769609999999</v>
      </c>
      <c r="AD451" s="121">
        <v>17564.950919999999</v>
      </c>
      <c r="AE451" s="121">
        <v>18150.525659999996</v>
      </c>
      <c r="AF451" s="121">
        <v>18755.542809999995</v>
      </c>
      <c r="AG451" s="121">
        <v>0</v>
      </c>
      <c r="AH451" s="121">
        <v>0</v>
      </c>
      <c r="AI451" s="121">
        <v>0</v>
      </c>
      <c r="AJ451" s="121">
        <v>0</v>
      </c>
      <c r="AK451" s="121">
        <v>0</v>
      </c>
      <c r="AL451" s="121">
        <v>0</v>
      </c>
      <c r="AM451" s="121">
        <v>0</v>
      </c>
      <c r="AN451" s="121">
        <v>0</v>
      </c>
      <c r="AO451" s="121">
        <v>0</v>
      </c>
      <c r="AP451" s="125" t="str">
        <f>CONCATENATE(A451,M451)</f>
        <v>Reg AssetN</v>
      </c>
      <c r="AQ451" s="125" t="str">
        <f>CONCATENATE(AP451,L451,H451)</f>
        <v>Reg AssetNN10Property Tax Deferral</v>
      </c>
      <c r="AS451" s="125" t="str">
        <f>CONCATENATE(L451,H451,J451)</f>
        <v>N10Property Tax DeferralNCR</v>
      </c>
    </row>
    <row r="452" spans="1:45" s="125" customFormat="1" ht="25.5" customHeight="1">
      <c r="A452" s="216" t="s">
        <v>1442</v>
      </c>
      <c r="B452" s="217" t="str">
        <f t="shared" si="165"/>
        <v>Reg Asset182301801240BE030210</v>
      </c>
      <c r="C452" s="186">
        <v>182301</v>
      </c>
      <c r="D452" s="202">
        <v>801240</v>
      </c>
      <c r="E452" s="163" t="s">
        <v>1730</v>
      </c>
      <c r="F452" s="169" t="s">
        <v>1728</v>
      </c>
      <c r="G452" s="218" t="s">
        <v>1247</v>
      </c>
      <c r="H452" s="118" t="s">
        <v>2833</v>
      </c>
      <c r="I452" s="119"/>
      <c r="J452" s="120" t="s">
        <v>105</v>
      </c>
      <c r="K452" s="120" t="str">
        <f>IF(L452="N3","SFAS-109","")</f>
        <v/>
      </c>
      <c r="L452" s="170" t="s">
        <v>2821</v>
      </c>
      <c r="M452" s="122" t="str">
        <f t="shared" si="149"/>
        <v>N</v>
      </c>
      <c r="N452" s="116" t="str">
        <f>IF($L452&lt;&gt;"",VLOOKUP($L452,Categories!$E:$G,2,FALSE),IF($F452&lt;&gt;"","NO CAT",""))</f>
        <v>Not in Rate Base</v>
      </c>
      <c r="O452" s="116" t="str">
        <f>IF($L452&lt;&gt;"",VLOOKUP($L452,Categories!$E:$G,3,FALSE),IF($F452&lt;&gt;"","NO CAT",""))</f>
        <v>Deferrals Accruing Non-Cash Return   (other than ASGA)</v>
      </c>
      <c r="P452" s="170" t="s">
        <v>1186</v>
      </c>
      <c r="Q452" s="123" t="s">
        <v>1187</v>
      </c>
      <c r="R452" s="124">
        <v>0</v>
      </c>
      <c r="S452" s="124">
        <v>0</v>
      </c>
      <c r="T452" s="124">
        <v>1</v>
      </c>
      <c r="U452" s="121">
        <f t="shared" si="159"/>
        <v>0</v>
      </c>
      <c r="V452" s="121">
        <f t="shared" si="160"/>
        <v>0</v>
      </c>
      <c r="W452" s="121">
        <f t="shared" si="161"/>
        <v>18.104859999999999</v>
      </c>
      <c r="X452" s="121">
        <f t="shared" si="156"/>
        <v>18.104859999999999</v>
      </c>
      <c r="Y452" s="121">
        <f t="shared" si="162"/>
        <v>0</v>
      </c>
      <c r="Z452" s="121">
        <f t="shared" si="163"/>
        <v>0</v>
      </c>
      <c r="AA452" s="121">
        <f t="shared" si="164"/>
        <v>18.104859999999999</v>
      </c>
      <c r="AB452" s="121">
        <f t="shared" si="157"/>
        <v>18.104860000000002</v>
      </c>
      <c r="AC452" s="121">
        <v>18.104860000000002</v>
      </c>
      <c r="AD452" s="121">
        <v>18.104860000000002</v>
      </c>
      <c r="AE452" s="121">
        <v>18.104860000000002</v>
      </c>
      <c r="AF452" s="121">
        <v>18.104860000000002</v>
      </c>
      <c r="AG452" s="121">
        <v>18.104860000000002</v>
      </c>
      <c r="AH452" s="121">
        <v>18.104860000000002</v>
      </c>
      <c r="AI452" s="121">
        <v>18.104860000000002</v>
      </c>
      <c r="AJ452" s="121">
        <v>18.104860000000002</v>
      </c>
      <c r="AK452" s="121">
        <v>18.104860000000002</v>
      </c>
      <c r="AL452" s="121">
        <v>18.104860000000002</v>
      </c>
      <c r="AM452" s="121">
        <v>18.104860000000002</v>
      </c>
      <c r="AN452" s="121">
        <v>18.104860000000002</v>
      </c>
      <c r="AO452" s="121">
        <v>18.104860000000002</v>
      </c>
      <c r="AP452" s="125" t="str">
        <f>CONCATENATE(A452,M452)</f>
        <v>Reg AssetN</v>
      </c>
      <c r="AQ452" s="125" t="str">
        <f>CONCATENATE(AP452,L452,H452)</f>
        <v>Reg AssetNN10Low Income</v>
      </c>
      <c r="AS452" s="125" t="str">
        <f>CONCATENATE(L452,H452,J452)</f>
        <v>N10Low IncomeNCR</v>
      </c>
    </row>
    <row r="453" spans="1:45" s="125" customFormat="1" ht="25.5" customHeight="1">
      <c r="A453" s="216" t="s">
        <v>1442</v>
      </c>
      <c r="B453" s="217" t="str">
        <f t="shared" si="165"/>
        <v>Reg Asset182301Pension ElectricBE030409</v>
      </c>
      <c r="C453" s="186">
        <v>182301</v>
      </c>
      <c r="D453" s="202" t="s">
        <v>31</v>
      </c>
      <c r="E453" s="163" t="s">
        <v>30</v>
      </c>
      <c r="F453" s="169" t="s">
        <v>1728</v>
      </c>
      <c r="G453" s="218" t="s">
        <v>1970</v>
      </c>
      <c r="H453" s="118" t="s">
        <v>1553</v>
      </c>
      <c r="I453" s="119"/>
      <c r="J453" s="120" t="s">
        <v>105</v>
      </c>
      <c r="K453" s="120" t="str">
        <f>IF(L453="N3","SFAS-109","")</f>
        <v/>
      </c>
      <c r="L453" s="170" t="s">
        <v>2821</v>
      </c>
      <c r="M453" s="122" t="str">
        <f t="shared" si="149"/>
        <v>N</v>
      </c>
      <c r="N453" s="116" t="str">
        <f>IF($L453&lt;&gt;"",VLOOKUP($L453,Categories!$E:$G,2,FALSE),IF($F453&lt;&gt;"","NO CAT",""))</f>
        <v>Not in Rate Base</v>
      </c>
      <c r="O453" s="116" t="str">
        <f>IF($L453&lt;&gt;"",VLOOKUP($L453,Categories!$E:$G,3,FALSE),IF($F453&lt;&gt;"","NO CAT",""))</f>
        <v>Deferrals Accruing Non-Cash Return   (other than ASGA)</v>
      </c>
      <c r="P453" s="170" t="s">
        <v>1186</v>
      </c>
      <c r="Q453" s="123" t="s">
        <v>1187</v>
      </c>
      <c r="R453" s="124">
        <v>0</v>
      </c>
      <c r="S453" s="124">
        <v>0</v>
      </c>
      <c r="T453" s="124">
        <v>1</v>
      </c>
      <c r="U453" s="121">
        <f t="shared" si="159"/>
        <v>0</v>
      </c>
      <c r="V453" s="121">
        <f t="shared" si="160"/>
        <v>0</v>
      </c>
      <c r="W453" s="121">
        <f t="shared" si="161"/>
        <v>57143.240450833298</v>
      </c>
      <c r="X453" s="121">
        <f t="shared" si="156"/>
        <v>57143.240450833298</v>
      </c>
      <c r="Y453" s="121">
        <f t="shared" si="162"/>
        <v>0</v>
      </c>
      <c r="Z453" s="121">
        <f t="shared" si="163"/>
        <v>0</v>
      </c>
      <c r="AA453" s="121">
        <f t="shared" si="164"/>
        <v>65738.610310000004</v>
      </c>
      <c r="AB453" s="121">
        <f t="shared" si="157"/>
        <v>65738.610309999989</v>
      </c>
      <c r="AC453" s="121">
        <v>48991.65251</v>
      </c>
      <c r="AD453" s="121">
        <v>50883.499830000001</v>
      </c>
      <c r="AE453" s="121">
        <v>51795.068249999997</v>
      </c>
      <c r="AF453" s="121">
        <v>52901.410229999994</v>
      </c>
      <c r="AG453" s="121">
        <v>54207.00527999999</v>
      </c>
      <c r="AH453" s="121">
        <v>55555.392649999994</v>
      </c>
      <c r="AI453" s="121">
        <v>56651.869649999993</v>
      </c>
      <c r="AJ453" s="121">
        <v>58417.725409999999</v>
      </c>
      <c r="AK453" s="121">
        <v>60101.971649999992</v>
      </c>
      <c r="AL453" s="121">
        <v>61309.194349999983</v>
      </c>
      <c r="AM453" s="121">
        <v>62533.432449999986</v>
      </c>
      <c r="AN453" s="121">
        <v>63997.184249999984</v>
      </c>
      <c r="AO453" s="121">
        <v>65738.610309999989</v>
      </c>
      <c r="AP453" s="125" t="str">
        <f>CONCATENATE(A453,M453)</f>
        <v>Reg AssetN</v>
      </c>
      <c r="AQ453" s="125" t="str">
        <f>CONCATENATE(AP453,L453,H453)</f>
        <v>Reg AssetNN10Pension</v>
      </c>
      <c r="AS453" s="125" t="str">
        <f>CONCATENATE(L453,H453,J453)</f>
        <v>N10PensionNCR</v>
      </c>
    </row>
    <row r="454" spans="1:45" s="125" customFormat="1" ht="25.5" customHeight="1">
      <c r="A454" s="216" t="s">
        <v>1442</v>
      </c>
      <c r="B454" s="217" t="str">
        <f t="shared" si="165"/>
        <v>Reg Asset182301ReclassBE039999</v>
      </c>
      <c r="C454" s="186">
        <v>182301</v>
      </c>
      <c r="D454" s="201" t="s">
        <v>1961</v>
      </c>
      <c r="E454" s="162" t="s">
        <v>3291</v>
      </c>
      <c r="F454" s="169" t="s">
        <v>1728</v>
      </c>
      <c r="G454" s="117" t="s">
        <v>1244</v>
      </c>
      <c r="H454" s="118" t="s">
        <v>635</v>
      </c>
      <c r="I454" s="119"/>
      <c r="J454" s="120"/>
      <c r="K454" s="120" t="str">
        <f t="shared" ref="K454:K468" si="166">IF(L454="N3","SFAS-109","")</f>
        <v/>
      </c>
      <c r="L454" s="170" t="s">
        <v>1893</v>
      </c>
      <c r="M454" s="122" t="str">
        <f t="shared" si="149"/>
        <v>R</v>
      </c>
      <c r="N454" s="116" t="str">
        <f>IF($L454&lt;&gt;"",VLOOKUP($L454,Categories!$E:$G,2,FALSE),IF($F454&lt;&gt;"","NO CAT",""))</f>
        <v>Rate Base</v>
      </c>
      <c r="O454" s="116" t="str">
        <f>IF($L454&lt;&gt;"",VLOOKUP($L454,Categories!$E:$G,3,FALSE),IF($F454&lt;&gt;"","NO CAT",""))</f>
        <v>Deferred Debits &amp; Credits</v>
      </c>
      <c r="P454" s="170" t="s">
        <v>1183</v>
      </c>
      <c r="Q454" s="123" t="s">
        <v>1177</v>
      </c>
      <c r="R454" s="124">
        <v>1</v>
      </c>
      <c r="S454" s="124">
        <v>0</v>
      </c>
      <c r="T454" s="124">
        <v>0</v>
      </c>
      <c r="U454" s="121">
        <f t="shared" si="159"/>
        <v>874.34845333336295</v>
      </c>
      <c r="V454" s="121">
        <f t="shared" si="160"/>
        <v>0</v>
      </c>
      <c r="W454" s="121">
        <f t="shared" si="161"/>
        <v>0</v>
      </c>
      <c r="X454" s="121">
        <f t="shared" si="156"/>
        <v>874.34845333336295</v>
      </c>
      <c r="Y454" s="121">
        <f t="shared" si="162"/>
        <v>2.9336999999999999E-11</v>
      </c>
      <c r="Z454" s="121">
        <f t="shared" si="163"/>
        <v>0</v>
      </c>
      <c r="AA454" s="121">
        <f t="shared" si="164"/>
        <v>0</v>
      </c>
      <c r="AB454" s="121">
        <f t="shared" si="157"/>
        <v>2.9336661100387573E-11</v>
      </c>
      <c r="AC454" s="121">
        <v>2.9336661100387573E-11</v>
      </c>
      <c r="AD454" s="121">
        <v>2.9336661100387573E-11</v>
      </c>
      <c r="AE454" s="121">
        <v>2.9336661100387573E-11</v>
      </c>
      <c r="AF454" s="121">
        <v>2.9336661100387573E-11</v>
      </c>
      <c r="AG454" s="121">
        <v>2.9336661100387573E-11</v>
      </c>
      <c r="AH454" s="121">
        <v>2.9336661100387573E-11</v>
      </c>
      <c r="AI454" s="121">
        <v>7118.4760800000295</v>
      </c>
      <c r="AJ454" s="121">
        <v>3373.705360000029</v>
      </c>
      <c r="AK454" s="121">
        <v>2.9336661100387573E-11</v>
      </c>
      <c r="AL454" s="121">
        <v>2.9336661100387573E-11</v>
      </c>
      <c r="AM454" s="121">
        <v>2.9336661100387573E-11</v>
      </c>
      <c r="AN454" s="121">
        <v>2.9336661100387573E-11</v>
      </c>
      <c r="AO454" s="121">
        <v>2.9336661100387573E-11</v>
      </c>
      <c r="AP454" s="125" t="str">
        <f>CONCATENATE(A454,M454)</f>
        <v>Reg AssetR</v>
      </c>
      <c r="AQ454" s="125" t="str">
        <f>CONCATENATE(AP454,L454,H454)</f>
        <v>Reg AssetRR10NBWC True-up</v>
      </c>
      <c r="AS454" s="125" t="str">
        <f>CONCATENATE(L454,H454,J454)</f>
        <v>R10NBWC True-up</v>
      </c>
    </row>
    <row r="455" spans="1:45" s="125" customFormat="1" ht="25.5" customHeight="1">
      <c r="A455" s="216" t="s">
        <v>1442</v>
      </c>
      <c r="B455" s="217" t="str">
        <f t="shared" si="165"/>
        <v>Reg Asset182301801255BE030579</v>
      </c>
      <c r="C455" s="186">
        <v>182301</v>
      </c>
      <c r="D455" s="201">
        <v>801255</v>
      </c>
      <c r="E455" s="162" t="s">
        <v>1998</v>
      </c>
      <c r="F455" s="169" t="s">
        <v>1728</v>
      </c>
      <c r="G455" s="117" t="s">
        <v>2002</v>
      </c>
      <c r="H455" s="118" t="s">
        <v>2697</v>
      </c>
      <c r="I455" s="119"/>
      <c r="J455" s="120"/>
      <c r="K455" s="120" t="str">
        <f t="shared" ref="K455:K460" si="167">IF(L455="N3","SFAS-109","")</f>
        <v/>
      </c>
      <c r="L455" s="170" t="s">
        <v>928</v>
      </c>
      <c r="M455" s="122" t="str">
        <f t="shared" ref="M455:M460" si="168">LEFT(L455,1)</f>
        <v>N</v>
      </c>
      <c r="N455" s="116" t="str">
        <f>IF($L455&lt;&gt;"",VLOOKUP($L455,Categories!$E:$G,2,FALSE),IF($F455&lt;&gt;"","NO CAT",""))</f>
        <v>Not in Rate Base</v>
      </c>
      <c r="O455" s="116" t="str">
        <f>IF($L455&lt;&gt;"",VLOOKUP($L455,Categories!$E:$G,3,FALSE),IF($F455&lt;&gt;"","NO CAT",""))</f>
        <v>Direct Assign Items Not in RB</v>
      </c>
      <c r="P455" s="170" t="s">
        <v>1186</v>
      </c>
      <c r="Q455" s="123" t="s">
        <v>1187</v>
      </c>
      <c r="R455" s="124">
        <v>0</v>
      </c>
      <c r="S455" s="124">
        <v>0</v>
      </c>
      <c r="T455" s="124">
        <v>1</v>
      </c>
      <c r="U455" s="121">
        <f t="shared" si="159"/>
        <v>0</v>
      </c>
      <c r="V455" s="121">
        <f t="shared" si="160"/>
        <v>0</v>
      </c>
      <c r="W455" s="121">
        <f t="shared" si="161"/>
        <v>10581.25</v>
      </c>
      <c r="X455" s="121">
        <f t="shared" si="156"/>
        <v>10581.25</v>
      </c>
      <c r="Y455" s="121">
        <f t="shared" si="162"/>
        <v>0</v>
      </c>
      <c r="Z455" s="121">
        <f t="shared" si="163"/>
        <v>0</v>
      </c>
      <c r="AA455" s="121">
        <f t="shared" si="164"/>
        <v>10486</v>
      </c>
      <c r="AB455" s="121">
        <f t="shared" si="157"/>
        <v>10486</v>
      </c>
      <c r="AC455" s="121">
        <v>10486</v>
      </c>
      <c r="AD455" s="121">
        <v>10486</v>
      </c>
      <c r="AE455" s="121">
        <v>10486</v>
      </c>
      <c r="AF455" s="121">
        <v>10486</v>
      </c>
      <c r="AG455" s="121">
        <v>10486</v>
      </c>
      <c r="AH455" s="121">
        <v>10486</v>
      </c>
      <c r="AI455" s="121">
        <v>10486</v>
      </c>
      <c r="AJ455" s="121">
        <v>10486</v>
      </c>
      <c r="AK455" s="121">
        <v>10486</v>
      </c>
      <c r="AL455" s="121">
        <v>10486</v>
      </c>
      <c r="AM455" s="121">
        <v>11057.5</v>
      </c>
      <c r="AN455" s="121">
        <v>11057.5</v>
      </c>
      <c r="AO455" s="121">
        <v>10486</v>
      </c>
      <c r="AP455" s="125" t="str">
        <f>CONCATENATE(A455,M455)</f>
        <v>Reg AssetN</v>
      </c>
      <c r="AQ455" s="125" t="str">
        <f>CONCATENATE(AP455,L455,H455)</f>
        <v>Reg AssetNN2CapEx Shareholder Deferral</v>
      </c>
      <c r="AS455" s="125" t="str">
        <f>CONCATENATE(L455,H455,J455)</f>
        <v>N2CapEx Shareholder Deferral</v>
      </c>
    </row>
    <row r="456" spans="1:45" s="125" customFormat="1" ht="25.5" customHeight="1">
      <c r="A456" s="216" t="s">
        <v>1442</v>
      </c>
      <c r="B456" s="217" t="str">
        <f t="shared" ref="B456:B461" si="169">CONCATENATE(A456,C456,D456,E456)</f>
        <v>Reg Asset182301807045-13BE030155</v>
      </c>
      <c r="C456" s="186">
        <v>182301</v>
      </c>
      <c r="D456" s="201" t="s">
        <v>4404</v>
      </c>
      <c r="E456" s="162" t="s">
        <v>1611</v>
      </c>
      <c r="F456" s="169" t="s">
        <v>1728</v>
      </c>
      <c r="G456" s="117" t="s">
        <v>3115</v>
      </c>
      <c r="H456" s="118" t="s">
        <v>556</v>
      </c>
      <c r="I456" s="119"/>
      <c r="J456" s="120"/>
      <c r="K456" s="120" t="str">
        <f t="shared" si="167"/>
        <v/>
      </c>
      <c r="L456" s="170" t="s">
        <v>928</v>
      </c>
      <c r="M456" s="122" t="str">
        <f t="shared" si="168"/>
        <v>N</v>
      </c>
      <c r="N456" s="116" t="str">
        <f>IF($L456&lt;&gt;"",VLOOKUP($L456,Categories!$E:$G,2,FALSE),IF($F456&lt;&gt;"","NO CAT",""))</f>
        <v>Not in Rate Base</v>
      </c>
      <c r="O456" s="116" t="str">
        <f>IF($L456&lt;&gt;"",VLOOKUP($L456,Categories!$E:$G,3,FALSE),IF($F456&lt;&gt;"","NO CAT",""))</f>
        <v>Direct Assign Items Not in RB</v>
      </c>
      <c r="P456" s="170" t="s">
        <v>1186</v>
      </c>
      <c r="Q456" s="123" t="s">
        <v>1187</v>
      </c>
      <c r="R456" s="124">
        <v>0</v>
      </c>
      <c r="S456" s="124">
        <v>0</v>
      </c>
      <c r="T456" s="124">
        <v>1</v>
      </c>
      <c r="U456" s="121">
        <f t="shared" ref="U456:U461" si="170">IF(ABS(X456)=0,"",IF($R456="NO ALLOC","NO ALLOC",ROUND($R456*X456,15)))</f>
        <v>0</v>
      </c>
      <c r="V456" s="121">
        <f t="shared" ref="V456:V461" si="171">IF(ABS(X456)=0,"",IF($S456="NO ALLOC","NO ALLOC",ROUND($S456*X456,15)))</f>
        <v>0</v>
      </c>
      <c r="W456" s="121">
        <f t="shared" ref="W456:W461" si="172">IF(ABS(X456)=0,"",IF($T456="NO ALLOC","NO ALLOC",ROUND($T456*X456,15)))</f>
        <v>-265.91451333333299</v>
      </c>
      <c r="X456" s="121">
        <f t="shared" si="156"/>
        <v>-265.91451333333299</v>
      </c>
      <c r="Y456" s="121">
        <f t="shared" ref="Y456:Y461" si="173">IF(ABS(AB456)=0,"",IF($R456="NO ALLOC","NO ALLOC",ROUND($R456*AB456,15)))</f>
        <v>0</v>
      </c>
      <c r="Z456" s="121">
        <f t="shared" ref="Z456:Z461" si="174">IF(ABS(AB456)=0,"",IF($S456="NO ALLOC","NO ALLOC",ROUND($S456*AB456,15)))</f>
        <v>0</v>
      </c>
      <c r="AA456" s="121">
        <f t="shared" ref="AA456:AA461" si="175">IF(ABS(AB456)=0,"",IF($T456="NO ALLOC","NO ALLOC",ROUND($T456*AB456,15)))</f>
        <v>621.92291999999998</v>
      </c>
      <c r="AB456" s="121">
        <f t="shared" si="157"/>
        <v>621.9229200000002</v>
      </c>
      <c r="AC456" s="121">
        <v>-1161.2635799999998</v>
      </c>
      <c r="AD456" s="121">
        <v>-982.72538999999995</v>
      </c>
      <c r="AE456" s="121">
        <v>-820.16322999999988</v>
      </c>
      <c r="AF456" s="121">
        <v>-664.09626999999989</v>
      </c>
      <c r="AG456" s="121">
        <v>-541.60684999999989</v>
      </c>
      <c r="AH456" s="121">
        <v>-433.99422999999985</v>
      </c>
      <c r="AI456" s="121">
        <v>-308.98741999999987</v>
      </c>
      <c r="AJ456" s="121">
        <v>-177.11085999999986</v>
      </c>
      <c r="AK456" s="121">
        <v>-49.338889999999871</v>
      </c>
      <c r="AL456" s="121">
        <v>189.58813000000015</v>
      </c>
      <c r="AM456" s="121">
        <v>379.58053000000012</v>
      </c>
      <c r="AN456" s="121">
        <v>487.55065000000013</v>
      </c>
      <c r="AO456" s="121">
        <v>621.9229200000002</v>
      </c>
      <c r="AP456" s="125" t="str">
        <f>CONCATENATE(A456,M456)</f>
        <v>Reg AssetN</v>
      </c>
      <c r="AQ456" s="125" t="str">
        <f>CONCATENATE(AP456,L456,H456)</f>
        <v>Reg AssetNN2Merchant Function Charge - Electric</v>
      </c>
      <c r="AS456" s="125" t="str">
        <f>CONCATENATE(L456,H456,J456)</f>
        <v>N2Merchant Function Charge - Electric</v>
      </c>
    </row>
    <row r="457" spans="1:45" s="125" customFormat="1" ht="25.5" customHeight="1">
      <c r="A457" s="216" t="s">
        <v>1442</v>
      </c>
      <c r="B457" s="217" t="str">
        <f t="shared" si="169"/>
        <v>Reg Asset182301801265BE030594</v>
      </c>
      <c r="C457" s="186">
        <v>182301</v>
      </c>
      <c r="D457" s="201">
        <v>801265</v>
      </c>
      <c r="E457" s="162" t="s">
        <v>342</v>
      </c>
      <c r="F457" s="169" t="s">
        <v>1728</v>
      </c>
      <c r="G457" s="117" t="s">
        <v>4527</v>
      </c>
      <c r="H457" s="118" t="s">
        <v>4529</v>
      </c>
      <c r="I457" s="119"/>
      <c r="J457" s="120"/>
      <c r="K457" s="120" t="str">
        <f t="shared" si="167"/>
        <v/>
      </c>
      <c r="L457" s="170" t="s">
        <v>2821</v>
      </c>
      <c r="M457" s="122" t="str">
        <f t="shared" si="168"/>
        <v>N</v>
      </c>
      <c r="N457" s="116" t="str">
        <f>IF($L457&lt;&gt;"",VLOOKUP($L457,Categories!$E:$G,2,FALSE),IF($F457&lt;&gt;"","NO CAT",""))</f>
        <v>Not in Rate Base</v>
      </c>
      <c r="O457" s="116" t="str">
        <f>IF($L457&lt;&gt;"",VLOOKUP($L457,Categories!$E:$G,3,FALSE),IF($F457&lt;&gt;"","NO CAT",""))</f>
        <v>Deferrals Accruing Non-Cash Return   (other than ASGA)</v>
      </c>
      <c r="P457" s="170" t="s">
        <v>1186</v>
      </c>
      <c r="Q457" s="123" t="s">
        <v>1187</v>
      </c>
      <c r="R457" s="124">
        <v>0</v>
      </c>
      <c r="S457" s="124">
        <v>0</v>
      </c>
      <c r="T457" s="124">
        <v>1</v>
      </c>
      <c r="U457" s="121" t="str">
        <f t="shared" si="170"/>
        <v/>
      </c>
      <c r="V457" s="121" t="str">
        <f t="shared" si="171"/>
        <v/>
      </c>
      <c r="W457" s="121" t="str">
        <f t="shared" si="172"/>
        <v/>
      </c>
      <c r="X457" s="121">
        <f t="shared" si="156"/>
        <v>0</v>
      </c>
      <c r="Y457" s="121" t="str">
        <f t="shared" si="173"/>
        <v/>
      </c>
      <c r="Z457" s="121" t="str">
        <f t="shared" si="174"/>
        <v/>
      </c>
      <c r="AA457" s="121" t="str">
        <f t="shared" si="175"/>
        <v/>
      </c>
      <c r="AB457" s="121">
        <f t="shared" si="157"/>
        <v>0</v>
      </c>
      <c r="AC457" s="121">
        <v>0</v>
      </c>
      <c r="AD457" s="121">
        <v>0</v>
      </c>
      <c r="AE457" s="121">
        <v>0</v>
      </c>
      <c r="AF457" s="121">
        <v>0</v>
      </c>
      <c r="AG457" s="121">
        <v>0</v>
      </c>
      <c r="AH457" s="121">
        <v>0</v>
      </c>
      <c r="AI457" s="121">
        <v>0</v>
      </c>
      <c r="AJ457" s="121">
        <v>0</v>
      </c>
      <c r="AK457" s="121">
        <v>0</v>
      </c>
      <c r="AL457" s="121">
        <v>0</v>
      </c>
      <c r="AM457" s="121">
        <v>0</v>
      </c>
      <c r="AN457" s="121">
        <v>0</v>
      </c>
      <c r="AO457" s="121">
        <v>0</v>
      </c>
      <c r="AP457" s="125" t="str">
        <f>CONCATENATE(A457,M457)</f>
        <v>Reg AssetN</v>
      </c>
      <c r="AQ457" s="125" t="str">
        <f>CONCATENATE(AP457,L457,H457)</f>
        <v>Reg AssetNN10Reliability Support Services (RSS)</v>
      </c>
      <c r="AS457" s="125" t="str">
        <f>CONCATENATE(L457,H457,J457)</f>
        <v>N10Reliability Support Services (RSS)</v>
      </c>
    </row>
    <row r="458" spans="1:45" s="125" customFormat="1" ht="25.5" customHeight="1">
      <c r="A458" s="216" t="s">
        <v>1442</v>
      </c>
      <c r="B458" s="217" t="str">
        <f t="shared" si="169"/>
        <v>Reg Asset182301801267BE030594</v>
      </c>
      <c r="C458" s="186">
        <v>182301</v>
      </c>
      <c r="D458" s="201">
        <v>801267</v>
      </c>
      <c r="E458" s="162" t="s">
        <v>342</v>
      </c>
      <c r="F458" s="169" t="s">
        <v>1728</v>
      </c>
      <c r="G458" s="117" t="s">
        <v>4528</v>
      </c>
      <c r="H458" s="118" t="s">
        <v>4529</v>
      </c>
      <c r="I458" s="119"/>
      <c r="J458" s="120"/>
      <c r="K458" s="120" t="str">
        <f t="shared" si="167"/>
        <v/>
      </c>
      <c r="L458" s="170" t="s">
        <v>2821</v>
      </c>
      <c r="M458" s="122" t="str">
        <f t="shared" si="168"/>
        <v>N</v>
      </c>
      <c r="N458" s="116" t="str">
        <f>IF($L458&lt;&gt;"",VLOOKUP($L458,Categories!$E:$G,2,FALSE),IF($F458&lt;&gt;"","NO CAT",""))</f>
        <v>Not in Rate Base</v>
      </c>
      <c r="O458" s="116" t="str">
        <f>IF($L458&lt;&gt;"",VLOOKUP($L458,Categories!$E:$G,3,FALSE),IF($F458&lt;&gt;"","NO CAT",""))</f>
        <v>Deferrals Accruing Non-Cash Return   (other than ASGA)</v>
      </c>
      <c r="P458" s="170" t="s">
        <v>1186</v>
      </c>
      <c r="Q458" s="123" t="s">
        <v>1187</v>
      </c>
      <c r="R458" s="124">
        <v>0</v>
      </c>
      <c r="S458" s="124">
        <v>0</v>
      </c>
      <c r="T458" s="124">
        <v>1</v>
      </c>
      <c r="U458" s="121" t="str">
        <f t="shared" si="170"/>
        <v/>
      </c>
      <c r="V458" s="121" t="str">
        <f t="shared" si="171"/>
        <v/>
      </c>
      <c r="W458" s="121" t="str">
        <f t="shared" si="172"/>
        <v/>
      </c>
      <c r="X458" s="121">
        <f t="shared" si="156"/>
        <v>0</v>
      </c>
      <c r="Y458" s="121" t="str">
        <f t="shared" si="173"/>
        <v/>
      </c>
      <c r="Z458" s="121" t="str">
        <f t="shared" si="174"/>
        <v/>
      </c>
      <c r="AA458" s="121" t="str">
        <f t="shared" si="175"/>
        <v/>
      </c>
      <c r="AB458" s="121">
        <f t="shared" si="157"/>
        <v>0</v>
      </c>
      <c r="AC458" s="121">
        <v>0</v>
      </c>
      <c r="AD458" s="121">
        <v>0</v>
      </c>
      <c r="AE458" s="121">
        <v>0</v>
      </c>
      <c r="AF458" s="121">
        <v>0</v>
      </c>
      <c r="AG458" s="121">
        <v>0</v>
      </c>
      <c r="AH458" s="121">
        <v>0</v>
      </c>
      <c r="AI458" s="121">
        <v>0</v>
      </c>
      <c r="AJ458" s="121">
        <v>0</v>
      </c>
      <c r="AK458" s="121">
        <v>0</v>
      </c>
      <c r="AL458" s="121">
        <v>0</v>
      </c>
      <c r="AM458" s="121">
        <v>0</v>
      </c>
      <c r="AN458" s="121">
        <v>0</v>
      </c>
      <c r="AO458" s="121">
        <v>0</v>
      </c>
      <c r="AP458" s="125" t="str">
        <f>CONCATENATE(A458,M458)</f>
        <v>Reg AssetN</v>
      </c>
      <c r="AQ458" s="125" t="str">
        <f>CONCATENATE(AP458,L458,H458)</f>
        <v>Reg AssetNN10Reliability Support Services (RSS)</v>
      </c>
      <c r="AS458" s="125" t="str">
        <f>CONCATENATE(L458,H458,J458)</f>
        <v>N10Reliability Support Services (RSS)</v>
      </c>
    </row>
    <row r="459" spans="1:45" s="125" customFormat="1" ht="25.5" customHeight="1">
      <c r="A459" s="216" t="s">
        <v>1442</v>
      </c>
      <c r="B459" s="217" t="str">
        <f t="shared" si="169"/>
        <v>Reg Asset182301801264BE030932</v>
      </c>
      <c r="C459" s="186">
        <v>182301</v>
      </c>
      <c r="D459" s="201">
        <v>801264</v>
      </c>
      <c r="E459" s="162" t="s">
        <v>4392</v>
      </c>
      <c r="F459" s="169" t="s">
        <v>1728</v>
      </c>
      <c r="G459" s="117" t="s">
        <v>4561</v>
      </c>
      <c r="H459" s="118" t="s">
        <v>4564</v>
      </c>
      <c r="I459" s="119"/>
      <c r="J459" s="120"/>
      <c r="K459" s="120" t="str">
        <f t="shared" si="167"/>
        <v/>
      </c>
      <c r="L459" s="170" t="s">
        <v>1893</v>
      </c>
      <c r="M459" s="122" t="str">
        <f t="shared" si="168"/>
        <v>R</v>
      </c>
      <c r="N459" s="116" t="str">
        <f>IF($L459&lt;&gt;"",VLOOKUP($L459,Categories!$E:$G,2,FALSE),IF($F459&lt;&gt;"","NO CAT",""))</f>
        <v>Rate Base</v>
      </c>
      <c r="O459" s="116" t="str">
        <f>IF($L459&lt;&gt;"",VLOOKUP($L459,Categories!$E:$G,3,FALSE),IF($F459&lt;&gt;"","NO CAT",""))</f>
        <v>Deferred Debits &amp; Credits</v>
      </c>
      <c r="P459" s="170" t="s">
        <v>1183</v>
      </c>
      <c r="Q459" s="123" t="s">
        <v>1177</v>
      </c>
      <c r="R459" s="124">
        <v>1</v>
      </c>
      <c r="S459" s="124">
        <v>0</v>
      </c>
      <c r="T459" s="124">
        <v>0</v>
      </c>
      <c r="U459" s="121" t="str">
        <f t="shared" si="170"/>
        <v/>
      </c>
      <c r="V459" s="121" t="str">
        <f t="shared" si="171"/>
        <v/>
      </c>
      <c r="W459" s="121" t="str">
        <f t="shared" si="172"/>
        <v/>
      </c>
      <c r="X459" s="121">
        <f t="shared" si="156"/>
        <v>0</v>
      </c>
      <c r="Y459" s="121" t="str">
        <f t="shared" si="173"/>
        <v/>
      </c>
      <c r="Z459" s="121" t="str">
        <f t="shared" si="174"/>
        <v/>
      </c>
      <c r="AA459" s="121" t="str">
        <f t="shared" si="175"/>
        <v/>
      </c>
      <c r="AB459" s="121">
        <f t="shared" si="157"/>
        <v>0</v>
      </c>
      <c r="AC459" s="121">
        <v>0</v>
      </c>
      <c r="AD459" s="121">
        <v>0</v>
      </c>
      <c r="AE459" s="121">
        <v>0</v>
      </c>
      <c r="AF459" s="121">
        <v>0</v>
      </c>
      <c r="AG459" s="121">
        <v>0</v>
      </c>
      <c r="AH459" s="121">
        <v>0</v>
      </c>
      <c r="AI459" s="121">
        <v>0</v>
      </c>
      <c r="AJ459" s="121">
        <v>0</v>
      </c>
      <c r="AK459" s="121">
        <v>0</v>
      </c>
      <c r="AL459" s="121">
        <v>0</v>
      </c>
      <c r="AM459" s="121">
        <v>0</v>
      </c>
      <c r="AN459" s="121">
        <v>0</v>
      </c>
      <c r="AO459" s="121">
        <v>0</v>
      </c>
      <c r="AP459" s="125" t="str">
        <f>CONCATENATE(A459,M459)</f>
        <v>Reg AssetR</v>
      </c>
      <c r="AQ459" s="125" t="str">
        <f>CONCATENATE(AP459,L459,H459)</f>
        <v>Reg AssetRR10Funded DIT Tax True-up Deferral</v>
      </c>
      <c r="AS459" s="125" t="str">
        <f>CONCATENATE(L459,H459,J459)</f>
        <v>R10Funded DIT Tax True-up Deferral</v>
      </c>
    </row>
    <row r="460" spans="1:45" s="125" customFormat="1" ht="25.5" customHeight="1">
      <c r="A460" s="216" t="s">
        <v>1442</v>
      </c>
      <c r="B460" s="217" t="str">
        <f t="shared" si="169"/>
        <v>Reg Asset182301BEHUNGDT</v>
      </c>
      <c r="C460" s="186">
        <v>182301</v>
      </c>
      <c r="D460" s="201"/>
      <c r="E460" s="162" t="s">
        <v>4396</v>
      </c>
      <c r="F460" s="169" t="s">
        <v>1728</v>
      </c>
      <c r="G460" s="117" t="s">
        <v>4405</v>
      </c>
      <c r="H460" s="118" t="s">
        <v>1167</v>
      </c>
      <c r="I460" s="119"/>
      <c r="J460" s="120"/>
      <c r="K460" s="120" t="str">
        <f t="shared" si="167"/>
        <v/>
      </c>
      <c r="L460" s="170" t="s">
        <v>1893</v>
      </c>
      <c r="M460" s="122" t="str">
        <f t="shared" si="168"/>
        <v>R</v>
      </c>
      <c r="N460" s="116" t="str">
        <f>IF($L460&lt;&gt;"",VLOOKUP($L460,Categories!$E:$G,2,FALSE),IF($F460&lt;&gt;"","NO CAT",""))</f>
        <v>Rate Base</v>
      </c>
      <c r="O460" s="116" t="str">
        <f>IF($L460&lt;&gt;"",VLOOKUP($L460,Categories!$E:$G,3,FALSE),IF($F460&lt;&gt;"","NO CAT",""))</f>
        <v>Deferred Debits &amp; Credits</v>
      </c>
      <c r="P460" s="170" t="s">
        <v>1183</v>
      </c>
      <c r="Q460" s="123" t="s">
        <v>1177</v>
      </c>
      <c r="R460" s="124">
        <v>1</v>
      </c>
      <c r="S460" s="124">
        <v>0</v>
      </c>
      <c r="T460" s="124">
        <v>0</v>
      </c>
      <c r="U460" s="121" t="str">
        <f t="shared" si="170"/>
        <v/>
      </c>
      <c r="V460" s="121" t="str">
        <f t="shared" si="171"/>
        <v/>
      </c>
      <c r="W460" s="121" t="str">
        <f t="shared" si="172"/>
        <v/>
      </c>
      <c r="X460" s="121">
        <f t="shared" si="156"/>
        <v>0</v>
      </c>
      <c r="Y460" s="121" t="str">
        <f t="shared" si="173"/>
        <v/>
      </c>
      <c r="Z460" s="121" t="str">
        <f t="shared" si="174"/>
        <v/>
      </c>
      <c r="AA460" s="121" t="str">
        <f t="shared" si="175"/>
        <v/>
      </c>
      <c r="AB460" s="121">
        <f t="shared" si="157"/>
        <v>0</v>
      </c>
      <c r="AC460" s="121">
        <v>0</v>
      </c>
      <c r="AD460" s="121">
        <v>0</v>
      </c>
      <c r="AE460" s="121">
        <v>0</v>
      </c>
      <c r="AF460" s="121">
        <v>0</v>
      </c>
      <c r="AG460" s="121">
        <v>0</v>
      </c>
      <c r="AH460" s="121">
        <v>0</v>
      </c>
      <c r="AI460" s="121">
        <v>0</v>
      </c>
      <c r="AJ460" s="121">
        <v>0</v>
      </c>
      <c r="AK460" s="121">
        <v>0</v>
      </c>
      <c r="AL460" s="121">
        <v>0</v>
      </c>
      <c r="AM460" s="121">
        <v>0</v>
      </c>
      <c r="AN460" s="121">
        <v>0</v>
      </c>
      <c r="AO460" s="121">
        <v>0</v>
      </c>
      <c r="AP460" s="125" t="str">
        <f>CONCATENATE(A460,M460)</f>
        <v>Reg AssetR</v>
      </c>
      <c r="AQ460" s="125" t="str">
        <f>CONCATENATE(AP460,L460,H460)</f>
        <v>Reg AssetRR10Hung Deferred Taxes</v>
      </c>
      <c r="AS460" s="125" t="str">
        <f>CONCATENATE(L460,H460,J460)</f>
        <v>R10Hung Deferred Taxes</v>
      </c>
    </row>
    <row r="461" spans="1:45" s="125" customFormat="1" ht="25.5" customHeight="1">
      <c r="A461" s="216" t="s">
        <v>1442</v>
      </c>
      <c r="B461" s="217" t="str">
        <f t="shared" si="169"/>
        <v>Reg Asset182301810000BE030936</v>
      </c>
      <c r="C461" s="186">
        <v>182301</v>
      </c>
      <c r="D461" s="201">
        <v>810000</v>
      </c>
      <c r="E461" s="162" t="s">
        <v>4671</v>
      </c>
      <c r="F461" s="169" t="s">
        <v>1728</v>
      </c>
      <c r="G461" s="117" t="s">
        <v>4672</v>
      </c>
      <c r="H461" s="118" t="s">
        <v>4673</v>
      </c>
      <c r="I461" s="119"/>
      <c r="J461" s="120"/>
      <c r="K461" s="120" t="str">
        <f>IF(L461="N3","SFAS-109","")</f>
        <v/>
      </c>
      <c r="L461" s="170" t="s">
        <v>1893</v>
      </c>
      <c r="M461" s="122" t="str">
        <f>LEFT(L461,1)</f>
        <v>R</v>
      </c>
      <c r="N461" s="116" t="str">
        <f>IF($L461&lt;&gt;"",VLOOKUP($L461,Categories!$E:$G,2,FALSE),IF($F461&lt;&gt;"","NO CAT",""))</f>
        <v>Rate Base</v>
      </c>
      <c r="O461" s="116" t="str">
        <f>IF($L461&lt;&gt;"",VLOOKUP($L461,Categories!$E:$G,3,FALSE),IF($F461&lt;&gt;"","NO CAT",""))</f>
        <v>Deferred Debits &amp; Credits</v>
      </c>
      <c r="P461" s="170" t="s">
        <v>1183</v>
      </c>
      <c r="Q461" s="123" t="s">
        <v>1177</v>
      </c>
      <c r="R461" s="124">
        <v>1</v>
      </c>
      <c r="S461" s="124">
        <v>0</v>
      </c>
      <c r="T461" s="124">
        <v>0</v>
      </c>
      <c r="U461" s="121">
        <f t="shared" si="170"/>
        <v>3333.75</v>
      </c>
      <c r="V461" s="121">
        <f t="shared" si="171"/>
        <v>0</v>
      </c>
      <c r="W461" s="121">
        <f t="shared" si="172"/>
        <v>0</v>
      </c>
      <c r="X461" s="121">
        <f t="shared" si="156"/>
        <v>3333.75</v>
      </c>
      <c r="Y461" s="121">
        <f t="shared" si="173"/>
        <v>6858</v>
      </c>
      <c r="Z461" s="121">
        <f t="shared" si="174"/>
        <v>0</v>
      </c>
      <c r="AA461" s="121">
        <f t="shared" si="175"/>
        <v>0</v>
      </c>
      <c r="AB461" s="121">
        <f t="shared" si="157"/>
        <v>6858</v>
      </c>
      <c r="AC461" s="121"/>
      <c r="AD461" s="121">
        <v>571.5</v>
      </c>
      <c r="AE461" s="121">
        <v>1143</v>
      </c>
      <c r="AF461" s="121">
        <v>1714.5</v>
      </c>
      <c r="AG461" s="121">
        <v>2286</v>
      </c>
      <c r="AH461" s="121">
        <v>2857.5</v>
      </c>
      <c r="AI461" s="121">
        <v>3429</v>
      </c>
      <c r="AJ461" s="121">
        <v>4000.5</v>
      </c>
      <c r="AK461" s="121">
        <v>4572</v>
      </c>
      <c r="AL461" s="121">
        <v>5143.5</v>
      </c>
      <c r="AM461" s="121">
        <v>5143.5</v>
      </c>
      <c r="AN461" s="121">
        <v>5715</v>
      </c>
      <c r="AO461" s="121">
        <v>6858</v>
      </c>
      <c r="AP461" s="125" t="str">
        <f>CONCATENATE(A461,M461)</f>
        <v>Reg AssetR</v>
      </c>
      <c r="AQ461" s="125" t="str">
        <f>CONCATENATE(AP461,L461,H461)</f>
        <v>Reg AssetRR10Continuation of Current Amorts Until New Rates Reset</v>
      </c>
      <c r="AS461" s="125" t="str">
        <f>CONCATENATE(L461,H461,J461)</f>
        <v>R10Continuation of Current Amorts Until New Rates Reset</v>
      </c>
    </row>
    <row r="462" spans="1:45" s="125" customFormat="1" ht="25.5" customHeight="1">
      <c r="A462" s="216" t="s">
        <v>1442</v>
      </c>
      <c r="B462" s="217" t="str">
        <f t="shared" si="165"/>
        <v>Reg Asset182303808003-10BG030247</v>
      </c>
      <c r="C462" s="186">
        <v>182303</v>
      </c>
      <c r="D462" s="201" t="s">
        <v>572</v>
      </c>
      <c r="E462" s="162" t="s">
        <v>1675</v>
      </c>
      <c r="F462" s="169" t="s">
        <v>1538</v>
      </c>
      <c r="G462" s="117" t="s">
        <v>573</v>
      </c>
      <c r="H462" s="118" t="s">
        <v>2224</v>
      </c>
      <c r="I462" s="119"/>
      <c r="J462" s="120"/>
      <c r="K462" s="120" t="str">
        <f>IF(L462="N3","SFAS-109","")</f>
        <v/>
      </c>
      <c r="L462" s="170" t="s">
        <v>928</v>
      </c>
      <c r="M462" s="122" t="str">
        <f t="shared" si="149"/>
        <v>N</v>
      </c>
      <c r="N462" s="116" t="str">
        <f>IF($L462&lt;&gt;"",VLOOKUP($L462,Categories!$E:$G,2,FALSE),IF($F462&lt;&gt;"","NO CAT",""))</f>
        <v>Not in Rate Base</v>
      </c>
      <c r="O462" s="116" t="str">
        <f>IF($L462&lt;&gt;"",VLOOKUP($L462,Categories!$E:$G,3,FALSE),IF($F462&lt;&gt;"","NO CAT",""))</f>
        <v>Direct Assign Items Not in RB</v>
      </c>
      <c r="P462" s="170" t="s">
        <v>1186</v>
      </c>
      <c r="Q462" s="123" t="s">
        <v>1187</v>
      </c>
      <c r="R462" s="124">
        <v>0</v>
      </c>
      <c r="S462" s="124">
        <v>0</v>
      </c>
      <c r="T462" s="124">
        <v>1</v>
      </c>
      <c r="U462" s="121" t="str">
        <f t="shared" si="159"/>
        <v/>
      </c>
      <c r="V462" s="121" t="str">
        <f t="shared" si="160"/>
        <v/>
      </c>
      <c r="W462" s="121" t="str">
        <f t="shared" si="161"/>
        <v/>
      </c>
      <c r="X462" s="121">
        <f t="shared" ref="X462:X498" si="176">IF(ISERROR(ROUND((SUM(AC462:AO462)-((AC462+AO462))/2)/12,15)),"",ROUND((SUM(AC462:AO462)-((AC462+AO462))/2)/12,15))</f>
        <v>0</v>
      </c>
      <c r="Y462" s="121" t="str">
        <f t="shared" si="162"/>
        <v/>
      </c>
      <c r="Z462" s="121" t="str">
        <f t="shared" si="163"/>
        <v/>
      </c>
      <c r="AA462" s="121" t="str">
        <f t="shared" si="164"/>
        <v/>
      </c>
      <c r="AB462" s="121">
        <f t="shared" ref="AB462:AB498" si="177">IF(AO462="",0,+AO462)</f>
        <v>0</v>
      </c>
      <c r="AC462" s="121">
        <v>0</v>
      </c>
      <c r="AD462" s="121">
        <v>0</v>
      </c>
      <c r="AE462" s="121">
        <v>0</v>
      </c>
      <c r="AF462" s="121">
        <v>0</v>
      </c>
      <c r="AG462" s="121">
        <v>0</v>
      </c>
      <c r="AH462" s="121">
        <v>0</v>
      </c>
      <c r="AI462" s="121">
        <v>0</v>
      </c>
      <c r="AJ462" s="121">
        <v>0</v>
      </c>
      <c r="AK462" s="121">
        <v>0</v>
      </c>
      <c r="AL462" s="121">
        <v>0</v>
      </c>
      <c r="AM462" s="121">
        <v>0</v>
      </c>
      <c r="AN462" s="121">
        <v>0</v>
      </c>
      <c r="AO462" s="121">
        <v>0</v>
      </c>
      <c r="AP462" s="125" t="str">
        <f>CONCATENATE(A462,M462)</f>
        <v>Reg AssetN</v>
      </c>
      <c r="AQ462" s="125" t="str">
        <f>CONCATENATE(AP462,L462,H462)</f>
        <v>Reg AssetNN2Merchant Function Charge - Gas</v>
      </c>
      <c r="AS462" s="125" t="str">
        <f>CONCATENATE(L462,H462,J462)</f>
        <v>N2Merchant Function Charge - Gas</v>
      </c>
    </row>
    <row r="463" spans="1:45" s="125" customFormat="1" ht="25.5" customHeight="1">
      <c r="A463" s="216" t="s">
        <v>1442</v>
      </c>
      <c r="B463" s="217" t="str">
        <f t="shared" si="165"/>
        <v>Reg Asset182303808003-11BG030247</v>
      </c>
      <c r="C463" s="186">
        <v>182303</v>
      </c>
      <c r="D463" s="202" t="s">
        <v>1064</v>
      </c>
      <c r="E463" s="163" t="s">
        <v>1675</v>
      </c>
      <c r="F463" s="169" t="s">
        <v>1538</v>
      </c>
      <c r="G463" s="126" t="s">
        <v>1248</v>
      </c>
      <c r="H463" s="118" t="s">
        <v>2224</v>
      </c>
      <c r="I463" s="119"/>
      <c r="J463" s="120"/>
      <c r="K463" s="120" t="str">
        <f>IF(L463="N3","SFAS-109","")</f>
        <v/>
      </c>
      <c r="L463" s="170" t="s">
        <v>928</v>
      </c>
      <c r="M463" s="122" t="str">
        <f>LEFT(L463,1)</f>
        <v>N</v>
      </c>
      <c r="N463" s="116" t="str">
        <f>IF($L463&lt;&gt;"",VLOOKUP($L463,Categories!$E:$G,2,FALSE),IF($F463&lt;&gt;"","NO CAT",""))</f>
        <v>Not in Rate Base</v>
      </c>
      <c r="O463" s="116" t="str">
        <f>IF($L463&lt;&gt;"",VLOOKUP($L463,Categories!$E:$G,3,FALSE),IF($F463&lt;&gt;"","NO CAT",""))</f>
        <v>Direct Assign Items Not in RB</v>
      </c>
      <c r="P463" s="170" t="s">
        <v>1186</v>
      </c>
      <c r="Q463" s="123" t="s">
        <v>1187</v>
      </c>
      <c r="R463" s="124">
        <v>0</v>
      </c>
      <c r="S463" s="124">
        <v>0</v>
      </c>
      <c r="T463" s="124">
        <v>1</v>
      </c>
      <c r="U463" s="121">
        <f t="shared" si="159"/>
        <v>0</v>
      </c>
      <c r="V463" s="121">
        <f t="shared" si="160"/>
        <v>0</v>
      </c>
      <c r="W463" s="121">
        <f t="shared" si="161"/>
        <v>-202.62592000000001</v>
      </c>
      <c r="X463" s="121">
        <f t="shared" si="176"/>
        <v>-202.62592000000001</v>
      </c>
      <c r="Y463" s="121">
        <f t="shared" si="162"/>
        <v>0</v>
      </c>
      <c r="Z463" s="121">
        <f t="shared" si="163"/>
        <v>0</v>
      </c>
      <c r="AA463" s="121">
        <f t="shared" si="164"/>
        <v>-202.62592000000001</v>
      </c>
      <c r="AB463" s="121">
        <f t="shared" si="177"/>
        <v>-202.62592000000015</v>
      </c>
      <c r="AC463" s="121">
        <v>-202.62592000000015</v>
      </c>
      <c r="AD463" s="121">
        <v>-202.62592000000015</v>
      </c>
      <c r="AE463" s="121">
        <v>-202.62592000000015</v>
      </c>
      <c r="AF463" s="121">
        <v>-202.62592000000015</v>
      </c>
      <c r="AG463" s="121">
        <v>-202.62592000000015</v>
      </c>
      <c r="AH463" s="121">
        <v>-202.62592000000015</v>
      </c>
      <c r="AI463" s="121">
        <v>-202.62592000000015</v>
      </c>
      <c r="AJ463" s="121">
        <v>-202.62592000000015</v>
      </c>
      <c r="AK463" s="121">
        <v>-202.62592000000015</v>
      </c>
      <c r="AL463" s="121">
        <v>-202.62592000000015</v>
      </c>
      <c r="AM463" s="121">
        <v>-202.62592000000015</v>
      </c>
      <c r="AN463" s="121">
        <v>-202.62592000000015</v>
      </c>
      <c r="AO463" s="121">
        <v>-202.62592000000015</v>
      </c>
      <c r="AP463" s="125" t="str">
        <f>CONCATENATE(A463,M463)</f>
        <v>Reg AssetN</v>
      </c>
      <c r="AQ463" s="125" t="str">
        <f>CONCATENATE(AP463,L463,H463)</f>
        <v>Reg AssetNN2Merchant Function Charge - Gas</v>
      </c>
      <c r="AS463" s="125" t="str">
        <f>CONCATENATE(L463,H463,J463)</f>
        <v>N2Merchant Function Charge - Gas</v>
      </c>
    </row>
    <row r="464" spans="1:45" s="125" customFormat="1" ht="25.5" customHeight="1">
      <c r="A464" s="216" t="s">
        <v>1442</v>
      </c>
      <c r="B464" s="217" t="str">
        <f t="shared" si="165"/>
        <v>Reg Asset182303808003-12BG030247</v>
      </c>
      <c r="C464" s="186">
        <v>182303</v>
      </c>
      <c r="D464" s="202" t="s">
        <v>2325</v>
      </c>
      <c r="E464" s="163" t="s">
        <v>1675</v>
      </c>
      <c r="F464" s="169" t="s">
        <v>1538</v>
      </c>
      <c r="G464" s="126" t="s">
        <v>2324</v>
      </c>
      <c r="H464" s="118" t="s">
        <v>2224</v>
      </c>
      <c r="I464" s="119"/>
      <c r="J464" s="120"/>
      <c r="K464" s="120" t="str">
        <f>IF(L464="N3","SFAS-109","")</f>
        <v/>
      </c>
      <c r="L464" s="170" t="s">
        <v>928</v>
      </c>
      <c r="M464" s="122" t="str">
        <f>LEFT(L464,1)</f>
        <v>N</v>
      </c>
      <c r="N464" s="116" t="str">
        <f>IF($L464&lt;&gt;"",VLOOKUP($L464,Categories!$E:$G,2,FALSE),IF($F464&lt;&gt;"","NO CAT",""))</f>
        <v>Not in Rate Base</v>
      </c>
      <c r="O464" s="116" t="str">
        <f>IF($L464&lt;&gt;"",VLOOKUP($L464,Categories!$E:$G,3,FALSE),IF($F464&lt;&gt;"","NO CAT",""))</f>
        <v>Direct Assign Items Not in RB</v>
      </c>
      <c r="P464" s="170" t="s">
        <v>1186</v>
      </c>
      <c r="Q464" s="123" t="s">
        <v>1187</v>
      </c>
      <c r="R464" s="124">
        <v>0</v>
      </c>
      <c r="S464" s="124">
        <v>0</v>
      </c>
      <c r="T464" s="124">
        <v>1</v>
      </c>
      <c r="U464" s="121">
        <f t="shared" si="159"/>
        <v>0</v>
      </c>
      <c r="V464" s="121">
        <f t="shared" si="160"/>
        <v>0</v>
      </c>
      <c r="W464" s="121">
        <f t="shared" si="161"/>
        <v>-196.96384041666599</v>
      </c>
      <c r="X464" s="121">
        <f t="shared" si="176"/>
        <v>-196.96384041666599</v>
      </c>
      <c r="Y464" s="121">
        <f t="shared" si="162"/>
        <v>0</v>
      </c>
      <c r="Z464" s="121">
        <f t="shared" si="163"/>
        <v>0</v>
      </c>
      <c r="AA464" s="121">
        <f t="shared" si="164"/>
        <v>359.92818999999997</v>
      </c>
      <c r="AB464" s="121">
        <f t="shared" si="177"/>
        <v>359.92819000000043</v>
      </c>
      <c r="AC464" s="121">
        <v>-1481.8975999999996</v>
      </c>
      <c r="AD464" s="121">
        <v>-1064.4647499999996</v>
      </c>
      <c r="AE464" s="121">
        <v>-700.31180999999958</v>
      </c>
      <c r="AF464" s="121">
        <v>-346.19430999999958</v>
      </c>
      <c r="AG464" s="121">
        <v>-174.21647999999956</v>
      </c>
      <c r="AH464" s="121">
        <v>-100.92596999999957</v>
      </c>
      <c r="AI464" s="121">
        <v>-54.766339999999566</v>
      </c>
      <c r="AJ464" s="121">
        <v>-24.458399999999564</v>
      </c>
      <c r="AK464" s="121">
        <v>48.438890000000441</v>
      </c>
      <c r="AL464" s="121">
        <v>103.40163000000044</v>
      </c>
      <c r="AM464" s="121">
        <v>218.47164000000046</v>
      </c>
      <c r="AN464" s="121">
        <v>292.44452000000041</v>
      </c>
      <c r="AO464" s="121">
        <v>359.92819000000043</v>
      </c>
      <c r="AP464" s="125" t="str">
        <f>CONCATENATE(A464,M464)</f>
        <v>Reg AssetN</v>
      </c>
      <c r="AQ464" s="125" t="str">
        <f>CONCATENATE(AP464,L464,H464)</f>
        <v>Reg AssetNN2Merchant Function Charge - Gas</v>
      </c>
      <c r="AS464" s="125" t="str">
        <f>CONCATENATE(L464,H464,J464)</f>
        <v>N2Merchant Function Charge - Gas</v>
      </c>
    </row>
    <row r="465" spans="1:45" s="125" customFormat="1" ht="25.5" customHeight="1">
      <c r="A465" s="216" t="s">
        <v>1442</v>
      </c>
      <c r="B465" s="217" t="str">
        <f>CONCATENATE(A465,C465,D465,E465)</f>
        <v>Reg Asset182303808003-13BG030247</v>
      </c>
      <c r="C465" s="186">
        <v>182303</v>
      </c>
      <c r="D465" s="202" t="s">
        <v>4313</v>
      </c>
      <c r="E465" s="163" t="s">
        <v>1675</v>
      </c>
      <c r="F465" s="169" t="s">
        <v>1538</v>
      </c>
      <c r="G465" s="126" t="s">
        <v>4314</v>
      </c>
      <c r="H465" s="118" t="s">
        <v>2224</v>
      </c>
      <c r="I465" s="119"/>
      <c r="J465" s="120"/>
      <c r="K465" s="120" t="str">
        <f>IF(L465="N3","SFAS-109","")</f>
        <v/>
      </c>
      <c r="L465" s="170" t="s">
        <v>928</v>
      </c>
      <c r="M465" s="122" t="str">
        <f>LEFT(L465,1)</f>
        <v>N</v>
      </c>
      <c r="N465" s="116" t="str">
        <f>IF($L465&lt;&gt;"",VLOOKUP($L465,Categories!$E:$G,2,FALSE),IF($F465&lt;&gt;"","NO CAT",""))</f>
        <v>Not in Rate Base</v>
      </c>
      <c r="O465" s="116" t="str">
        <f>IF($L465&lt;&gt;"",VLOOKUP($L465,Categories!$E:$G,3,FALSE),IF($F465&lt;&gt;"","NO CAT",""))</f>
        <v>Direct Assign Items Not in RB</v>
      </c>
      <c r="P465" s="170" t="s">
        <v>1186</v>
      </c>
      <c r="Q465" s="123" t="s">
        <v>1187</v>
      </c>
      <c r="R465" s="124">
        <v>0</v>
      </c>
      <c r="S465" s="124">
        <v>0</v>
      </c>
      <c r="T465" s="124">
        <v>1</v>
      </c>
      <c r="U465" s="121">
        <f>IF(ABS(X465)=0,"",IF($R465="NO ALLOC","NO ALLOC",ROUND($R465*X465,15)))</f>
        <v>0</v>
      </c>
      <c r="V465" s="121">
        <f>IF(ABS(X465)=0,"",IF($S465="NO ALLOC","NO ALLOC",ROUND($S465*X465,15)))</f>
        <v>0</v>
      </c>
      <c r="W465" s="121">
        <f>IF(ABS(X465)=0,"",IF($T465="NO ALLOC","NO ALLOC",ROUND($T465*X465,15)))</f>
        <v>-329.84492333333299</v>
      </c>
      <c r="X465" s="121">
        <f t="shared" si="176"/>
        <v>-329.84492333333299</v>
      </c>
      <c r="Y465" s="121">
        <f>IF(ABS(AB465)=0,"",IF($R465="NO ALLOC","NO ALLOC",ROUND($R465*AB465,15)))</f>
        <v>0</v>
      </c>
      <c r="Z465" s="121">
        <f>IF(ABS(AB465)=0,"",IF($S465="NO ALLOC","NO ALLOC",ROUND($S465*AB465,15)))</f>
        <v>0</v>
      </c>
      <c r="AA465" s="121">
        <f>IF(ABS(AB465)=0,"",IF($T465="NO ALLOC","NO ALLOC",ROUND($T465*AB465,15)))</f>
        <v>-163.52438000000001</v>
      </c>
      <c r="AB465" s="121">
        <f t="shared" si="177"/>
        <v>-163.52438000000006</v>
      </c>
      <c r="AC465" s="121">
        <v>122.85552000000001</v>
      </c>
      <c r="AD465" s="121">
        <v>-176.98525000000001</v>
      </c>
      <c r="AE465" s="121">
        <v>-436.88040000000001</v>
      </c>
      <c r="AF465" s="121">
        <v>-710.43631000000005</v>
      </c>
      <c r="AG465" s="121">
        <v>-755.20558000000005</v>
      </c>
      <c r="AH465" s="121">
        <v>-671.53249000000005</v>
      </c>
      <c r="AI465" s="121">
        <v>-538.99755000000005</v>
      </c>
      <c r="AJ465" s="121">
        <v>-365.92294000000004</v>
      </c>
      <c r="AK465" s="121">
        <v>-227.41118000000006</v>
      </c>
      <c r="AL465" s="121">
        <v>-63.633470000000059</v>
      </c>
      <c r="AM465" s="121">
        <v>41.85235999999994</v>
      </c>
      <c r="AN465" s="121">
        <v>-32.651840000000057</v>
      </c>
      <c r="AO465" s="121">
        <v>-163.52438000000006</v>
      </c>
      <c r="AP465" s="125" t="str">
        <f>CONCATENATE(A465,M465)</f>
        <v>Reg AssetN</v>
      </c>
      <c r="AQ465" s="125" t="str">
        <f>CONCATENATE(AP465,L465,H465)</f>
        <v>Reg AssetNN2Merchant Function Charge - Gas</v>
      </c>
      <c r="AS465" s="125" t="str">
        <f>CONCATENATE(L465,H465,J465)</f>
        <v>N2Merchant Function Charge - Gas</v>
      </c>
    </row>
    <row r="466" spans="1:45" s="125" customFormat="1" ht="25.5" customHeight="1">
      <c r="A466" s="216" t="s">
        <v>1442</v>
      </c>
      <c r="B466" s="217" t="str">
        <f t="shared" si="165"/>
        <v>Reg Asset182303809009BG030582</v>
      </c>
      <c r="C466" s="186">
        <v>182303</v>
      </c>
      <c r="D466" s="201">
        <v>809009</v>
      </c>
      <c r="E466" s="162" t="s">
        <v>3222</v>
      </c>
      <c r="F466" s="169" t="s">
        <v>1538</v>
      </c>
      <c r="G466" s="117" t="s">
        <v>462</v>
      </c>
      <c r="H466" s="118" t="s">
        <v>1844</v>
      </c>
      <c r="I466" s="119"/>
      <c r="J466" s="120" t="s">
        <v>105</v>
      </c>
      <c r="K466" s="120" t="str">
        <f t="shared" si="166"/>
        <v/>
      </c>
      <c r="L466" s="170" t="s">
        <v>2821</v>
      </c>
      <c r="M466" s="122" t="str">
        <f t="shared" si="149"/>
        <v>N</v>
      </c>
      <c r="N466" s="116" t="str">
        <f>IF($L466&lt;&gt;"",VLOOKUP($L466,Categories!$E:$G,2,FALSE),IF($F466&lt;&gt;"","NO CAT",""))</f>
        <v>Not in Rate Base</v>
      </c>
      <c r="O466" s="116" t="str">
        <f>IF($L466&lt;&gt;"",VLOOKUP($L466,Categories!$E:$G,3,FALSE),IF($F466&lt;&gt;"","NO CAT",""))</f>
        <v>Deferrals Accruing Non-Cash Return   (other than ASGA)</v>
      </c>
      <c r="P466" s="170" t="s">
        <v>1186</v>
      </c>
      <c r="Q466" s="123" t="s">
        <v>1187</v>
      </c>
      <c r="R466" s="124">
        <v>0</v>
      </c>
      <c r="S466" s="124">
        <v>0</v>
      </c>
      <c r="T466" s="124">
        <v>1</v>
      </c>
      <c r="U466" s="121">
        <f t="shared" si="159"/>
        <v>0</v>
      </c>
      <c r="V466" s="121">
        <f t="shared" si="160"/>
        <v>0</v>
      </c>
      <c r="W466" s="121">
        <f t="shared" si="161"/>
        <v>875.87044041666604</v>
      </c>
      <c r="X466" s="121">
        <f t="shared" si="176"/>
        <v>875.87044041666604</v>
      </c>
      <c r="Y466" s="121">
        <f t="shared" si="162"/>
        <v>0</v>
      </c>
      <c r="Z466" s="121">
        <f t="shared" si="163"/>
        <v>0</v>
      </c>
      <c r="AA466" s="121">
        <f t="shared" si="164"/>
        <v>1688.50729</v>
      </c>
      <c r="AB466" s="121">
        <f t="shared" si="177"/>
        <v>1688.5072899999996</v>
      </c>
      <c r="AC466" s="121">
        <v>0</v>
      </c>
      <c r="AD466" s="121">
        <v>0</v>
      </c>
      <c r="AE466" s="121">
        <v>0</v>
      </c>
      <c r="AF466" s="121">
        <v>0</v>
      </c>
      <c r="AG466" s="121">
        <v>0</v>
      </c>
      <c r="AH466" s="121">
        <v>0</v>
      </c>
      <c r="AI466" s="121">
        <v>0</v>
      </c>
      <c r="AJ466" s="121">
        <v>1726.9366299999999</v>
      </c>
      <c r="AK466" s="121">
        <v>2190.9106799999995</v>
      </c>
      <c r="AL466" s="121">
        <v>1805.5293699999997</v>
      </c>
      <c r="AM466" s="121">
        <v>2030.1191499999998</v>
      </c>
      <c r="AN466" s="121">
        <v>1912.6958099999995</v>
      </c>
      <c r="AO466" s="121">
        <v>1688.5072899999996</v>
      </c>
      <c r="AP466" s="125" t="str">
        <f>CONCATENATE(A466,M466)</f>
        <v>Reg AssetN</v>
      </c>
      <c r="AQ466" s="125" t="str">
        <f>CONCATENATE(AP466,L466,H466)</f>
        <v>Reg AssetNN10PSC Assessment</v>
      </c>
      <c r="AS466" s="125" t="str">
        <f>CONCATENATE(L466,H466,J466)</f>
        <v>N10PSC AssessmentNCR</v>
      </c>
    </row>
    <row r="467" spans="1:45" s="125" customFormat="1" ht="25.5" customHeight="1">
      <c r="A467" s="216" t="s">
        <v>1442</v>
      </c>
      <c r="B467" s="217" t="str">
        <f t="shared" si="165"/>
        <v>Reg Asset182303809009-CCBG030582</v>
      </c>
      <c r="C467" s="186">
        <v>182303</v>
      </c>
      <c r="D467" s="201" t="s">
        <v>571</v>
      </c>
      <c r="E467" s="162" t="s">
        <v>3222</v>
      </c>
      <c r="F467" s="169" t="s">
        <v>1538</v>
      </c>
      <c r="G467" s="117" t="s">
        <v>570</v>
      </c>
      <c r="H467" s="118" t="s">
        <v>1844</v>
      </c>
      <c r="I467" s="119"/>
      <c r="J467" s="120" t="s">
        <v>105</v>
      </c>
      <c r="K467" s="120" t="str">
        <f t="shared" si="166"/>
        <v/>
      </c>
      <c r="L467" s="170" t="s">
        <v>2821</v>
      </c>
      <c r="M467" s="122" t="str">
        <f t="shared" si="149"/>
        <v>N</v>
      </c>
      <c r="N467" s="116" t="str">
        <f>IF($L467&lt;&gt;"",VLOOKUP($L467,Categories!$E:$G,2,FALSE),IF($F467&lt;&gt;"","NO CAT",""))</f>
        <v>Not in Rate Base</v>
      </c>
      <c r="O467" s="116" t="str">
        <f>IF($L467&lt;&gt;"",VLOOKUP($L467,Categories!$E:$G,3,FALSE),IF($F467&lt;&gt;"","NO CAT",""))</f>
        <v>Deferrals Accruing Non-Cash Return   (other than ASGA)</v>
      </c>
      <c r="P467" s="170" t="s">
        <v>1186</v>
      </c>
      <c r="Q467" s="123" t="s">
        <v>1187</v>
      </c>
      <c r="R467" s="124">
        <v>0</v>
      </c>
      <c r="S467" s="124">
        <v>0</v>
      </c>
      <c r="T467" s="124">
        <v>1</v>
      </c>
      <c r="U467" s="121">
        <f t="shared" si="159"/>
        <v>0</v>
      </c>
      <c r="V467" s="121">
        <f t="shared" si="160"/>
        <v>0</v>
      </c>
      <c r="W467" s="121">
        <f t="shared" si="161"/>
        <v>159.28471166666699</v>
      </c>
      <c r="X467" s="121">
        <f t="shared" si="176"/>
        <v>159.28471166666699</v>
      </c>
      <c r="Y467" s="121">
        <f t="shared" si="162"/>
        <v>0</v>
      </c>
      <c r="Z467" s="121">
        <f t="shared" si="163"/>
        <v>0</v>
      </c>
      <c r="AA467" s="121">
        <f t="shared" si="164"/>
        <v>278.27764000000002</v>
      </c>
      <c r="AB467" s="121">
        <f t="shared" si="177"/>
        <v>278.27764000000002</v>
      </c>
      <c r="AC467" s="121">
        <v>0</v>
      </c>
      <c r="AD467" s="121">
        <v>0</v>
      </c>
      <c r="AE467" s="121">
        <v>0</v>
      </c>
      <c r="AF467" s="121">
        <v>0</v>
      </c>
      <c r="AG467" s="121">
        <v>0</v>
      </c>
      <c r="AH467" s="121">
        <v>0</v>
      </c>
      <c r="AI467" s="121">
        <v>0</v>
      </c>
      <c r="AJ467" s="121">
        <v>363.96248000000003</v>
      </c>
      <c r="AK467" s="121">
        <v>358.64366000000001</v>
      </c>
      <c r="AL467" s="121">
        <v>364.38051000000002</v>
      </c>
      <c r="AM467" s="121">
        <v>359.99955</v>
      </c>
      <c r="AN467" s="121">
        <v>325.29151999999999</v>
      </c>
      <c r="AO467" s="121">
        <v>278.27764000000002</v>
      </c>
      <c r="AP467" s="125" t="str">
        <f>CONCATENATE(A467,M467)</f>
        <v>Reg AssetN</v>
      </c>
      <c r="AQ467" s="125" t="str">
        <f>CONCATENATE(AP467,L467,H467)</f>
        <v>Reg AssetNN10PSC Assessment</v>
      </c>
      <c r="AS467" s="125" t="str">
        <f>CONCATENATE(L467,H467,J467)</f>
        <v>N10PSC AssessmentNCR</v>
      </c>
    </row>
    <row r="468" spans="1:45" s="125" customFormat="1" ht="25.5" customHeight="1">
      <c r="A468" s="216" t="s">
        <v>1442</v>
      </c>
      <c r="B468" s="217" t="str">
        <f t="shared" si="165"/>
        <v>Reg Asset182303809009-GENBG030582</v>
      </c>
      <c r="C468" s="186">
        <v>182303</v>
      </c>
      <c r="D468" s="201" t="s">
        <v>319</v>
      </c>
      <c r="E468" s="162" t="s">
        <v>3222</v>
      </c>
      <c r="F468" s="169" t="s">
        <v>1538</v>
      </c>
      <c r="G468" s="117" t="s">
        <v>302</v>
      </c>
      <c r="H468" s="118" t="s">
        <v>1844</v>
      </c>
      <c r="I468" s="119"/>
      <c r="J468" s="120"/>
      <c r="K468" s="120" t="str">
        <f t="shared" si="166"/>
        <v/>
      </c>
      <c r="L468" s="170" t="s">
        <v>1893</v>
      </c>
      <c r="M468" s="122" t="str">
        <f t="shared" si="149"/>
        <v>R</v>
      </c>
      <c r="N468" s="116" t="str">
        <f>IF($L468&lt;&gt;"",VLOOKUP($L468,Categories!$E:$G,2,FALSE),IF($F468&lt;&gt;"","NO CAT",""))</f>
        <v>Rate Base</v>
      </c>
      <c r="O468" s="116" t="str">
        <f>IF($L468&lt;&gt;"",VLOOKUP($L468,Categories!$E:$G,3,FALSE),IF($F468&lt;&gt;"","NO CAT",""))</f>
        <v>Deferred Debits &amp; Credits</v>
      </c>
      <c r="P468" s="170" t="s">
        <v>1184</v>
      </c>
      <c r="Q468" s="123" t="s">
        <v>1178</v>
      </c>
      <c r="R468" s="124">
        <v>0</v>
      </c>
      <c r="S468" s="124">
        <v>1</v>
      </c>
      <c r="T468" s="124">
        <v>0</v>
      </c>
      <c r="U468" s="121">
        <f t="shared" si="159"/>
        <v>0</v>
      </c>
      <c r="V468" s="121">
        <f t="shared" si="160"/>
        <v>-43.919492083333303</v>
      </c>
      <c r="W468" s="121">
        <f t="shared" si="161"/>
        <v>0</v>
      </c>
      <c r="X468" s="121">
        <f t="shared" si="176"/>
        <v>-43.919492083333303</v>
      </c>
      <c r="Y468" s="121">
        <f t="shared" si="162"/>
        <v>0</v>
      </c>
      <c r="Z468" s="121">
        <f t="shared" si="163"/>
        <v>-94.110209999999995</v>
      </c>
      <c r="AA468" s="121">
        <f t="shared" si="164"/>
        <v>0</v>
      </c>
      <c r="AB468" s="121">
        <f t="shared" si="177"/>
        <v>-94.110210000000009</v>
      </c>
      <c r="AC468" s="121">
        <v>0</v>
      </c>
      <c r="AD468" s="121">
        <v>0</v>
      </c>
      <c r="AE468" s="121">
        <v>0</v>
      </c>
      <c r="AF468" s="121">
        <v>0</v>
      </c>
      <c r="AG468" s="121">
        <v>0</v>
      </c>
      <c r="AH468" s="121">
        <v>0</v>
      </c>
      <c r="AI468" s="121">
        <v>0</v>
      </c>
      <c r="AJ468" s="121">
        <v>-73.748609999999999</v>
      </c>
      <c r="AK468" s="121">
        <v>-75.09053999999999</v>
      </c>
      <c r="AL468" s="121">
        <v>-110.70189999999999</v>
      </c>
      <c r="AM468" s="121">
        <v>-114.34931</v>
      </c>
      <c r="AN468" s="121">
        <v>-106.08844000000001</v>
      </c>
      <c r="AO468" s="121">
        <v>-94.110210000000009</v>
      </c>
      <c r="AP468" s="125" t="str">
        <f>CONCATENATE(A468,M468)</f>
        <v>Reg AssetR</v>
      </c>
      <c r="AQ468" s="125" t="str">
        <f>CONCATENATE(AP468,L468,H468)</f>
        <v>Reg AssetRR10PSC Assessment</v>
      </c>
      <c r="AS468" s="125" t="str">
        <f>CONCATENATE(L468,H468,J468)</f>
        <v>R10PSC Assessment</v>
      </c>
    </row>
    <row r="469" spans="1:45" s="125" customFormat="1" ht="25.5" customHeight="1">
      <c r="A469" s="216" t="s">
        <v>1442</v>
      </c>
      <c r="B469" s="217" t="str">
        <f t="shared" si="165"/>
        <v>Reg Asset182303801245BG030594</v>
      </c>
      <c r="C469" s="186">
        <v>182303</v>
      </c>
      <c r="D469" s="201">
        <v>801245</v>
      </c>
      <c r="E469" s="163" t="s">
        <v>1880</v>
      </c>
      <c r="F469" s="169" t="s">
        <v>1538</v>
      </c>
      <c r="G469" s="218" t="s">
        <v>2451</v>
      </c>
      <c r="H469" s="118" t="s">
        <v>2833</v>
      </c>
      <c r="I469" s="119"/>
      <c r="J469" s="120" t="s">
        <v>105</v>
      </c>
      <c r="K469" s="120" t="str">
        <f>IF(L469="N3","SFAS-109","")</f>
        <v/>
      </c>
      <c r="L469" s="170" t="s">
        <v>2821</v>
      </c>
      <c r="M469" s="122" t="str">
        <f>LEFT(L469,1)</f>
        <v>N</v>
      </c>
      <c r="N469" s="116" t="str">
        <f>IF($L469&lt;&gt;"",VLOOKUP($L469,Categories!$E:$G,2,FALSE),IF($F469&lt;&gt;"","NO CAT",""))</f>
        <v>Not in Rate Base</v>
      </c>
      <c r="O469" s="116" t="str">
        <f>IF($L469&lt;&gt;"",VLOOKUP($L469,Categories!$E:$G,3,FALSE),IF($F469&lt;&gt;"","NO CAT",""))</f>
        <v>Deferrals Accruing Non-Cash Return   (other than ASGA)</v>
      </c>
      <c r="P469" s="170" t="s">
        <v>1186</v>
      </c>
      <c r="Q469" s="123" t="s">
        <v>1187</v>
      </c>
      <c r="R469" s="124">
        <v>0</v>
      </c>
      <c r="S469" s="124">
        <v>0</v>
      </c>
      <c r="T469" s="124">
        <v>1</v>
      </c>
      <c r="U469" s="121">
        <f t="shared" si="159"/>
        <v>0</v>
      </c>
      <c r="V469" s="121">
        <f t="shared" si="160"/>
        <v>0</v>
      </c>
      <c r="W469" s="121">
        <f t="shared" si="161"/>
        <v>-11.43403625</v>
      </c>
      <c r="X469" s="121">
        <f t="shared" si="176"/>
        <v>-11.43403625</v>
      </c>
      <c r="Y469" s="121">
        <f t="shared" si="162"/>
        <v>0</v>
      </c>
      <c r="Z469" s="121">
        <f t="shared" si="163"/>
        <v>0</v>
      </c>
      <c r="AA469" s="121">
        <f t="shared" si="164"/>
        <v>-10.396470000000001</v>
      </c>
      <c r="AB469" s="121">
        <f t="shared" si="177"/>
        <v>-10.396469999999997</v>
      </c>
      <c r="AC469" s="121">
        <v>-9.7688399999999973</v>
      </c>
      <c r="AD469" s="121">
        <v>-11.346699999999997</v>
      </c>
      <c r="AE469" s="121">
        <v>-13.031109999999996</v>
      </c>
      <c r="AF469" s="121">
        <v>-14.475709999999998</v>
      </c>
      <c r="AG469" s="121">
        <v>-14.588399999999998</v>
      </c>
      <c r="AH469" s="121">
        <v>-12.425319999999997</v>
      </c>
      <c r="AI469" s="121">
        <v>-10.077769999999997</v>
      </c>
      <c r="AJ469" s="121">
        <v>-10.130199999999997</v>
      </c>
      <c r="AK469" s="121">
        <v>-10.182899999999998</v>
      </c>
      <c r="AL469" s="121">
        <v>-10.235879999999998</v>
      </c>
      <c r="AM469" s="121">
        <v>-10.289129999999997</v>
      </c>
      <c r="AN469" s="121">
        <v>-10.342659999999999</v>
      </c>
      <c r="AO469" s="121">
        <v>-10.396469999999997</v>
      </c>
      <c r="AP469" s="125" t="str">
        <f>CONCATENATE(A469,M469)</f>
        <v>Reg AssetN</v>
      </c>
      <c r="AQ469" s="125" t="str">
        <f>CONCATENATE(AP469,L469,H469)</f>
        <v>Reg AssetNN10Low Income</v>
      </c>
      <c r="AS469" s="125" t="str">
        <f>CONCATENATE(L469,H469,J469)</f>
        <v>N10Low IncomeNCR</v>
      </c>
    </row>
    <row r="470" spans="1:45" s="125" customFormat="1" ht="25.5" customHeight="1">
      <c r="A470" s="216" t="s">
        <v>1442</v>
      </c>
      <c r="B470" s="217" t="str">
        <f t="shared" si="165"/>
        <v>Reg Asset182303801243BG030594</v>
      </c>
      <c r="C470" s="186">
        <v>182303</v>
      </c>
      <c r="D470" s="201">
        <v>801243</v>
      </c>
      <c r="E470" s="220" t="s">
        <v>1880</v>
      </c>
      <c r="F470" s="169" t="s">
        <v>1538</v>
      </c>
      <c r="G470" s="117" t="s">
        <v>1881</v>
      </c>
      <c r="H470" s="118" t="s">
        <v>2833</v>
      </c>
      <c r="I470" s="119"/>
      <c r="J470" s="120" t="s">
        <v>105</v>
      </c>
      <c r="K470" s="120" t="str">
        <f t="shared" ref="K470:K478" si="178">IF(L470="N3","SFAS-109","")</f>
        <v/>
      </c>
      <c r="L470" s="170" t="s">
        <v>2821</v>
      </c>
      <c r="M470" s="122" t="str">
        <f t="shared" si="149"/>
        <v>N</v>
      </c>
      <c r="N470" s="116" t="str">
        <f>IF($L470&lt;&gt;"",VLOOKUP($L470,Categories!$E:$G,2,FALSE),IF($F470&lt;&gt;"","NO CAT",""))</f>
        <v>Not in Rate Base</v>
      </c>
      <c r="O470" s="116" t="str">
        <f>IF($L470&lt;&gt;"",VLOOKUP($L470,Categories!$E:$G,3,FALSE),IF($F470&lt;&gt;"","NO CAT",""))</f>
        <v>Deferrals Accruing Non-Cash Return   (other than ASGA)</v>
      </c>
      <c r="P470" s="170" t="s">
        <v>1186</v>
      </c>
      <c r="Q470" s="123" t="s">
        <v>1187</v>
      </c>
      <c r="R470" s="124">
        <v>0</v>
      </c>
      <c r="S470" s="124">
        <v>0</v>
      </c>
      <c r="T470" s="124">
        <v>1</v>
      </c>
      <c r="U470" s="121">
        <f t="shared" si="159"/>
        <v>0</v>
      </c>
      <c r="V470" s="121">
        <f t="shared" si="160"/>
        <v>0</v>
      </c>
      <c r="W470" s="121">
        <f t="shared" si="161"/>
        <v>11865.017376666699</v>
      </c>
      <c r="X470" s="121">
        <f t="shared" si="176"/>
        <v>11865.017376666699</v>
      </c>
      <c r="Y470" s="121">
        <f t="shared" si="162"/>
        <v>0</v>
      </c>
      <c r="Z470" s="121">
        <f t="shared" si="163"/>
        <v>0</v>
      </c>
      <c r="AA470" s="121">
        <f t="shared" si="164"/>
        <v>13793.036679999999</v>
      </c>
      <c r="AB470" s="121">
        <f t="shared" si="177"/>
        <v>13793.036679999999</v>
      </c>
      <c r="AC470" s="121">
        <v>9827.0842599999996</v>
      </c>
      <c r="AD470" s="121">
        <v>10155.284669999999</v>
      </c>
      <c r="AE470" s="121">
        <v>10495.045759999999</v>
      </c>
      <c r="AF470" s="121">
        <v>10846.993339999999</v>
      </c>
      <c r="AG470" s="121">
        <v>11204.482539999999</v>
      </c>
      <c r="AH470" s="121">
        <v>11559.010139999999</v>
      </c>
      <c r="AI470" s="121">
        <v>11904.657449999999</v>
      </c>
      <c r="AJ470" s="121">
        <v>12242.24555</v>
      </c>
      <c r="AK470" s="121">
        <v>12567.817939999999</v>
      </c>
      <c r="AL470" s="121">
        <v>12888.82835</v>
      </c>
      <c r="AM470" s="121">
        <v>13200.68463</v>
      </c>
      <c r="AN470" s="121">
        <v>13505.097679999999</v>
      </c>
      <c r="AO470" s="121">
        <v>13793.036679999999</v>
      </c>
      <c r="AP470" s="125" t="str">
        <f>CONCATENATE(A470,M470)</f>
        <v>Reg AssetN</v>
      </c>
      <c r="AQ470" s="125" t="str">
        <f>CONCATENATE(AP470,L470,H470)</f>
        <v>Reg AssetNN10Low Income</v>
      </c>
      <c r="AS470" s="125" t="str">
        <f>CONCATENATE(L470,H470,J470)</f>
        <v>N10Low IncomeNCR</v>
      </c>
    </row>
    <row r="471" spans="1:45" s="125" customFormat="1" ht="25.5" customHeight="1">
      <c r="A471" s="216" t="s">
        <v>1442</v>
      </c>
      <c r="B471" s="217" t="str">
        <f t="shared" si="165"/>
        <v>Reg Asset182303801244BG030594</v>
      </c>
      <c r="C471" s="186">
        <v>182303</v>
      </c>
      <c r="D471" s="201">
        <v>801244</v>
      </c>
      <c r="E471" s="220" t="s">
        <v>1880</v>
      </c>
      <c r="F471" s="169" t="s">
        <v>1538</v>
      </c>
      <c r="G471" s="117" t="s">
        <v>1882</v>
      </c>
      <c r="H471" s="118" t="s">
        <v>2833</v>
      </c>
      <c r="I471" s="119"/>
      <c r="J471" s="120" t="s">
        <v>105</v>
      </c>
      <c r="K471" s="120" t="str">
        <f t="shared" si="178"/>
        <v/>
      </c>
      <c r="L471" s="170" t="s">
        <v>2821</v>
      </c>
      <c r="M471" s="122" t="str">
        <f t="shared" si="149"/>
        <v>N</v>
      </c>
      <c r="N471" s="116" t="str">
        <f>IF($L471&lt;&gt;"",VLOOKUP($L471,Categories!$E:$G,2,FALSE),IF($F471&lt;&gt;"","NO CAT",""))</f>
        <v>Not in Rate Base</v>
      </c>
      <c r="O471" s="116" t="str">
        <f>IF($L471&lt;&gt;"",VLOOKUP($L471,Categories!$E:$G,3,FALSE),IF($F471&lt;&gt;"","NO CAT",""))</f>
        <v>Deferrals Accruing Non-Cash Return   (other than ASGA)</v>
      </c>
      <c r="P471" s="170" t="s">
        <v>1186</v>
      </c>
      <c r="Q471" s="123" t="s">
        <v>1187</v>
      </c>
      <c r="R471" s="124">
        <v>0</v>
      </c>
      <c r="S471" s="124">
        <v>0</v>
      </c>
      <c r="T471" s="124">
        <v>1</v>
      </c>
      <c r="U471" s="121">
        <f t="shared" si="159"/>
        <v>0</v>
      </c>
      <c r="V471" s="121">
        <f t="shared" si="160"/>
        <v>0</v>
      </c>
      <c r="W471" s="121">
        <f t="shared" si="161"/>
        <v>-33.518210000000003</v>
      </c>
      <c r="X471" s="121">
        <f t="shared" si="176"/>
        <v>-33.518210000000003</v>
      </c>
      <c r="Y471" s="121">
        <f t="shared" si="162"/>
        <v>0</v>
      </c>
      <c r="Z471" s="121">
        <f t="shared" si="163"/>
        <v>0</v>
      </c>
      <c r="AA471" s="121">
        <f t="shared" si="164"/>
        <v>-46.395580000000002</v>
      </c>
      <c r="AB471" s="121">
        <f t="shared" si="177"/>
        <v>-46.395580000000024</v>
      </c>
      <c r="AC471" s="121">
        <v>-64.070880000000031</v>
      </c>
      <c r="AD471" s="121">
        <v>-49.208560000000027</v>
      </c>
      <c r="AE471" s="121">
        <v>-42.951760000000021</v>
      </c>
      <c r="AF471" s="121">
        <v>-29.987840000000027</v>
      </c>
      <c r="AG471" s="121">
        <v>-24.354920000000028</v>
      </c>
      <c r="AH471" s="121">
        <v>-21.33507000000003</v>
      </c>
      <c r="AI471" s="121">
        <v>-19.611420000000027</v>
      </c>
      <c r="AJ471" s="121">
        <v>-21.088440000000027</v>
      </c>
      <c r="AK471" s="121">
        <v>-25.519530000000028</v>
      </c>
      <c r="AL471" s="121">
        <v>-30.794810000000027</v>
      </c>
      <c r="AM471" s="121">
        <v>-36.273820000000029</v>
      </c>
      <c r="AN471" s="121">
        <v>-45.859120000000026</v>
      </c>
      <c r="AO471" s="121">
        <v>-46.395580000000024</v>
      </c>
      <c r="AP471" s="125" t="str">
        <f>CONCATENATE(A471,M471)</f>
        <v>Reg AssetN</v>
      </c>
      <c r="AQ471" s="125" t="str">
        <f>CONCATENATE(AP471,L471,H471)</f>
        <v>Reg AssetNN10Low Income</v>
      </c>
      <c r="AS471" s="125" t="str">
        <f>CONCATENATE(L471,H471,J471)</f>
        <v>N10Low IncomeNCR</v>
      </c>
    </row>
    <row r="472" spans="1:45" s="125" customFormat="1" ht="25.5" customHeight="1">
      <c r="A472" s="216" t="s">
        <v>1442</v>
      </c>
      <c r="B472" s="217" t="str">
        <f t="shared" si="165"/>
        <v>Reg Asset182303801212BG030903</v>
      </c>
      <c r="C472" s="186">
        <v>182303</v>
      </c>
      <c r="D472" s="201">
        <v>801212</v>
      </c>
      <c r="E472" s="162" t="s">
        <v>1883</v>
      </c>
      <c r="F472" s="169" t="s">
        <v>1538</v>
      </c>
      <c r="G472" s="117" t="s">
        <v>2576</v>
      </c>
      <c r="H472" s="118" t="s">
        <v>1151</v>
      </c>
      <c r="I472" s="119"/>
      <c r="J472" s="120"/>
      <c r="K472" s="120" t="str">
        <f t="shared" si="178"/>
        <v/>
      </c>
      <c r="L472" s="170" t="s">
        <v>1893</v>
      </c>
      <c r="M472" s="122" t="str">
        <f t="shared" si="149"/>
        <v>R</v>
      </c>
      <c r="N472" s="116" t="str">
        <f>IF($L472&lt;&gt;"",VLOOKUP($L472,Categories!$E:$G,2,FALSE),IF($F472&lt;&gt;"","NO CAT",""))</f>
        <v>Rate Base</v>
      </c>
      <c r="O472" s="116" t="str">
        <f>IF($L472&lt;&gt;"",VLOOKUP($L472,Categories!$E:$G,3,FALSE),IF($F472&lt;&gt;"","NO CAT",""))</f>
        <v>Deferred Debits &amp; Credits</v>
      </c>
      <c r="P472" s="170" t="s">
        <v>1184</v>
      </c>
      <c r="Q472" s="123" t="s">
        <v>1178</v>
      </c>
      <c r="R472" s="124">
        <v>0</v>
      </c>
      <c r="S472" s="124">
        <v>1</v>
      </c>
      <c r="T472" s="124">
        <v>0</v>
      </c>
      <c r="U472" s="121">
        <f t="shared" si="159"/>
        <v>0</v>
      </c>
      <c r="V472" s="121">
        <f t="shared" si="160"/>
        <v>-72.882869999999301</v>
      </c>
      <c r="W472" s="121">
        <f t="shared" si="161"/>
        <v>0</v>
      </c>
      <c r="X472" s="121">
        <f t="shared" si="176"/>
        <v>-72.882869999999301</v>
      </c>
      <c r="Y472" s="121">
        <f t="shared" si="162"/>
        <v>0</v>
      </c>
      <c r="Z472" s="121">
        <f t="shared" si="163"/>
        <v>-72.882869999999301</v>
      </c>
      <c r="AA472" s="121">
        <f t="shared" si="164"/>
        <v>0</v>
      </c>
      <c r="AB472" s="121">
        <f t="shared" si="177"/>
        <v>-72.882869999999272</v>
      </c>
      <c r="AC472" s="121">
        <v>-72.882869999999272</v>
      </c>
      <c r="AD472" s="121">
        <v>-72.882869999999272</v>
      </c>
      <c r="AE472" s="121">
        <v>-72.882869999999272</v>
      </c>
      <c r="AF472" s="121">
        <v>-72.882869999999272</v>
      </c>
      <c r="AG472" s="121">
        <v>-72.882869999999272</v>
      </c>
      <c r="AH472" s="121">
        <v>-72.882869999999272</v>
      </c>
      <c r="AI472" s="121">
        <v>-72.882869999999272</v>
      </c>
      <c r="AJ472" s="121">
        <v>-72.882869999999272</v>
      </c>
      <c r="AK472" s="121">
        <v>-72.882869999999272</v>
      </c>
      <c r="AL472" s="121">
        <v>-72.882869999999272</v>
      </c>
      <c r="AM472" s="121">
        <v>-72.882869999999272</v>
      </c>
      <c r="AN472" s="121">
        <v>-72.882869999999272</v>
      </c>
      <c r="AO472" s="121">
        <v>-72.882869999999272</v>
      </c>
      <c r="AP472" s="125" t="str">
        <f>CONCATENATE(A472,M472)</f>
        <v>Reg AssetR</v>
      </c>
      <c r="AQ472" s="125" t="str">
        <f>CONCATENATE(AP472,L472,H472)</f>
        <v>Reg AssetRR10CTA Efficiency</v>
      </c>
      <c r="AS472" s="125" t="str">
        <f>CONCATENATE(L472,H472,J472)</f>
        <v>R10CTA Efficiency</v>
      </c>
    </row>
    <row r="473" spans="1:45" s="125" customFormat="1" ht="25.5" customHeight="1">
      <c r="A473" s="216" t="s">
        <v>1442</v>
      </c>
      <c r="B473" s="217" t="str">
        <f t="shared" si="165"/>
        <v>Reg Asset182303801246BG030594</v>
      </c>
      <c r="C473" s="186">
        <v>182303</v>
      </c>
      <c r="D473" s="201">
        <v>801246</v>
      </c>
      <c r="E473" s="163" t="s">
        <v>1880</v>
      </c>
      <c r="F473" s="169" t="s">
        <v>1538</v>
      </c>
      <c r="G473" s="218" t="s">
        <v>2454</v>
      </c>
      <c r="H473" s="118" t="s">
        <v>2833</v>
      </c>
      <c r="I473" s="119"/>
      <c r="J473" s="120" t="s">
        <v>105</v>
      </c>
      <c r="K473" s="120" t="str">
        <f>IF(L473="N3","SFAS-109","")</f>
        <v/>
      </c>
      <c r="L473" s="170" t="s">
        <v>2821</v>
      </c>
      <c r="M473" s="122" t="str">
        <f t="shared" si="149"/>
        <v>N</v>
      </c>
      <c r="N473" s="116" t="str">
        <f>IF($L473&lt;&gt;"",VLOOKUP($L473,Categories!$E:$G,2,FALSE),IF($F473&lt;&gt;"","NO CAT",""))</f>
        <v>Not in Rate Base</v>
      </c>
      <c r="O473" s="116" t="str">
        <f>IF($L473&lt;&gt;"",VLOOKUP($L473,Categories!$E:$G,3,FALSE),IF($F473&lt;&gt;"","NO CAT",""))</f>
        <v>Deferrals Accruing Non-Cash Return   (other than ASGA)</v>
      </c>
      <c r="P473" s="170" t="s">
        <v>1186</v>
      </c>
      <c r="Q473" s="123" t="s">
        <v>1187</v>
      </c>
      <c r="R473" s="124">
        <v>0</v>
      </c>
      <c r="S473" s="124">
        <v>0</v>
      </c>
      <c r="T473" s="124">
        <v>1</v>
      </c>
      <c r="U473" s="121">
        <f t="shared" si="159"/>
        <v>0</v>
      </c>
      <c r="V473" s="121">
        <f t="shared" si="160"/>
        <v>0</v>
      </c>
      <c r="W473" s="121">
        <f t="shared" si="161"/>
        <v>-33.286138333333298</v>
      </c>
      <c r="X473" s="121">
        <f t="shared" si="176"/>
        <v>-33.286138333333298</v>
      </c>
      <c r="Y473" s="121">
        <f t="shared" si="162"/>
        <v>0</v>
      </c>
      <c r="Z473" s="121">
        <f t="shared" si="163"/>
        <v>0</v>
      </c>
      <c r="AA473" s="121">
        <f t="shared" si="164"/>
        <v>-48.096670000000003</v>
      </c>
      <c r="AB473" s="121">
        <f t="shared" si="177"/>
        <v>-48.096669999999996</v>
      </c>
      <c r="AC473" s="121">
        <v>-17.655049999999999</v>
      </c>
      <c r="AD473" s="121">
        <v>-19.906569999999999</v>
      </c>
      <c r="AE473" s="121">
        <v>-23.850369999999998</v>
      </c>
      <c r="AF473" s="121">
        <v>-26.184579999999997</v>
      </c>
      <c r="AG473" s="121">
        <v>-28.083559999999999</v>
      </c>
      <c r="AH473" s="121">
        <v>-30.395569999999999</v>
      </c>
      <c r="AI473" s="121">
        <v>-35.279820000000001</v>
      </c>
      <c r="AJ473" s="121">
        <v>-35.24362</v>
      </c>
      <c r="AK473" s="121">
        <v>-37.757800000000003</v>
      </c>
      <c r="AL473" s="121">
        <v>-40.659819999999996</v>
      </c>
      <c r="AM473" s="121">
        <v>-42.911449999999995</v>
      </c>
      <c r="AN473" s="121">
        <v>-46.284639999999996</v>
      </c>
      <c r="AO473" s="121">
        <v>-48.096669999999996</v>
      </c>
      <c r="AP473" s="125" t="str">
        <f>CONCATENATE(A473,M473)</f>
        <v>Reg AssetN</v>
      </c>
      <c r="AQ473" s="125" t="str">
        <f>CONCATENATE(AP473,L473,H473)</f>
        <v>Reg AssetNN10Low Income</v>
      </c>
      <c r="AS473" s="125" t="str">
        <f>CONCATENATE(L473,H473,J473)</f>
        <v>N10Low IncomeNCR</v>
      </c>
    </row>
    <row r="474" spans="1:45" s="125" customFormat="1" ht="25.5" customHeight="1">
      <c r="A474" s="216" t="s">
        <v>1442</v>
      </c>
      <c r="B474" s="217" t="str">
        <f t="shared" si="165"/>
        <v>Reg Asset182303801205BG030252</v>
      </c>
      <c r="C474" s="186">
        <v>182303</v>
      </c>
      <c r="D474" s="201">
        <v>801205</v>
      </c>
      <c r="E474" s="162" t="s">
        <v>3219</v>
      </c>
      <c r="F474" s="169" t="s">
        <v>1538</v>
      </c>
      <c r="G474" s="117" t="s">
        <v>2577</v>
      </c>
      <c r="H474" s="118" t="s">
        <v>815</v>
      </c>
      <c r="I474" s="119"/>
      <c r="J474" s="120" t="s">
        <v>105</v>
      </c>
      <c r="K474" s="120" t="str">
        <f t="shared" si="178"/>
        <v/>
      </c>
      <c r="L474" s="170" t="s">
        <v>2821</v>
      </c>
      <c r="M474" s="122" t="str">
        <f t="shared" si="149"/>
        <v>N</v>
      </c>
      <c r="N474" s="116" t="str">
        <f>IF($L474&lt;&gt;"",VLOOKUP($L474,Categories!$E:$G,2,FALSE),IF($F474&lt;&gt;"","NO CAT",""))</f>
        <v>Not in Rate Base</v>
      </c>
      <c r="O474" s="116" t="str">
        <f>IF($L474&lt;&gt;"",VLOOKUP($L474,Categories!$E:$G,3,FALSE),IF($F474&lt;&gt;"","NO CAT",""))</f>
        <v>Deferrals Accruing Non-Cash Return   (other than ASGA)</v>
      </c>
      <c r="P474" s="170" t="s">
        <v>1186</v>
      </c>
      <c r="Q474" s="123" t="s">
        <v>1187</v>
      </c>
      <c r="R474" s="124">
        <v>0</v>
      </c>
      <c r="S474" s="124">
        <v>0</v>
      </c>
      <c r="T474" s="124">
        <v>1</v>
      </c>
      <c r="U474" s="121">
        <f t="shared" si="159"/>
        <v>0</v>
      </c>
      <c r="V474" s="121">
        <f t="shared" si="160"/>
        <v>0</v>
      </c>
      <c r="W474" s="121">
        <f t="shared" si="161"/>
        <v>1133.2137975000001</v>
      </c>
      <c r="X474" s="121">
        <f t="shared" si="176"/>
        <v>1133.2137975000001</v>
      </c>
      <c r="Y474" s="121" t="str">
        <f t="shared" si="162"/>
        <v/>
      </c>
      <c r="Z474" s="121" t="str">
        <f t="shared" si="163"/>
        <v/>
      </c>
      <c r="AA474" s="121" t="str">
        <f t="shared" si="164"/>
        <v/>
      </c>
      <c r="AB474" s="121">
        <f t="shared" si="177"/>
        <v>0</v>
      </c>
      <c r="AC474" s="121">
        <v>3667.5625199999995</v>
      </c>
      <c r="AD474" s="121">
        <v>3771.3856999999998</v>
      </c>
      <c r="AE474" s="121">
        <v>3920.7192099999997</v>
      </c>
      <c r="AF474" s="121">
        <v>4072.6794</v>
      </c>
      <c r="AG474" s="121">
        <v>0</v>
      </c>
      <c r="AH474" s="121">
        <v>0</v>
      </c>
      <c r="AI474" s="121">
        <v>0</v>
      </c>
      <c r="AJ474" s="121">
        <v>0</v>
      </c>
      <c r="AK474" s="121">
        <v>0</v>
      </c>
      <c r="AL474" s="121">
        <v>0</v>
      </c>
      <c r="AM474" s="121">
        <v>0</v>
      </c>
      <c r="AN474" s="121">
        <v>0</v>
      </c>
      <c r="AO474" s="121">
        <v>0</v>
      </c>
      <c r="AP474" s="125" t="str">
        <f>CONCATENATE(A474,M474)</f>
        <v>Reg AssetN</v>
      </c>
      <c r="AQ474" s="125" t="str">
        <f>CONCATENATE(AP474,L474,H474)</f>
        <v>Reg AssetNN10Property Tax Deferral</v>
      </c>
      <c r="AS474" s="125" t="str">
        <f>CONCATENATE(L474,H474,J474)</f>
        <v>N10Property Tax DeferralNCR</v>
      </c>
    </row>
    <row r="475" spans="1:45" s="125" customFormat="1" ht="25.5" customHeight="1">
      <c r="A475" s="216" t="s">
        <v>1442</v>
      </c>
      <c r="B475" s="217" t="str">
        <f t="shared" ref="B475:B517" si="179">CONCATENATE(A475,C475,D475,E475)</f>
        <v>Reg Asset182303Pension GasBG030410</v>
      </c>
      <c r="C475" s="186">
        <v>182303</v>
      </c>
      <c r="D475" s="201" t="s">
        <v>738</v>
      </c>
      <c r="E475" s="162" t="s">
        <v>740</v>
      </c>
      <c r="F475" s="169" t="s">
        <v>1538</v>
      </c>
      <c r="G475" s="117" t="s">
        <v>1970</v>
      </c>
      <c r="H475" s="118" t="s">
        <v>1553</v>
      </c>
      <c r="I475" s="119"/>
      <c r="J475" s="120" t="s">
        <v>105</v>
      </c>
      <c r="K475" s="120" t="str">
        <f>IF(L475="N3","SFAS-109","")</f>
        <v/>
      </c>
      <c r="L475" s="170" t="s">
        <v>2821</v>
      </c>
      <c r="M475" s="122" t="str">
        <f t="shared" si="149"/>
        <v>N</v>
      </c>
      <c r="N475" s="116" t="str">
        <f>IF($L475&lt;&gt;"",VLOOKUP($L475,Categories!$E:$G,2,FALSE),IF($F475&lt;&gt;"","NO CAT",""))</f>
        <v>Not in Rate Base</v>
      </c>
      <c r="O475" s="116" t="str">
        <f>IF($L475&lt;&gt;"",VLOOKUP($L475,Categories!$E:$G,3,FALSE),IF($F475&lt;&gt;"","NO CAT",""))</f>
        <v>Deferrals Accruing Non-Cash Return   (other than ASGA)</v>
      </c>
      <c r="P475" s="170" t="s">
        <v>1186</v>
      </c>
      <c r="Q475" s="123" t="s">
        <v>1187</v>
      </c>
      <c r="R475" s="124">
        <v>0</v>
      </c>
      <c r="S475" s="124">
        <v>0</v>
      </c>
      <c r="T475" s="124">
        <v>1</v>
      </c>
      <c r="U475" s="121">
        <f t="shared" ref="U475:U517" si="180">IF(ABS(X475)=0,"",IF($R475="NO ALLOC","NO ALLOC",ROUND($R475*X475,15)))</f>
        <v>0</v>
      </c>
      <c r="V475" s="121">
        <f t="shared" ref="V475:V517" si="181">IF(ABS(X475)=0,"",IF($S475="NO ALLOC","NO ALLOC",ROUND($S475*X475,15)))</f>
        <v>0</v>
      </c>
      <c r="W475" s="121">
        <f t="shared" ref="W475:W517" si="182">IF(ABS(X475)=0,"",IF($T475="NO ALLOC","NO ALLOC",ROUND($T475*X475,15)))</f>
        <v>2505.0238187499999</v>
      </c>
      <c r="X475" s="121">
        <f t="shared" si="176"/>
        <v>2505.0238187499999</v>
      </c>
      <c r="Y475" s="121">
        <f t="shared" ref="Y475:Y517" si="183">IF(ABS(AB475)=0,"",IF($R475="NO ALLOC","NO ALLOC",ROUND($R475*AB475,15)))</f>
        <v>0</v>
      </c>
      <c r="Z475" s="121">
        <f t="shared" ref="Z475:Z517" si="184">IF(ABS(AB475)=0,"",IF($S475="NO ALLOC","NO ALLOC",ROUND($S475*AB475,15)))</f>
        <v>0</v>
      </c>
      <c r="AA475" s="121">
        <f t="shared" ref="AA475:AA517" si="185">IF(ABS(AB475)=0,"",IF($T475="NO ALLOC","NO ALLOC",ROUND($T475*AB475,15)))</f>
        <v>4452.3182200000001</v>
      </c>
      <c r="AB475" s="121">
        <f t="shared" si="177"/>
        <v>4452.3182200000019</v>
      </c>
      <c r="AC475" s="121">
        <v>2309.2694500000011</v>
      </c>
      <c r="AD475" s="121">
        <v>438.99589000000105</v>
      </c>
      <c r="AE475" s="121">
        <v>1062.527170000001</v>
      </c>
      <c r="AF475" s="121">
        <v>1427.9503200000013</v>
      </c>
      <c r="AG475" s="121">
        <v>1800.3871000000013</v>
      </c>
      <c r="AH475" s="121">
        <v>2162.7235800000012</v>
      </c>
      <c r="AI475" s="121">
        <v>2445.5702700000011</v>
      </c>
      <c r="AJ475" s="121">
        <v>2719.6687100000008</v>
      </c>
      <c r="AK475" s="121">
        <v>3146.9480600000011</v>
      </c>
      <c r="AL475" s="121">
        <v>3490.649080000001</v>
      </c>
      <c r="AM475" s="121">
        <v>3835.977530000001</v>
      </c>
      <c r="AN475" s="121">
        <v>4148.0942800000012</v>
      </c>
      <c r="AO475" s="121">
        <v>4452.3182200000019</v>
      </c>
      <c r="AP475" s="125" t="str">
        <f>CONCATENATE(A475,M475)</f>
        <v>Reg AssetN</v>
      </c>
      <c r="AQ475" s="125" t="str">
        <f>CONCATENATE(AP475,L475,H475)</f>
        <v>Reg AssetNN10Pension</v>
      </c>
      <c r="AS475" s="125" t="str">
        <f>CONCATENATE(L475,H475,J475)</f>
        <v>N10PensionNCR</v>
      </c>
    </row>
    <row r="476" spans="1:45" s="125" customFormat="1" ht="25.5" customHeight="1">
      <c r="A476" s="216" t="s">
        <v>1442</v>
      </c>
      <c r="B476" s="217" t="str">
        <f t="shared" si="179"/>
        <v>Reg Asset182303ReclassBG039999</v>
      </c>
      <c r="C476" s="186">
        <v>182303</v>
      </c>
      <c r="D476" s="201" t="s">
        <v>1961</v>
      </c>
      <c r="E476" s="162" t="s">
        <v>1918</v>
      </c>
      <c r="F476" s="169" t="s">
        <v>1538</v>
      </c>
      <c r="G476" s="117" t="s">
        <v>1244</v>
      </c>
      <c r="H476" s="118" t="s">
        <v>507</v>
      </c>
      <c r="I476" s="119"/>
      <c r="J476" s="120"/>
      <c r="K476" s="120" t="str">
        <f t="shared" si="178"/>
        <v/>
      </c>
      <c r="L476" s="170" t="s">
        <v>928</v>
      </c>
      <c r="M476" s="122" t="str">
        <f t="shared" si="149"/>
        <v>N</v>
      </c>
      <c r="N476" s="116" t="str">
        <f>IF($L476&lt;&gt;"",VLOOKUP($L476,Categories!$E:$G,2,FALSE),IF($F476&lt;&gt;"","NO CAT",""))</f>
        <v>Not in Rate Base</v>
      </c>
      <c r="O476" s="116" t="str">
        <f>IF($L476&lt;&gt;"",VLOOKUP($L476,Categories!$E:$G,3,FALSE),IF($F476&lt;&gt;"","NO CAT",""))</f>
        <v>Direct Assign Items Not in RB</v>
      </c>
      <c r="P476" s="170" t="s">
        <v>1186</v>
      </c>
      <c r="Q476" s="123" t="s">
        <v>1187</v>
      </c>
      <c r="R476" s="124">
        <v>0</v>
      </c>
      <c r="S476" s="124">
        <v>0</v>
      </c>
      <c r="T476" s="124">
        <v>1</v>
      </c>
      <c r="U476" s="121" t="str">
        <f t="shared" si="180"/>
        <v/>
      </c>
      <c r="V476" s="121" t="str">
        <f t="shared" si="181"/>
        <v/>
      </c>
      <c r="W476" s="121" t="str">
        <f t="shared" si="182"/>
        <v/>
      </c>
      <c r="X476" s="121">
        <f t="shared" si="176"/>
        <v>0</v>
      </c>
      <c r="Y476" s="121" t="str">
        <f t="shared" si="183"/>
        <v/>
      </c>
      <c r="Z476" s="121" t="str">
        <f t="shared" si="184"/>
        <v/>
      </c>
      <c r="AA476" s="121" t="str">
        <f t="shared" si="185"/>
        <v/>
      </c>
      <c r="AB476" s="121">
        <f t="shared" si="177"/>
        <v>0</v>
      </c>
      <c r="AC476" s="121">
        <v>0</v>
      </c>
      <c r="AD476" s="121">
        <v>0</v>
      </c>
      <c r="AE476" s="121">
        <v>0</v>
      </c>
      <c r="AF476" s="121">
        <v>0</v>
      </c>
      <c r="AG476" s="121">
        <v>0</v>
      </c>
      <c r="AH476" s="121">
        <v>0</v>
      </c>
      <c r="AI476" s="121">
        <v>0</v>
      </c>
      <c r="AJ476" s="121">
        <v>0</v>
      </c>
      <c r="AK476" s="121">
        <v>0</v>
      </c>
      <c r="AL476" s="121">
        <v>0</v>
      </c>
      <c r="AM476" s="121">
        <v>0</v>
      </c>
      <c r="AN476" s="121">
        <v>0</v>
      </c>
      <c r="AO476" s="121">
        <v>0</v>
      </c>
      <c r="AP476" s="125" t="str">
        <f>CONCATENATE(A476,M476)</f>
        <v>Reg AssetN</v>
      </c>
      <c r="AQ476" s="125" t="str">
        <f>CONCATENATE(AP476,L476,H476)</f>
        <v>Reg AssetNN2Balance Sheet reclass</v>
      </c>
      <c r="AS476" s="125" t="str">
        <f>CONCATENATE(L476,H476,J476)</f>
        <v>N2Balance Sheet reclass</v>
      </c>
    </row>
    <row r="477" spans="1:45" s="125" customFormat="1" ht="25.5" customHeight="1">
      <c r="A477" s="216" t="s">
        <v>1442</v>
      </c>
      <c r="B477" s="217" t="str">
        <f t="shared" si="179"/>
        <v>Reg Asset1823030-149.28.09BG030410</v>
      </c>
      <c r="C477" s="186">
        <v>182303</v>
      </c>
      <c r="D477" s="201" t="s">
        <v>2572</v>
      </c>
      <c r="E477" s="162" t="s">
        <v>740</v>
      </c>
      <c r="F477" s="169" t="s">
        <v>1538</v>
      </c>
      <c r="G477" s="117" t="s">
        <v>2573</v>
      </c>
      <c r="H477" s="118" t="s">
        <v>1553</v>
      </c>
      <c r="I477" s="119"/>
      <c r="J477" s="120" t="s">
        <v>105</v>
      </c>
      <c r="K477" s="120" t="str">
        <f t="shared" si="178"/>
        <v/>
      </c>
      <c r="L477" s="170" t="s">
        <v>2821</v>
      </c>
      <c r="M477" s="122" t="str">
        <f t="shared" si="149"/>
        <v>N</v>
      </c>
      <c r="N477" s="116" t="str">
        <f>IF($L477&lt;&gt;"",VLOOKUP($L477,Categories!$E:$G,2,FALSE),IF($F477&lt;&gt;"","NO CAT",""))</f>
        <v>Not in Rate Base</v>
      </c>
      <c r="O477" s="116" t="str">
        <f>IF($L477&lt;&gt;"",VLOOKUP($L477,Categories!$E:$G,3,FALSE),IF($F477&lt;&gt;"","NO CAT",""))</f>
        <v>Deferrals Accruing Non-Cash Return   (other than ASGA)</v>
      </c>
      <c r="P477" s="170" t="s">
        <v>1186</v>
      </c>
      <c r="Q477" s="123" t="s">
        <v>1187</v>
      </c>
      <c r="R477" s="124">
        <v>0</v>
      </c>
      <c r="S477" s="124">
        <v>0</v>
      </c>
      <c r="T477" s="124">
        <v>1</v>
      </c>
      <c r="U477" s="121">
        <f t="shared" si="180"/>
        <v>0</v>
      </c>
      <c r="V477" s="121">
        <f t="shared" si="181"/>
        <v>0</v>
      </c>
      <c r="W477" s="121">
        <f t="shared" si="182"/>
        <v>23100.128315833299</v>
      </c>
      <c r="X477" s="121">
        <f t="shared" si="176"/>
        <v>23100.128315833299</v>
      </c>
      <c r="Y477" s="121">
        <f t="shared" si="183"/>
        <v>0</v>
      </c>
      <c r="Z477" s="121">
        <f t="shared" si="184"/>
        <v>0</v>
      </c>
      <c r="AA477" s="121">
        <f t="shared" si="185"/>
        <v>24206.786110000001</v>
      </c>
      <c r="AB477" s="121">
        <f t="shared" si="177"/>
        <v>24206.786109999997</v>
      </c>
      <c r="AC477" s="121">
        <v>21892.671670000003</v>
      </c>
      <c r="AD477" s="121">
        <v>22071.20205</v>
      </c>
      <c r="AE477" s="121">
        <v>22246.65393</v>
      </c>
      <c r="AF477" s="121">
        <v>22599.444739999999</v>
      </c>
      <c r="AG477" s="121">
        <v>22779.108139999997</v>
      </c>
      <c r="AH477" s="121">
        <v>22957.594219999995</v>
      </c>
      <c r="AI477" s="121">
        <v>23135.992869999995</v>
      </c>
      <c r="AJ477" s="121">
        <v>23314.609889999992</v>
      </c>
      <c r="AK477" s="121">
        <v>23493.549649999994</v>
      </c>
      <c r="AL477" s="121">
        <v>23672.399209999992</v>
      </c>
      <c r="AM477" s="121">
        <v>23851.366629999997</v>
      </c>
      <c r="AN477" s="121">
        <v>24029.889569999996</v>
      </c>
      <c r="AO477" s="121">
        <v>24206.786109999997</v>
      </c>
      <c r="AP477" s="125" t="str">
        <f>CONCATENATE(A477,M477)</f>
        <v>Reg AssetN</v>
      </c>
      <c r="AQ477" s="125" t="str">
        <f>CONCATENATE(AP477,L477,H477)</f>
        <v>Reg AssetNN10Pension</v>
      </c>
      <c r="AS477" s="125" t="str">
        <f>CONCATENATE(L477,H477,J477)</f>
        <v>N10PensionNCR</v>
      </c>
    </row>
    <row r="478" spans="1:45" s="125" customFormat="1" ht="25.5" customHeight="1">
      <c r="A478" s="216" t="s">
        <v>1442</v>
      </c>
      <c r="B478" s="217" t="str">
        <f t="shared" si="179"/>
        <v>Reg Asset1823032-780.22.11.ABG030410</v>
      </c>
      <c r="C478" s="186">
        <v>182303</v>
      </c>
      <c r="D478" s="201" t="s">
        <v>1758</v>
      </c>
      <c r="E478" s="162" t="s">
        <v>740</v>
      </c>
      <c r="F478" s="169" t="s">
        <v>1538</v>
      </c>
      <c r="G478" s="117" t="s">
        <v>754</v>
      </c>
      <c r="H478" s="118" t="s">
        <v>1553</v>
      </c>
      <c r="I478" s="119"/>
      <c r="J478" s="120" t="s">
        <v>105</v>
      </c>
      <c r="K478" s="120" t="str">
        <f t="shared" si="178"/>
        <v/>
      </c>
      <c r="L478" s="170" t="s">
        <v>2821</v>
      </c>
      <c r="M478" s="122" t="str">
        <f t="shared" si="149"/>
        <v>N</v>
      </c>
      <c r="N478" s="116" t="str">
        <f>IF($L478&lt;&gt;"",VLOOKUP($L478,Categories!$E:$G,2,FALSE),IF($F478&lt;&gt;"","NO CAT",""))</f>
        <v>Not in Rate Base</v>
      </c>
      <c r="O478" s="116" t="str">
        <f>IF($L478&lt;&gt;"",VLOOKUP($L478,Categories!$E:$G,3,FALSE),IF($F478&lt;&gt;"","NO CAT",""))</f>
        <v>Deferrals Accruing Non-Cash Return   (other than ASGA)</v>
      </c>
      <c r="P478" s="170" t="s">
        <v>1186</v>
      </c>
      <c r="Q478" s="123" t="s">
        <v>1187</v>
      </c>
      <c r="R478" s="124">
        <v>0</v>
      </c>
      <c r="S478" s="124">
        <v>0</v>
      </c>
      <c r="T478" s="124">
        <v>1</v>
      </c>
      <c r="U478" s="121">
        <f t="shared" si="180"/>
        <v>0</v>
      </c>
      <c r="V478" s="121">
        <f t="shared" si="181"/>
        <v>0</v>
      </c>
      <c r="W478" s="121">
        <f t="shared" si="182"/>
        <v>-9330.36535</v>
      </c>
      <c r="X478" s="121">
        <f t="shared" si="176"/>
        <v>-9330.36535</v>
      </c>
      <c r="Y478" s="121">
        <f t="shared" si="183"/>
        <v>0</v>
      </c>
      <c r="Z478" s="121">
        <f t="shared" si="184"/>
        <v>0</v>
      </c>
      <c r="AA478" s="121">
        <f t="shared" si="185"/>
        <v>-9330.36535</v>
      </c>
      <c r="AB478" s="121">
        <f t="shared" si="177"/>
        <v>-9330.36535</v>
      </c>
      <c r="AC478" s="121">
        <v>-9330.36535</v>
      </c>
      <c r="AD478" s="121">
        <v>-9330.36535</v>
      </c>
      <c r="AE478" s="121">
        <v>-9330.36535</v>
      </c>
      <c r="AF478" s="121">
        <v>-9330.36535</v>
      </c>
      <c r="AG478" s="121">
        <v>-9330.36535</v>
      </c>
      <c r="AH478" s="121">
        <v>-9330.36535</v>
      </c>
      <c r="AI478" s="121">
        <v>-9330.36535</v>
      </c>
      <c r="AJ478" s="121">
        <v>-9330.36535</v>
      </c>
      <c r="AK478" s="121">
        <v>-9330.36535</v>
      </c>
      <c r="AL478" s="121">
        <v>-9330.36535</v>
      </c>
      <c r="AM478" s="121">
        <v>-9330.36535</v>
      </c>
      <c r="AN478" s="121">
        <v>-9330.36535</v>
      </c>
      <c r="AO478" s="121">
        <v>-9330.36535</v>
      </c>
      <c r="AP478" s="125" t="str">
        <f>CONCATENATE(A478,M478)</f>
        <v>Reg AssetN</v>
      </c>
      <c r="AQ478" s="125" t="str">
        <f>CONCATENATE(AP478,L478,H478)</f>
        <v>Reg AssetNN10Pension</v>
      </c>
      <c r="AS478" s="125" t="str">
        <f>CONCATENATE(L478,H478,J478)</f>
        <v>N10PensionNCR</v>
      </c>
    </row>
    <row r="479" spans="1:45" s="125" customFormat="1" ht="25.5" customHeight="1">
      <c r="A479" s="216" t="s">
        <v>1442</v>
      </c>
      <c r="B479" s="217" t="str">
        <f t="shared" si="179"/>
        <v>Reg Asset182303801261BG030410</v>
      </c>
      <c r="C479" s="186">
        <v>182303</v>
      </c>
      <c r="D479" s="201">
        <v>801261</v>
      </c>
      <c r="E479" s="162" t="s">
        <v>740</v>
      </c>
      <c r="F479" s="169" t="s">
        <v>1538</v>
      </c>
      <c r="G479" s="117" t="s">
        <v>3116</v>
      </c>
      <c r="H479" s="118" t="s">
        <v>1553</v>
      </c>
      <c r="I479" s="119"/>
      <c r="J479" s="120" t="s">
        <v>105</v>
      </c>
      <c r="K479" s="120" t="str">
        <f t="shared" ref="K479:K487" si="186">IF(L479="N3","SFAS-109","")</f>
        <v/>
      </c>
      <c r="L479" s="170" t="s">
        <v>2821</v>
      </c>
      <c r="M479" s="122" t="str">
        <f t="shared" ref="M479:M486" si="187">LEFT(L479,1)</f>
        <v>N</v>
      </c>
      <c r="N479" s="116" t="str">
        <f>IF($L479&lt;&gt;"",VLOOKUP($L479,Categories!$E:$G,2,FALSE),IF($F479&lt;&gt;"","NO CAT",""))</f>
        <v>Not in Rate Base</v>
      </c>
      <c r="O479" s="116" t="str">
        <f>IF($L479&lt;&gt;"",VLOOKUP($L479,Categories!$E:$G,3,FALSE),IF($F479&lt;&gt;"","NO CAT",""))</f>
        <v>Deferrals Accruing Non-Cash Return   (other than ASGA)</v>
      </c>
      <c r="P479" s="170" t="s">
        <v>1186</v>
      </c>
      <c r="Q479" s="123" t="s">
        <v>1187</v>
      </c>
      <c r="R479" s="124">
        <v>0</v>
      </c>
      <c r="S479" s="124">
        <v>0</v>
      </c>
      <c r="T479" s="124">
        <v>1</v>
      </c>
      <c r="U479" s="121">
        <f>IF(ABS(X479)=0,"",IF($R479="NO ALLOC","NO ALLOC",ROUND($R479*X479,15)))</f>
        <v>0</v>
      </c>
      <c r="V479" s="121">
        <f>IF(ABS(X479)=0,"",IF($S479="NO ALLOC","NO ALLOC",ROUND($S479*X479,15)))</f>
        <v>0</v>
      </c>
      <c r="W479" s="121">
        <f>IF(ABS(X479)=0,"",IF($T479="NO ALLOC","NO ALLOC",ROUND($T479*X479,15)))</f>
        <v>61871.156337083303</v>
      </c>
      <c r="X479" s="121">
        <f t="shared" si="176"/>
        <v>61871.156337083303</v>
      </c>
      <c r="Y479" s="121">
        <f t="shared" ref="Y479:Y486" si="188">IF(ABS(AB479)=0,"",IF($R479="NO ALLOC","NO ALLOC",ROUND($R479*AB479,15)))</f>
        <v>0</v>
      </c>
      <c r="Z479" s="121">
        <f t="shared" ref="Z479:Z486" si="189">IF(ABS(AB479)=0,"",IF($S479="NO ALLOC","NO ALLOC",ROUND($S479*AB479,15)))</f>
        <v>0</v>
      </c>
      <c r="AA479" s="121">
        <f t="shared" ref="AA479:AA486" si="190">IF(ABS(AB479)=0,"",IF($T479="NO ALLOC","NO ALLOC",ROUND($T479*AB479,15)))</f>
        <v>61903.358959999998</v>
      </c>
      <c r="AB479" s="121">
        <f t="shared" si="177"/>
        <v>61903.358959999998</v>
      </c>
      <c r="AC479" s="121">
        <v>61748.786369999994</v>
      </c>
      <c r="AD479" s="121">
        <v>61748.786369999994</v>
      </c>
      <c r="AE479" s="121">
        <v>61748.786369999994</v>
      </c>
      <c r="AF479" s="121">
        <v>61903.358959999998</v>
      </c>
      <c r="AG479" s="121">
        <v>61903.358959999998</v>
      </c>
      <c r="AH479" s="121">
        <v>61903.358959999998</v>
      </c>
      <c r="AI479" s="121">
        <v>61903.358959999998</v>
      </c>
      <c r="AJ479" s="121">
        <v>61903.358959999998</v>
      </c>
      <c r="AK479" s="121">
        <v>61903.358959999998</v>
      </c>
      <c r="AL479" s="121">
        <v>61903.358959999998</v>
      </c>
      <c r="AM479" s="121">
        <v>61903.358959999998</v>
      </c>
      <c r="AN479" s="121">
        <v>61903.358959999998</v>
      </c>
      <c r="AO479" s="121">
        <v>61903.358959999998</v>
      </c>
      <c r="AP479" s="125" t="str">
        <f>CONCATENATE(A479,M479)</f>
        <v>Reg AssetN</v>
      </c>
      <c r="AQ479" s="125" t="str">
        <f>CONCATENATE(AP479,L479,H479)</f>
        <v>Reg AssetNN10Pension</v>
      </c>
      <c r="AS479" s="125" t="str">
        <f>CONCATENATE(L479,H479,J479)</f>
        <v>N10PensionNCR</v>
      </c>
    </row>
    <row r="480" spans="1:45" s="125" customFormat="1" ht="25.5" customHeight="1">
      <c r="A480" s="216" t="s">
        <v>1442</v>
      </c>
      <c r="B480" s="217" t="str">
        <f t="shared" si="179"/>
        <v>Reg Asset182303801203BG030410</v>
      </c>
      <c r="C480" s="186">
        <v>182303</v>
      </c>
      <c r="D480" s="201">
        <v>801203</v>
      </c>
      <c r="E480" s="162" t="s">
        <v>740</v>
      </c>
      <c r="F480" s="169" t="s">
        <v>1538</v>
      </c>
      <c r="G480" s="117" t="s">
        <v>3816</v>
      </c>
      <c r="H480" s="118" t="s">
        <v>1553</v>
      </c>
      <c r="I480" s="119"/>
      <c r="J480" s="120" t="s">
        <v>105</v>
      </c>
      <c r="K480" s="120" t="str">
        <f t="shared" si="186"/>
        <v/>
      </c>
      <c r="L480" s="170" t="s">
        <v>2821</v>
      </c>
      <c r="M480" s="122" t="str">
        <f t="shared" si="187"/>
        <v>N</v>
      </c>
      <c r="N480" s="116" t="str">
        <f>IF($L480&lt;&gt;"",VLOOKUP($L480,Categories!$E:$G,2,FALSE),IF($F480&lt;&gt;"","NO CAT",""))</f>
        <v>Not in Rate Base</v>
      </c>
      <c r="O480" s="116" t="str">
        <f>IF($L480&lt;&gt;"",VLOOKUP($L480,Categories!$E:$G,3,FALSE),IF($F480&lt;&gt;"","NO CAT",""))</f>
        <v>Deferrals Accruing Non-Cash Return   (other than ASGA)</v>
      </c>
      <c r="P480" s="170" t="s">
        <v>1186</v>
      </c>
      <c r="Q480" s="123" t="s">
        <v>1187</v>
      </c>
      <c r="R480" s="124">
        <v>0</v>
      </c>
      <c r="S480" s="124">
        <v>0</v>
      </c>
      <c r="T480" s="124">
        <v>1</v>
      </c>
      <c r="U480" s="121">
        <f>IF(ABS(X480)=0,"",IF($R480="NO ALLOC","NO ALLOC",ROUND($R480*X480,15)))</f>
        <v>0</v>
      </c>
      <c r="V480" s="121">
        <f>IF(ABS(X480)=0,"",IF($S480="NO ALLOC","NO ALLOC",ROUND($S480*X480,15)))</f>
        <v>0</v>
      </c>
      <c r="W480" s="121">
        <f>IF(ABS(X480)=0,"",IF($T480="NO ALLOC","NO ALLOC",ROUND($T480*X480,15)))</f>
        <v>13828.217574583299</v>
      </c>
      <c r="X480" s="121">
        <f t="shared" si="176"/>
        <v>13828.217574583299</v>
      </c>
      <c r="Y480" s="121">
        <f t="shared" si="188"/>
        <v>0</v>
      </c>
      <c r="Z480" s="121">
        <f t="shared" si="189"/>
        <v>0</v>
      </c>
      <c r="AA480" s="121">
        <f t="shared" si="190"/>
        <v>14362.441269999999</v>
      </c>
      <c r="AB480" s="121">
        <f t="shared" si="177"/>
        <v>14362.441270000001</v>
      </c>
      <c r="AC480" s="121">
        <v>11186.09924</v>
      </c>
      <c r="AD480" s="121">
        <v>13565.58041</v>
      </c>
      <c r="AE480" s="121">
        <v>13636.15741</v>
      </c>
      <c r="AF480" s="121">
        <v>13707.1016</v>
      </c>
      <c r="AG480" s="121">
        <v>13778.414889999998</v>
      </c>
      <c r="AH480" s="121">
        <v>13850.099199999999</v>
      </c>
      <c r="AI480" s="121">
        <v>13922.156459999998</v>
      </c>
      <c r="AJ480" s="121">
        <v>13994.588599999999</v>
      </c>
      <c r="AK480" s="121">
        <v>14067.397580000001</v>
      </c>
      <c r="AL480" s="121">
        <v>14140.585359999999</v>
      </c>
      <c r="AM480" s="121">
        <v>14214.153910000001</v>
      </c>
      <c r="AN480" s="121">
        <v>14288.105220000001</v>
      </c>
      <c r="AO480" s="121">
        <v>14362.441270000001</v>
      </c>
      <c r="AP480" s="125" t="str">
        <f>CONCATENATE(A480,M480)</f>
        <v>Reg AssetN</v>
      </c>
      <c r="AQ480" s="125" t="str">
        <f>CONCATENATE(AP480,L480,H480)</f>
        <v>Reg AssetNN10Pension</v>
      </c>
      <c r="AS480" s="125" t="str">
        <f>CONCATENATE(L480,H480,J480)</f>
        <v>N10PensionNCR</v>
      </c>
    </row>
    <row r="481" spans="1:45" s="125" customFormat="1" ht="25.5" customHeight="1">
      <c r="A481" s="216" t="s">
        <v>1442</v>
      </c>
      <c r="B481" s="217" t="str">
        <f t="shared" si="179"/>
        <v>Reg Asset182303809005BG030410</v>
      </c>
      <c r="C481" s="186">
        <v>182303</v>
      </c>
      <c r="D481" s="201">
        <v>809005</v>
      </c>
      <c r="E481" s="162" t="s">
        <v>740</v>
      </c>
      <c r="F481" s="169" t="s">
        <v>1538</v>
      </c>
      <c r="G481" s="117" t="s">
        <v>471</v>
      </c>
      <c r="H481" s="118" t="s">
        <v>1553</v>
      </c>
      <c r="I481" s="119"/>
      <c r="J481" s="120" t="s">
        <v>105</v>
      </c>
      <c r="K481" s="120" t="str">
        <f t="shared" si="186"/>
        <v/>
      </c>
      <c r="L481" s="170" t="s">
        <v>2821</v>
      </c>
      <c r="M481" s="122" t="str">
        <f t="shared" si="187"/>
        <v>N</v>
      </c>
      <c r="N481" s="116" t="str">
        <f>IF($L481&lt;&gt;"",VLOOKUP($L481,Categories!$E:$G,2,FALSE),IF($F481&lt;&gt;"","NO CAT",""))</f>
        <v>Not in Rate Base</v>
      </c>
      <c r="O481" s="116" t="str">
        <f>IF($L481&lt;&gt;"",VLOOKUP($L481,Categories!$E:$G,3,FALSE),IF($F481&lt;&gt;"","NO CAT",""))</f>
        <v>Deferrals Accruing Non-Cash Return   (other than ASGA)</v>
      </c>
      <c r="P481" s="170" t="s">
        <v>1186</v>
      </c>
      <c r="Q481" s="123" t="s">
        <v>1187</v>
      </c>
      <c r="R481" s="124">
        <v>0</v>
      </c>
      <c r="S481" s="124">
        <v>0</v>
      </c>
      <c r="T481" s="124">
        <v>1</v>
      </c>
      <c r="U481" s="121">
        <f>IF(ABS(X481)=0,"",IF($R481="NO ALLOC","NO ALLOC",ROUND($R481*X481,15)))</f>
        <v>0</v>
      </c>
      <c r="V481" s="121">
        <f>IF(ABS(X481)=0,"",IF($S481="NO ALLOC","NO ALLOC",ROUND($S481*X481,15)))</f>
        <v>0</v>
      </c>
      <c r="W481" s="121">
        <f>IF(ABS(X481)=0,"",IF($T481="NO ALLOC","NO ALLOC",ROUND($T481*X481,15)))</f>
        <v>-52327.403614166702</v>
      </c>
      <c r="X481" s="121">
        <f t="shared" si="176"/>
        <v>-52327.403614166702</v>
      </c>
      <c r="Y481" s="121">
        <f t="shared" si="188"/>
        <v>0</v>
      </c>
      <c r="Z481" s="121">
        <f t="shared" si="189"/>
        <v>0</v>
      </c>
      <c r="AA481" s="121">
        <f t="shared" si="190"/>
        <v>-57216.558550000002</v>
      </c>
      <c r="AB481" s="121">
        <f t="shared" si="177"/>
        <v>-57216.558549999994</v>
      </c>
      <c r="AC481" s="121">
        <v>-46121.482029999999</v>
      </c>
      <c r="AD481" s="121">
        <v>-48071.468130000001</v>
      </c>
      <c r="AE481" s="121">
        <v>-49786.027980000006</v>
      </c>
      <c r="AF481" s="121">
        <v>-51072.250550000004</v>
      </c>
      <c r="AG481" s="121">
        <v>-51594.420360000004</v>
      </c>
      <c r="AH481" s="121">
        <v>-52448.555620000006</v>
      </c>
      <c r="AI481" s="121">
        <v>-52760.64342</v>
      </c>
      <c r="AJ481" s="121">
        <v>-53027.276709999998</v>
      </c>
      <c r="AK481" s="121">
        <v>-53476.32101</v>
      </c>
      <c r="AL481" s="121">
        <v>-53859.003899999996</v>
      </c>
      <c r="AM481" s="121">
        <v>-54439.313399999999</v>
      </c>
      <c r="AN481" s="121">
        <v>-55724.542000000001</v>
      </c>
      <c r="AO481" s="121">
        <v>-57216.558549999994</v>
      </c>
      <c r="AP481" s="125" t="str">
        <f>CONCATENATE(A481,M481)</f>
        <v>Reg AssetN</v>
      </c>
      <c r="AQ481" s="125" t="str">
        <f>CONCATENATE(AP481,L481,H481)</f>
        <v>Reg AssetNN10Pension</v>
      </c>
      <c r="AS481" s="125" t="str">
        <f>CONCATENATE(L481,H481,J481)</f>
        <v>N10PensionNCR</v>
      </c>
    </row>
    <row r="482" spans="1:45" s="125" customFormat="1" ht="25.5" customHeight="1">
      <c r="A482" s="216" t="s">
        <v>1442</v>
      </c>
      <c r="B482" s="217" t="str">
        <f>CONCATENATE(A482,C482,D482,E482)</f>
        <v>Reg Asset182303801225-UBBG030904</v>
      </c>
      <c r="C482" s="186">
        <v>182303</v>
      </c>
      <c r="D482" s="201" t="s">
        <v>4410</v>
      </c>
      <c r="E482" s="162" t="s">
        <v>2453</v>
      </c>
      <c r="F482" s="169" t="s">
        <v>1538</v>
      </c>
      <c r="G482" s="117" t="s">
        <v>4412</v>
      </c>
      <c r="H482" s="118" t="s">
        <v>4432</v>
      </c>
      <c r="I482" s="119"/>
      <c r="J482" s="120"/>
      <c r="K482" s="120" t="str">
        <f t="shared" si="186"/>
        <v/>
      </c>
      <c r="L482" s="170" t="s">
        <v>1419</v>
      </c>
      <c r="M482" s="122" t="str">
        <f t="shared" si="187"/>
        <v>A</v>
      </c>
      <c r="N482" s="116" t="str">
        <f>IF($L482&lt;&gt;"",VLOOKUP($L482,Categories!$E:$G,2,FALSE),IF($F482&lt;&gt;"","NO CAT",""))</f>
        <v>All Other</v>
      </c>
      <c r="O482" s="116" t="str">
        <f>IF($L482&lt;&gt;"",VLOOKUP($L482,Categories!$E:$G,3,FALSE),IF($F482&lt;&gt;"","NO CAT",""))</f>
        <v>EB-Cap</v>
      </c>
      <c r="P482" s="170" t="s">
        <v>1557</v>
      </c>
      <c r="Q482" s="123" t="s">
        <v>1891</v>
      </c>
      <c r="R482" s="124">
        <v>0.77544352505021785</v>
      </c>
      <c r="S482" s="124">
        <v>0.22455647494978223</v>
      </c>
      <c r="T482" s="124">
        <v>0</v>
      </c>
      <c r="U482" s="121"/>
      <c r="V482" s="121"/>
      <c r="W482" s="121"/>
      <c r="X482" s="121">
        <f t="shared" si="176"/>
        <v>0</v>
      </c>
      <c r="Y482" s="121" t="str">
        <f t="shared" si="188"/>
        <v/>
      </c>
      <c r="Z482" s="121" t="str">
        <f t="shared" si="189"/>
        <v/>
      </c>
      <c r="AA482" s="121" t="str">
        <f t="shared" si="190"/>
        <v/>
      </c>
      <c r="AB482" s="121">
        <f t="shared" si="177"/>
        <v>0</v>
      </c>
      <c r="AC482" s="121">
        <v>0</v>
      </c>
      <c r="AD482" s="121">
        <v>0</v>
      </c>
      <c r="AE482" s="121">
        <v>0</v>
      </c>
      <c r="AF482" s="121">
        <v>0</v>
      </c>
      <c r="AG482" s="121">
        <v>0</v>
      </c>
      <c r="AH482" s="121">
        <v>0</v>
      </c>
      <c r="AI482" s="121">
        <v>0</v>
      </c>
      <c r="AJ482" s="121">
        <v>0</v>
      </c>
      <c r="AK482" s="121">
        <v>0</v>
      </c>
      <c r="AL482" s="121">
        <v>0</v>
      </c>
      <c r="AM482" s="121">
        <v>0</v>
      </c>
      <c r="AN482" s="121">
        <v>0</v>
      </c>
      <c r="AO482" s="121">
        <v>0</v>
      </c>
      <c r="AP482" s="125" t="str">
        <f>CONCATENATE(A482,M482)</f>
        <v>Reg AssetA</v>
      </c>
      <c r="AQ482" s="125" t="str">
        <f>CONCATENATE(AP482,L482,H482)</f>
        <v>Reg AssetAA2RDM Unbilled</v>
      </c>
      <c r="AS482" s="125" t="str">
        <f>CONCATENATE(L482,H482,J482)</f>
        <v>A2RDM Unbilled</v>
      </c>
    </row>
    <row r="483" spans="1:45" s="125" customFormat="1" ht="25.5" customHeight="1">
      <c r="A483" s="216" t="s">
        <v>1442</v>
      </c>
      <c r="B483" s="217" t="str">
        <f t="shared" ref="B483:B484" si="191">CONCATENATE(A483,C483,D483,E483)</f>
        <v>Reg Asset182303BGHUNGDT</v>
      </c>
      <c r="C483" s="186">
        <v>182303</v>
      </c>
      <c r="D483" s="201"/>
      <c r="E483" s="162" t="s">
        <v>4399</v>
      </c>
      <c r="F483" s="169" t="s">
        <v>1538</v>
      </c>
      <c r="G483" s="117" t="s">
        <v>4405</v>
      </c>
      <c r="H483" s="118" t="s">
        <v>1167</v>
      </c>
      <c r="I483" s="119"/>
      <c r="J483" s="120"/>
      <c r="K483" s="120" t="str">
        <f t="shared" si="186"/>
        <v/>
      </c>
      <c r="L483" s="170" t="s">
        <v>1893</v>
      </c>
      <c r="M483" s="122" t="str">
        <f t="shared" si="187"/>
        <v>R</v>
      </c>
      <c r="N483" s="116" t="str">
        <f>IF($L483&lt;&gt;"",VLOOKUP($L483,Categories!$E:$G,2,FALSE),IF($F483&lt;&gt;"","NO CAT",""))</f>
        <v>Rate Base</v>
      </c>
      <c r="O483" s="116" t="str">
        <f>IF($L483&lt;&gt;"",VLOOKUP($L483,Categories!$E:$G,3,FALSE),IF($F483&lt;&gt;"","NO CAT",""))</f>
        <v>Deferred Debits &amp; Credits</v>
      </c>
      <c r="P483" s="170" t="s">
        <v>1184</v>
      </c>
      <c r="Q483" s="123" t="s">
        <v>1178</v>
      </c>
      <c r="R483" s="124">
        <v>0</v>
      </c>
      <c r="S483" s="124">
        <v>1</v>
      </c>
      <c r="T483" s="124">
        <v>0</v>
      </c>
      <c r="U483" s="121" t="str">
        <f>IF(ABS(X483)=0,"",IF($R483="NO ALLOC","NO ALLOC",ROUND($R483*X483,15)))</f>
        <v/>
      </c>
      <c r="V483" s="121" t="str">
        <f>IF(ABS(X483)=0,"",IF($S483="NO ALLOC","NO ALLOC",ROUND($S483*X483,15)))</f>
        <v/>
      </c>
      <c r="W483" s="121" t="str">
        <f>IF(ABS(X483)=0,"",IF($T483="NO ALLOC","NO ALLOC",ROUND($T483*X483,15)))</f>
        <v/>
      </c>
      <c r="X483" s="121">
        <f t="shared" si="176"/>
        <v>0</v>
      </c>
      <c r="Y483" s="121" t="str">
        <f t="shared" si="188"/>
        <v/>
      </c>
      <c r="Z483" s="121" t="str">
        <f t="shared" si="189"/>
        <v/>
      </c>
      <c r="AA483" s="121" t="str">
        <f t="shared" si="190"/>
        <v/>
      </c>
      <c r="AB483" s="121">
        <f t="shared" si="177"/>
        <v>0</v>
      </c>
      <c r="AC483" s="121">
        <v>0</v>
      </c>
      <c r="AD483" s="121">
        <v>0</v>
      </c>
      <c r="AE483" s="121">
        <v>0</v>
      </c>
      <c r="AF483" s="121">
        <v>0</v>
      </c>
      <c r="AG483" s="121">
        <v>0</v>
      </c>
      <c r="AH483" s="121">
        <v>0</v>
      </c>
      <c r="AI483" s="121">
        <v>0</v>
      </c>
      <c r="AJ483" s="121">
        <v>0</v>
      </c>
      <c r="AK483" s="121">
        <v>0</v>
      </c>
      <c r="AL483" s="121">
        <v>0</v>
      </c>
      <c r="AM483" s="121">
        <v>0</v>
      </c>
      <c r="AN483" s="121">
        <v>0</v>
      </c>
      <c r="AO483" s="121">
        <v>0</v>
      </c>
      <c r="AP483" s="125" t="str">
        <f>CONCATENATE(A483,M483)</f>
        <v>Reg AssetR</v>
      </c>
      <c r="AQ483" s="125" t="str">
        <f>CONCATENATE(AP483,L483,H483)</f>
        <v>Reg AssetRR10Hung Deferred Taxes</v>
      </c>
      <c r="AS483" s="125" t="str">
        <f>CONCATENATE(L483,H483,J483)</f>
        <v>R10Hung Deferred Taxes</v>
      </c>
    </row>
    <row r="484" spans="1:45" s="125" customFormat="1" ht="25.5" customHeight="1">
      <c r="A484" s="216" t="s">
        <v>1442</v>
      </c>
      <c r="B484" s="217" t="str">
        <f t="shared" si="191"/>
        <v>Reg Asset182303801264BG030932</v>
      </c>
      <c r="C484" s="186">
        <v>182303</v>
      </c>
      <c r="D484" s="201">
        <v>801264</v>
      </c>
      <c r="E484" s="162" t="s">
        <v>4398</v>
      </c>
      <c r="F484" s="169" t="s">
        <v>1538</v>
      </c>
      <c r="G484" s="117" t="s">
        <v>4406</v>
      </c>
      <c r="H484" s="118" t="s">
        <v>4564</v>
      </c>
      <c r="I484" s="119"/>
      <c r="J484" s="120"/>
      <c r="K484" s="120" t="str">
        <f t="shared" si="186"/>
        <v/>
      </c>
      <c r="L484" s="170" t="s">
        <v>1893</v>
      </c>
      <c r="M484" s="122" t="str">
        <f t="shared" si="187"/>
        <v>R</v>
      </c>
      <c r="N484" s="116" t="str">
        <f>IF($L484&lt;&gt;"",VLOOKUP($L484,Categories!$E:$G,2,FALSE),IF($F484&lt;&gt;"","NO CAT",""))</f>
        <v>Rate Base</v>
      </c>
      <c r="O484" s="116" t="str">
        <f>IF($L484&lt;&gt;"",VLOOKUP($L484,Categories!$E:$G,3,FALSE),IF($F484&lt;&gt;"","NO CAT",""))</f>
        <v>Deferred Debits &amp; Credits</v>
      </c>
      <c r="P484" s="170" t="s">
        <v>1184</v>
      </c>
      <c r="Q484" s="123" t="s">
        <v>1178</v>
      </c>
      <c r="R484" s="124">
        <v>0</v>
      </c>
      <c r="S484" s="124">
        <v>1</v>
      </c>
      <c r="T484" s="124">
        <v>0</v>
      </c>
      <c r="U484" s="121" t="str">
        <f>IF(ABS(X484)=0,"",IF($R484="NO ALLOC","NO ALLOC",ROUND($R484*X484,15)))</f>
        <v/>
      </c>
      <c r="V484" s="121" t="str">
        <f>IF(ABS(X484)=0,"",IF($S484="NO ALLOC","NO ALLOC",ROUND($S484*X484,15)))</f>
        <v/>
      </c>
      <c r="W484" s="121" t="str">
        <f>IF(ABS(X484)=0,"",IF($T484="NO ALLOC","NO ALLOC",ROUND($T484*X484,15)))</f>
        <v/>
      </c>
      <c r="X484" s="121">
        <f t="shared" si="176"/>
        <v>0</v>
      </c>
      <c r="Y484" s="121" t="str">
        <f t="shared" si="188"/>
        <v/>
      </c>
      <c r="Z484" s="121" t="str">
        <f t="shared" si="189"/>
        <v/>
      </c>
      <c r="AA484" s="121" t="str">
        <f t="shared" si="190"/>
        <v/>
      </c>
      <c r="AB484" s="121">
        <f t="shared" si="177"/>
        <v>0</v>
      </c>
      <c r="AC484" s="121">
        <v>0</v>
      </c>
      <c r="AD484" s="121">
        <v>0</v>
      </c>
      <c r="AE484" s="121">
        <v>0</v>
      </c>
      <c r="AF484" s="121">
        <v>0</v>
      </c>
      <c r="AG484" s="121">
        <v>0</v>
      </c>
      <c r="AH484" s="121">
        <v>0</v>
      </c>
      <c r="AI484" s="121">
        <v>0</v>
      </c>
      <c r="AJ484" s="121">
        <v>0</v>
      </c>
      <c r="AK484" s="121">
        <v>0</v>
      </c>
      <c r="AL484" s="121">
        <v>0</v>
      </c>
      <c r="AM484" s="121">
        <v>0</v>
      </c>
      <c r="AN484" s="121">
        <v>0</v>
      </c>
      <c r="AO484" s="121">
        <v>0</v>
      </c>
      <c r="AP484" s="125" t="str">
        <f>CONCATENATE(A484,M484)</f>
        <v>Reg AssetR</v>
      </c>
      <c r="AQ484" s="125" t="str">
        <f>CONCATENATE(AP484,L484,H484)</f>
        <v>Reg AssetRR10Funded DIT Tax True-up Deferral</v>
      </c>
      <c r="AS484" s="125" t="str">
        <f>CONCATENATE(L484,H484,J484)</f>
        <v>R10Funded DIT Tax True-up Deferral</v>
      </c>
    </row>
    <row r="485" spans="1:45" s="125" customFormat="1" ht="25.5" customHeight="1">
      <c r="A485" s="216" t="s">
        <v>1442</v>
      </c>
      <c r="B485" s="217" t="str">
        <f>CONCATENATE(A485,C485,D485,E485)</f>
        <v>Reg Asset182304801264BE030932</v>
      </c>
      <c r="C485" s="186">
        <v>182304</v>
      </c>
      <c r="D485" s="201">
        <v>801264</v>
      </c>
      <c r="E485" s="162" t="s">
        <v>4392</v>
      </c>
      <c r="F485" s="169" t="s">
        <v>4654</v>
      </c>
      <c r="G485" s="117" t="s">
        <v>4656</v>
      </c>
      <c r="H485" s="118" t="s">
        <v>4564</v>
      </c>
      <c r="I485" s="119"/>
      <c r="J485" s="120"/>
      <c r="K485" s="120" t="str">
        <f t="shared" si="186"/>
        <v/>
      </c>
      <c r="L485" s="170" t="s">
        <v>1893</v>
      </c>
      <c r="M485" s="122" t="str">
        <f t="shared" si="187"/>
        <v>R</v>
      </c>
      <c r="N485" s="116" t="str">
        <f>IF($L485&lt;&gt;"",VLOOKUP($L485,Categories!$E:$G,2,FALSE),IF($F485&lt;&gt;"","NO CAT",""))</f>
        <v>Rate Base</v>
      </c>
      <c r="O485" s="116" t="str">
        <f>IF($L485&lt;&gt;"",VLOOKUP($L485,Categories!$E:$G,3,FALSE),IF($F485&lt;&gt;"","NO CAT",""))</f>
        <v>Deferred Debits &amp; Credits</v>
      </c>
      <c r="P485" s="170" t="s">
        <v>1183</v>
      </c>
      <c r="Q485" s="123" t="s">
        <v>1177</v>
      </c>
      <c r="R485" s="124">
        <v>1</v>
      </c>
      <c r="S485" s="124">
        <v>0</v>
      </c>
      <c r="T485" s="124">
        <v>0</v>
      </c>
      <c r="U485" s="121">
        <f>IF(ABS(X485)=0,"",IF($R485="NO ALLOC","NO ALLOC",ROUND($R485*X485,15)))</f>
        <v>32476.840811666701</v>
      </c>
      <c r="V485" s="121">
        <f>IF(ABS(X485)=0,"",IF($S485="NO ALLOC","NO ALLOC",ROUND($S485*X485,15)))</f>
        <v>0</v>
      </c>
      <c r="W485" s="121">
        <f>IF(ABS(X485)=0,"",IF($T485="NO ALLOC","NO ALLOC",ROUND($T485*X485,15)))</f>
        <v>0</v>
      </c>
      <c r="X485" s="121">
        <f t="shared" si="176"/>
        <v>32476.840811666701</v>
      </c>
      <c r="Y485" s="121">
        <f t="shared" si="188"/>
        <v>41351.289230000002</v>
      </c>
      <c r="Z485" s="121">
        <f t="shared" si="189"/>
        <v>0</v>
      </c>
      <c r="AA485" s="121">
        <f t="shared" si="190"/>
        <v>0</v>
      </c>
      <c r="AB485" s="121">
        <f t="shared" si="177"/>
        <v>41351.289230000002</v>
      </c>
      <c r="AC485" s="121">
        <v>27469.751629999999</v>
      </c>
      <c r="AD485" s="121">
        <v>28232.79941</v>
      </c>
      <c r="AE485" s="121">
        <v>28995.848040000001</v>
      </c>
      <c r="AF485" s="121">
        <v>30315.516899999999</v>
      </c>
      <c r="AG485" s="121">
        <v>31078.565529999996</v>
      </c>
      <c r="AH485" s="121">
        <v>31841.614159999997</v>
      </c>
      <c r="AI485" s="121">
        <v>32048.042559999994</v>
      </c>
      <c r="AJ485" s="121">
        <v>32811.091189999992</v>
      </c>
      <c r="AK485" s="121">
        <v>33574.139819999989</v>
      </c>
      <c r="AL485" s="121">
        <v>34337.188449999994</v>
      </c>
      <c r="AM485" s="121">
        <v>35656.857309999992</v>
      </c>
      <c r="AN485" s="121">
        <v>36419.905939999997</v>
      </c>
      <c r="AO485" s="121">
        <v>41351.289230000002</v>
      </c>
      <c r="AP485" s="125" t="str">
        <f>CONCATENATE(A485,M485)</f>
        <v>Reg AssetR</v>
      </c>
      <c r="AQ485" s="125" t="str">
        <f>CONCATENATE(AP485,L485,H485)</f>
        <v>Reg AssetRR10Funded DIT Tax True-up Deferral</v>
      </c>
      <c r="AS485" s="125" t="str">
        <f>CONCATENATE(L485,H485,J485)</f>
        <v>R10Funded DIT Tax True-up Deferral</v>
      </c>
    </row>
    <row r="486" spans="1:45" s="125" customFormat="1" ht="25.5" customHeight="1">
      <c r="A486" s="216" t="s">
        <v>1442</v>
      </c>
      <c r="B486" s="217" t="str">
        <f>CONCATENATE(A486,C486,D486,E486)</f>
        <v>Reg Asset182304801264BG030932</v>
      </c>
      <c r="C486" s="186">
        <v>182304</v>
      </c>
      <c r="D486" s="201">
        <v>801264</v>
      </c>
      <c r="E486" s="162" t="s">
        <v>4398</v>
      </c>
      <c r="F486" s="169" t="s">
        <v>4654</v>
      </c>
      <c r="G486" s="117" t="s">
        <v>4656</v>
      </c>
      <c r="H486" s="118" t="s">
        <v>4564</v>
      </c>
      <c r="I486" s="119"/>
      <c r="J486" s="120"/>
      <c r="K486" s="120" t="str">
        <f t="shared" si="186"/>
        <v/>
      </c>
      <c r="L486" s="170" t="s">
        <v>1893</v>
      </c>
      <c r="M486" s="122" t="str">
        <f t="shared" si="187"/>
        <v>R</v>
      </c>
      <c r="N486" s="116" t="str">
        <f>IF($L486&lt;&gt;"",VLOOKUP($L486,Categories!$E:$G,2,FALSE),IF($F486&lt;&gt;"","NO CAT",""))</f>
        <v>Rate Base</v>
      </c>
      <c r="O486" s="116" t="str">
        <f>IF($L486&lt;&gt;"",VLOOKUP($L486,Categories!$E:$G,3,FALSE),IF($F486&lt;&gt;"","NO CAT",""))</f>
        <v>Deferred Debits &amp; Credits</v>
      </c>
      <c r="P486" s="170" t="s">
        <v>1184</v>
      </c>
      <c r="Q486" s="123" t="s">
        <v>1178</v>
      </c>
      <c r="R486" s="124">
        <v>0</v>
      </c>
      <c r="S486" s="124">
        <v>1</v>
      </c>
      <c r="T486" s="124">
        <v>0</v>
      </c>
      <c r="U486" s="121">
        <f>IF(ABS(X486)=0,"",IF($R486="NO ALLOC","NO ALLOC",ROUND($R486*X486,15)))</f>
        <v>0</v>
      </c>
      <c r="V486" s="121">
        <f>IF(ABS(X486)=0,"",IF($S486="NO ALLOC","NO ALLOC",ROUND($S486*X486,15)))</f>
        <v>22741.6279629167</v>
      </c>
      <c r="W486" s="121">
        <f>IF(ABS(X486)=0,"",IF($T486="NO ALLOC","NO ALLOC",ROUND($T486*X486,15)))</f>
        <v>0</v>
      </c>
      <c r="X486" s="121">
        <f t="shared" si="176"/>
        <v>22741.6279629167</v>
      </c>
      <c r="Y486" s="121">
        <f t="shared" si="188"/>
        <v>0</v>
      </c>
      <c r="Z486" s="121">
        <f t="shared" si="189"/>
        <v>17009.85455</v>
      </c>
      <c r="AA486" s="121">
        <f t="shared" si="190"/>
        <v>0</v>
      </c>
      <c r="AB486" s="121">
        <f t="shared" si="177"/>
        <v>17009.854550000004</v>
      </c>
      <c r="AC486" s="121">
        <v>20038.328539999999</v>
      </c>
      <c r="AD486" s="121">
        <v>20594.948410000001</v>
      </c>
      <c r="AE486" s="121">
        <v>21151.568640000001</v>
      </c>
      <c r="AF486" s="121">
        <v>21151.568640000001</v>
      </c>
      <c r="AG486" s="121">
        <v>21708.188870000002</v>
      </c>
      <c r="AH486" s="121">
        <v>22264.809100000002</v>
      </c>
      <c r="AI486" s="121">
        <v>23378.049560000003</v>
      </c>
      <c r="AJ486" s="121">
        <v>23934.669790000004</v>
      </c>
      <c r="AK486" s="121">
        <v>24491.290020000004</v>
      </c>
      <c r="AL486" s="121">
        <v>25047.910250000004</v>
      </c>
      <c r="AM486" s="121">
        <v>25047.910250000004</v>
      </c>
      <c r="AN486" s="121">
        <v>25604.530480000005</v>
      </c>
      <c r="AO486" s="121">
        <v>17009.854550000004</v>
      </c>
      <c r="AP486" s="125" t="str">
        <f>CONCATENATE(A486,M486)</f>
        <v>Reg AssetR</v>
      </c>
      <c r="AQ486" s="125" t="str">
        <f>CONCATENATE(AP486,L486,H486)</f>
        <v>Reg AssetRR10Funded DIT Tax True-up Deferral</v>
      </c>
      <c r="AS486" s="125" t="str">
        <f>CONCATENATE(L486,H486,J486)</f>
        <v>R10Funded DIT Tax True-up Deferral</v>
      </c>
    </row>
    <row r="487" spans="1:45" s="125" customFormat="1" ht="25.5" customHeight="1">
      <c r="A487" s="216" t="s">
        <v>1442</v>
      </c>
      <c r="B487" s="217" t="str">
        <f t="shared" si="179"/>
        <v>Reg Asset182305801257BE030925</v>
      </c>
      <c r="C487" s="186">
        <v>182305</v>
      </c>
      <c r="D487" s="201">
        <v>801257</v>
      </c>
      <c r="E487" s="162" t="s">
        <v>787</v>
      </c>
      <c r="F487" s="169" t="s">
        <v>1538</v>
      </c>
      <c r="G487" s="117" t="s">
        <v>3117</v>
      </c>
      <c r="H487" s="118" t="s">
        <v>2711</v>
      </c>
      <c r="I487" s="119"/>
      <c r="J487" s="120" t="s">
        <v>105</v>
      </c>
      <c r="K487" s="120" t="str">
        <f t="shared" si="186"/>
        <v/>
      </c>
      <c r="L487" s="170" t="s">
        <v>2821</v>
      </c>
      <c r="M487" s="122" t="str">
        <f t="shared" si="149"/>
        <v>N</v>
      </c>
      <c r="N487" s="116" t="str">
        <f>IF($L487&lt;&gt;"",VLOOKUP($L487,Categories!$E:$G,2,FALSE),IF($F487&lt;&gt;"","NO CAT",""))</f>
        <v>Not in Rate Base</v>
      </c>
      <c r="O487" s="116" t="str">
        <f>IF($L487&lt;&gt;"",VLOOKUP($L487,Categories!$E:$G,3,FALSE),IF($F487&lt;&gt;"","NO CAT",""))</f>
        <v>Deferrals Accruing Non-Cash Return   (other than ASGA)</v>
      </c>
      <c r="P487" s="170" t="s">
        <v>1186</v>
      </c>
      <c r="Q487" s="123" t="s">
        <v>1187</v>
      </c>
      <c r="R487" s="124">
        <v>0</v>
      </c>
      <c r="S487" s="124">
        <v>0</v>
      </c>
      <c r="T487" s="124">
        <v>1</v>
      </c>
      <c r="U487" s="121">
        <f t="shared" si="180"/>
        <v>0</v>
      </c>
      <c r="V487" s="121">
        <f t="shared" si="181"/>
        <v>0</v>
      </c>
      <c r="W487" s="121">
        <f t="shared" si="182"/>
        <v>87.788757916666697</v>
      </c>
      <c r="X487" s="121">
        <f t="shared" si="176"/>
        <v>87.788757916666697</v>
      </c>
      <c r="Y487" s="121">
        <f t="shared" si="183"/>
        <v>0</v>
      </c>
      <c r="Z487" s="121">
        <f t="shared" si="184"/>
        <v>0</v>
      </c>
      <c r="AA487" s="121">
        <f t="shared" si="185"/>
        <v>90.550219999999996</v>
      </c>
      <c r="AB487" s="121">
        <f t="shared" si="177"/>
        <v>90.550220000000039</v>
      </c>
      <c r="AC487" s="121">
        <v>85.083630000000014</v>
      </c>
      <c r="AD487" s="121">
        <v>85.526290000000017</v>
      </c>
      <c r="AE487" s="121">
        <v>85.971250000000026</v>
      </c>
      <c r="AF487" s="121">
        <v>86.418530000000032</v>
      </c>
      <c r="AG487" s="121">
        <v>86.868140000000025</v>
      </c>
      <c r="AH487" s="121">
        <v>87.320080000000033</v>
      </c>
      <c r="AI487" s="121">
        <v>87.774380000000036</v>
      </c>
      <c r="AJ487" s="121">
        <v>88.231040000000036</v>
      </c>
      <c r="AK487" s="121">
        <v>88.690080000000037</v>
      </c>
      <c r="AL487" s="121">
        <v>89.151500000000027</v>
      </c>
      <c r="AM487" s="121">
        <v>89.61532000000004</v>
      </c>
      <c r="AN487" s="121">
        <v>90.081560000000039</v>
      </c>
      <c r="AO487" s="121">
        <v>90.550220000000039</v>
      </c>
      <c r="AP487" s="125" t="str">
        <f>CONCATENATE(A487,M487)</f>
        <v>Reg AssetN</v>
      </c>
      <c r="AQ487" s="125" t="str">
        <f>CONCATENATE(AP487,L487,H487)</f>
        <v>Reg AssetNN10Unit of Property CTA</v>
      </c>
      <c r="AS487" s="125" t="str">
        <f>CONCATENATE(L487,H487,J487)</f>
        <v>N10Unit of Property CTANCR</v>
      </c>
    </row>
    <row r="488" spans="1:45" s="125" customFormat="1" ht="25.5" customHeight="1">
      <c r="A488" s="216" t="s">
        <v>1442</v>
      </c>
      <c r="B488" s="217" t="str">
        <f t="shared" si="179"/>
        <v>Reg Asset1823060-149.28.06BG030168</v>
      </c>
      <c r="C488" s="186">
        <v>182306</v>
      </c>
      <c r="D488" s="201" t="s">
        <v>106</v>
      </c>
      <c r="E488" s="162" t="s">
        <v>79</v>
      </c>
      <c r="F488" s="169" t="s">
        <v>2778</v>
      </c>
      <c r="G488" s="117" t="s">
        <v>1072</v>
      </c>
      <c r="H488" s="118" t="s">
        <v>815</v>
      </c>
      <c r="I488" s="119"/>
      <c r="J488" s="120"/>
      <c r="K488" s="120" t="str">
        <f t="shared" ref="K488:K517" si="192">IF(L488="N3","SFAS-109","")</f>
        <v/>
      </c>
      <c r="L488" s="170" t="s">
        <v>1893</v>
      </c>
      <c r="M488" s="122" t="str">
        <f t="shared" si="149"/>
        <v>R</v>
      </c>
      <c r="N488" s="116" t="str">
        <f>IF($L488&lt;&gt;"",VLOOKUP($L488,Categories!$E:$G,2,FALSE),IF($F488&lt;&gt;"","NO CAT",""))</f>
        <v>Rate Base</v>
      </c>
      <c r="O488" s="116" t="str">
        <f>IF($L488&lt;&gt;"",VLOOKUP($L488,Categories!$E:$G,3,FALSE),IF($F488&lt;&gt;"","NO CAT",""))</f>
        <v>Deferred Debits &amp; Credits</v>
      </c>
      <c r="P488" s="170" t="s">
        <v>1184</v>
      </c>
      <c r="Q488" s="123" t="s">
        <v>1178</v>
      </c>
      <c r="R488" s="124">
        <v>0</v>
      </c>
      <c r="S488" s="124">
        <v>1</v>
      </c>
      <c r="T488" s="124">
        <v>0</v>
      </c>
      <c r="U488" s="121">
        <f t="shared" si="180"/>
        <v>0</v>
      </c>
      <c r="V488" s="121">
        <f t="shared" si="181"/>
        <v>1.8187108333333899</v>
      </c>
      <c r="W488" s="121">
        <f t="shared" si="182"/>
        <v>0</v>
      </c>
      <c r="X488" s="121">
        <f t="shared" si="176"/>
        <v>1.8187108333333899</v>
      </c>
      <c r="Y488" s="121">
        <f t="shared" si="183"/>
        <v>0</v>
      </c>
      <c r="Z488" s="121">
        <f t="shared" si="184"/>
        <v>5.8000000000000005E-14</v>
      </c>
      <c r="AA488" s="121">
        <f t="shared" si="185"/>
        <v>0</v>
      </c>
      <c r="AB488" s="121">
        <f t="shared" si="177"/>
        <v>5.8207660913467408E-14</v>
      </c>
      <c r="AC488" s="121">
        <v>43.649060000000055</v>
      </c>
      <c r="AD488" s="121">
        <v>5.8207660913467408E-14</v>
      </c>
      <c r="AE488" s="121">
        <v>5.8207660913467408E-14</v>
      </c>
      <c r="AF488" s="121">
        <v>5.8207660913467408E-14</v>
      </c>
      <c r="AG488" s="121">
        <v>5.8207660913467408E-14</v>
      </c>
      <c r="AH488" s="121">
        <v>5.8207660913467408E-14</v>
      </c>
      <c r="AI488" s="121">
        <v>5.8207660913467408E-14</v>
      </c>
      <c r="AJ488" s="121">
        <v>5.8207660913467408E-14</v>
      </c>
      <c r="AK488" s="121">
        <v>5.8207660913467408E-14</v>
      </c>
      <c r="AL488" s="121">
        <v>5.8207660913467408E-14</v>
      </c>
      <c r="AM488" s="121">
        <v>5.8207660913467408E-14</v>
      </c>
      <c r="AN488" s="121">
        <v>5.8207660913467408E-14</v>
      </c>
      <c r="AO488" s="121">
        <v>5.8207660913467408E-14</v>
      </c>
      <c r="AP488" s="125" t="str">
        <f>CONCATENATE(A488,M488)</f>
        <v>Reg AssetR</v>
      </c>
      <c r="AQ488" s="125" t="str">
        <f>CONCATENATE(AP488,L488,H488)</f>
        <v>Reg AssetRR10Property Tax Deferral</v>
      </c>
      <c r="AS488" s="125" t="str">
        <f>CONCATENATE(L488,H488,J488)</f>
        <v>R10Property Tax Deferral</v>
      </c>
    </row>
    <row r="489" spans="1:45" s="125" customFormat="1" ht="25.5" customHeight="1">
      <c r="A489" s="216" t="s">
        <v>1442</v>
      </c>
      <c r="B489" s="217" t="str">
        <f t="shared" si="179"/>
        <v>Reg Asset1823060-149.28.97BG030173</v>
      </c>
      <c r="C489" s="186">
        <v>182306</v>
      </c>
      <c r="D489" s="201" t="s">
        <v>1561</v>
      </c>
      <c r="E489" s="162" t="s">
        <v>3795</v>
      </c>
      <c r="F489" s="169" t="s">
        <v>2778</v>
      </c>
      <c r="G489" s="117" t="s">
        <v>1562</v>
      </c>
      <c r="H489" s="118" t="s">
        <v>1563</v>
      </c>
      <c r="I489" s="119"/>
      <c r="J489" s="120"/>
      <c r="K489" s="120" t="str">
        <f t="shared" si="192"/>
        <v/>
      </c>
      <c r="L489" s="170" t="s">
        <v>1893</v>
      </c>
      <c r="M489" s="122" t="str">
        <f t="shared" si="149"/>
        <v>R</v>
      </c>
      <c r="N489" s="116" t="str">
        <f>IF($L489&lt;&gt;"",VLOOKUP($L489,Categories!$E:$G,2,FALSE),IF($F489&lt;&gt;"","NO CAT",""))</f>
        <v>Rate Base</v>
      </c>
      <c r="O489" s="116" t="str">
        <f>IF($L489&lt;&gt;"",VLOOKUP($L489,Categories!$E:$G,3,FALSE),IF($F489&lt;&gt;"","NO CAT",""))</f>
        <v>Deferred Debits &amp; Credits</v>
      </c>
      <c r="P489" s="170" t="s">
        <v>1184</v>
      </c>
      <c r="Q489" s="123" t="s">
        <v>1178</v>
      </c>
      <c r="R489" s="124">
        <v>0</v>
      </c>
      <c r="S489" s="124">
        <v>1</v>
      </c>
      <c r="T489" s="124">
        <v>0</v>
      </c>
      <c r="U489" s="121">
        <f t="shared" si="180"/>
        <v>0</v>
      </c>
      <c r="V489" s="121">
        <f t="shared" si="181"/>
        <v>52.6</v>
      </c>
      <c r="W489" s="121">
        <f t="shared" si="182"/>
        <v>0</v>
      </c>
      <c r="X489" s="121">
        <f t="shared" si="176"/>
        <v>52.6</v>
      </c>
      <c r="Y489" s="121">
        <f t="shared" si="183"/>
        <v>0</v>
      </c>
      <c r="Z489" s="121">
        <f t="shared" si="184"/>
        <v>52.6</v>
      </c>
      <c r="AA489" s="121">
        <f t="shared" si="185"/>
        <v>0</v>
      </c>
      <c r="AB489" s="121">
        <f t="shared" si="177"/>
        <v>52.6</v>
      </c>
      <c r="AC489" s="121">
        <v>52.6</v>
      </c>
      <c r="AD489" s="121">
        <v>52.6</v>
      </c>
      <c r="AE489" s="121">
        <v>52.6</v>
      </c>
      <c r="AF489" s="121">
        <v>52.6</v>
      </c>
      <c r="AG489" s="121">
        <v>52.6</v>
      </c>
      <c r="AH489" s="121">
        <v>52.6</v>
      </c>
      <c r="AI489" s="121">
        <v>52.6</v>
      </c>
      <c r="AJ489" s="121">
        <v>52.6</v>
      </c>
      <c r="AK489" s="121">
        <v>52.6</v>
      </c>
      <c r="AL489" s="121">
        <v>52.6</v>
      </c>
      <c r="AM489" s="121">
        <v>52.6</v>
      </c>
      <c r="AN489" s="121">
        <v>52.6</v>
      </c>
      <c r="AO489" s="121">
        <v>52.6</v>
      </c>
      <c r="AP489" s="125" t="str">
        <f>CONCATENATE(A489,M489)</f>
        <v>Reg AssetR</v>
      </c>
      <c r="AQ489" s="125" t="str">
        <f>CONCATENATE(AP489,L489,H489)</f>
        <v>Reg AssetRR10Gas Phase 2A/B</v>
      </c>
      <c r="AS489" s="125" t="str">
        <f>CONCATENATE(L489,H489,J489)</f>
        <v>R10Gas Phase 2A/B</v>
      </c>
    </row>
    <row r="490" spans="1:45" s="125" customFormat="1" ht="25.5" customHeight="1">
      <c r="A490" s="216" t="s">
        <v>1442</v>
      </c>
      <c r="B490" s="217" t="str">
        <f t="shared" si="179"/>
        <v>Reg Asset182306800150BG030181</v>
      </c>
      <c r="C490" s="186">
        <v>182306</v>
      </c>
      <c r="D490" s="201">
        <v>800150</v>
      </c>
      <c r="E490" s="162" t="s">
        <v>527</v>
      </c>
      <c r="F490" s="169" t="s">
        <v>2778</v>
      </c>
      <c r="G490" s="117" t="s">
        <v>528</v>
      </c>
      <c r="H490" s="118" t="s">
        <v>2522</v>
      </c>
      <c r="I490" s="119"/>
      <c r="J490" s="120" t="s">
        <v>105</v>
      </c>
      <c r="K490" s="120" t="str">
        <f t="shared" si="192"/>
        <v/>
      </c>
      <c r="L490" s="170" t="s">
        <v>2821</v>
      </c>
      <c r="M490" s="122" t="str">
        <f t="shared" si="149"/>
        <v>N</v>
      </c>
      <c r="N490" s="116" t="str">
        <f>IF($L490&lt;&gt;"",VLOOKUP($L490,Categories!$E:$G,2,FALSE),IF($F490&lt;&gt;"","NO CAT",""))</f>
        <v>Not in Rate Base</v>
      </c>
      <c r="O490" s="116" t="str">
        <f>IF($L490&lt;&gt;"",VLOOKUP($L490,Categories!$E:$G,3,FALSE),IF($F490&lt;&gt;"","NO CAT",""))</f>
        <v>Deferrals Accruing Non-Cash Return   (other than ASGA)</v>
      </c>
      <c r="P490" s="170" t="s">
        <v>1186</v>
      </c>
      <c r="Q490" s="123" t="s">
        <v>1187</v>
      </c>
      <c r="R490" s="124">
        <v>0</v>
      </c>
      <c r="S490" s="124">
        <v>0</v>
      </c>
      <c r="T490" s="124">
        <v>1</v>
      </c>
      <c r="U490" s="121">
        <f t="shared" si="180"/>
        <v>0</v>
      </c>
      <c r="V490" s="121">
        <f t="shared" si="181"/>
        <v>0</v>
      </c>
      <c r="W490" s="121">
        <f t="shared" si="182"/>
        <v>2.6857199999999999</v>
      </c>
      <c r="X490" s="121">
        <f t="shared" si="176"/>
        <v>2.6857199999999999</v>
      </c>
      <c r="Y490" s="121">
        <f t="shared" si="183"/>
        <v>0</v>
      </c>
      <c r="Z490" s="121">
        <f t="shared" si="184"/>
        <v>0</v>
      </c>
      <c r="AA490" s="121">
        <f t="shared" si="185"/>
        <v>2.6857199999999999</v>
      </c>
      <c r="AB490" s="121">
        <f t="shared" si="177"/>
        <v>2.6857199999999999</v>
      </c>
      <c r="AC490" s="121">
        <v>2.6857199999999999</v>
      </c>
      <c r="AD490" s="121">
        <v>2.6857199999999999</v>
      </c>
      <c r="AE490" s="121">
        <v>2.6857199999999999</v>
      </c>
      <c r="AF490" s="121">
        <v>2.6857199999999999</v>
      </c>
      <c r="AG490" s="121">
        <v>2.6857199999999999</v>
      </c>
      <c r="AH490" s="121">
        <v>2.6857199999999999</v>
      </c>
      <c r="AI490" s="121">
        <v>2.6857199999999999</v>
      </c>
      <c r="AJ490" s="121">
        <v>2.6857199999999999</v>
      </c>
      <c r="AK490" s="121">
        <v>2.6857199999999999</v>
      </c>
      <c r="AL490" s="121">
        <v>2.6857199999999999</v>
      </c>
      <c r="AM490" s="121">
        <v>2.6857199999999999</v>
      </c>
      <c r="AN490" s="121">
        <v>2.6857199999999999</v>
      </c>
      <c r="AO490" s="121">
        <v>2.6857199999999999</v>
      </c>
      <c r="AP490" s="125" t="str">
        <f>CONCATENATE(A490,M490)</f>
        <v>Reg AssetN</v>
      </c>
      <c r="AQ490" s="125" t="str">
        <f>CONCATENATE(AP490,L490,H490)</f>
        <v>Reg AssetNN10Gas Main Integrity</v>
      </c>
      <c r="AS490" s="125" t="str">
        <f>CONCATENATE(L490,H490,J490)</f>
        <v>N10Gas Main IntegrityNCR</v>
      </c>
    </row>
    <row r="491" spans="1:45" s="125" customFormat="1" ht="25.5" customHeight="1">
      <c r="A491" s="216" t="s">
        <v>1442</v>
      </c>
      <c r="B491" s="217" t="str">
        <f t="shared" si="179"/>
        <v>Reg Asset182306800162BG030184</v>
      </c>
      <c r="C491" s="186">
        <v>182306</v>
      </c>
      <c r="D491" s="201">
        <v>800162</v>
      </c>
      <c r="E491" s="162" t="s">
        <v>529</v>
      </c>
      <c r="F491" s="169" t="s">
        <v>2778</v>
      </c>
      <c r="G491" s="117" t="s">
        <v>1649</v>
      </c>
      <c r="H491" s="118" t="s">
        <v>620</v>
      </c>
      <c r="I491" s="119"/>
      <c r="J491" s="120" t="s">
        <v>105</v>
      </c>
      <c r="K491" s="120" t="str">
        <f t="shared" si="192"/>
        <v/>
      </c>
      <c r="L491" s="170" t="s">
        <v>2821</v>
      </c>
      <c r="M491" s="122" t="str">
        <f t="shared" si="149"/>
        <v>N</v>
      </c>
      <c r="N491" s="116" t="str">
        <f>IF($L491&lt;&gt;"",VLOOKUP($L491,Categories!$E:$G,2,FALSE),IF($F491&lt;&gt;"","NO CAT",""))</f>
        <v>Not in Rate Base</v>
      </c>
      <c r="O491" s="116" t="str">
        <f>IF($L491&lt;&gt;"",VLOOKUP($L491,Categories!$E:$G,3,FALSE),IF($F491&lt;&gt;"","NO CAT",""))</f>
        <v>Deferrals Accruing Non-Cash Return   (other than ASGA)</v>
      </c>
      <c r="P491" s="170" t="s">
        <v>1186</v>
      </c>
      <c r="Q491" s="123" t="s">
        <v>1187</v>
      </c>
      <c r="R491" s="124">
        <v>0</v>
      </c>
      <c r="S491" s="124">
        <v>0</v>
      </c>
      <c r="T491" s="124">
        <v>1</v>
      </c>
      <c r="U491" s="121">
        <f t="shared" si="180"/>
        <v>0</v>
      </c>
      <c r="V491" s="121">
        <f t="shared" si="181"/>
        <v>0</v>
      </c>
      <c r="W491" s="121">
        <f t="shared" si="182"/>
        <v>1738.01862291667</v>
      </c>
      <c r="X491" s="121">
        <f t="shared" si="176"/>
        <v>1738.01862291667</v>
      </c>
      <c r="Y491" s="121" t="str">
        <f t="shared" si="183"/>
        <v/>
      </c>
      <c r="Z491" s="121" t="str">
        <f t="shared" si="184"/>
        <v/>
      </c>
      <c r="AA491" s="121" t="str">
        <f t="shared" si="185"/>
        <v/>
      </c>
      <c r="AB491" s="121">
        <f t="shared" si="177"/>
        <v>0</v>
      </c>
      <c r="AC491" s="121">
        <v>2453.67335</v>
      </c>
      <c r="AD491" s="121">
        <v>2453.67335</v>
      </c>
      <c r="AE491" s="121">
        <v>2453.67335</v>
      </c>
      <c r="AF491" s="121">
        <v>2453.67335</v>
      </c>
      <c r="AG491" s="121">
        <v>2453.67335</v>
      </c>
      <c r="AH491" s="121">
        <v>2453.67335</v>
      </c>
      <c r="AI491" s="121">
        <v>2453.67335</v>
      </c>
      <c r="AJ491" s="121">
        <v>2453.67335</v>
      </c>
      <c r="AK491" s="121">
        <v>2453.67335</v>
      </c>
      <c r="AL491" s="121">
        <v>0</v>
      </c>
      <c r="AM491" s="121">
        <v>0</v>
      </c>
      <c r="AN491" s="121">
        <v>0</v>
      </c>
      <c r="AO491" s="121">
        <v>0</v>
      </c>
      <c r="AP491" s="125" t="str">
        <f>CONCATENATE(A491,M491)</f>
        <v>Reg AssetN</v>
      </c>
      <c r="AQ491" s="125" t="str">
        <f>CONCATENATE(AP491,L491,H491)</f>
        <v>Reg AssetNN10Flood</v>
      </c>
      <c r="AS491" s="125" t="str">
        <f>CONCATENATE(L491,H491,J491)</f>
        <v>N10FloodNCR</v>
      </c>
    </row>
    <row r="492" spans="1:45" s="125" customFormat="1" ht="25.5" customHeight="1">
      <c r="A492" s="216" t="s">
        <v>1442</v>
      </c>
      <c r="B492" s="217" t="str">
        <f t="shared" si="179"/>
        <v>Reg Asset182306800177BG030165</v>
      </c>
      <c r="C492" s="186">
        <v>182306</v>
      </c>
      <c r="D492" s="201">
        <v>800177</v>
      </c>
      <c r="E492" s="162" t="s">
        <v>530</v>
      </c>
      <c r="F492" s="169" t="s">
        <v>2778</v>
      </c>
      <c r="G492" s="117" t="s">
        <v>2206</v>
      </c>
      <c r="H492" s="118" t="s">
        <v>1493</v>
      </c>
      <c r="I492" s="119"/>
      <c r="J492" s="120" t="s">
        <v>105</v>
      </c>
      <c r="K492" s="120" t="str">
        <f t="shared" si="192"/>
        <v/>
      </c>
      <c r="L492" s="170" t="s">
        <v>2821</v>
      </c>
      <c r="M492" s="122" t="str">
        <f t="shared" si="149"/>
        <v>N</v>
      </c>
      <c r="N492" s="116" t="str">
        <f>IF($L492&lt;&gt;"",VLOOKUP($L492,Categories!$E:$G,2,FALSE),IF($F492&lt;&gt;"","NO CAT",""))</f>
        <v>Not in Rate Base</v>
      </c>
      <c r="O492" s="116" t="str">
        <f>IF($L492&lt;&gt;"",VLOOKUP($L492,Categories!$E:$G,3,FALSE),IF($F492&lt;&gt;"","NO CAT",""))</f>
        <v>Deferrals Accruing Non-Cash Return   (other than ASGA)</v>
      </c>
      <c r="P492" s="170" t="s">
        <v>1186</v>
      </c>
      <c r="Q492" s="123" t="s">
        <v>1187</v>
      </c>
      <c r="R492" s="124">
        <v>0</v>
      </c>
      <c r="S492" s="124">
        <v>0</v>
      </c>
      <c r="T492" s="124">
        <v>1</v>
      </c>
      <c r="U492" s="121" t="str">
        <f t="shared" si="180"/>
        <v/>
      </c>
      <c r="V492" s="121" t="str">
        <f t="shared" si="181"/>
        <v/>
      </c>
      <c r="W492" s="121" t="str">
        <f t="shared" si="182"/>
        <v/>
      </c>
      <c r="X492" s="121">
        <f t="shared" si="176"/>
        <v>0</v>
      </c>
      <c r="Y492" s="121" t="str">
        <f t="shared" si="183"/>
        <v/>
      </c>
      <c r="Z492" s="121" t="str">
        <f t="shared" si="184"/>
        <v/>
      </c>
      <c r="AA492" s="121" t="str">
        <f t="shared" si="185"/>
        <v/>
      </c>
      <c r="AB492" s="121">
        <f t="shared" si="177"/>
        <v>0</v>
      </c>
      <c r="AC492" s="121">
        <v>0</v>
      </c>
      <c r="AD492" s="121">
        <v>0</v>
      </c>
      <c r="AE492" s="121">
        <v>0</v>
      </c>
      <c r="AF492" s="121">
        <v>0</v>
      </c>
      <c r="AG492" s="121">
        <v>0</v>
      </c>
      <c r="AH492" s="121">
        <v>0</v>
      </c>
      <c r="AI492" s="121">
        <v>0</v>
      </c>
      <c r="AJ492" s="121">
        <v>0</v>
      </c>
      <c r="AK492" s="121">
        <v>0</v>
      </c>
      <c r="AL492" s="121">
        <v>0</v>
      </c>
      <c r="AM492" s="121">
        <v>0</v>
      </c>
      <c r="AN492" s="121">
        <v>0</v>
      </c>
      <c r="AO492" s="121">
        <v>0</v>
      </c>
      <c r="AP492" s="125" t="str">
        <f>CONCATENATE(A492,M492)</f>
        <v>Reg AssetN</v>
      </c>
      <c r="AQ492" s="125" t="str">
        <f>CONCATENATE(AP492,L492,H492)</f>
        <v>Reg AssetNN10Outreach &amp; Education</v>
      </c>
      <c r="AS492" s="125" t="str">
        <f>CONCATENATE(L492,H492,J492)</f>
        <v>N10Outreach &amp; EducationNCR</v>
      </c>
    </row>
    <row r="493" spans="1:45" s="125" customFormat="1" ht="25.5" customHeight="1">
      <c r="A493" s="216" t="s">
        <v>1442</v>
      </c>
      <c r="B493" s="217" t="str">
        <f t="shared" si="179"/>
        <v>Reg Asset182306807020BG030181</v>
      </c>
      <c r="C493" s="186">
        <v>182306</v>
      </c>
      <c r="D493" s="201">
        <v>807020</v>
      </c>
      <c r="E493" s="162" t="s">
        <v>527</v>
      </c>
      <c r="F493" s="169" t="s">
        <v>2778</v>
      </c>
      <c r="G493" s="117" t="s">
        <v>1772</v>
      </c>
      <c r="H493" s="118" t="s">
        <v>2522</v>
      </c>
      <c r="I493" s="119"/>
      <c r="J493" s="120" t="s">
        <v>105</v>
      </c>
      <c r="K493" s="120" t="str">
        <f t="shared" si="192"/>
        <v/>
      </c>
      <c r="L493" s="170" t="s">
        <v>2821</v>
      </c>
      <c r="M493" s="122" t="str">
        <f t="shared" si="149"/>
        <v>N</v>
      </c>
      <c r="N493" s="116" t="str">
        <f>IF($L493&lt;&gt;"",VLOOKUP($L493,Categories!$E:$G,2,FALSE),IF($F493&lt;&gt;"","NO CAT",""))</f>
        <v>Not in Rate Base</v>
      </c>
      <c r="O493" s="116" t="str">
        <f>IF($L493&lt;&gt;"",VLOOKUP($L493,Categories!$E:$G,3,FALSE),IF($F493&lt;&gt;"","NO CAT",""))</f>
        <v>Deferrals Accruing Non-Cash Return   (other than ASGA)</v>
      </c>
      <c r="P493" s="170" t="s">
        <v>1186</v>
      </c>
      <c r="Q493" s="123" t="s">
        <v>1187</v>
      </c>
      <c r="R493" s="124">
        <v>0</v>
      </c>
      <c r="S493" s="124">
        <v>0</v>
      </c>
      <c r="T493" s="124">
        <v>1</v>
      </c>
      <c r="U493" s="121">
        <f t="shared" si="180"/>
        <v>0</v>
      </c>
      <c r="V493" s="121">
        <f t="shared" si="181"/>
        <v>0</v>
      </c>
      <c r="W493" s="121">
        <f t="shared" si="182"/>
        <v>572.26414999999997</v>
      </c>
      <c r="X493" s="121">
        <f t="shared" si="176"/>
        <v>572.26414999999997</v>
      </c>
      <c r="Y493" s="121">
        <f t="shared" si="183"/>
        <v>0</v>
      </c>
      <c r="Z493" s="121">
        <f t="shared" si="184"/>
        <v>0</v>
      </c>
      <c r="AA493" s="121">
        <f t="shared" si="185"/>
        <v>572.26414999999997</v>
      </c>
      <c r="AB493" s="121">
        <f t="shared" si="177"/>
        <v>572.26414999999997</v>
      </c>
      <c r="AC493" s="121">
        <v>572.26414999999997</v>
      </c>
      <c r="AD493" s="121">
        <v>572.26414999999997</v>
      </c>
      <c r="AE493" s="121">
        <v>572.26414999999997</v>
      </c>
      <c r="AF493" s="121">
        <v>572.26414999999997</v>
      </c>
      <c r="AG493" s="121">
        <v>572.26414999999997</v>
      </c>
      <c r="AH493" s="121">
        <v>572.26414999999997</v>
      </c>
      <c r="AI493" s="121">
        <v>572.26414999999997</v>
      </c>
      <c r="AJ493" s="121">
        <v>572.26414999999997</v>
      </c>
      <c r="AK493" s="121">
        <v>572.26414999999997</v>
      </c>
      <c r="AL493" s="121">
        <v>572.26414999999997</v>
      </c>
      <c r="AM493" s="121">
        <v>572.26414999999997</v>
      </c>
      <c r="AN493" s="121">
        <v>572.26414999999997</v>
      </c>
      <c r="AO493" s="121">
        <v>572.26414999999997</v>
      </c>
      <c r="AP493" s="125" t="str">
        <f>CONCATENATE(A493,M493)</f>
        <v>Reg AssetN</v>
      </c>
      <c r="AQ493" s="125" t="str">
        <f>CONCATENATE(AP493,L493,H493)</f>
        <v>Reg AssetNN10Gas Main Integrity</v>
      </c>
      <c r="AS493" s="125" t="str">
        <f>CONCATENATE(L493,H493,J493)</f>
        <v>N10Gas Main IntegrityNCR</v>
      </c>
    </row>
    <row r="494" spans="1:45" s="125" customFormat="1" ht="25.5" customHeight="1">
      <c r="A494" s="216" t="s">
        <v>1442</v>
      </c>
      <c r="B494" s="217" t="str">
        <f t="shared" si="179"/>
        <v>Reg Asset182306807020-08BG030181</v>
      </c>
      <c r="C494" s="186">
        <v>182306</v>
      </c>
      <c r="D494" s="201" t="s">
        <v>944</v>
      </c>
      <c r="E494" s="162" t="s">
        <v>527</v>
      </c>
      <c r="F494" s="169" t="s">
        <v>2778</v>
      </c>
      <c r="G494" s="117" t="s">
        <v>945</v>
      </c>
      <c r="H494" s="118" t="s">
        <v>2522</v>
      </c>
      <c r="I494" s="119"/>
      <c r="J494" s="120" t="s">
        <v>105</v>
      </c>
      <c r="K494" s="120" t="str">
        <f>IF(L494="N3","SFAS-109","")</f>
        <v/>
      </c>
      <c r="L494" s="170" t="s">
        <v>2821</v>
      </c>
      <c r="M494" s="122" t="str">
        <f t="shared" si="149"/>
        <v>N</v>
      </c>
      <c r="N494" s="116" t="str">
        <f>IF($L494&lt;&gt;"",VLOOKUP($L494,Categories!$E:$G,2,FALSE),IF($F494&lt;&gt;"","NO CAT",""))</f>
        <v>Not in Rate Base</v>
      </c>
      <c r="O494" s="116" t="str">
        <f>IF($L494&lt;&gt;"",VLOOKUP($L494,Categories!$E:$G,3,FALSE),IF($F494&lt;&gt;"","NO CAT",""))</f>
        <v>Deferrals Accruing Non-Cash Return   (other than ASGA)</v>
      </c>
      <c r="P494" s="170" t="s">
        <v>1186</v>
      </c>
      <c r="Q494" s="123" t="s">
        <v>1187</v>
      </c>
      <c r="R494" s="124">
        <v>0</v>
      </c>
      <c r="S494" s="124">
        <v>0</v>
      </c>
      <c r="T494" s="124">
        <v>1</v>
      </c>
      <c r="U494" s="121">
        <f t="shared" si="180"/>
        <v>0</v>
      </c>
      <c r="V494" s="121">
        <f t="shared" si="181"/>
        <v>0</v>
      </c>
      <c r="W494" s="121">
        <f t="shared" si="182"/>
        <v>200.04429999999999</v>
      </c>
      <c r="X494" s="121">
        <f t="shared" si="176"/>
        <v>200.04429999999999</v>
      </c>
      <c r="Y494" s="121">
        <f t="shared" si="183"/>
        <v>0</v>
      </c>
      <c r="Z494" s="121">
        <f t="shared" si="184"/>
        <v>0</v>
      </c>
      <c r="AA494" s="121">
        <f t="shared" si="185"/>
        <v>200.04429999999999</v>
      </c>
      <c r="AB494" s="121">
        <f t="shared" si="177"/>
        <v>200.04429999999999</v>
      </c>
      <c r="AC494" s="121">
        <v>200.04429999999999</v>
      </c>
      <c r="AD494" s="121">
        <v>200.04429999999999</v>
      </c>
      <c r="AE494" s="121">
        <v>200.04429999999999</v>
      </c>
      <c r="AF494" s="121">
        <v>200.04429999999999</v>
      </c>
      <c r="AG494" s="121">
        <v>200.04429999999999</v>
      </c>
      <c r="AH494" s="121">
        <v>200.04429999999999</v>
      </c>
      <c r="AI494" s="121">
        <v>200.04429999999999</v>
      </c>
      <c r="AJ494" s="121">
        <v>200.04429999999999</v>
      </c>
      <c r="AK494" s="121">
        <v>200.04429999999999</v>
      </c>
      <c r="AL494" s="121">
        <v>200.04429999999999</v>
      </c>
      <c r="AM494" s="121">
        <v>200.04429999999999</v>
      </c>
      <c r="AN494" s="121">
        <v>200.04429999999999</v>
      </c>
      <c r="AO494" s="121">
        <v>200.04429999999999</v>
      </c>
      <c r="AP494" s="125" t="str">
        <f>CONCATENATE(A494,M494)</f>
        <v>Reg AssetN</v>
      </c>
      <c r="AQ494" s="125" t="str">
        <f>CONCATENATE(AP494,L494,H494)</f>
        <v>Reg AssetNN10Gas Main Integrity</v>
      </c>
      <c r="AS494" s="125" t="str">
        <f>CONCATENATE(L494,H494,J494)</f>
        <v>N10Gas Main IntegrityNCR</v>
      </c>
    </row>
    <row r="495" spans="1:45" s="125" customFormat="1" ht="25.5" customHeight="1">
      <c r="A495" s="216" t="s">
        <v>1442</v>
      </c>
      <c r="B495" s="217" t="str">
        <f t="shared" si="179"/>
        <v>Reg Asset182306807020-09BG030181</v>
      </c>
      <c r="C495" s="186">
        <v>182306</v>
      </c>
      <c r="D495" s="201" t="s">
        <v>476</v>
      </c>
      <c r="E495" s="162" t="s">
        <v>527</v>
      </c>
      <c r="F495" s="169" t="s">
        <v>2778</v>
      </c>
      <c r="G495" s="117" t="s">
        <v>477</v>
      </c>
      <c r="H495" s="118" t="s">
        <v>2522</v>
      </c>
      <c r="I495" s="119"/>
      <c r="J495" s="120" t="s">
        <v>105</v>
      </c>
      <c r="K495" s="120" t="str">
        <f>IF(L495="N3","SFAS-109","")</f>
        <v/>
      </c>
      <c r="L495" s="170" t="s">
        <v>2821</v>
      </c>
      <c r="M495" s="122" t="str">
        <f t="shared" si="149"/>
        <v>N</v>
      </c>
      <c r="N495" s="116" t="str">
        <f>IF($L495&lt;&gt;"",VLOOKUP($L495,Categories!$E:$G,2,FALSE),IF($F495&lt;&gt;"","NO CAT",""))</f>
        <v>Not in Rate Base</v>
      </c>
      <c r="O495" s="116" t="str">
        <f>IF($L495&lt;&gt;"",VLOOKUP($L495,Categories!$E:$G,3,FALSE),IF($F495&lt;&gt;"","NO CAT",""))</f>
        <v>Deferrals Accruing Non-Cash Return   (other than ASGA)</v>
      </c>
      <c r="P495" s="170" t="s">
        <v>1186</v>
      </c>
      <c r="Q495" s="123" t="s">
        <v>1187</v>
      </c>
      <c r="R495" s="124">
        <v>0</v>
      </c>
      <c r="S495" s="124">
        <v>0</v>
      </c>
      <c r="T495" s="124">
        <v>1</v>
      </c>
      <c r="U495" s="121">
        <f t="shared" si="180"/>
        <v>0</v>
      </c>
      <c r="V495" s="121">
        <f t="shared" si="181"/>
        <v>0</v>
      </c>
      <c r="W495" s="121">
        <f t="shared" si="182"/>
        <v>34.344380000000001</v>
      </c>
      <c r="X495" s="121">
        <f t="shared" si="176"/>
        <v>34.344380000000001</v>
      </c>
      <c r="Y495" s="121">
        <f t="shared" si="183"/>
        <v>0</v>
      </c>
      <c r="Z495" s="121">
        <f t="shared" si="184"/>
        <v>0</v>
      </c>
      <c r="AA495" s="121">
        <f t="shared" si="185"/>
        <v>34.344380000000001</v>
      </c>
      <c r="AB495" s="121">
        <f t="shared" si="177"/>
        <v>34.344379999999994</v>
      </c>
      <c r="AC495" s="121">
        <v>34.344379999999994</v>
      </c>
      <c r="AD495" s="121">
        <v>34.344379999999994</v>
      </c>
      <c r="AE495" s="121">
        <v>34.344379999999994</v>
      </c>
      <c r="AF495" s="121">
        <v>34.344379999999994</v>
      </c>
      <c r="AG495" s="121">
        <v>34.344379999999994</v>
      </c>
      <c r="AH495" s="121">
        <v>34.344379999999994</v>
      </c>
      <c r="AI495" s="121">
        <v>34.344379999999994</v>
      </c>
      <c r="AJ495" s="121">
        <v>34.344379999999994</v>
      </c>
      <c r="AK495" s="121">
        <v>34.344379999999994</v>
      </c>
      <c r="AL495" s="121">
        <v>34.344379999999994</v>
      </c>
      <c r="AM495" s="121">
        <v>34.344379999999994</v>
      </c>
      <c r="AN495" s="121">
        <v>34.344379999999994</v>
      </c>
      <c r="AO495" s="121">
        <v>34.344379999999994</v>
      </c>
      <c r="AP495" s="125" t="str">
        <f>CONCATENATE(A495,M495)</f>
        <v>Reg AssetN</v>
      </c>
      <c r="AQ495" s="125" t="str">
        <f>CONCATENATE(AP495,L495,H495)</f>
        <v>Reg AssetNN10Gas Main Integrity</v>
      </c>
      <c r="AS495" s="125" t="str">
        <f>CONCATENATE(L495,H495,J495)</f>
        <v>N10Gas Main IntegrityNCR</v>
      </c>
    </row>
    <row r="496" spans="1:45" s="125" customFormat="1" ht="25.5" customHeight="1">
      <c r="A496" s="216" t="s">
        <v>1442</v>
      </c>
      <c r="B496" s="217" t="str">
        <f t="shared" si="179"/>
        <v>Reg Asset182306807028BG030181</v>
      </c>
      <c r="C496" s="186">
        <v>182306</v>
      </c>
      <c r="D496" s="201">
        <v>807028</v>
      </c>
      <c r="E496" s="162" t="s">
        <v>527</v>
      </c>
      <c r="F496" s="169" t="s">
        <v>2778</v>
      </c>
      <c r="G496" s="117" t="s">
        <v>557</v>
      </c>
      <c r="H496" s="118" t="s">
        <v>2522</v>
      </c>
      <c r="I496" s="119"/>
      <c r="J496" s="120" t="s">
        <v>105</v>
      </c>
      <c r="K496" s="120" t="str">
        <f t="shared" si="192"/>
        <v/>
      </c>
      <c r="L496" s="170" t="s">
        <v>2821</v>
      </c>
      <c r="M496" s="122" t="str">
        <f t="shared" si="149"/>
        <v>N</v>
      </c>
      <c r="N496" s="116" t="str">
        <f>IF($L496&lt;&gt;"",VLOOKUP($L496,Categories!$E:$G,2,FALSE),IF($F496&lt;&gt;"","NO CAT",""))</f>
        <v>Not in Rate Base</v>
      </c>
      <c r="O496" s="116" t="str">
        <f>IF($L496&lt;&gt;"",VLOOKUP($L496,Categories!$E:$G,3,FALSE),IF($F496&lt;&gt;"","NO CAT",""))</f>
        <v>Deferrals Accruing Non-Cash Return   (other than ASGA)</v>
      </c>
      <c r="P496" s="170" t="s">
        <v>1186</v>
      </c>
      <c r="Q496" s="123" t="s">
        <v>1187</v>
      </c>
      <c r="R496" s="124">
        <v>0</v>
      </c>
      <c r="S496" s="124">
        <v>0</v>
      </c>
      <c r="T496" s="124">
        <v>1</v>
      </c>
      <c r="U496" s="121">
        <f t="shared" si="180"/>
        <v>0</v>
      </c>
      <c r="V496" s="121">
        <f t="shared" si="181"/>
        <v>0</v>
      </c>
      <c r="W496" s="121">
        <f t="shared" si="182"/>
        <v>223.19618125</v>
      </c>
      <c r="X496" s="121">
        <f t="shared" si="176"/>
        <v>223.19618125</v>
      </c>
      <c r="Y496" s="121">
        <f t="shared" si="183"/>
        <v>0</v>
      </c>
      <c r="Z496" s="121">
        <f t="shared" si="184"/>
        <v>0</v>
      </c>
      <c r="AA496" s="121">
        <f t="shared" si="185"/>
        <v>229.19342</v>
      </c>
      <c r="AB496" s="121">
        <f t="shared" si="177"/>
        <v>229.19342000000003</v>
      </c>
      <c r="AC496" s="121">
        <v>216.26447000000005</v>
      </c>
      <c r="AD496" s="121">
        <v>217.77553000000006</v>
      </c>
      <c r="AE496" s="121">
        <v>219.13274000000004</v>
      </c>
      <c r="AF496" s="121">
        <v>220.35483000000005</v>
      </c>
      <c r="AG496" s="121">
        <v>221.47744000000003</v>
      </c>
      <c r="AH496" s="121">
        <v>222.56519000000003</v>
      </c>
      <c r="AI496" s="121">
        <v>223.59203000000002</v>
      </c>
      <c r="AJ496" s="121">
        <v>223.59203000000002</v>
      </c>
      <c r="AK496" s="121">
        <v>225.59219000000004</v>
      </c>
      <c r="AL496" s="121">
        <v>226.55467000000004</v>
      </c>
      <c r="AM496" s="121">
        <v>227.49429000000003</v>
      </c>
      <c r="AN496" s="121">
        <v>227.49429000000003</v>
      </c>
      <c r="AO496" s="121">
        <v>229.19342000000003</v>
      </c>
      <c r="AP496" s="125" t="str">
        <f>CONCATENATE(A496,M496)</f>
        <v>Reg AssetN</v>
      </c>
      <c r="AQ496" s="125" t="str">
        <f>CONCATENATE(AP496,L496,H496)</f>
        <v>Reg AssetNN10Gas Main Integrity</v>
      </c>
      <c r="AS496" s="125" t="str">
        <f>CONCATENATE(L496,H496,J496)</f>
        <v>N10Gas Main IntegrityNCR</v>
      </c>
    </row>
    <row r="497" spans="1:45" s="125" customFormat="1" ht="25.5" customHeight="1">
      <c r="A497" s="216" t="s">
        <v>1442</v>
      </c>
      <c r="B497" s="217" t="str">
        <f t="shared" si="179"/>
        <v>Reg Asset182306807029BG030165</v>
      </c>
      <c r="C497" s="186">
        <v>182306</v>
      </c>
      <c r="D497" s="201">
        <v>807029</v>
      </c>
      <c r="E497" s="162" t="s">
        <v>530</v>
      </c>
      <c r="F497" s="169" t="s">
        <v>2778</v>
      </c>
      <c r="G497" s="117" t="s">
        <v>500</v>
      </c>
      <c r="H497" s="118" t="s">
        <v>1493</v>
      </c>
      <c r="I497" s="119"/>
      <c r="J497" s="120" t="s">
        <v>105</v>
      </c>
      <c r="K497" s="120" t="str">
        <f t="shared" si="192"/>
        <v/>
      </c>
      <c r="L497" s="170" t="s">
        <v>2821</v>
      </c>
      <c r="M497" s="122" t="str">
        <f t="shared" si="149"/>
        <v>N</v>
      </c>
      <c r="N497" s="116" t="str">
        <f>IF($L497&lt;&gt;"",VLOOKUP($L497,Categories!$E:$G,2,FALSE),IF($F497&lt;&gt;"","NO CAT",""))</f>
        <v>Not in Rate Base</v>
      </c>
      <c r="O497" s="116" t="str">
        <f>IF($L497&lt;&gt;"",VLOOKUP($L497,Categories!$E:$G,3,FALSE),IF($F497&lt;&gt;"","NO CAT",""))</f>
        <v>Deferrals Accruing Non-Cash Return   (other than ASGA)</v>
      </c>
      <c r="P497" s="170" t="s">
        <v>1186</v>
      </c>
      <c r="Q497" s="123" t="s">
        <v>1187</v>
      </c>
      <c r="R497" s="124">
        <v>0</v>
      </c>
      <c r="S497" s="124">
        <v>0</v>
      </c>
      <c r="T497" s="124">
        <v>1</v>
      </c>
      <c r="U497" s="121" t="str">
        <f t="shared" si="180"/>
        <v/>
      </c>
      <c r="V497" s="121" t="str">
        <f t="shared" si="181"/>
        <v/>
      </c>
      <c r="W497" s="121" t="str">
        <f t="shared" si="182"/>
        <v/>
      </c>
      <c r="X497" s="121">
        <f t="shared" si="176"/>
        <v>0</v>
      </c>
      <c r="Y497" s="121" t="str">
        <f t="shared" si="183"/>
        <v/>
      </c>
      <c r="Z497" s="121" t="str">
        <f t="shared" si="184"/>
        <v/>
      </c>
      <c r="AA497" s="121" t="str">
        <f t="shared" si="185"/>
        <v/>
      </c>
      <c r="AB497" s="121">
        <f t="shared" si="177"/>
        <v>0</v>
      </c>
      <c r="AC497" s="121">
        <v>0</v>
      </c>
      <c r="AD497" s="121">
        <v>0</v>
      </c>
      <c r="AE497" s="121">
        <v>0</v>
      </c>
      <c r="AF497" s="121">
        <v>0</v>
      </c>
      <c r="AG497" s="121">
        <v>0</v>
      </c>
      <c r="AH497" s="121">
        <v>0</v>
      </c>
      <c r="AI497" s="121">
        <v>0</v>
      </c>
      <c r="AJ497" s="121">
        <v>0</v>
      </c>
      <c r="AK497" s="121">
        <v>0</v>
      </c>
      <c r="AL497" s="121">
        <v>0</v>
      </c>
      <c r="AM497" s="121">
        <v>0</v>
      </c>
      <c r="AN497" s="121">
        <v>0</v>
      </c>
      <c r="AO497" s="121">
        <v>0</v>
      </c>
      <c r="AP497" s="125" t="str">
        <f>CONCATENATE(A497,M497)</f>
        <v>Reg AssetN</v>
      </c>
      <c r="AQ497" s="125" t="str">
        <f>CONCATENATE(AP497,L497,H497)</f>
        <v>Reg AssetNN10Outreach &amp; Education</v>
      </c>
      <c r="AS497" s="125" t="str">
        <f>CONCATENATE(L497,H497,J497)</f>
        <v>N10Outreach &amp; EducationNCR</v>
      </c>
    </row>
    <row r="498" spans="1:45" s="125" customFormat="1" ht="25.5" customHeight="1">
      <c r="A498" s="216" t="s">
        <v>1442</v>
      </c>
      <c r="B498" s="217" t="str">
        <f t="shared" si="179"/>
        <v>Reg Asset182306807030BG030184</v>
      </c>
      <c r="C498" s="186">
        <v>182306</v>
      </c>
      <c r="D498" s="201">
        <v>807030</v>
      </c>
      <c r="E498" s="162" t="s">
        <v>529</v>
      </c>
      <c r="F498" s="169" t="s">
        <v>2778</v>
      </c>
      <c r="G498" s="117" t="s">
        <v>501</v>
      </c>
      <c r="H498" s="118" t="s">
        <v>620</v>
      </c>
      <c r="I498" s="119"/>
      <c r="J498" s="120" t="s">
        <v>105</v>
      </c>
      <c r="K498" s="120" t="str">
        <f t="shared" si="192"/>
        <v/>
      </c>
      <c r="L498" s="170" t="s">
        <v>2821</v>
      </c>
      <c r="M498" s="122" t="str">
        <f t="shared" si="149"/>
        <v>N</v>
      </c>
      <c r="N498" s="116" t="str">
        <f>IF($L498&lt;&gt;"",VLOOKUP($L498,Categories!$E:$G,2,FALSE),IF($F498&lt;&gt;"","NO CAT",""))</f>
        <v>Not in Rate Base</v>
      </c>
      <c r="O498" s="116" t="str">
        <f>IF($L498&lt;&gt;"",VLOOKUP($L498,Categories!$E:$G,3,FALSE),IF($F498&lt;&gt;"","NO CAT",""))</f>
        <v>Deferrals Accruing Non-Cash Return   (other than ASGA)</v>
      </c>
      <c r="P498" s="170" t="s">
        <v>1186</v>
      </c>
      <c r="Q498" s="123" t="s">
        <v>1187</v>
      </c>
      <c r="R498" s="124">
        <v>0</v>
      </c>
      <c r="S498" s="124">
        <v>0</v>
      </c>
      <c r="T498" s="124">
        <v>1</v>
      </c>
      <c r="U498" s="121">
        <f t="shared" si="180"/>
        <v>0</v>
      </c>
      <c r="V498" s="121">
        <f t="shared" si="181"/>
        <v>0</v>
      </c>
      <c r="W498" s="121">
        <f t="shared" si="182"/>
        <v>569.07122249999998</v>
      </c>
      <c r="X498" s="121">
        <f t="shared" si="176"/>
        <v>569.07122249999998</v>
      </c>
      <c r="Y498" s="121" t="str">
        <f t="shared" si="183"/>
        <v/>
      </c>
      <c r="Z498" s="121" t="str">
        <f t="shared" si="184"/>
        <v/>
      </c>
      <c r="AA498" s="121" t="str">
        <f t="shared" si="185"/>
        <v/>
      </c>
      <c r="AB498" s="121">
        <f t="shared" si="177"/>
        <v>0</v>
      </c>
      <c r="AC498" s="121">
        <v>800.88246000000015</v>
      </c>
      <c r="AD498" s="121">
        <v>802.4100000000002</v>
      </c>
      <c r="AE498" s="121">
        <v>803.29635000000019</v>
      </c>
      <c r="AF498" s="121">
        <v>803.6165400000001</v>
      </c>
      <c r="AG498" s="121">
        <v>803.6165400000001</v>
      </c>
      <c r="AH498" s="121">
        <v>803.6165400000001</v>
      </c>
      <c r="AI498" s="121">
        <v>803.6165400000001</v>
      </c>
      <c r="AJ498" s="121">
        <v>804.62439000000018</v>
      </c>
      <c r="AK498" s="121">
        <v>803.6165400000001</v>
      </c>
      <c r="AL498" s="121">
        <v>0</v>
      </c>
      <c r="AM498" s="121">
        <v>0</v>
      </c>
      <c r="AN498" s="121">
        <v>0</v>
      </c>
      <c r="AO498" s="121">
        <v>0</v>
      </c>
      <c r="AP498" s="125" t="str">
        <f>CONCATENATE(A498,M498)</f>
        <v>Reg AssetN</v>
      </c>
      <c r="AQ498" s="125" t="str">
        <f>CONCATENATE(AP498,L498,H498)</f>
        <v>Reg AssetNN10Flood</v>
      </c>
      <c r="AS498" s="125" t="str">
        <f>CONCATENATE(L498,H498,J498)</f>
        <v>N10FloodNCR</v>
      </c>
    </row>
    <row r="499" spans="1:45" s="125" customFormat="1" ht="25.5" customHeight="1">
      <c r="A499" s="216" t="s">
        <v>1442</v>
      </c>
      <c r="B499" s="217" t="str">
        <f t="shared" si="179"/>
        <v>Reg Asset182306807173BG030177</v>
      </c>
      <c r="C499" s="186">
        <v>182306</v>
      </c>
      <c r="D499" s="201">
        <v>807173</v>
      </c>
      <c r="E499" s="162" t="s">
        <v>1612</v>
      </c>
      <c r="F499" s="169" t="s">
        <v>2778</v>
      </c>
      <c r="G499" s="117" t="s">
        <v>317</v>
      </c>
      <c r="H499" s="118" t="s">
        <v>594</v>
      </c>
      <c r="I499" s="119"/>
      <c r="J499" s="120" t="s">
        <v>105</v>
      </c>
      <c r="K499" s="120" t="str">
        <f t="shared" si="192"/>
        <v/>
      </c>
      <c r="L499" s="170" t="s">
        <v>2821</v>
      </c>
      <c r="M499" s="122" t="str">
        <f t="shared" si="149"/>
        <v>N</v>
      </c>
      <c r="N499" s="116" t="str">
        <f>IF($L499&lt;&gt;"",VLOOKUP($L499,Categories!$E:$G,2,FALSE),IF($F499&lt;&gt;"","NO CAT",""))</f>
        <v>Not in Rate Base</v>
      </c>
      <c r="O499" s="116" t="str">
        <f>IF($L499&lt;&gt;"",VLOOKUP($L499,Categories!$E:$G,3,FALSE),IF($F499&lt;&gt;"","NO CAT",""))</f>
        <v>Deferrals Accruing Non-Cash Return   (other than ASGA)</v>
      </c>
      <c r="P499" s="170" t="s">
        <v>1186</v>
      </c>
      <c r="Q499" s="123" t="s">
        <v>1187</v>
      </c>
      <c r="R499" s="124">
        <v>0</v>
      </c>
      <c r="S499" s="124">
        <v>0</v>
      </c>
      <c r="T499" s="124">
        <v>1</v>
      </c>
      <c r="U499" s="121">
        <f t="shared" si="180"/>
        <v>0</v>
      </c>
      <c r="V499" s="121">
        <f t="shared" si="181"/>
        <v>0</v>
      </c>
      <c r="W499" s="121">
        <f t="shared" si="182"/>
        <v>34.9589</v>
      </c>
      <c r="X499" s="121">
        <f t="shared" ref="X499:X526" si="193">IF(ISERROR(ROUND((SUM(AC499:AO499)-((AC499+AO499))/2)/12,15)),"",ROUND((SUM(AC499:AO499)-((AC499+AO499))/2)/12,15))</f>
        <v>34.9589</v>
      </c>
      <c r="Y499" s="121">
        <f t="shared" si="183"/>
        <v>0</v>
      </c>
      <c r="Z499" s="121">
        <f t="shared" si="184"/>
        <v>0</v>
      </c>
      <c r="AA499" s="121">
        <f t="shared" si="185"/>
        <v>34.9589</v>
      </c>
      <c r="AB499" s="121">
        <f t="shared" ref="AB499:AB526" si="194">IF(AO499="",0,+AO499)</f>
        <v>34.9589</v>
      </c>
      <c r="AC499" s="121">
        <v>34.9589</v>
      </c>
      <c r="AD499" s="121">
        <v>34.9589</v>
      </c>
      <c r="AE499" s="121">
        <v>34.9589</v>
      </c>
      <c r="AF499" s="121">
        <v>34.9589</v>
      </c>
      <c r="AG499" s="121">
        <v>34.9589</v>
      </c>
      <c r="AH499" s="121">
        <v>34.9589</v>
      </c>
      <c r="AI499" s="121">
        <v>34.9589</v>
      </c>
      <c r="AJ499" s="121">
        <v>34.9589</v>
      </c>
      <c r="AK499" s="121">
        <v>34.9589</v>
      </c>
      <c r="AL499" s="121">
        <v>34.9589</v>
      </c>
      <c r="AM499" s="121">
        <v>34.9589</v>
      </c>
      <c r="AN499" s="121">
        <v>34.9589</v>
      </c>
      <c r="AO499" s="121">
        <v>34.9589</v>
      </c>
      <c r="AP499" s="125" t="str">
        <f>CONCATENATE(A499,M499)</f>
        <v>Reg AssetN</v>
      </c>
      <c r="AQ499" s="125" t="str">
        <f>CONCATENATE(AP499,L499,H499)</f>
        <v>Reg AssetNN10IRS Audit</v>
      </c>
      <c r="AS499" s="125" t="str">
        <f>CONCATENATE(L499,H499,J499)</f>
        <v>N10IRS AuditNCR</v>
      </c>
    </row>
    <row r="500" spans="1:45" s="125" customFormat="1" ht="25.5" customHeight="1">
      <c r="A500" s="216" t="s">
        <v>1442</v>
      </c>
      <c r="B500" s="217" t="str">
        <f t="shared" si="179"/>
        <v>Reg Asset182306808012-09BG030172</v>
      </c>
      <c r="C500" s="186">
        <v>182306</v>
      </c>
      <c r="D500" s="201" t="s">
        <v>474</v>
      </c>
      <c r="E500" s="162" t="s">
        <v>80</v>
      </c>
      <c r="F500" s="169" t="s">
        <v>2778</v>
      </c>
      <c r="G500" s="117" t="s">
        <v>475</v>
      </c>
      <c r="H500" s="118" t="s">
        <v>3032</v>
      </c>
      <c r="I500" s="119"/>
      <c r="J500" s="120"/>
      <c r="K500" s="120" t="str">
        <f t="shared" si="192"/>
        <v/>
      </c>
      <c r="L500" s="170" t="s">
        <v>1893</v>
      </c>
      <c r="M500" s="122" t="str">
        <f t="shared" si="149"/>
        <v>R</v>
      </c>
      <c r="N500" s="116" t="str">
        <f>IF($L500&lt;&gt;"",VLOOKUP($L500,Categories!$E:$G,2,FALSE),IF($F500&lt;&gt;"","NO CAT",""))</f>
        <v>Rate Base</v>
      </c>
      <c r="O500" s="116" t="str">
        <f>IF($L500&lt;&gt;"",VLOOKUP($L500,Categories!$E:$G,3,FALSE),IF($F500&lt;&gt;"","NO CAT",""))</f>
        <v>Deferred Debits &amp; Credits</v>
      </c>
      <c r="P500" s="170" t="s">
        <v>1184</v>
      </c>
      <c r="Q500" s="123" t="s">
        <v>1178</v>
      </c>
      <c r="R500" s="124">
        <v>0</v>
      </c>
      <c r="S500" s="124">
        <v>1</v>
      </c>
      <c r="T500" s="124">
        <v>0</v>
      </c>
      <c r="U500" s="121">
        <f t="shared" si="180"/>
        <v>0</v>
      </c>
      <c r="V500" s="121">
        <f t="shared" si="181"/>
        <v>-1.7E-14</v>
      </c>
      <c r="W500" s="121">
        <f t="shared" si="182"/>
        <v>0</v>
      </c>
      <c r="X500" s="121">
        <f t="shared" si="193"/>
        <v>-1.7E-14</v>
      </c>
      <c r="Y500" s="121" t="str">
        <f t="shared" si="183"/>
        <v/>
      </c>
      <c r="Z500" s="121" t="str">
        <f t="shared" si="184"/>
        <v/>
      </c>
      <c r="AA500" s="121" t="str">
        <f t="shared" si="185"/>
        <v/>
      </c>
      <c r="AB500" s="121">
        <f t="shared" si="194"/>
        <v>0</v>
      </c>
      <c r="AC500" s="121">
        <v>-5.8207660913467408E-14</v>
      </c>
      <c r="AD500" s="121">
        <v>-5.8207660913467408E-14</v>
      </c>
      <c r="AE500" s="121">
        <v>-5.8207660913467408E-14</v>
      </c>
      <c r="AF500" s="121">
        <v>-5.8207660913467408E-14</v>
      </c>
      <c r="AG500" s="121">
        <v>0</v>
      </c>
      <c r="AH500" s="121">
        <v>0</v>
      </c>
      <c r="AI500" s="121">
        <v>0</v>
      </c>
      <c r="AJ500" s="121">
        <v>0</v>
      </c>
      <c r="AK500" s="121">
        <v>0</v>
      </c>
      <c r="AL500" s="121">
        <v>0</v>
      </c>
      <c r="AM500" s="121">
        <v>0</v>
      </c>
      <c r="AN500" s="121">
        <v>0</v>
      </c>
      <c r="AO500" s="121">
        <v>0</v>
      </c>
      <c r="AP500" s="125" t="str">
        <f>CONCATENATE(A500,M500)</f>
        <v>Reg AssetR</v>
      </c>
      <c r="AQ500" s="125" t="str">
        <f>CONCATENATE(AP500,L500,H500)</f>
        <v>Reg AssetRR10Sarbanes-Oxley</v>
      </c>
      <c r="AS500" s="125" t="str">
        <f>CONCATENATE(L500,H500,J500)</f>
        <v>R10Sarbanes-Oxley</v>
      </c>
    </row>
    <row r="501" spans="1:45" s="125" customFormat="1" ht="25.5" customHeight="1">
      <c r="A501" s="216" t="s">
        <v>1442</v>
      </c>
      <c r="B501" s="217" t="str">
        <f t="shared" si="179"/>
        <v>Reg Asset182306809004BG030184</v>
      </c>
      <c r="C501" s="186">
        <v>182306</v>
      </c>
      <c r="D501" s="201">
        <v>809004</v>
      </c>
      <c r="E501" s="162" t="s">
        <v>529</v>
      </c>
      <c r="F501" s="169" t="s">
        <v>2778</v>
      </c>
      <c r="G501" s="117" t="s">
        <v>478</v>
      </c>
      <c r="H501" s="118" t="s">
        <v>620</v>
      </c>
      <c r="I501" s="119"/>
      <c r="J501" s="120" t="s">
        <v>105</v>
      </c>
      <c r="K501" s="120" t="str">
        <f t="shared" si="192"/>
        <v/>
      </c>
      <c r="L501" s="170" t="s">
        <v>2821</v>
      </c>
      <c r="M501" s="122" t="str">
        <f t="shared" si="149"/>
        <v>N</v>
      </c>
      <c r="N501" s="116" t="str">
        <f>IF($L501&lt;&gt;"",VLOOKUP($L501,Categories!$E:$G,2,FALSE),IF($F501&lt;&gt;"","NO CAT",""))</f>
        <v>Not in Rate Base</v>
      </c>
      <c r="O501" s="116" t="str">
        <f>IF($L501&lt;&gt;"",VLOOKUP($L501,Categories!$E:$G,3,FALSE),IF($F501&lt;&gt;"","NO CAT",""))</f>
        <v>Deferrals Accruing Non-Cash Return   (other than ASGA)</v>
      </c>
      <c r="P501" s="170" t="s">
        <v>1186</v>
      </c>
      <c r="Q501" s="123" t="s">
        <v>1187</v>
      </c>
      <c r="R501" s="124">
        <v>0</v>
      </c>
      <c r="S501" s="124">
        <v>0</v>
      </c>
      <c r="T501" s="124">
        <v>1</v>
      </c>
      <c r="U501" s="121">
        <f t="shared" si="180"/>
        <v>0</v>
      </c>
      <c r="V501" s="121">
        <f t="shared" si="181"/>
        <v>0</v>
      </c>
      <c r="W501" s="121">
        <f t="shared" si="182"/>
        <v>-2273.3969187500002</v>
      </c>
      <c r="X501" s="121">
        <f t="shared" si="193"/>
        <v>-2273.3969187500002</v>
      </c>
      <c r="Y501" s="121" t="str">
        <f t="shared" si="183"/>
        <v/>
      </c>
      <c r="Z501" s="121" t="str">
        <f t="shared" si="184"/>
        <v/>
      </c>
      <c r="AA501" s="121" t="str">
        <f t="shared" si="185"/>
        <v/>
      </c>
      <c r="AB501" s="121">
        <f t="shared" si="194"/>
        <v>0</v>
      </c>
      <c r="AC501" s="121">
        <v>-2951.1094499999999</v>
      </c>
      <c r="AD501" s="121">
        <v>-3075.8804299999997</v>
      </c>
      <c r="AE501" s="121">
        <v>-3185.5875199999996</v>
      </c>
      <c r="AF501" s="121">
        <v>-3257.2908999999995</v>
      </c>
      <c r="AG501" s="121">
        <v>-3257.2898899999996</v>
      </c>
      <c r="AH501" s="121">
        <v>-3257.2898899999996</v>
      </c>
      <c r="AI501" s="121">
        <v>-3257.2898899999996</v>
      </c>
      <c r="AJ501" s="121">
        <v>-3257.2898899999996</v>
      </c>
      <c r="AK501" s="121">
        <v>-3257.2898899999996</v>
      </c>
      <c r="AL501" s="121">
        <v>0</v>
      </c>
      <c r="AM501" s="121">
        <v>0</v>
      </c>
      <c r="AN501" s="121">
        <v>0</v>
      </c>
      <c r="AO501" s="121">
        <v>0</v>
      </c>
      <c r="AP501" s="125" t="str">
        <f>CONCATENATE(A501,M501)</f>
        <v>Reg AssetN</v>
      </c>
      <c r="AQ501" s="125" t="str">
        <f>CONCATENATE(AP501,L501,H501)</f>
        <v>Reg AssetNN10Flood</v>
      </c>
      <c r="AS501" s="125" t="str">
        <f>CONCATENATE(L501,H501,J501)</f>
        <v>N10FloodNCR</v>
      </c>
    </row>
    <row r="502" spans="1:45" s="125" customFormat="1" ht="25.5" customHeight="1">
      <c r="A502" s="216" t="s">
        <v>1442</v>
      </c>
      <c r="B502" s="217" t="str">
        <f t="shared" si="179"/>
        <v>Reg Asset182306809006BG030181</v>
      </c>
      <c r="C502" s="186">
        <v>182306</v>
      </c>
      <c r="D502" s="201">
        <v>809006</v>
      </c>
      <c r="E502" s="162" t="s">
        <v>527</v>
      </c>
      <c r="F502" s="169" t="s">
        <v>2778</v>
      </c>
      <c r="G502" s="117" t="s">
        <v>479</v>
      </c>
      <c r="H502" s="118" t="s">
        <v>2522</v>
      </c>
      <c r="I502" s="119"/>
      <c r="J502" s="120" t="s">
        <v>105</v>
      </c>
      <c r="K502" s="120" t="str">
        <f t="shared" si="192"/>
        <v/>
      </c>
      <c r="L502" s="170" t="s">
        <v>2821</v>
      </c>
      <c r="M502" s="122" t="str">
        <f t="shared" si="149"/>
        <v>N</v>
      </c>
      <c r="N502" s="116" t="str">
        <f>IF($L502&lt;&gt;"",VLOOKUP($L502,Categories!$E:$G,2,FALSE),IF($F502&lt;&gt;"","NO CAT",""))</f>
        <v>Not in Rate Base</v>
      </c>
      <c r="O502" s="116" t="str">
        <f>IF($L502&lt;&gt;"",VLOOKUP($L502,Categories!$E:$G,3,FALSE),IF($F502&lt;&gt;"","NO CAT",""))</f>
        <v>Deferrals Accruing Non-Cash Return   (other than ASGA)</v>
      </c>
      <c r="P502" s="170" t="s">
        <v>1186</v>
      </c>
      <c r="Q502" s="123" t="s">
        <v>1187</v>
      </c>
      <c r="R502" s="124">
        <v>0</v>
      </c>
      <c r="S502" s="124">
        <v>0</v>
      </c>
      <c r="T502" s="124">
        <v>1</v>
      </c>
      <c r="U502" s="121">
        <f t="shared" si="180"/>
        <v>0</v>
      </c>
      <c r="V502" s="121">
        <f t="shared" si="181"/>
        <v>0</v>
      </c>
      <c r="W502" s="121">
        <f t="shared" si="182"/>
        <v>-832.21391000000006</v>
      </c>
      <c r="X502" s="121">
        <f t="shared" si="193"/>
        <v>-832.21391000000006</v>
      </c>
      <c r="Y502" s="121">
        <f t="shared" si="183"/>
        <v>0</v>
      </c>
      <c r="Z502" s="121">
        <f t="shared" si="184"/>
        <v>0</v>
      </c>
      <c r="AA502" s="121">
        <f t="shared" si="185"/>
        <v>-905.96605999999997</v>
      </c>
      <c r="AB502" s="121">
        <f t="shared" si="194"/>
        <v>-905.96605999999974</v>
      </c>
      <c r="AC502" s="121">
        <v>-735.16241999999977</v>
      </c>
      <c r="AD502" s="121">
        <v>-766.24460999999974</v>
      </c>
      <c r="AE502" s="121">
        <v>-793.57416999999975</v>
      </c>
      <c r="AF502" s="121">
        <v>-813.91741999999977</v>
      </c>
      <c r="AG502" s="121">
        <v>-821.74010999999973</v>
      </c>
      <c r="AH502" s="121">
        <v>-834.53600999999981</v>
      </c>
      <c r="AI502" s="121">
        <v>-839.21143999999981</v>
      </c>
      <c r="AJ502" s="121">
        <v>-843.20590999999979</v>
      </c>
      <c r="AK502" s="121">
        <v>-849.93309999999974</v>
      </c>
      <c r="AL502" s="121">
        <v>-855.66611999999975</v>
      </c>
      <c r="AM502" s="121">
        <v>-864.3598099999997</v>
      </c>
      <c r="AN502" s="121">
        <v>-883.61397999999974</v>
      </c>
      <c r="AO502" s="121">
        <v>-905.96605999999974</v>
      </c>
      <c r="AP502" s="125" t="str">
        <f>CONCATENATE(A502,M502)</f>
        <v>Reg AssetN</v>
      </c>
      <c r="AQ502" s="125" t="str">
        <f>CONCATENATE(AP502,L502,H502)</f>
        <v>Reg AssetNN10Gas Main Integrity</v>
      </c>
      <c r="AS502" s="125" t="str">
        <f>CONCATENATE(L502,H502,J502)</f>
        <v>N10Gas Main IntegrityNCR</v>
      </c>
    </row>
    <row r="503" spans="1:45" s="125" customFormat="1" ht="25.5" customHeight="1">
      <c r="A503" s="216" t="s">
        <v>1442</v>
      </c>
      <c r="B503" s="217" t="str">
        <f t="shared" si="179"/>
        <v>Reg Asset182306807020-10BG030181</v>
      </c>
      <c r="C503" s="186">
        <v>182306</v>
      </c>
      <c r="D503" s="201" t="s">
        <v>2910</v>
      </c>
      <c r="E503" s="162" t="s">
        <v>527</v>
      </c>
      <c r="F503" s="169" t="s">
        <v>2778</v>
      </c>
      <c r="G503" s="117" t="s">
        <v>2911</v>
      </c>
      <c r="H503" s="118" t="s">
        <v>2522</v>
      </c>
      <c r="I503" s="119"/>
      <c r="J503" s="120" t="s">
        <v>105</v>
      </c>
      <c r="K503" s="120" t="str">
        <f t="shared" si="192"/>
        <v/>
      </c>
      <c r="L503" s="170" t="s">
        <v>2821</v>
      </c>
      <c r="M503" s="122" t="str">
        <f t="shared" si="149"/>
        <v>N</v>
      </c>
      <c r="N503" s="116" t="str">
        <f>IF($L503&lt;&gt;"",VLOOKUP($L503,Categories!$E:$G,2,FALSE),IF($F503&lt;&gt;"","NO CAT",""))</f>
        <v>Not in Rate Base</v>
      </c>
      <c r="O503" s="116" t="str">
        <f>IF($L503&lt;&gt;"",VLOOKUP($L503,Categories!$E:$G,3,FALSE),IF($F503&lt;&gt;"","NO CAT",""))</f>
        <v>Deferrals Accruing Non-Cash Return   (other than ASGA)</v>
      </c>
      <c r="P503" s="170" t="s">
        <v>1186</v>
      </c>
      <c r="Q503" s="123" t="s">
        <v>1187</v>
      </c>
      <c r="R503" s="124">
        <v>0</v>
      </c>
      <c r="S503" s="124">
        <v>0</v>
      </c>
      <c r="T503" s="124">
        <v>1</v>
      </c>
      <c r="U503" s="121" t="str">
        <f t="shared" si="180"/>
        <v/>
      </c>
      <c r="V503" s="121" t="str">
        <f t="shared" si="181"/>
        <v/>
      </c>
      <c r="W503" s="121" t="str">
        <f t="shared" si="182"/>
        <v/>
      </c>
      <c r="X503" s="121">
        <f t="shared" si="193"/>
        <v>0</v>
      </c>
      <c r="Y503" s="121" t="str">
        <f t="shared" si="183"/>
        <v/>
      </c>
      <c r="Z503" s="121" t="str">
        <f t="shared" si="184"/>
        <v/>
      </c>
      <c r="AA503" s="121" t="str">
        <f t="shared" si="185"/>
        <v/>
      </c>
      <c r="AB503" s="121">
        <f t="shared" si="194"/>
        <v>0</v>
      </c>
      <c r="AC503" s="121">
        <v>0</v>
      </c>
      <c r="AD503" s="121">
        <v>0</v>
      </c>
      <c r="AE503" s="121">
        <v>0</v>
      </c>
      <c r="AF503" s="121">
        <v>0</v>
      </c>
      <c r="AG503" s="121">
        <v>0</v>
      </c>
      <c r="AH503" s="121">
        <v>0</v>
      </c>
      <c r="AI503" s="121">
        <v>0</v>
      </c>
      <c r="AJ503" s="121">
        <v>0</v>
      </c>
      <c r="AK503" s="121">
        <v>0</v>
      </c>
      <c r="AL503" s="121">
        <v>0</v>
      </c>
      <c r="AM503" s="121">
        <v>0</v>
      </c>
      <c r="AN503" s="121">
        <v>0</v>
      </c>
      <c r="AO503" s="121">
        <v>0</v>
      </c>
      <c r="AP503" s="125" t="str">
        <f>CONCATENATE(A503,M503)</f>
        <v>Reg AssetN</v>
      </c>
      <c r="AQ503" s="125" t="str">
        <f>CONCATENATE(AP503,L503,H503)</f>
        <v>Reg AssetNN10Gas Main Integrity</v>
      </c>
      <c r="AS503" s="125" t="str">
        <f>CONCATENATE(L503,H503,J503)</f>
        <v>N10Gas Main IntegrityNCR</v>
      </c>
    </row>
    <row r="504" spans="1:45" s="125" customFormat="1" ht="25.5" customHeight="1">
      <c r="A504" s="216" t="s">
        <v>1442</v>
      </c>
      <c r="B504" s="217" t="str">
        <f t="shared" si="179"/>
        <v>Reg Asset182306808421BG030590</v>
      </c>
      <c r="C504" s="186">
        <v>182306</v>
      </c>
      <c r="D504" s="201">
        <v>808421</v>
      </c>
      <c r="E504" s="162" t="s">
        <v>3196</v>
      </c>
      <c r="F504" s="169" t="s">
        <v>2778</v>
      </c>
      <c r="G504" s="117" t="s">
        <v>2913</v>
      </c>
      <c r="H504" s="118" t="s">
        <v>1718</v>
      </c>
      <c r="I504" s="119"/>
      <c r="J504" s="120"/>
      <c r="K504" s="120" t="str">
        <f t="shared" si="192"/>
        <v/>
      </c>
      <c r="L504" s="170" t="s">
        <v>928</v>
      </c>
      <c r="M504" s="122" t="str">
        <f t="shared" si="149"/>
        <v>N</v>
      </c>
      <c r="N504" s="116" t="str">
        <f>IF($L504&lt;&gt;"",VLOOKUP($L504,Categories!$E:$G,2,FALSE),IF($F504&lt;&gt;"","NO CAT",""))</f>
        <v>Not in Rate Base</v>
      </c>
      <c r="O504" s="116" t="str">
        <f>IF($L504&lt;&gt;"",VLOOKUP($L504,Categories!$E:$G,3,FALSE),IF($F504&lt;&gt;"","NO CAT",""))</f>
        <v>Direct Assign Items Not in RB</v>
      </c>
      <c r="P504" s="170" t="s">
        <v>1186</v>
      </c>
      <c r="Q504" s="123" t="s">
        <v>1187</v>
      </c>
      <c r="R504" s="124">
        <v>0</v>
      </c>
      <c r="S504" s="124">
        <v>0</v>
      </c>
      <c r="T504" s="124">
        <v>1</v>
      </c>
      <c r="U504" s="121">
        <f t="shared" si="180"/>
        <v>0</v>
      </c>
      <c r="V504" s="121">
        <f t="shared" si="181"/>
        <v>0</v>
      </c>
      <c r="W504" s="121">
        <f t="shared" si="182"/>
        <v>19.971</v>
      </c>
      <c r="X504" s="121">
        <f t="shared" si="193"/>
        <v>19.971</v>
      </c>
      <c r="Y504" s="121">
        <f t="shared" si="183"/>
        <v>0</v>
      </c>
      <c r="Z504" s="121">
        <f t="shared" si="184"/>
        <v>0</v>
      </c>
      <c r="AA504" s="121">
        <f t="shared" si="185"/>
        <v>19.971</v>
      </c>
      <c r="AB504" s="121">
        <f t="shared" si="194"/>
        <v>19.971</v>
      </c>
      <c r="AC504" s="121">
        <v>19.971</v>
      </c>
      <c r="AD504" s="121">
        <v>19.971</v>
      </c>
      <c r="AE504" s="121">
        <v>19.971</v>
      </c>
      <c r="AF504" s="121">
        <v>19.971</v>
      </c>
      <c r="AG504" s="121">
        <v>19.971</v>
      </c>
      <c r="AH504" s="121">
        <v>19.971</v>
      </c>
      <c r="AI504" s="121">
        <v>19.971</v>
      </c>
      <c r="AJ504" s="121">
        <v>19.971</v>
      </c>
      <c r="AK504" s="121">
        <v>19.971</v>
      </c>
      <c r="AL504" s="121">
        <v>19.971</v>
      </c>
      <c r="AM504" s="121">
        <v>19.971</v>
      </c>
      <c r="AN504" s="121">
        <v>19.971</v>
      </c>
      <c r="AO504" s="121">
        <v>19.971</v>
      </c>
      <c r="AP504" s="125" t="str">
        <f>CONCATENATE(A504,M504)</f>
        <v>Reg AssetN</v>
      </c>
      <c r="AQ504" s="125" t="str">
        <f>CONCATENATE(AP504,L504,H504)</f>
        <v>Reg AssetNN2Energy Efficiency Portfolio Standard</v>
      </c>
      <c r="AS504" s="125" t="str">
        <f>CONCATENATE(L504,H504,J504)</f>
        <v>N2Energy Efficiency Portfolio Standard</v>
      </c>
    </row>
    <row r="505" spans="1:45" s="125" customFormat="1" ht="25.5" customHeight="1">
      <c r="A505" s="216" t="s">
        <v>1442</v>
      </c>
      <c r="B505" s="217" t="str">
        <f t="shared" si="179"/>
        <v>Reg Asset182306801231BG030172</v>
      </c>
      <c r="C505" s="186">
        <v>182306</v>
      </c>
      <c r="D505" s="201">
        <v>801231</v>
      </c>
      <c r="E505" s="162" t="s">
        <v>80</v>
      </c>
      <c r="F505" s="169" t="s">
        <v>2778</v>
      </c>
      <c r="G505" s="117" t="s">
        <v>2581</v>
      </c>
      <c r="H505" s="118" t="s">
        <v>3032</v>
      </c>
      <c r="I505" s="119"/>
      <c r="J505" s="120"/>
      <c r="K505" s="120" t="str">
        <f t="shared" si="192"/>
        <v/>
      </c>
      <c r="L505" s="170" t="s">
        <v>1893</v>
      </c>
      <c r="M505" s="122" t="str">
        <f t="shared" si="149"/>
        <v>R</v>
      </c>
      <c r="N505" s="116" t="str">
        <f>IF($L505&lt;&gt;"",VLOOKUP($L505,Categories!$E:$G,2,FALSE),IF($F505&lt;&gt;"","NO CAT",""))</f>
        <v>Rate Base</v>
      </c>
      <c r="O505" s="116" t="str">
        <f>IF($L505&lt;&gt;"",VLOOKUP($L505,Categories!$E:$G,3,FALSE),IF($F505&lt;&gt;"","NO CAT",""))</f>
        <v>Deferred Debits &amp; Credits</v>
      </c>
      <c r="P505" s="170" t="s">
        <v>1184</v>
      </c>
      <c r="Q505" s="123" t="s">
        <v>1178</v>
      </c>
      <c r="R505" s="124">
        <v>0</v>
      </c>
      <c r="S505" s="124">
        <v>1</v>
      </c>
      <c r="T505" s="124">
        <v>0</v>
      </c>
      <c r="U505" s="121">
        <f t="shared" si="180"/>
        <v>0</v>
      </c>
      <c r="V505" s="121">
        <f t="shared" si="181"/>
        <v>182.37377000000001</v>
      </c>
      <c r="W505" s="121">
        <f t="shared" si="182"/>
        <v>0</v>
      </c>
      <c r="X505" s="121">
        <f t="shared" si="193"/>
        <v>182.37377000000001</v>
      </c>
      <c r="Y505" s="121">
        <f t="shared" si="183"/>
        <v>0</v>
      </c>
      <c r="Z505" s="121">
        <f t="shared" si="184"/>
        <v>182.37377000000001</v>
      </c>
      <c r="AA505" s="121">
        <f t="shared" si="185"/>
        <v>0</v>
      </c>
      <c r="AB505" s="121">
        <f t="shared" si="194"/>
        <v>182.37376999999998</v>
      </c>
      <c r="AC505" s="121">
        <v>182.37376999999998</v>
      </c>
      <c r="AD505" s="121">
        <v>182.37376999999998</v>
      </c>
      <c r="AE505" s="121">
        <v>182.37376999999998</v>
      </c>
      <c r="AF505" s="121">
        <v>182.37376999999998</v>
      </c>
      <c r="AG505" s="121">
        <v>182.37376999999998</v>
      </c>
      <c r="AH505" s="121">
        <v>182.37376999999998</v>
      </c>
      <c r="AI505" s="121">
        <v>182.37376999999998</v>
      </c>
      <c r="AJ505" s="121">
        <v>182.37376999999998</v>
      </c>
      <c r="AK505" s="121">
        <v>182.37376999999998</v>
      </c>
      <c r="AL505" s="121">
        <v>182.37376999999998</v>
      </c>
      <c r="AM505" s="121">
        <v>182.37376999999998</v>
      </c>
      <c r="AN505" s="121">
        <v>182.37376999999998</v>
      </c>
      <c r="AO505" s="121">
        <v>182.37376999999998</v>
      </c>
      <c r="AP505" s="125" t="str">
        <f>CONCATENATE(A505,M505)</f>
        <v>Reg AssetR</v>
      </c>
      <c r="AQ505" s="125" t="str">
        <f>CONCATENATE(AP505,L505,H505)</f>
        <v>Reg AssetRR10Sarbanes-Oxley</v>
      </c>
      <c r="AS505" s="125" t="str">
        <f>CONCATENATE(L505,H505,J505)</f>
        <v>R10Sarbanes-Oxley</v>
      </c>
    </row>
    <row r="506" spans="1:45" s="125" customFormat="1" ht="25.5" customHeight="1">
      <c r="A506" s="216" t="s">
        <v>1442</v>
      </c>
      <c r="B506" s="217" t="str">
        <f t="shared" si="179"/>
        <v>Reg Asset182306801241BG030177</v>
      </c>
      <c r="C506" s="186">
        <v>182306</v>
      </c>
      <c r="D506" s="202">
        <v>801241</v>
      </c>
      <c r="E506" s="163" t="s">
        <v>1612</v>
      </c>
      <c r="F506" s="169" t="s">
        <v>2778</v>
      </c>
      <c r="G506" s="126" t="s">
        <v>2455</v>
      </c>
      <c r="H506" s="118" t="s">
        <v>594</v>
      </c>
      <c r="I506" s="119"/>
      <c r="J506" s="120" t="s">
        <v>105</v>
      </c>
      <c r="K506" s="120" t="str">
        <f t="shared" si="192"/>
        <v/>
      </c>
      <c r="L506" s="170" t="s">
        <v>2821</v>
      </c>
      <c r="M506" s="122" t="str">
        <f t="shared" si="149"/>
        <v>N</v>
      </c>
      <c r="N506" s="116" t="str">
        <f>IF($L506&lt;&gt;"",VLOOKUP($L506,Categories!$E:$G,2,FALSE),IF($F506&lt;&gt;"","NO CAT",""))</f>
        <v>Not in Rate Base</v>
      </c>
      <c r="O506" s="116" t="str">
        <f>IF($L506&lt;&gt;"",VLOOKUP($L506,Categories!$E:$G,3,FALSE),IF($F506&lt;&gt;"","NO CAT",""))</f>
        <v>Deferrals Accruing Non-Cash Return   (other than ASGA)</v>
      </c>
      <c r="P506" s="170" t="s">
        <v>1186</v>
      </c>
      <c r="Q506" s="123" t="s">
        <v>1187</v>
      </c>
      <c r="R506" s="124">
        <v>0</v>
      </c>
      <c r="S506" s="124">
        <v>0</v>
      </c>
      <c r="T506" s="124">
        <v>1</v>
      </c>
      <c r="U506" s="121">
        <f t="shared" si="180"/>
        <v>0</v>
      </c>
      <c r="V506" s="121">
        <f t="shared" si="181"/>
        <v>0</v>
      </c>
      <c r="W506" s="121">
        <f t="shared" si="182"/>
        <v>9.4321458333333403</v>
      </c>
      <c r="X506" s="121">
        <f t="shared" si="193"/>
        <v>9.4321458333333403</v>
      </c>
      <c r="Y506" s="121">
        <f t="shared" si="183"/>
        <v>0</v>
      </c>
      <c r="Z506" s="121">
        <f t="shared" si="184"/>
        <v>0</v>
      </c>
      <c r="AA506" s="121">
        <f t="shared" si="185"/>
        <v>10.8285</v>
      </c>
      <c r="AB506" s="121">
        <f t="shared" si="194"/>
        <v>10.828500000000004</v>
      </c>
      <c r="AC506" s="121">
        <v>8.0642800000000019</v>
      </c>
      <c r="AD506" s="121">
        <v>8.2881100000000032</v>
      </c>
      <c r="AE506" s="121">
        <v>8.5131100000000028</v>
      </c>
      <c r="AF506" s="121">
        <v>8.7392800000000026</v>
      </c>
      <c r="AG506" s="121">
        <v>8.9666300000000021</v>
      </c>
      <c r="AH506" s="121">
        <v>9.1951600000000031</v>
      </c>
      <c r="AI506" s="121">
        <v>9.4248800000000035</v>
      </c>
      <c r="AJ506" s="121">
        <v>9.6557900000000032</v>
      </c>
      <c r="AK506" s="121">
        <v>9.8879000000000037</v>
      </c>
      <c r="AL506" s="121">
        <v>10.121220000000003</v>
      </c>
      <c r="AM506" s="121">
        <v>10.355760000000004</v>
      </c>
      <c r="AN506" s="121">
        <v>10.591520000000004</v>
      </c>
      <c r="AO506" s="121">
        <v>10.828500000000004</v>
      </c>
      <c r="AP506" s="125" t="str">
        <f>CONCATENATE(A506,M506)</f>
        <v>Reg AssetN</v>
      </c>
      <c r="AQ506" s="125" t="str">
        <f>CONCATENATE(AP506,L506,H506)</f>
        <v>Reg AssetNN10IRS Audit</v>
      </c>
      <c r="AS506" s="125" t="str">
        <f>CONCATENATE(L506,H506,J506)</f>
        <v>N10IRS AuditNCR</v>
      </c>
    </row>
    <row r="507" spans="1:45" s="125" customFormat="1" ht="25.5" customHeight="1">
      <c r="A507" s="216" t="s">
        <v>1442</v>
      </c>
      <c r="B507" s="217" t="str">
        <f t="shared" si="179"/>
        <v>Reg Asset182306801242BG030165</v>
      </c>
      <c r="C507" s="186">
        <v>182306</v>
      </c>
      <c r="D507" s="202">
        <v>801242</v>
      </c>
      <c r="E507" s="163" t="s">
        <v>530</v>
      </c>
      <c r="F507" s="169" t="s">
        <v>2778</v>
      </c>
      <c r="G507" s="126" t="s">
        <v>2456</v>
      </c>
      <c r="H507" s="118" t="s">
        <v>1493</v>
      </c>
      <c r="I507" s="119"/>
      <c r="J507" s="120" t="s">
        <v>105</v>
      </c>
      <c r="K507" s="120" t="str">
        <f t="shared" si="192"/>
        <v/>
      </c>
      <c r="L507" s="170" t="s">
        <v>2821</v>
      </c>
      <c r="M507" s="122" t="str">
        <f t="shared" si="149"/>
        <v>N</v>
      </c>
      <c r="N507" s="116" t="str">
        <f>IF($L507&lt;&gt;"",VLOOKUP($L507,Categories!$E:$G,2,FALSE),IF($F507&lt;&gt;"","NO CAT",""))</f>
        <v>Not in Rate Base</v>
      </c>
      <c r="O507" s="116" t="str">
        <f>IF($L507&lt;&gt;"",VLOOKUP($L507,Categories!$E:$G,3,FALSE),IF($F507&lt;&gt;"","NO CAT",""))</f>
        <v>Deferrals Accruing Non-Cash Return   (other than ASGA)</v>
      </c>
      <c r="P507" s="170" t="s">
        <v>1186</v>
      </c>
      <c r="Q507" s="123" t="s">
        <v>1187</v>
      </c>
      <c r="R507" s="124">
        <v>0</v>
      </c>
      <c r="S507" s="124">
        <v>0</v>
      </c>
      <c r="T507" s="124">
        <v>1</v>
      </c>
      <c r="U507" s="121">
        <f t="shared" si="180"/>
        <v>0</v>
      </c>
      <c r="V507" s="121">
        <f t="shared" si="181"/>
        <v>0</v>
      </c>
      <c r="W507" s="121">
        <f t="shared" si="182"/>
        <v>272.923054583333</v>
      </c>
      <c r="X507" s="121">
        <f t="shared" si="193"/>
        <v>272.923054583333</v>
      </c>
      <c r="Y507" s="121">
        <f t="shared" si="183"/>
        <v>0</v>
      </c>
      <c r="Z507" s="121">
        <f t="shared" si="184"/>
        <v>0</v>
      </c>
      <c r="AA507" s="121">
        <f t="shared" si="185"/>
        <v>281.75617</v>
      </c>
      <c r="AB507" s="121">
        <f t="shared" si="194"/>
        <v>281.75617</v>
      </c>
      <c r="AC507" s="121">
        <v>264.74631999999997</v>
      </c>
      <c r="AD507" s="121">
        <v>266.12369999999993</v>
      </c>
      <c r="AE507" s="121">
        <v>267.50824999999992</v>
      </c>
      <c r="AF507" s="121">
        <v>268.89999999999992</v>
      </c>
      <c r="AG507" s="121">
        <v>270.29898999999995</v>
      </c>
      <c r="AH507" s="121">
        <v>271.70525999999995</v>
      </c>
      <c r="AI507" s="121">
        <v>273.11884999999995</v>
      </c>
      <c r="AJ507" s="121">
        <v>274.53978999999998</v>
      </c>
      <c r="AK507" s="121">
        <v>275.96813000000003</v>
      </c>
      <c r="AL507" s="121">
        <v>277.40390000000002</v>
      </c>
      <c r="AM507" s="121">
        <v>277.40390000000002</v>
      </c>
      <c r="AN507" s="121">
        <v>278.85464000000002</v>
      </c>
      <c r="AO507" s="121">
        <v>281.75617</v>
      </c>
      <c r="AP507" s="125" t="str">
        <f>CONCATENATE(A507,M507)</f>
        <v>Reg AssetN</v>
      </c>
      <c r="AQ507" s="125" t="str">
        <f>CONCATENATE(AP507,L507,H507)</f>
        <v>Reg AssetNN10Outreach &amp; Education</v>
      </c>
      <c r="AS507" s="125" t="str">
        <f>CONCATENATE(L507,H507,J507)</f>
        <v>N10Outreach &amp; EducationNCR</v>
      </c>
    </row>
    <row r="508" spans="1:45" s="125" customFormat="1" ht="25.5" customHeight="1">
      <c r="A508" s="216" t="s">
        <v>1442</v>
      </c>
      <c r="B508" s="217" t="str">
        <f t="shared" si="179"/>
        <v>Reg Asset182306801248BG030181</v>
      </c>
      <c r="C508" s="186">
        <v>182306</v>
      </c>
      <c r="D508" s="202">
        <v>801248</v>
      </c>
      <c r="E508" s="163" t="s">
        <v>527</v>
      </c>
      <c r="F508" s="169" t="s">
        <v>2778</v>
      </c>
      <c r="G508" s="126" t="s">
        <v>2513</v>
      </c>
      <c r="H508" s="118" t="s">
        <v>2522</v>
      </c>
      <c r="I508" s="119"/>
      <c r="J508" s="120" t="s">
        <v>105</v>
      </c>
      <c r="K508" s="120" t="str">
        <f t="shared" si="192"/>
        <v/>
      </c>
      <c r="L508" s="170" t="s">
        <v>2821</v>
      </c>
      <c r="M508" s="122" t="str">
        <f t="shared" si="149"/>
        <v>N</v>
      </c>
      <c r="N508" s="116" t="str">
        <f>IF($L508&lt;&gt;"",VLOOKUP($L508,Categories!$E:$G,2,FALSE),IF($F508&lt;&gt;"","NO CAT",""))</f>
        <v>Not in Rate Base</v>
      </c>
      <c r="O508" s="116" t="str">
        <f>IF($L508&lt;&gt;"",VLOOKUP($L508,Categories!$E:$G,3,FALSE),IF($F508&lt;&gt;"","NO CAT",""))</f>
        <v>Deferrals Accruing Non-Cash Return   (other than ASGA)</v>
      </c>
      <c r="P508" s="170" t="s">
        <v>1186</v>
      </c>
      <c r="Q508" s="123" t="s">
        <v>1187</v>
      </c>
      <c r="R508" s="124">
        <v>0</v>
      </c>
      <c r="S508" s="124">
        <v>0</v>
      </c>
      <c r="T508" s="124">
        <v>1</v>
      </c>
      <c r="U508" s="121">
        <f t="shared" si="180"/>
        <v>0</v>
      </c>
      <c r="V508" s="121">
        <f t="shared" si="181"/>
        <v>0</v>
      </c>
      <c r="W508" s="121">
        <f t="shared" si="182"/>
        <v>-217.25307333333299</v>
      </c>
      <c r="X508" s="121">
        <f t="shared" si="193"/>
        <v>-217.25307333333299</v>
      </c>
      <c r="Y508" s="121">
        <f t="shared" si="183"/>
        <v>0</v>
      </c>
      <c r="Z508" s="121">
        <f t="shared" si="184"/>
        <v>0</v>
      </c>
      <c r="AA508" s="121">
        <f t="shared" si="185"/>
        <v>-217.56838999999999</v>
      </c>
      <c r="AB508" s="121">
        <f t="shared" si="194"/>
        <v>-217.56839000000002</v>
      </c>
      <c r="AC508" s="121">
        <v>-217.56839000000002</v>
      </c>
      <c r="AD508" s="121">
        <v>-217.56839000000002</v>
      </c>
      <c r="AE508" s="121">
        <v>-217.56839000000002</v>
      </c>
      <c r="AF508" s="121">
        <v>-217.56839000000002</v>
      </c>
      <c r="AG508" s="121">
        <v>-217.56839000000002</v>
      </c>
      <c r="AH508" s="121">
        <v>-217.56839000000002</v>
      </c>
      <c r="AI508" s="121">
        <v>-217.56839000000002</v>
      </c>
      <c r="AJ508" s="121">
        <v>-217.56839000000002</v>
      </c>
      <c r="AK508" s="121">
        <v>-217.56839000000002</v>
      </c>
      <c r="AL508" s="121">
        <v>-217.56839000000002</v>
      </c>
      <c r="AM508" s="121">
        <v>-216.12515000000002</v>
      </c>
      <c r="AN508" s="121">
        <v>-215.22783000000001</v>
      </c>
      <c r="AO508" s="121">
        <v>-217.56839000000002</v>
      </c>
      <c r="AP508" s="125" t="str">
        <f>CONCATENATE(A508,M508)</f>
        <v>Reg AssetN</v>
      </c>
      <c r="AQ508" s="125" t="str">
        <f>CONCATENATE(AP508,L508,H508)</f>
        <v>Reg AssetNN10Gas Main Integrity</v>
      </c>
      <c r="AS508" s="125" t="str">
        <f>CONCATENATE(L508,H508,J508)</f>
        <v>N10Gas Main IntegrityNCR</v>
      </c>
    </row>
    <row r="509" spans="1:45" s="125" customFormat="1" ht="25.5" customHeight="1">
      <c r="A509" s="216" t="s">
        <v>1442</v>
      </c>
      <c r="B509" s="217" t="str">
        <f t="shared" si="179"/>
        <v>Reg Asset182306801257BG030925</v>
      </c>
      <c r="C509" s="186">
        <v>182306</v>
      </c>
      <c r="D509" s="202">
        <v>801257</v>
      </c>
      <c r="E509" s="163" t="s">
        <v>840</v>
      </c>
      <c r="F509" s="169" t="s">
        <v>2778</v>
      </c>
      <c r="G509" s="126" t="s">
        <v>839</v>
      </c>
      <c r="H509" s="118" t="s">
        <v>2711</v>
      </c>
      <c r="I509" s="119"/>
      <c r="J509" s="120" t="s">
        <v>105</v>
      </c>
      <c r="K509" s="120" t="str">
        <f t="shared" si="192"/>
        <v/>
      </c>
      <c r="L509" s="170" t="s">
        <v>2821</v>
      </c>
      <c r="M509" s="122" t="str">
        <f t="shared" si="149"/>
        <v>N</v>
      </c>
      <c r="N509" s="116" t="str">
        <f>IF($L509&lt;&gt;"",VLOOKUP($L509,Categories!$E:$G,2,FALSE),IF($F509&lt;&gt;"","NO CAT",""))</f>
        <v>Not in Rate Base</v>
      </c>
      <c r="O509" s="116" t="str">
        <f>IF($L509&lt;&gt;"",VLOOKUP($L509,Categories!$E:$G,3,FALSE),IF($F509&lt;&gt;"","NO CAT",""))</f>
        <v>Deferrals Accruing Non-Cash Return   (other than ASGA)</v>
      </c>
      <c r="P509" s="170" t="s">
        <v>1186</v>
      </c>
      <c r="Q509" s="123" t="s">
        <v>1187</v>
      </c>
      <c r="R509" s="124">
        <v>0</v>
      </c>
      <c r="S509" s="124">
        <v>0</v>
      </c>
      <c r="T509" s="124">
        <v>1</v>
      </c>
      <c r="U509" s="121">
        <f t="shared" si="180"/>
        <v>0</v>
      </c>
      <c r="V509" s="121">
        <f t="shared" si="181"/>
        <v>0</v>
      </c>
      <c r="W509" s="121">
        <f t="shared" si="182"/>
        <v>20.5019791666667</v>
      </c>
      <c r="X509" s="121">
        <f t="shared" si="193"/>
        <v>20.5019791666667</v>
      </c>
      <c r="Y509" s="121">
        <f t="shared" si="183"/>
        <v>0</v>
      </c>
      <c r="Z509" s="121">
        <f t="shared" si="184"/>
        <v>0</v>
      </c>
      <c r="AA509" s="121">
        <f t="shared" si="185"/>
        <v>13.410959999999999</v>
      </c>
      <c r="AB509" s="121">
        <f t="shared" si="194"/>
        <v>13.410959999999999</v>
      </c>
      <c r="AC509" s="121">
        <v>48.601339999999993</v>
      </c>
      <c r="AD509" s="121">
        <v>48.666899999999991</v>
      </c>
      <c r="AE509" s="121">
        <v>48.732799999999997</v>
      </c>
      <c r="AF509" s="121">
        <v>12.79904</v>
      </c>
      <c r="AG509" s="121">
        <v>12.865629999999999</v>
      </c>
      <c r="AH509" s="121">
        <v>12.93257</v>
      </c>
      <c r="AI509" s="121">
        <v>12.99985</v>
      </c>
      <c r="AJ509" s="121">
        <v>13.06748</v>
      </c>
      <c r="AK509" s="121">
        <v>13.13547</v>
      </c>
      <c r="AL509" s="121">
        <v>13.203809999999999</v>
      </c>
      <c r="AM509" s="121">
        <v>13.272500000000001</v>
      </c>
      <c r="AN509" s="121">
        <v>13.34155</v>
      </c>
      <c r="AO509" s="121">
        <v>13.410959999999999</v>
      </c>
      <c r="AP509" s="125" t="str">
        <f>CONCATENATE(A509,M509)</f>
        <v>Reg AssetN</v>
      </c>
      <c r="AQ509" s="125" t="str">
        <f>CONCATENATE(AP509,L509,H509)</f>
        <v>Reg AssetNN10Unit of Property CTA</v>
      </c>
      <c r="AS509" s="125" t="str">
        <f>CONCATENATE(L509,H509,J509)</f>
        <v>N10Unit of Property CTANCR</v>
      </c>
    </row>
    <row r="510" spans="1:45" s="125" customFormat="1" ht="25.5" customHeight="1">
      <c r="A510" s="216" t="s">
        <v>1442</v>
      </c>
      <c r="B510" s="217" t="str">
        <f>CONCATENATE(A510,C510,D510,E510)</f>
        <v>Reg Asset182306801257-FIN48BG030925</v>
      </c>
      <c r="C510" s="186">
        <v>182306</v>
      </c>
      <c r="D510" s="202" t="s">
        <v>4413</v>
      </c>
      <c r="E510" s="163" t="s">
        <v>840</v>
      </c>
      <c r="F510" s="169" t="s">
        <v>2778</v>
      </c>
      <c r="G510" s="126" t="s">
        <v>4414</v>
      </c>
      <c r="H510" s="118" t="s">
        <v>4433</v>
      </c>
      <c r="I510" s="119"/>
      <c r="J510" s="120"/>
      <c r="K510" s="120" t="str">
        <f t="shared" si="192"/>
        <v/>
      </c>
      <c r="L510" s="170" t="s">
        <v>928</v>
      </c>
      <c r="M510" s="122" t="str">
        <f t="shared" ref="M510:M514" si="195">LEFT(L510,1)</f>
        <v>N</v>
      </c>
      <c r="N510" s="116" t="str">
        <f>IF($L510&lt;&gt;"",VLOOKUP($L510,Categories!$E:$G,2,FALSE),IF($F510&lt;&gt;"","NO CAT",""))</f>
        <v>Not in Rate Base</v>
      </c>
      <c r="O510" s="116" t="str">
        <f>IF($L510&lt;&gt;"",VLOOKUP($L510,Categories!$E:$G,3,FALSE),IF($F510&lt;&gt;"","NO CAT",""))</f>
        <v>Direct Assign Items Not in RB</v>
      </c>
      <c r="P510" s="170" t="s">
        <v>1186</v>
      </c>
      <c r="Q510" s="123" t="s">
        <v>1187</v>
      </c>
      <c r="R510" s="124">
        <v>0</v>
      </c>
      <c r="S510" s="124">
        <v>0</v>
      </c>
      <c r="T510" s="124">
        <v>1</v>
      </c>
      <c r="U510" s="121">
        <f t="shared" ref="U510:U514" si="196">IF(ABS(X510)=0,"",IF($R510="NO ALLOC","NO ALLOC",ROUND($R510*X510,15)))</f>
        <v>0</v>
      </c>
      <c r="V510" s="121">
        <f t="shared" ref="V510:V514" si="197">IF(ABS(X510)=0,"",IF($S510="NO ALLOC","NO ALLOC",ROUND($S510*X510,15)))</f>
        <v>0</v>
      </c>
      <c r="W510" s="121">
        <f t="shared" ref="W510:W514" si="198">IF(ABS(X510)=0,"",IF($T510="NO ALLOC","NO ALLOC",ROUND($T510*X510,15)))</f>
        <v>1816.5</v>
      </c>
      <c r="X510" s="121">
        <f t="shared" si="193"/>
        <v>1816.5</v>
      </c>
      <c r="Y510" s="121">
        <f t="shared" ref="Y510:Y514" si="199">IF(ABS(AB510)=0,"",IF($R510="NO ALLOC","NO ALLOC",ROUND($R510*AB510,15)))</f>
        <v>0</v>
      </c>
      <c r="Z510" s="121">
        <f t="shared" ref="Z510:Z514" si="200">IF(ABS(AB510)=0,"",IF($S510="NO ALLOC","NO ALLOC",ROUND($S510*AB510,15)))</f>
        <v>0</v>
      </c>
      <c r="AA510" s="121">
        <f t="shared" ref="AA510:AA514" si="201">IF(ABS(AB510)=0,"",IF($T510="NO ALLOC","NO ALLOC",ROUND($T510*AB510,15)))</f>
        <v>2004</v>
      </c>
      <c r="AB510" s="121">
        <f t="shared" si="194"/>
        <v>2004</v>
      </c>
      <c r="AC510" s="121">
        <v>1608</v>
      </c>
      <c r="AD510" s="121">
        <v>1638</v>
      </c>
      <c r="AE510" s="121">
        <v>1668</v>
      </c>
      <c r="AF510" s="121">
        <v>1734</v>
      </c>
      <c r="AG510" s="121">
        <v>1764</v>
      </c>
      <c r="AH510" s="121">
        <v>1794</v>
      </c>
      <c r="AI510" s="121">
        <v>1824</v>
      </c>
      <c r="AJ510" s="121">
        <v>1854</v>
      </c>
      <c r="AK510" s="121">
        <v>1884</v>
      </c>
      <c r="AL510" s="121">
        <v>1914</v>
      </c>
      <c r="AM510" s="121">
        <v>1944</v>
      </c>
      <c r="AN510" s="121">
        <v>1974</v>
      </c>
      <c r="AO510" s="121">
        <v>2004</v>
      </c>
      <c r="AP510" s="125" t="str">
        <f>CONCATENATE(A510,M510)</f>
        <v>Reg AssetN</v>
      </c>
      <c r="AQ510" s="125" t="str">
        <f>CONCATENATE(AP510,L510,H510)</f>
        <v>Reg AssetNN2Unit of Property FIN48</v>
      </c>
      <c r="AS510" s="125" t="str">
        <f>CONCATENATE(L510,H510,J510)</f>
        <v>N2Unit of Property FIN48</v>
      </c>
    </row>
    <row r="511" spans="1:45" s="125" customFormat="1" ht="25.5" customHeight="1">
      <c r="A511" s="216" t="s">
        <v>1442</v>
      </c>
      <c r="B511" s="217" t="str">
        <f t="shared" si="179"/>
        <v>Reg Asset182306801259BG030168</v>
      </c>
      <c r="C511" s="186">
        <v>182306</v>
      </c>
      <c r="D511" s="202">
        <v>801259</v>
      </c>
      <c r="E511" s="163" t="s">
        <v>79</v>
      </c>
      <c r="F511" s="169" t="s">
        <v>2778</v>
      </c>
      <c r="G511" s="126" t="s">
        <v>3118</v>
      </c>
      <c r="H511" s="118" t="s">
        <v>815</v>
      </c>
      <c r="I511" s="119"/>
      <c r="J511" s="120"/>
      <c r="K511" s="120" t="str">
        <f t="shared" si="192"/>
        <v/>
      </c>
      <c r="L511" s="170" t="s">
        <v>1893</v>
      </c>
      <c r="M511" s="122" t="str">
        <f t="shared" si="195"/>
        <v>R</v>
      </c>
      <c r="N511" s="116" t="str">
        <f>IF($L511&lt;&gt;"",VLOOKUP($L511,Categories!$E:$G,2,FALSE),IF($F511&lt;&gt;"","NO CAT",""))</f>
        <v>Rate Base</v>
      </c>
      <c r="O511" s="116" t="str">
        <f>IF($L511&lt;&gt;"",VLOOKUP($L511,Categories!$E:$G,3,FALSE),IF($F511&lt;&gt;"","NO CAT",""))</f>
        <v>Deferred Debits &amp; Credits</v>
      </c>
      <c r="P511" s="170" t="s">
        <v>1184</v>
      </c>
      <c r="Q511" s="123" t="s">
        <v>1178</v>
      </c>
      <c r="R511" s="124">
        <v>0</v>
      </c>
      <c r="S511" s="124">
        <v>1</v>
      </c>
      <c r="T511" s="124">
        <v>0</v>
      </c>
      <c r="U511" s="121">
        <f t="shared" si="196"/>
        <v>0</v>
      </c>
      <c r="V511" s="121">
        <f t="shared" si="197"/>
        <v>18.5596441666667</v>
      </c>
      <c r="W511" s="121">
        <f t="shared" si="198"/>
        <v>0</v>
      </c>
      <c r="X511" s="121">
        <f t="shared" si="193"/>
        <v>18.5596441666667</v>
      </c>
      <c r="Y511" s="121" t="str">
        <f t="shared" si="199"/>
        <v/>
      </c>
      <c r="Z511" s="121" t="str">
        <f t="shared" si="200"/>
        <v/>
      </c>
      <c r="AA511" s="121" t="str">
        <f t="shared" si="201"/>
        <v/>
      </c>
      <c r="AB511" s="121">
        <f t="shared" si="194"/>
        <v>0</v>
      </c>
      <c r="AC511" s="121">
        <v>10.06892</v>
      </c>
      <c r="AD511" s="121">
        <v>53.997459999999997</v>
      </c>
      <c r="AE511" s="121">
        <v>54.278390000000002</v>
      </c>
      <c r="AF511" s="121">
        <v>54.560780000000001</v>
      </c>
      <c r="AG511" s="121">
        <v>54.844639999999998</v>
      </c>
      <c r="AH511" s="121">
        <v>0</v>
      </c>
      <c r="AI511" s="121">
        <v>0</v>
      </c>
      <c r="AJ511" s="121">
        <v>0</v>
      </c>
      <c r="AK511" s="121">
        <v>0</v>
      </c>
      <c r="AL511" s="121">
        <v>0</v>
      </c>
      <c r="AM511" s="121">
        <v>0</v>
      </c>
      <c r="AN511" s="121">
        <v>0</v>
      </c>
      <c r="AO511" s="121">
        <v>0</v>
      </c>
      <c r="AP511" s="125" t="str">
        <f>CONCATENATE(A511,M511)</f>
        <v>Reg AssetR</v>
      </c>
      <c r="AQ511" s="125" t="str">
        <f>CONCATENATE(AP511,L511,H511)</f>
        <v>Reg AssetRR10Property Tax Deferral</v>
      </c>
      <c r="AS511" s="125" t="str">
        <f>CONCATENATE(L511,H511,J511)</f>
        <v>R10Property Tax Deferral</v>
      </c>
    </row>
    <row r="512" spans="1:45" s="125" customFormat="1" ht="25.5" customHeight="1">
      <c r="A512" s="216" t="s">
        <v>1442</v>
      </c>
      <c r="B512" s="217" t="str">
        <f>CONCATENATE(A512,C512,D512,E512)</f>
        <v>Reg Asset182307801205BE030251</v>
      </c>
      <c r="C512" s="186">
        <v>182307</v>
      </c>
      <c r="D512" s="202">
        <v>801205</v>
      </c>
      <c r="E512" s="163" t="s">
        <v>3794</v>
      </c>
      <c r="F512" s="169" t="s">
        <v>4748</v>
      </c>
      <c r="G512" s="126" t="s">
        <v>4749</v>
      </c>
      <c r="H512" s="118" t="s">
        <v>815</v>
      </c>
      <c r="I512" s="119"/>
      <c r="J512" s="120" t="s">
        <v>105</v>
      </c>
      <c r="K512" s="120" t="str">
        <f>IF(L512="N3","SFAS-109","")</f>
        <v/>
      </c>
      <c r="L512" s="170" t="s">
        <v>2821</v>
      </c>
      <c r="M512" s="122" t="str">
        <f t="shared" si="195"/>
        <v>N</v>
      </c>
      <c r="N512" s="116" t="str">
        <f>IF($L512&lt;&gt;"",VLOOKUP($L512,Categories!$E:$G,2,FALSE),IF($F512&lt;&gt;"","NO CAT",""))</f>
        <v>Not in Rate Base</v>
      </c>
      <c r="O512" s="116" t="str">
        <f>IF($L512&lt;&gt;"",VLOOKUP($L512,Categories!$E:$G,3,FALSE),IF($F512&lt;&gt;"","NO CAT",""))</f>
        <v>Deferrals Accruing Non-Cash Return   (other than ASGA)</v>
      </c>
      <c r="P512" s="170" t="s">
        <v>1186</v>
      </c>
      <c r="Q512" s="123" t="s">
        <v>1187</v>
      </c>
      <c r="R512" s="124">
        <v>0</v>
      </c>
      <c r="S512" s="124">
        <v>0</v>
      </c>
      <c r="T512" s="124">
        <v>1</v>
      </c>
      <c r="U512" s="121">
        <f t="shared" si="196"/>
        <v>0</v>
      </c>
      <c r="V512" s="121">
        <f t="shared" si="197"/>
        <v>0</v>
      </c>
      <c r="W512" s="121">
        <f t="shared" si="198"/>
        <v>15103.668334166699</v>
      </c>
      <c r="X512" s="121">
        <f t="shared" si="193"/>
        <v>15103.668334166699</v>
      </c>
      <c r="Y512" s="121">
        <f t="shared" si="199"/>
        <v>0</v>
      </c>
      <c r="Z512" s="121">
        <f t="shared" si="200"/>
        <v>0</v>
      </c>
      <c r="AA512" s="121">
        <f t="shared" si="201"/>
        <v>24268.73214</v>
      </c>
      <c r="AB512" s="121">
        <f t="shared" si="194"/>
        <v>24268.732140000004</v>
      </c>
      <c r="AC512" s="121"/>
      <c r="AD512" s="121"/>
      <c r="AE512" s="121"/>
      <c r="AF512" s="121"/>
      <c r="AG512" s="121">
        <v>19435.500749999999</v>
      </c>
      <c r="AH512" s="121">
        <v>19168.352729999999</v>
      </c>
      <c r="AI512" s="121">
        <v>19863.563310000001</v>
      </c>
      <c r="AJ512" s="121">
        <v>20548.219670000002</v>
      </c>
      <c r="AK512" s="121">
        <v>21244.448470000003</v>
      </c>
      <c r="AL512" s="121">
        <v>22094.454850000002</v>
      </c>
      <c r="AM512" s="121">
        <v>22961.182770000003</v>
      </c>
      <c r="AN512" s="121">
        <v>23793.931390000005</v>
      </c>
      <c r="AO512" s="121">
        <v>24268.732140000004</v>
      </c>
      <c r="AP512" s="125" t="str">
        <f>CONCATENATE(A512,M512)</f>
        <v>Reg AssetN</v>
      </c>
      <c r="AQ512" s="125" t="str">
        <f>CONCATENATE(AP512,L512,H512)</f>
        <v>Reg AssetNN10Property Tax Deferral</v>
      </c>
      <c r="AS512" s="125" t="str">
        <f>CONCATENATE(L512,H512,J512)</f>
        <v>N10Property Tax DeferralNCR</v>
      </c>
    </row>
    <row r="513" spans="1:45" s="125" customFormat="1" ht="25.5" customHeight="1">
      <c r="A513" s="216" t="s">
        <v>1442</v>
      </c>
      <c r="B513" s="217" t="str">
        <f>CONCATENATE(A513,C513,D513,E513)</f>
        <v>Reg Asset182307801205BG030252</v>
      </c>
      <c r="C513" s="186">
        <v>182307</v>
      </c>
      <c r="D513" s="202">
        <v>801205</v>
      </c>
      <c r="E513" s="163" t="s">
        <v>3219</v>
      </c>
      <c r="F513" s="169" t="s">
        <v>4748</v>
      </c>
      <c r="G513" s="126" t="s">
        <v>4750</v>
      </c>
      <c r="H513" s="118" t="s">
        <v>815</v>
      </c>
      <c r="I513" s="119"/>
      <c r="J513" s="120" t="s">
        <v>105</v>
      </c>
      <c r="K513" s="120" t="str">
        <f>IF(L513="N3","SFAS-109","")</f>
        <v/>
      </c>
      <c r="L513" s="170" t="s">
        <v>2821</v>
      </c>
      <c r="M513" s="122" t="str">
        <f t="shared" si="195"/>
        <v>N</v>
      </c>
      <c r="N513" s="116" t="str">
        <f>IF($L513&lt;&gt;"",VLOOKUP($L513,Categories!$E:$G,2,FALSE),IF($F513&lt;&gt;"","NO CAT",""))</f>
        <v>Not in Rate Base</v>
      </c>
      <c r="O513" s="116" t="str">
        <f>IF($L513&lt;&gt;"",VLOOKUP($L513,Categories!$E:$G,3,FALSE),IF($F513&lt;&gt;"","NO CAT",""))</f>
        <v>Deferrals Accruing Non-Cash Return   (other than ASGA)</v>
      </c>
      <c r="P513" s="170" t="s">
        <v>1186</v>
      </c>
      <c r="Q513" s="123" t="s">
        <v>1187</v>
      </c>
      <c r="R513" s="124">
        <v>0</v>
      </c>
      <c r="S513" s="124">
        <v>0</v>
      </c>
      <c r="T513" s="124">
        <v>1</v>
      </c>
      <c r="U513" s="121">
        <f t="shared" si="196"/>
        <v>0</v>
      </c>
      <c r="V513" s="121">
        <f t="shared" si="197"/>
        <v>0</v>
      </c>
      <c r="W513" s="121">
        <f t="shared" si="198"/>
        <v>3379.8021808333301</v>
      </c>
      <c r="X513" s="121">
        <f t="shared" si="193"/>
        <v>3379.8021808333301</v>
      </c>
      <c r="Y513" s="121">
        <f t="shared" si="199"/>
        <v>0</v>
      </c>
      <c r="Z513" s="121">
        <f t="shared" si="200"/>
        <v>0</v>
      </c>
      <c r="AA513" s="121">
        <f t="shared" si="201"/>
        <v>5837.3247600000004</v>
      </c>
      <c r="AB513" s="121">
        <f t="shared" si="194"/>
        <v>5837.3247599999995</v>
      </c>
      <c r="AC513" s="121"/>
      <c r="AD513" s="121"/>
      <c r="AE513" s="121"/>
      <c r="AF513" s="121"/>
      <c r="AG513" s="121">
        <v>4239.23945</v>
      </c>
      <c r="AH513" s="121">
        <v>4262.5287099999996</v>
      </c>
      <c r="AI513" s="121">
        <v>4438.9371499999997</v>
      </c>
      <c r="AJ513" s="121">
        <v>4620.9285900000004</v>
      </c>
      <c r="AK513" s="121">
        <v>4808.7228900000009</v>
      </c>
      <c r="AL513" s="121">
        <v>5041.3962300000003</v>
      </c>
      <c r="AM513" s="121">
        <v>4986.5515900000009</v>
      </c>
      <c r="AN513" s="121">
        <v>5240.6591800000006</v>
      </c>
      <c r="AO513" s="121">
        <v>5837.3247599999995</v>
      </c>
      <c r="AP513" s="125" t="str">
        <f>CONCATENATE(A513,M513)</f>
        <v>Reg AssetN</v>
      </c>
      <c r="AQ513" s="125" t="str">
        <f>CONCATENATE(AP513,L513,H513)</f>
        <v>Reg AssetNN10Property Tax Deferral</v>
      </c>
      <c r="AS513" s="125" t="str">
        <f>CONCATENATE(L513,H513,J513)</f>
        <v>N10Property Tax DeferralNCR</v>
      </c>
    </row>
    <row r="514" spans="1:45" s="125" customFormat="1" ht="25.5" customHeight="1">
      <c r="A514" s="216" t="s">
        <v>1442</v>
      </c>
      <c r="B514" s="217" t="str">
        <f>CONCATENATE(A514,C514,D514,E514)</f>
        <v>Reg Asset182307801259BG030168</v>
      </c>
      <c r="C514" s="186">
        <v>182307</v>
      </c>
      <c r="D514" s="202">
        <v>801259</v>
      </c>
      <c r="E514" s="163" t="s">
        <v>79</v>
      </c>
      <c r="F514" s="169" t="s">
        <v>4748</v>
      </c>
      <c r="G514" s="126" t="s">
        <v>4770</v>
      </c>
      <c r="H514" s="118" t="s">
        <v>815</v>
      </c>
      <c r="I514" s="119"/>
      <c r="J514" s="120" t="s">
        <v>105</v>
      </c>
      <c r="K514" s="120" t="str">
        <f>IF(L514="N3","SFAS-109","")</f>
        <v/>
      </c>
      <c r="L514" s="170" t="s">
        <v>2821</v>
      </c>
      <c r="M514" s="122" t="str">
        <f t="shared" si="195"/>
        <v>N</v>
      </c>
      <c r="N514" s="116" t="str">
        <f>IF($L514&lt;&gt;"",VLOOKUP($L514,Categories!$E:$G,2,FALSE),IF($F514&lt;&gt;"","NO CAT",""))</f>
        <v>Not in Rate Base</v>
      </c>
      <c r="O514" s="116" t="str">
        <f>IF($L514&lt;&gt;"",VLOOKUP($L514,Categories!$E:$G,3,FALSE),IF($F514&lt;&gt;"","NO CAT",""))</f>
        <v>Deferrals Accruing Non-Cash Return   (other than ASGA)</v>
      </c>
      <c r="P514" s="170" t="s">
        <v>1186</v>
      </c>
      <c r="Q514" s="123" t="s">
        <v>1187</v>
      </c>
      <c r="R514" s="124">
        <v>0</v>
      </c>
      <c r="S514" s="124">
        <v>0</v>
      </c>
      <c r="T514" s="124">
        <v>1</v>
      </c>
      <c r="U514" s="121">
        <f t="shared" si="196"/>
        <v>0</v>
      </c>
      <c r="V514" s="121">
        <f t="shared" si="197"/>
        <v>0</v>
      </c>
      <c r="W514" s="121">
        <f t="shared" si="198"/>
        <v>44.188292916666697</v>
      </c>
      <c r="X514" s="121">
        <f t="shared" si="193"/>
        <v>44.188292916666697</v>
      </c>
      <c r="Y514" s="121">
        <f t="shared" si="199"/>
        <v>0</v>
      </c>
      <c r="Z514" s="121">
        <f t="shared" si="200"/>
        <v>0</v>
      </c>
      <c r="AA514" s="121">
        <f t="shared" si="201"/>
        <v>57.169330000000002</v>
      </c>
      <c r="AB514" s="121">
        <f t="shared" si="194"/>
        <v>57.169329999999988</v>
      </c>
      <c r="AC514" s="121"/>
      <c r="AD514" s="121"/>
      <c r="AE514" s="121"/>
      <c r="AF514" s="121"/>
      <c r="AG514" s="121"/>
      <c r="AH514" s="121">
        <v>55.129980000000003</v>
      </c>
      <c r="AI514" s="121">
        <v>55.416800000000002</v>
      </c>
      <c r="AJ514" s="121">
        <v>55.705109999999991</v>
      </c>
      <c r="AK514" s="121">
        <v>55.994919999999993</v>
      </c>
      <c r="AL514" s="121">
        <v>56.286239999999992</v>
      </c>
      <c r="AM514" s="121">
        <v>111.42371999999999</v>
      </c>
      <c r="AN514" s="121">
        <v>111.71807999999999</v>
      </c>
      <c r="AO514" s="121">
        <v>57.169329999999988</v>
      </c>
      <c r="AP514" s="125" t="str">
        <f>CONCATENATE(A514,M514)</f>
        <v>Reg AssetN</v>
      </c>
      <c r="AQ514" s="125" t="str">
        <f>CONCATENATE(AP514,L514,H514)</f>
        <v>Reg AssetNN10Property Tax Deferral</v>
      </c>
      <c r="AS514" s="125" t="str">
        <f>CONCATENATE(L514,H514,J514)</f>
        <v>N10Property Tax DeferralNCR</v>
      </c>
    </row>
    <row r="515" spans="1:45" s="125" customFormat="1" ht="25.5" customHeight="1">
      <c r="A515" s="216" t="s">
        <v>1442</v>
      </c>
      <c r="B515" s="217" t="str">
        <f t="shared" si="179"/>
        <v>Reg Asset1823200-146.52.03BC030568</v>
      </c>
      <c r="C515" s="186">
        <v>182320</v>
      </c>
      <c r="D515" s="201" t="s">
        <v>1443</v>
      </c>
      <c r="E515" s="162" t="s">
        <v>4676</v>
      </c>
      <c r="F515" s="169" t="s">
        <v>328</v>
      </c>
      <c r="G515" s="117" t="s">
        <v>2996</v>
      </c>
      <c r="H515" s="118" t="s">
        <v>2369</v>
      </c>
      <c r="I515" s="119"/>
      <c r="J515" s="120"/>
      <c r="K515" s="120" t="str">
        <f t="shared" si="192"/>
        <v/>
      </c>
      <c r="L515" s="170" t="s">
        <v>1893</v>
      </c>
      <c r="M515" s="122" t="str">
        <f t="shared" si="149"/>
        <v>R</v>
      </c>
      <c r="N515" s="116" t="str">
        <f>IF($L515&lt;&gt;"",VLOOKUP($L515,Categories!$E:$G,2,FALSE),IF($F515&lt;&gt;"","NO CAT",""))</f>
        <v>Rate Base</v>
      </c>
      <c r="O515" s="116" t="str">
        <f>IF($L515&lt;&gt;"",VLOOKUP($L515,Categories!$E:$G,3,FALSE),IF($F515&lt;&gt;"","NO CAT",""))</f>
        <v>Deferred Debits &amp; Credits</v>
      </c>
      <c r="P515" s="170" t="s">
        <v>1182</v>
      </c>
      <c r="Q515" s="123" t="s">
        <v>1693</v>
      </c>
      <c r="R515" s="124">
        <v>0.79196546646577504</v>
      </c>
      <c r="S515" s="124">
        <v>0.20803453353422496</v>
      </c>
      <c r="T515" s="124">
        <v>0</v>
      </c>
      <c r="U515" s="121">
        <f t="shared" si="180"/>
        <v>126565.62957292001</v>
      </c>
      <c r="V515" s="121">
        <f t="shared" si="181"/>
        <v>33246.426548329597</v>
      </c>
      <c r="W515" s="121">
        <f t="shared" si="182"/>
        <v>0</v>
      </c>
      <c r="X515" s="121">
        <f t="shared" si="193"/>
        <v>159812.05612125</v>
      </c>
      <c r="Y515" s="121">
        <f t="shared" si="183"/>
        <v>123228.385117809</v>
      </c>
      <c r="Z515" s="121">
        <f t="shared" si="184"/>
        <v>32369.794772190598</v>
      </c>
      <c r="AA515" s="121">
        <f t="shared" si="185"/>
        <v>0</v>
      </c>
      <c r="AB515" s="121">
        <f t="shared" si="194"/>
        <v>155598.17989</v>
      </c>
      <c r="AC515" s="121">
        <v>159640.59044</v>
      </c>
      <c r="AD515" s="121">
        <v>159640.59044</v>
      </c>
      <c r="AE515" s="121">
        <v>159640.59044</v>
      </c>
      <c r="AF515" s="121">
        <v>159640.59044</v>
      </c>
      <c r="AG515" s="121">
        <v>159640.59044</v>
      </c>
      <c r="AH515" s="121">
        <v>160994.12443999999</v>
      </c>
      <c r="AI515" s="121">
        <v>160994.12443999999</v>
      </c>
      <c r="AJ515" s="121">
        <v>160994.12443999999</v>
      </c>
      <c r="AK515" s="121">
        <v>160994.12443999999</v>
      </c>
      <c r="AL515" s="121">
        <v>160994.12443999999</v>
      </c>
      <c r="AM515" s="121">
        <v>160994.12443999999</v>
      </c>
      <c r="AN515" s="121">
        <v>155598.17989</v>
      </c>
      <c r="AO515" s="121">
        <v>155598.17989</v>
      </c>
      <c r="AP515" s="125" t="str">
        <f>CONCATENATE(A515,M515)</f>
        <v>Reg AssetR</v>
      </c>
      <c r="AQ515" s="125" t="str">
        <f>CONCATENATE(AP515,L515,H515)</f>
        <v>Reg AssetRR10Environmental</v>
      </c>
      <c r="AS515" s="125" t="str">
        <f>CONCATENATE(L515,H515,J515)</f>
        <v>R10Environmental</v>
      </c>
    </row>
    <row r="516" spans="1:45" s="125" customFormat="1" ht="25.5" customHeight="1">
      <c r="A516" s="216" t="s">
        <v>1442</v>
      </c>
      <c r="B516" s="217" t="str">
        <f t="shared" si="179"/>
        <v>Reg Asset1823200-146.52.04BC030568</v>
      </c>
      <c r="C516" s="186">
        <v>182320</v>
      </c>
      <c r="D516" s="201" t="s">
        <v>990</v>
      </c>
      <c r="E516" s="162" t="s">
        <v>4676</v>
      </c>
      <c r="F516" s="169" t="s">
        <v>328</v>
      </c>
      <c r="G516" s="117" t="s">
        <v>991</v>
      </c>
      <c r="H516" s="118" t="s">
        <v>2369</v>
      </c>
      <c r="I516" s="119"/>
      <c r="J516" s="120"/>
      <c r="K516" s="120" t="str">
        <f t="shared" si="192"/>
        <v/>
      </c>
      <c r="L516" s="170" t="s">
        <v>1893</v>
      </c>
      <c r="M516" s="122" t="str">
        <f t="shared" si="149"/>
        <v>R</v>
      </c>
      <c r="N516" s="116" t="str">
        <f>IF($L516&lt;&gt;"",VLOOKUP($L516,Categories!$E:$G,2,FALSE),IF($F516&lt;&gt;"","NO CAT",""))</f>
        <v>Rate Base</v>
      </c>
      <c r="O516" s="116" t="str">
        <f>IF($L516&lt;&gt;"",VLOOKUP($L516,Categories!$E:$G,3,FALSE),IF($F516&lt;&gt;"","NO CAT",""))</f>
        <v>Deferred Debits &amp; Credits</v>
      </c>
      <c r="P516" s="170" t="s">
        <v>1182</v>
      </c>
      <c r="Q516" s="123" t="s">
        <v>1693</v>
      </c>
      <c r="R516" s="124">
        <v>0.79196546646577504</v>
      </c>
      <c r="S516" s="124">
        <v>0.20803453353422496</v>
      </c>
      <c r="T516" s="124">
        <v>0</v>
      </c>
      <c r="U516" s="121">
        <f t="shared" si="180"/>
        <v>19071.574324859899</v>
      </c>
      <c r="V516" s="121">
        <f t="shared" si="181"/>
        <v>5009.7463038901196</v>
      </c>
      <c r="W516" s="121">
        <f t="shared" si="182"/>
        <v>0</v>
      </c>
      <c r="X516" s="121">
        <f t="shared" si="193"/>
        <v>24081.32062875</v>
      </c>
      <c r="Y516" s="121">
        <f t="shared" si="183"/>
        <v>15002.7586701003</v>
      </c>
      <c r="Z516" s="121">
        <f t="shared" si="184"/>
        <v>3940.9444398996998</v>
      </c>
      <c r="AA516" s="121">
        <f t="shared" si="185"/>
        <v>0</v>
      </c>
      <c r="AB516" s="121">
        <f t="shared" si="194"/>
        <v>18943.703109999999</v>
      </c>
      <c r="AC516" s="121">
        <v>24709.342560000001</v>
      </c>
      <c r="AD516" s="121">
        <v>24709.342559999997</v>
      </c>
      <c r="AE516" s="121">
        <v>24709.342559999997</v>
      </c>
      <c r="AF516" s="121">
        <v>24709.342559999997</v>
      </c>
      <c r="AG516" s="121">
        <v>24709.342559999997</v>
      </c>
      <c r="AH516" s="121">
        <v>24894.708559999999</v>
      </c>
      <c r="AI516" s="121">
        <v>24894.708559999999</v>
      </c>
      <c r="AJ516" s="121">
        <v>24894.708559999999</v>
      </c>
      <c r="AK516" s="121">
        <v>24894.708559999999</v>
      </c>
      <c r="AL516" s="121">
        <v>24894.708559999999</v>
      </c>
      <c r="AM516" s="121">
        <v>24894.708559999999</v>
      </c>
      <c r="AN516" s="121">
        <v>18943.703109999999</v>
      </c>
      <c r="AO516" s="121">
        <v>18943.703109999999</v>
      </c>
      <c r="AP516" s="125" t="str">
        <f>CONCATENATE(A516,M516)</f>
        <v>Reg AssetR</v>
      </c>
      <c r="AQ516" s="125" t="str">
        <f>CONCATENATE(AP516,L516,H516)</f>
        <v>Reg AssetRR10Environmental</v>
      </c>
      <c r="AS516" s="125" t="str">
        <f>CONCATENATE(L516,H516,J516)</f>
        <v>R10Environmental</v>
      </c>
    </row>
    <row r="517" spans="1:45" s="125" customFormat="1" ht="25.5" customHeight="1">
      <c r="A517" s="216" t="s">
        <v>1442</v>
      </c>
      <c r="B517" s="217" t="str">
        <f t="shared" si="179"/>
        <v>Reg Asset1823200-149.21.00BC030568</v>
      </c>
      <c r="C517" s="186">
        <v>182320</v>
      </c>
      <c r="D517" s="201" t="s">
        <v>168</v>
      </c>
      <c r="E517" s="162" t="s">
        <v>4676</v>
      </c>
      <c r="F517" s="169" t="s">
        <v>328</v>
      </c>
      <c r="G517" s="117" t="s">
        <v>169</v>
      </c>
      <c r="H517" s="118" t="s">
        <v>2369</v>
      </c>
      <c r="I517" s="119"/>
      <c r="J517" s="120"/>
      <c r="K517" s="120" t="str">
        <f t="shared" si="192"/>
        <v/>
      </c>
      <c r="L517" s="170" t="s">
        <v>1893</v>
      </c>
      <c r="M517" s="122" t="str">
        <f t="shared" si="149"/>
        <v>R</v>
      </c>
      <c r="N517" s="116" t="str">
        <f>IF($L517&lt;&gt;"",VLOOKUP($L517,Categories!$E:$G,2,FALSE),IF($F517&lt;&gt;"","NO CAT",""))</f>
        <v>Rate Base</v>
      </c>
      <c r="O517" s="116" t="str">
        <f>IF($L517&lt;&gt;"",VLOOKUP($L517,Categories!$E:$G,3,FALSE),IF($F517&lt;&gt;"","NO CAT",""))</f>
        <v>Deferred Debits &amp; Credits</v>
      </c>
      <c r="P517" s="170" t="s">
        <v>1182</v>
      </c>
      <c r="Q517" s="123" t="s">
        <v>1693</v>
      </c>
      <c r="R517" s="124">
        <v>0.79196546646577504</v>
      </c>
      <c r="S517" s="124">
        <v>0.20803453353422496</v>
      </c>
      <c r="T517" s="124">
        <v>0</v>
      </c>
      <c r="U517" s="121">
        <f t="shared" si="180"/>
        <v>31.519433599871402</v>
      </c>
      <c r="V517" s="121">
        <f t="shared" si="181"/>
        <v>8.2795664001286209</v>
      </c>
      <c r="W517" s="121">
        <f t="shared" si="182"/>
        <v>0</v>
      </c>
      <c r="X517" s="121">
        <f t="shared" si="193"/>
        <v>39.798999999999999</v>
      </c>
      <c r="Y517" s="121">
        <f t="shared" si="183"/>
        <v>31.519433599871402</v>
      </c>
      <c r="Z517" s="121">
        <f t="shared" si="184"/>
        <v>8.2795664001286209</v>
      </c>
      <c r="AA517" s="121">
        <f t="shared" si="185"/>
        <v>0</v>
      </c>
      <c r="AB517" s="121">
        <f t="shared" si="194"/>
        <v>39.798999999999999</v>
      </c>
      <c r="AC517" s="121">
        <v>39.798999999999999</v>
      </c>
      <c r="AD517" s="121">
        <v>39.798999999999999</v>
      </c>
      <c r="AE517" s="121">
        <v>39.798999999999999</v>
      </c>
      <c r="AF517" s="121">
        <v>39.798999999999999</v>
      </c>
      <c r="AG517" s="121">
        <v>39.798999999999999</v>
      </c>
      <c r="AH517" s="121">
        <v>39.798999999999999</v>
      </c>
      <c r="AI517" s="121">
        <v>39.798999999999999</v>
      </c>
      <c r="AJ517" s="121">
        <v>39.798999999999999</v>
      </c>
      <c r="AK517" s="121">
        <v>39.798999999999999</v>
      </c>
      <c r="AL517" s="121">
        <v>39.798999999999999</v>
      </c>
      <c r="AM517" s="121">
        <v>39.798999999999999</v>
      </c>
      <c r="AN517" s="121">
        <v>39.798999999999999</v>
      </c>
      <c r="AO517" s="121">
        <v>39.798999999999999</v>
      </c>
      <c r="AP517" s="125" t="str">
        <f>CONCATENATE(A517,M517)</f>
        <v>Reg AssetR</v>
      </c>
      <c r="AQ517" s="125" t="str">
        <f>CONCATENATE(AP517,L517,H517)</f>
        <v>Reg AssetRR10Environmental</v>
      </c>
      <c r="AS517" s="125" t="str">
        <f>CONCATENATE(L517,H517,J517)</f>
        <v>R10Environmental</v>
      </c>
    </row>
    <row r="518" spans="1:45" s="125" customFormat="1" ht="25.5" customHeight="1">
      <c r="A518" s="216" t="s">
        <v>1442</v>
      </c>
      <c r="B518" s="217" t="str">
        <f t="shared" ref="B518:B541" si="202">CONCATENATE(A518,C518,D518,E518)</f>
        <v>Reg Asset1823200-149.21.01BC030568</v>
      </c>
      <c r="C518" s="186">
        <v>182320</v>
      </c>
      <c r="D518" s="201" t="s">
        <v>318</v>
      </c>
      <c r="E518" s="162" t="s">
        <v>4676</v>
      </c>
      <c r="F518" s="169" t="s">
        <v>328</v>
      </c>
      <c r="G518" s="117" t="s">
        <v>606</v>
      </c>
      <c r="H518" s="118" t="s">
        <v>2369</v>
      </c>
      <c r="I518" s="119"/>
      <c r="J518" s="120"/>
      <c r="K518" s="120" t="str">
        <f t="shared" ref="K518:K540" si="203">IF(L518="N3","SFAS-109","")</f>
        <v/>
      </c>
      <c r="L518" s="170" t="s">
        <v>1893</v>
      </c>
      <c r="M518" s="122" t="str">
        <f t="shared" si="149"/>
        <v>R</v>
      </c>
      <c r="N518" s="116" t="str">
        <f>IF($L518&lt;&gt;"",VLOOKUP($L518,Categories!$E:$G,2,FALSE),IF($F518&lt;&gt;"","NO CAT",""))</f>
        <v>Rate Base</v>
      </c>
      <c r="O518" s="116" t="str">
        <f>IF($L518&lt;&gt;"",VLOOKUP($L518,Categories!$E:$G,3,FALSE),IF($F518&lt;&gt;"","NO CAT",""))</f>
        <v>Deferred Debits &amp; Credits</v>
      </c>
      <c r="P518" s="170" t="s">
        <v>1182</v>
      </c>
      <c r="Q518" s="123" t="s">
        <v>1693</v>
      </c>
      <c r="R518" s="124">
        <v>0.79196546646577504</v>
      </c>
      <c r="S518" s="124">
        <v>0.20803453353422496</v>
      </c>
      <c r="T518" s="124">
        <v>0</v>
      </c>
      <c r="U518" s="121">
        <f t="shared" ref="U518:U545" si="204">IF(ABS(X518)=0,"",IF($R518="NO ALLOC","NO ALLOC",ROUND($R518*X518,15)))</f>
        <v>70.380387073880499</v>
      </c>
      <c r="V518" s="121">
        <f t="shared" ref="V518:V545" si="205">IF(ABS(X518)=0,"",IF($S518="NO ALLOC","NO ALLOC",ROUND($S518*X518,15)))</f>
        <v>18.4876129261195</v>
      </c>
      <c r="W518" s="121">
        <f t="shared" ref="W518:W545" si="206">IF(ABS(X518)=0,"",IF($T518="NO ALLOC","NO ALLOC",ROUND($T518*X518,15)))</f>
        <v>0</v>
      </c>
      <c r="X518" s="121">
        <f t="shared" si="193"/>
        <v>88.867999999999995</v>
      </c>
      <c r="Y518" s="121">
        <f t="shared" ref="Y518:Y545" si="207">IF(ABS(AB518)=0,"",IF($R518="NO ALLOC","NO ALLOC",ROUND($R518*AB518,15)))</f>
        <v>70.380387073880499</v>
      </c>
      <c r="Z518" s="121">
        <f t="shared" ref="Z518:Z545" si="208">IF(ABS(AB518)=0,"",IF($S518="NO ALLOC","NO ALLOC",ROUND($S518*AB518,15)))</f>
        <v>18.4876129261195</v>
      </c>
      <c r="AA518" s="121">
        <f t="shared" ref="AA518:AA545" si="209">IF(ABS(AB518)=0,"",IF($T518="NO ALLOC","NO ALLOC",ROUND($T518*AB518,15)))</f>
        <v>0</v>
      </c>
      <c r="AB518" s="121">
        <f t="shared" si="194"/>
        <v>88.867999999999995</v>
      </c>
      <c r="AC518" s="121">
        <v>88.867999999999995</v>
      </c>
      <c r="AD518" s="121">
        <v>88.867999999999995</v>
      </c>
      <c r="AE518" s="121">
        <v>88.867999999999995</v>
      </c>
      <c r="AF518" s="121">
        <v>88.867999999999995</v>
      </c>
      <c r="AG518" s="121">
        <v>88.867999999999995</v>
      </c>
      <c r="AH518" s="121">
        <v>88.867999999999995</v>
      </c>
      <c r="AI518" s="121">
        <v>88.867999999999995</v>
      </c>
      <c r="AJ518" s="121">
        <v>88.867999999999995</v>
      </c>
      <c r="AK518" s="121">
        <v>88.867999999999995</v>
      </c>
      <c r="AL518" s="121">
        <v>88.867999999999995</v>
      </c>
      <c r="AM518" s="121">
        <v>88.867999999999995</v>
      </c>
      <c r="AN518" s="121">
        <v>88.867999999999995</v>
      </c>
      <c r="AO518" s="121">
        <v>88.867999999999995</v>
      </c>
      <c r="AP518" s="125" t="str">
        <f>CONCATENATE(A518,M518)</f>
        <v>Reg AssetR</v>
      </c>
      <c r="AQ518" s="125" t="str">
        <f>CONCATENATE(AP518,L518,H518)</f>
        <v>Reg AssetRR10Environmental</v>
      </c>
      <c r="AS518" s="125" t="str">
        <f>CONCATENATE(L518,H518,J518)</f>
        <v>R10Environmental</v>
      </c>
    </row>
    <row r="519" spans="1:45" s="125" customFormat="1" ht="25.5" customHeight="1">
      <c r="A519" s="216" t="s">
        <v>1442</v>
      </c>
      <c r="B519" s="217" t="str">
        <f t="shared" si="202"/>
        <v>Reg Asset182320801219BE030566</v>
      </c>
      <c r="C519" s="186">
        <v>182320</v>
      </c>
      <c r="D519" s="201">
        <v>801219</v>
      </c>
      <c r="E519" s="162" t="s">
        <v>863</v>
      </c>
      <c r="F519" s="169" t="s">
        <v>328</v>
      </c>
      <c r="G519" s="117" t="s">
        <v>2584</v>
      </c>
      <c r="H519" s="118" t="s">
        <v>2369</v>
      </c>
      <c r="I519" s="119"/>
      <c r="J519" s="120"/>
      <c r="K519" s="120" t="str">
        <f t="shared" si="203"/>
        <v/>
      </c>
      <c r="L519" s="170" t="s">
        <v>1893</v>
      </c>
      <c r="M519" s="122" t="str">
        <f t="shared" si="149"/>
        <v>R</v>
      </c>
      <c r="N519" s="116" t="str">
        <f>IF($L519&lt;&gt;"",VLOOKUP($L519,Categories!$E:$G,2,FALSE),IF($F519&lt;&gt;"","NO CAT",""))</f>
        <v>Rate Base</v>
      </c>
      <c r="O519" s="116" t="str">
        <f>IF($L519&lt;&gt;"",VLOOKUP($L519,Categories!$E:$G,3,FALSE),IF($F519&lt;&gt;"","NO CAT",""))</f>
        <v>Deferred Debits &amp; Credits</v>
      </c>
      <c r="P519" s="170" t="s">
        <v>1183</v>
      </c>
      <c r="Q519" s="123" t="s">
        <v>1177</v>
      </c>
      <c r="R519" s="124">
        <v>1</v>
      </c>
      <c r="S519" s="124">
        <v>0</v>
      </c>
      <c r="T519" s="124">
        <v>0</v>
      </c>
      <c r="U519" s="121" t="str">
        <f t="shared" si="204"/>
        <v/>
      </c>
      <c r="V519" s="121" t="str">
        <f t="shared" si="205"/>
        <v/>
      </c>
      <c r="W519" s="121" t="str">
        <f t="shared" si="206"/>
        <v/>
      </c>
      <c r="X519" s="121">
        <f t="shared" si="193"/>
        <v>0</v>
      </c>
      <c r="Y519" s="121" t="str">
        <f t="shared" si="207"/>
        <v/>
      </c>
      <c r="Z519" s="121" t="str">
        <f t="shared" si="208"/>
        <v/>
      </c>
      <c r="AA519" s="121" t="str">
        <f t="shared" si="209"/>
        <v/>
      </c>
      <c r="AB519" s="121">
        <f t="shared" si="194"/>
        <v>0</v>
      </c>
      <c r="AC519" s="121">
        <v>0</v>
      </c>
      <c r="AD519" s="121">
        <v>0</v>
      </c>
      <c r="AE519" s="121">
        <v>0</v>
      </c>
      <c r="AF519" s="121">
        <v>0</v>
      </c>
      <c r="AG519" s="121">
        <v>0</v>
      </c>
      <c r="AH519" s="121">
        <v>0</v>
      </c>
      <c r="AI519" s="121">
        <v>0</v>
      </c>
      <c r="AJ519" s="121">
        <v>0</v>
      </c>
      <c r="AK519" s="121">
        <v>0</v>
      </c>
      <c r="AL519" s="121">
        <v>0</v>
      </c>
      <c r="AM519" s="121">
        <v>0</v>
      </c>
      <c r="AN519" s="121">
        <v>0</v>
      </c>
      <c r="AO519" s="121">
        <v>0</v>
      </c>
      <c r="AP519" s="125" t="str">
        <f>CONCATENATE(A519,M519)</f>
        <v>Reg AssetR</v>
      </c>
      <c r="AQ519" s="125" t="str">
        <f>CONCATENATE(AP519,L519,H519)</f>
        <v>Reg AssetRR10Environmental</v>
      </c>
      <c r="AS519" s="125" t="str">
        <f>CONCATENATE(L519,H519,J519)</f>
        <v>R10Environmental</v>
      </c>
    </row>
    <row r="520" spans="1:45" s="125" customFormat="1" ht="25.5" customHeight="1">
      <c r="A520" s="216" t="s">
        <v>1442</v>
      </c>
      <c r="B520" s="217" t="str">
        <f t="shared" si="202"/>
        <v>Reg Asset182320801227BG030567</v>
      </c>
      <c r="C520" s="186">
        <v>182320</v>
      </c>
      <c r="D520" s="201">
        <v>801227</v>
      </c>
      <c r="E520" s="162" t="s">
        <v>1706</v>
      </c>
      <c r="F520" s="169" t="s">
        <v>328</v>
      </c>
      <c r="G520" s="117" t="s">
        <v>2585</v>
      </c>
      <c r="H520" s="118" t="s">
        <v>2369</v>
      </c>
      <c r="I520" s="119"/>
      <c r="J520" s="120"/>
      <c r="K520" s="120" t="str">
        <f t="shared" si="203"/>
        <v/>
      </c>
      <c r="L520" s="170" t="s">
        <v>1893</v>
      </c>
      <c r="M520" s="122" t="str">
        <f t="shared" si="149"/>
        <v>R</v>
      </c>
      <c r="N520" s="116" t="str">
        <f>IF($L520&lt;&gt;"",VLOOKUP($L520,Categories!$E:$G,2,FALSE),IF($F520&lt;&gt;"","NO CAT",""))</f>
        <v>Rate Base</v>
      </c>
      <c r="O520" s="116" t="str">
        <f>IF($L520&lt;&gt;"",VLOOKUP($L520,Categories!$E:$G,3,FALSE),IF($F520&lt;&gt;"","NO CAT",""))</f>
        <v>Deferred Debits &amp; Credits</v>
      </c>
      <c r="P520" s="170" t="s">
        <v>1184</v>
      </c>
      <c r="Q520" s="123" t="s">
        <v>1178</v>
      </c>
      <c r="R520" s="124">
        <v>0</v>
      </c>
      <c r="S520" s="124">
        <v>1</v>
      </c>
      <c r="T520" s="124">
        <v>0</v>
      </c>
      <c r="U520" s="121">
        <f t="shared" si="204"/>
        <v>0</v>
      </c>
      <c r="V520" s="121">
        <f t="shared" si="205"/>
        <v>-1.7000000000000001E-13</v>
      </c>
      <c r="W520" s="121">
        <f t="shared" si="206"/>
        <v>0</v>
      </c>
      <c r="X520" s="121">
        <f t="shared" si="193"/>
        <v>-1.7000000000000001E-13</v>
      </c>
      <c r="Y520" s="121" t="str">
        <f t="shared" si="207"/>
        <v/>
      </c>
      <c r="Z520" s="121" t="str">
        <f t="shared" si="208"/>
        <v/>
      </c>
      <c r="AA520" s="121" t="str">
        <f t="shared" si="209"/>
        <v/>
      </c>
      <c r="AB520" s="121">
        <f t="shared" si="194"/>
        <v>0</v>
      </c>
      <c r="AC520" s="121">
        <v>-5.8207660913467408E-13</v>
      </c>
      <c r="AD520" s="121">
        <v>-5.8207660913467408E-13</v>
      </c>
      <c r="AE520" s="121">
        <v>-5.8207660913467408E-13</v>
      </c>
      <c r="AF520" s="121">
        <v>-5.8207660913467408E-13</v>
      </c>
      <c r="AG520" s="121">
        <v>0</v>
      </c>
      <c r="AH520" s="121">
        <v>0</v>
      </c>
      <c r="AI520" s="121">
        <v>0</v>
      </c>
      <c r="AJ520" s="121">
        <v>0</v>
      </c>
      <c r="AK520" s="121">
        <v>0</v>
      </c>
      <c r="AL520" s="121">
        <v>0</v>
      </c>
      <c r="AM520" s="121">
        <v>0</v>
      </c>
      <c r="AN520" s="121">
        <v>0</v>
      </c>
      <c r="AO520" s="121">
        <v>0</v>
      </c>
      <c r="AP520" s="125" t="str">
        <f>CONCATENATE(A520,M520)</f>
        <v>Reg AssetR</v>
      </c>
      <c r="AQ520" s="125" t="str">
        <f>CONCATENATE(AP520,L520,H520)</f>
        <v>Reg AssetRR10Environmental</v>
      </c>
      <c r="AS520" s="125" t="str">
        <f>CONCATENATE(L520,H520,J520)</f>
        <v>R10Environmental</v>
      </c>
    </row>
    <row r="521" spans="1:45" s="125" customFormat="1" ht="25.5" customHeight="1">
      <c r="A521" s="216" t="s">
        <v>1442</v>
      </c>
      <c r="B521" s="217" t="str">
        <f t="shared" si="202"/>
        <v>Reg Asset182320801228BE030566</v>
      </c>
      <c r="C521" s="186">
        <v>182320</v>
      </c>
      <c r="D521" s="201">
        <v>801228</v>
      </c>
      <c r="E521" s="162" t="s">
        <v>863</v>
      </c>
      <c r="F521" s="169" t="s">
        <v>328</v>
      </c>
      <c r="G521" s="117" t="s">
        <v>22</v>
      </c>
      <c r="H521" s="118" t="s">
        <v>2369</v>
      </c>
      <c r="I521" s="119"/>
      <c r="J521" s="120" t="s">
        <v>105</v>
      </c>
      <c r="K521" s="120" t="str">
        <f t="shared" si="203"/>
        <v/>
      </c>
      <c r="L521" s="170" t="s">
        <v>2821</v>
      </c>
      <c r="M521" s="122" t="str">
        <f t="shared" si="149"/>
        <v>N</v>
      </c>
      <c r="N521" s="116" t="str">
        <f>IF($L521&lt;&gt;"",VLOOKUP($L521,Categories!$E:$G,2,FALSE),IF($F521&lt;&gt;"","NO CAT",""))</f>
        <v>Not in Rate Base</v>
      </c>
      <c r="O521" s="116" t="str">
        <f>IF($L521&lt;&gt;"",VLOOKUP($L521,Categories!$E:$G,3,FALSE),IF($F521&lt;&gt;"","NO CAT",""))</f>
        <v>Deferrals Accruing Non-Cash Return   (other than ASGA)</v>
      </c>
      <c r="P521" s="170" t="s">
        <v>1186</v>
      </c>
      <c r="Q521" s="123" t="s">
        <v>1187</v>
      </c>
      <c r="R521" s="124">
        <v>0</v>
      </c>
      <c r="S521" s="124">
        <v>0</v>
      </c>
      <c r="T521" s="124">
        <v>1</v>
      </c>
      <c r="U521" s="121">
        <f t="shared" si="204"/>
        <v>0</v>
      </c>
      <c r="V521" s="121">
        <f t="shared" si="205"/>
        <v>0</v>
      </c>
      <c r="W521" s="121">
        <f t="shared" si="206"/>
        <v>-17249.823784583299</v>
      </c>
      <c r="X521" s="121">
        <f t="shared" si="193"/>
        <v>-17249.823784583299</v>
      </c>
      <c r="Y521" s="121">
        <f t="shared" si="207"/>
        <v>0</v>
      </c>
      <c r="Z521" s="121">
        <f t="shared" si="208"/>
        <v>0</v>
      </c>
      <c r="AA521" s="121">
        <f t="shared" si="209"/>
        <v>-18039.630969999998</v>
      </c>
      <c r="AB521" s="121">
        <f t="shared" si="194"/>
        <v>-18039.630970000002</v>
      </c>
      <c r="AC521" s="121">
        <v>-14462.427300000003</v>
      </c>
      <c r="AD521" s="121">
        <v>-15120.899620000004</v>
      </c>
      <c r="AE521" s="121">
        <v>-16806.826970000002</v>
      </c>
      <c r="AF521" s="121">
        <v>-17084.718080000002</v>
      </c>
      <c r="AG521" s="121">
        <v>-17450.877860000004</v>
      </c>
      <c r="AH521" s="121">
        <v>-17981.860270000005</v>
      </c>
      <c r="AI521" s="121">
        <v>-18021.035290000003</v>
      </c>
      <c r="AJ521" s="121">
        <v>-17833.498060000002</v>
      </c>
      <c r="AK521" s="121">
        <v>-17889.646370000002</v>
      </c>
      <c r="AL521" s="121">
        <v>-17407.613580000001</v>
      </c>
      <c r="AM521" s="121">
        <v>-16733.302970000004</v>
      </c>
      <c r="AN521" s="121">
        <v>-18416.577209999999</v>
      </c>
      <c r="AO521" s="121">
        <v>-18039.630970000002</v>
      </c>
      <c r="AP521" s="125" t="str">
        <f>CONCATENATE(A521,M521)</f>
        <v>Reg AssetN</v>
      </c>
      <c r="AQ521" s="125" t="str">
        <f>CONCATENATE(AP521,L521,H521)</f>
        <v>Reg AssetNN10Environmental</v>
      </c>
      <c r="AS521" s="125" t="str">
        <f>CONCATENATE(L521,H521,J521)</f>
        <v>N10EnvironmentalNCR</v>
      </c>
    </row>
    <row r="522" spans="1:45" s="125" customFormat="1" ht="25.5" customHeight="1">
      <c r="A522" s="216" t="s">
        <v>1442</v>
      </c>
      <c r="B522" s="217" t="str">
        <f t="shared" si="202"/>
        <v>Reg Asset182320801229BG030567</v>
      </c>
      <c r="C522" s="186">
        <v>182320</v>
      </c>
      <c r="D522" s="201">
        <v>801229</v>
      </c>
      <c r="E522" s="162" t="s">
        <v>1706</v>
      </c>
      <c r="F522" s="169" t="s">
        <v>328</v>
      </c>
      <c r="G522" s="117" t="s">
        <v>23</v>
      </c>
      <c r="H522" s="118" t="s">
        <v>2369</v>
      </c>
      <c r="I522" s="119"/>
      <c r="J522" s="120" t="s">
        <v>105</v>
      </c>
      <c r="K522" s="120" t="str">
        <f t="shared" si="203"/>
        <v/>
      </c>
      <c r="L522" s="170" t="s">
        <v>2821</v>
      </c>
      <c r="M522" s="122" t="str">
        <f t="shared" si="149"/>
        <v>N</v>
      </c>
      <c r="N522" s="116" t="str">
        <f>IF($L522&lt;&gt;"",VLOOKUP($L522,Categories!$E:$G,2,FALSE),IF($F522&lt;&gt;"","NO CAT",""))</f>
        <v>Not in Rate Base</v>
      </c>
      <c r="O522" s="116" t="str">
        <f>IF($L522&lt;&gt;"",VLOOKUP($L522,Categories!$E:$G,3,FALSE),IF($F522&lt;&gt;"","NO CAT",""))</f>
        <v>Deferrals Accruing Non-Cash Return   (other than ASGA)</v>
      </c>
      <c r="P522" s="170" t="s">
        <v>1186</v>
      </c>
      <c r="Q522" s="123" t="s">
        <v>1187</v>
      </c>
      <c r="R522" s="124">
        <v>0</v>
      </c>
      <c r="S522" s="124">
        <v>0</v>
      </c>
      <c r="T522" s="124">
        <v>1</v>
      </c>
      <c r="U522" s="121">
        <f t="shared" si="204"/>
        <v>0</v>
      </c>
      <c r="V522" s="121">
        <f t="shared" si="205"/>
        <v>0</v>
      </c>
      <c r="W522" s="121">
        <f t="shared" si="206"/>
        <v>-5893.6604170833298</v>
      </c>
      <c r="X522" s="121">
        <f t="shared" si="193"/>
        <v>-5893.6604170833298</v>
      </c>
      <c r="Y522" s="121">
        <f t="shared" si="207"/>
        <v>0</v>
      </c>
      <c r="Z522" s="121">
        <f t="shared" si="208"/>
        <v>0</v>
      </c>
      <c r="AA522" s="121">
        <f t="shared" si="209"/>
        <v>-6865.9639299999999</v>
      </c>
      <c r="AB522" s="121">
        <f t="shared" si="194"/>
        <v>-6865.9639299999999</v>
      </c>
      <c r="AC522" s="121">
        <v>-4542.9515199999996</v>
      </c>
      <c r="AD522" s="121">
        <v>-4793.3987299999999</v>
      </c>
      <c r="AE522" s="121">
        <v>-5194.980489999999</v>
      </c>
      <c r="AF522" s="121">
        <v>-5394.3380899999993</v>
      </c>
      <c r="AG522" s="121">
        <v>-5604.1524099999988</v>
      </c>
      <c r="AH522" s="121">
        <v>-5842.176379999999</v>
      </c>
      <c r="AI522" s="121">
        <v>-6012.3157699999983</v>
      </c>
      <c r="AJ522" s="121">
        <v>-6147.8207599999987</v>
      </c>
      <c r="AK522" s="121">
        <v>-6314.9907899999989</v>
      </c>
      <c r="AL522" s="121">
        <v>-6399.9138199999998</v>
      </c>
      <c r="AM522" s="121">
        <v>-6449.7287299999998</v>
      </c>
      <c r="AN522" s="121">
        <v>-6865.6513099999993</v>
      </c>
      <c r="AO522" s="121">
        <v>-6865.9639299999999</v>
      </c>
      <c r="AP522" s="125" t="str">
        <f>CONCATENATE(A522,M522)</f>
        <v>Reg AssetN</v>
      </c>
      <c r="AQ522" s="125" t="str">
        <f>CONCATENATE(AP522,L522,H522)</f>
        <v>Reg AssetNN10Environmental</v>
      </c>
      <c r="AS522" s="125" t="str">
        <f>CONCATENATE(L522,H522,J522)</f>
        <v>N10EnvironmentalNCR</v>
      </c>
    </row>
    <row r="523" spans="1:45" s="125" customFormat="1" ht="25.5" customHeight="1">
      <c r="A523" s="216" t="s">
        <v>1442</v>
      </c>
      <c r="B523" s="217" t="str">
        <f t="shared" si="202"/>
        <v>Reg Asset182320801230BE030566</v>
      </c>
      <c r="C523" s="186">
        <v>182320</v>
      </c>
      <c r="D523" s="201">
        <v>801230</v>
      </c>
      <c r="E523" s="162" t="s">
        <v>863</v>
      </c>
      <c r="F523" s="169" t="s">
        <v>328</v>
      </c>
      <c r="G523" s="117" t="s">
        <v>24</v>
      </c>
      <c r="H523" s="118" t="s">
        <v>2369</v>
      </c>
      <c r="I523" s="119"/>
      <c r="J523" s="120" t="s">
        <v>105</v>
      </c>
      <c r="K523" s="120" t="str">
        <f t="shared" si="203"/>
        <v/>
      </c>
      <c r="L523" s="170" t="s">
        <v>2821</v>
      </c>
      <c r="M523" s="122" t="str">
        <f t="shared" si="149"/>
        <v>N</v>
      </c>
      <c r="N523" s="116" t="str">
        <f>IF($L523&lt;&gt;"",VLOOKUP($L523,Categories!$E:$G,2,FALSE),IF($F523&lt;&gt;"","NO CAT",""))</f>
        <v>Not in Rate Base</v>
      </c>
      <c r="O523" s="116" t="str">
        <f>IF($L523&lt;&gt;"",VLOOKUP($L523,Categories!$E:$G,3,FALSE),IF($F523&lt;&gt;"","NO CAT",""))</f>
        <v>Deferrals Accruing Non-Cash Return   (other than ASGA)</v>
      </c>
      <c r="P523" s="170" t="s">
        <v>1186</v>
      </c>
      <c r="Q523" s="123" t="s">
        <v>1187</v>
      </c>
      <c r="R523" s="124">
        <v>0</v>
      </c>
      <c r="S523" s="124">
        <v>0</v>
      </c>
      <c r="T523" s="124">
        <v>1</v>
      </c>
      <c r="U523" s="121">
        <f t="shared" si="204"/>
        <v>0</v>
      </c>
      <c r="V523" s="121">
        <f t="shared" si="205"/>
        <v>0</v>
      </c>
      <c r="W523" s="121">
        <f t="shared" si="206"/>
        <v>-4195.3776241666701</v>
      </c>
      <c r="X523" s="121">
        <f t="shared" si="193"/>
        <v>-4195.3776241666701</v>
      </c>
      <c r="Y523" s="121">
        <f t="shared" si="207"/>
        <v>0</v>
      </c>
      <c r="Z523" s="121">
        <f t="shared" si="208"/>
        <v>0</v>
      </c>
      <c r="AA523" s="121">
        <f t="shared" si="209"/>
        <v>-4327.3465299999998</v>
      </c>
      <c r="AB523" s="121">
        <f t="shared" si="194"/>
        <v>-4327.3465300000007</v>
      </c>
      <c r="AC523" s="121">
        <v>-4066.1010099999999</v>
      </c>
      <c r="AD523" s="121">
        <v>-4087.2555199999997</v>
      </c>
      <c r="AE523" s="121">
        <v>-4108.5200899999991</v>
      </c>
      <c r="AF523" s="121">
        <v>-4129.8952899999995</v>
      </c>
      <c r="AG523" s="121">
        <v>-4151.3816999999999</v>
      </c>
      <c r="AH523" s="121">
        <v>-4172.9799000000003</v>
      </c>
      <c r="AI523" s="121">
        <v>-4194.6904599999998</v>
      </c>
      <c r="AJ523" s="121">
        <v>-4216.5139799999997</v>
      </c>
      <c r="AK523" s="121">
        <v>-4238.451039999999</v>
      </c>
      <c r="AL523" s="121">
        <v>-4260.5022299999991</v>
      </c>
      <c r="AM523" s="121">
        <v>-4282.6681399999998</v>
      </c>
      <c r="AN523" s="121">
        <v>-4304.9493700000003</v>
      </c>
      <c r="AO523" s="121">
        <v>-4327.3465300000007</v>
      </c>
      <c r="AP523" s="125" t="str">
        <f>CONCATENATE(A523,M523)</f>
        <v>Reg AssetN</v>
      </c>
      <c r="AQ523" s="125" t="str">
        <f>CONCATENATE(AP523,L523,H523)</f>
        <v>Reg AssetNN10Environmental</v>
      </c>
      <c r="AS523" s="125" t="str">
        <f>CONCATENATE(L523,H523,J523)</f>
        <v>N10EnvironmentalNCR</v>
      </c>
    </row>
    <row r="524" spans="1:45" s="125" customFormat="1" ht="25.5" customHeight="1">
      <c r="A524" s="216" t="s">
        <v>1442</v>
      </c>
      <c r="B524" s="217" t="str">
        <f t="shared" si="202"/>
        <v>Reg Asset182320801231BG030567</v>
      </c>
      <c r="C524" s="186">
        <v>182320</v>
      </c>
      <c r="D524" s="201">
        <v>801231</v>
      </c>
      <c r="E524" s="162" t="s">
        <v>1706</v>
      </c>
      <c r="F524" s="169" t="s">
        <v>328</v>
      </c>
      <c r="G524" s="117" t="s">
        <v>25</v>
      </c>
      <c r="H524" s="118" t="s">
        <v>2369</v>
      </c>
      <c r="I524" s="119"/>
      <c r="J524" s="120" t="s">
        <v>105</v>
      </c>
      <c r="K524" s="120" t="str">
        <f t="shared" si="203"/>
        <v/>
      </c>
      <c r="L524" s="170" t="s">
        <v>2821</v>
      </c>
      <c r="M524" s="122" t="str">
        <f t="shared" si="149"/>
        <v>N</v>
      </c>
      <c r="N524" s="116" t="str">
        <f>IF($L524&lt;&gt;"",VLOOKUP($L524,Categories!$E:$G,2,FALSE),IF($F524&lt;&gt;"","NO CAT",""))</f>
        <v>Not in Rate Base</v>
      </c>
      <c r="O524" s="116" t="str">
        <f>IF($L524&lt;&gt;"",VLOOKUP($L524,Categories!$E:$G,3,FALSE),IF($F524&lt;&gt;"","NO CAT",""))</f>
        <v>Deferrals Accruing Non-Cash Return   (other than ASGA)</v>
      </c>
      <c r="P524" s="170" t="s">
        <v>1186</v>
      </c>
      <c r="Q524" s="123" t="s">
        <v>1187</v>
      </c>
      <c r="R524" s="124">
        <v>0</v>
      </c>
      <c r="S524" s="124">
        <v>0</v>
      </c>
      <c r="T524" s="124">
        <v>1</v>
      </c>
      <c r="U524" s="121">
        <f t="shared" si="204"/>
        <v>0</v>
      </c>
      <c r="V524" s="121">
        <f t="shared" si="205"/>
        <v>0</v>
      </c>
      <c r="W524" s="121">
        <f t="shared" si="206"/>
        <v>-3535.3592041666702</v>
      </c>
      <c r="X524" s="121">
        <f t="shared" si="193"/>
        <v>-3535.3592041666702</v>
      </c>
      <c r="Y524" s="121">
        <f t="shared" si="207"/>
        <v>0</v>
      </c>
      <c r="Z524" s="121">
        <f t="shared" si="208"/>
        <v>0</v>
      </c>
      <c r="AA524" s="121">
        <f t="shared" si="209"/>
        <v>-3646.5667100000001</v>
      </c>
      <c r="AB524" s="121">
        <f t="shared" si="194"/>
        <v>-3646.5667099999991</v>
      </c>
      <c r="AC524" s="121">
        <v>-3426.4204299999992</v>
      </c>
      <c r="AD524" s="121">
        <v>-3444.2469099999994</v>
      </c>
      <c r="AE524" s="121">
        <v>-3462.1661299999996</v>
      </c>
      <c r="AF524" s="121">
        <v>-3480.1785799999998</v>
      </c>
      <c r="AG524" s="121">
        <v>-3498.2847399999996</v>
      </c>
      <c r="AH524" s="121">
        <v>-3516.4850999999994</v>
      </c>
      <c r="AI524" s="121">
        <v>-3534.7801499999996</v>
      </c>
      <c r="AJ524" s="121">
        <v>-3553.1703799999996</v>
      </c>
      <c r="AK524" s="121">
        <v>-3571.6562899999994</v>
      </c>
      <c r="AL524" s="121">
        <v>-3590.2383799999993</v>
      </c>
      <c r="AM524" s="121">
        <v>-3608.9171399999991</v>
      </c>
      <c r="AN524" s="121">
        <v>-3627.6930799999991</v>
      </c>
      <c r="AO524" s="121">
        <v>-3646.5667099999991</v>
      </c>
      <c r="AP524" s="125" t="str">
        <f>CONCATENATE(A524,M524)</f>
        <v>Reg AssetN</v>
      </c>
      <c r="AQ524" s="125" t="str">
        <f>CONCATENATE(AP524,L524,H524)</f>
        <v>Reg AssetNN10Environmental</v>
      </c>
      <c r="AS524" s="125" t="str">
        <f>CONCATENATE(L524,H524,J524)</f>
        <v>N10EnvironmentalNCR</v>
      </c>
    </row>
    <row r="525" spans="1:45" s="125" customFormat="1" ht="25.5" customHeight="1">
      <c r="A525" s="216" t="s">
        <v>1442</v>
      </c>
      <c r="B525" s="217" t="str">
        <f t="shared" si="202"/>
        <v>Reg Asset182320801228-FEBE030566</v>
      </c>
      <c r="C525" s="186">
        <v>182320</v>
      </c>
      <c r="D525" s="201" t="s">
        <v>4677</v>
      </c>
      <c r="E525" s="162" t="s">
        <v>863</v>
      </c>
      <c r="F525" s="169" t="s">
        <v>328</v>
      </c>
      <c r="G525" s="117" t="s">
        <v>2326</v>
      </c>
      <c r="H525" s="118" t="s">
        <v>2369</v>
      </c>
      <c r="I525" s="119"/>
      <c r="J525" s="120" t="s">
        <v>105</v>
      </c>
      <c r="K525" s="120" t="str">
        <f t="shared" si="203"/>
        <v/>
      </c>
      <c r="L525" s="170" t="s">
        <v>2821</v>
      </c>
      <c r="M525" s="122" t="str">
        <f t="shared" si="149"/>
        <v>N</v>
      </c>
      <c r="N525" s="116" t="str">
        <f>IF($L525&lt;&gt;"",VLOOKUP($L525,Categories!$E:$G,2,FALSE),IF($F525&lt;&gt;"","NO CAT",""))</f>
        <v>Not in Rate Base</v>
      </c>
      <c r="O525" s="116" t="str">
        <f>IF($L525&lt;&gt;"",VLOOKUP($L525,Categories!$E:$G,3,FALSE),IF($F525&lt;&gt;"","NO CAT",""))</f>
        <v>Deferrals Accruing Non-Cash Return   (other than ASGA)</v>
      </c>
      <c r="P525" s="170" t="s">
        <v>1186</v>
      </c>
      <c r="Q525" s="123" t="s">
        <v>1187</v>
      </c>
      <c r="R525" s="124">
        <v>0</v>
      </c>
      <c r="S525" s="124">
        <v>0</v>
      </c>
      <c r="T525" s="124">
        <v>1</v>
      </c>
      <c r="U525" s="121">
        <f t="shared" si="204"/>
        <v>0</v>
      </c>
      <c r="V525" s="121">
        <f t="shared" si="205"/>
        <v>0</v>
      </c>
      <c r="W525" s="121">
        <f t="shared" si="206"/>
        <v>-25282.715335000001</v>
      </c>
      <c r="X525" s="121">
        <f t="shared" si="193"/>
        <v>-25282.715335000001</v>
      </c>
      <c r="Y525" s="121">
        <f t="shared" si="207"/>
        <v>0</v>
      </c>
      <c r="Z525" s="121">
        <f t="shared" si="208"/>
        <v>0</v>
      </c>
      <c r="AA525" s="121">
        <f t="shared" si="209"/>
        <v>-21585.919740000001</v>
      </c>
      <c r="AB525" s="121">
        <f t="shared" si="194"/>
        <v>-21585.919739999998</v>
      </c>
      <c r="AC525" s="121">
        <v>-25881.96098</v>
      </c>
      <c r="AD525" s="121">
        <v>-25881.96098</v>
      </c>
      <c r="AE525" s="121">
        <v>-25881.96098</v>
      </c>
      <c r="AF525" s="121">
        <v>-25881.96098</v>
      </c>
      <c r="AG525" s="121">
        <v>-25881.96098</v>
      </c>
      <c r="AH525" s="121">
        <v>-25881.96098</v>
      </c>
      <c r="AI525" s="121">
        <v>-25881.96098</v>
      </c>
      <c r="AJ525" s="121">
        <v>-25881.96098</v>
      </c>
      <c r="AK525" s="121">
        <v>-25881.96098</v>
      </c>
      <c r="AL525" s="121">
        <v>-25881.96098</v>
      </c>
      <c r="AM525" s="121">
        <v>-25881.96098</v>
      </c>
      <c r="AN525" s="121">
        <v>-20839.03386</v>
      </c>
      <c r="AO525" s="121">
        <v>-21585.919739999998</v>
      </c>
      <c r="AP525" s="125" t="str">
        <f>CONCATENATE(A525,M525)</f>
        <v>Reg AssetN</v>
      </c>
      <c r="AQ525" s="125" t="str">
        <f>CONCATENATE(AP525,L525,H525)</f>
        <v>Reg AssetNN10Environmental</v>
      </c>
      <c r="AS525" s="125" t="str">
        <f>CONCATENATE(L525,H525,J525)</f>
        <v>N10EnvironmentalNCR</v>
      </c>
    </row>
    <row r="526" spans="1:45" s="125" customFormat="1" ht="25.5" customHeight="1">
      <c r="A526" s="216" t="s">
        <v>1442</v>
      </c>
      <c r="B526" s="217" t="str">
        <f t="shared" si="202"/>
        <v>Reg Asset182320801229-FEBG030567</v>
      </c>
      <c r="C526" s="186">
        <v>182320</v>
      </c>
      <c r="D526" s="201" t="s">
        <v>3119</v>
      </c>
      <c r="E526" s="162" t="s">
        <v>1706</v>
      </c>
      <c r="F526" s="169" t="s">
        <v>328</v>
      </c>
      <c r="G526" s="117" t="s">
        <v>3120</v>
      </c>
      <c r="H526" s="118" t="s">
        <v>2369</v>
      </c>
      <c r="I526" s="119"/>
      <c r="J526" s="120" t="s">
        <v>105</v>
      </c>
      <c r="K526" s="120" t="str">
        <f>IF(L526="N3","SFAS-109","")</f>
        <v/>
      </c>
      <c r="L526" s="170" t="s">
        <v>2821</v>
      </c>
      <c r="M526" s="122" t="str">
        <f>LEFT(L526,1)</f>
        <v>N</v>
      </c>
      <c r="N526" s="116" t="str">
        <f>IF($L526&lt;&gt;"",VLOOKUP($L526,Categories!$E:$G,2,FALSE),IF($F526&lt;&gt;"","NO CAT",""))</f>
        <v>Not in Rate Base</v>
      </c>
      <c r="O526" s="116" t="str">
        <f>IF($L526&lt;&gt;"",VLOOKUP($L526,Categories!$E:$G,3,FALSE),IF($F526&lt;&gt;"","NO CAT",""))</f>
        <v>Deferrals Accruing Non-Cash Return   (other than ASGA)</v>
      </c>
      <c r="P526" s="170" t="s">
        <v>1186</v>
      </c>
      <c r="Q526" s="123" t="s">
        <v>1187</v>
      </c>
      <c r="R526" s="124">
        <v>0</v>
      </c>
      <c r="S526" s="124">
        <v>0</v>
      </c>
      <c r="T526" s="124">
        <v>1</v>
      </c>
      <c r="U526" s="121">
        <f>IF(ABS(X526)=0,"",IF($R526="NO ALLOC","NO ALLOC",ROUND($R526*X526,15)))</f>
        <v>0</v>
      </c>
      <c r="V526" s="121">
        <f>IF(ABS(X526)=0,"",IF($S526="NO ALLOC","NO ALLOC",ROUND($S526*X526,15)))</f>
        <v>0</v>
      </c>
      <c r="W526" s="121">
        <f>IF(ABS(X526)=0,"",IF($T526="NO ALLOC","NO ALLOC",ROUND($T526*X526,15)))</f>
        <v>-3708.7830399999998</v>
      </c>
      <c r="X526" s="121">
        <f t="shared" si="193"/>
        <v>-3708.7830399999998</v>
      </c>
      <c r="Y526" s="121">
        <f>IF(ABS(AB526)=0,"",IF($R526="NO ALLOC","NO ALLOC",ROUND($R526*AB526,15)))</f>
        <v>0</v>
      </c>
      <c r="Z526" s="121">
        <f>IF(ABS(AB526)=0,"",IF($S526="NO ALLOC","NO ALLOC",ROUND($S526*AB526,15)))</f>
        <v>0</v>
      </c>
      <c r="AA526" s="121">
        <f>IF(ABS(AB526)=0,"",IF($T526="NO ALLOC","NO ALLOC",ROUND($T526*AB526,15)))</f>
        <v>-2339.49226</v>
      </c>
      <c r="AB526" s="121">
        <f t="shared" si="194"/>
        <v>-2339.4922600000004</v>
      </c>
      <c r="AC526" s="121">
        <v>-3833.2640200000001</v>
      </c>
      <c r="AD526" s="121">
        <v>-3833.2640200000001</v>
      </c>
      <c r="AE526" s="121">
        <v>-3833.2640200000001</v>
      </c>
      <c r="AF526" s="121">
        <v>-3833.2640200000001</v>
      </c>
      <c r="AG526" s="121">
        <v>-3833.2640200000001</v>
      </c>
      <c r="AH526" s="121">
        <v>-3833.2640200000001</v>
      </c>
      <c r="AI526" s="121">
        <v>-3833.2640200000001</v>
      </c>
      <c r="AJ526" s="121">
        <v>-3833.2640200000001</v>
      </c>
      <c r="AK526" s="121">
        <v>-3833.2640200000001</v>
      </c>
      <c r="AL526" s="121">
        <v>-3833.2640200000001</v>
      </c>
      <c r="AM526" s="121">
        <v>-3833.2640200000001</v>
      </c>
      <c r="AN526" s="121">
        <v>-3086.3781400000003</v>
      </c>
      <c r="AO526" s="121">
        <v>-2339.4922600000004</v>
      </c>
      <c r="AP526" s="125" t="str">
        <f>CONCATENATE(A526,M526)</f>
        <v>Reg AssetN</v>
      </c>
      <c r="AQ526" s="125" t="str">
        <f>CONCATENATE(AP526,L526,H526)</f>
        <v>Reg AssetNN10Environmental</v>
      </c>
      <c r="AS526" s="125" t="str">
        <f>CONCATENATE(L526,H526,J526)</f>
        <v>N10EnvironmentalNCR</v>
      </c>
    </row>
    <row r="527" spans="1:45" s="125" customFormat="1" ht="25.5" customHeight="1">
      <c r="A527" s="216" t="s">
        <v>1442</v>
      </c>
      <c r="B527" s="217" t="str">
        <f t="shared" si="202"/>
        <v>Reg Asset182336807010BC030561</v>
      </c>
      <c r="C527" s="186">
        <v>182336</v>
      </c>
      <c r="D527" s="201">
        <v>807010</v>
      </c>
      <c r="E527" s="162" t="s">
        <v>734</v>
      </c>
      <c r="F527" s="169" t="s">
        <v>1627</v>
      </c>
      <c r="G527" s="117" t="s">
        <v>1626</v>
      </c>
      <c r="H527" s="118" t="s">
        <v>1002</v>
      </c>
      <c r="I527" s="119"/>
      <c r="J527" s="120"/>
      <c r="K527" s="120" t="str">
        <f t="shared" si="203"/>
        <v/>
      </c>
      <c r="L527" s="170" t="s">
        <v>1893</v>
      </c>
      <c r="M527" s="122" t="str">
        <f t="shared" si="149"/>
        <v>R</v>
      </c>
      <c r="N527" s="116" t="str">
        <f>IF($L527&lt;&gt;"",VLOOKUP($L527,Categories!$E:$G,2,FALSE),IF($F527&lt;&gt;"","NO CAT",""))</f>
        <v>Rate Base</v>
      </c>
      <c r="O527" s="116" t="str">
        <f>IF($L527&lt;&gt;"",VLOOKUP($L527,Categories!$E:$G,3,FALSE),IF($F527&lt;&gt;"","NO CAT",""))</f>
        <v>Deferred Debits &amp; Credits</v>
      </c>
      <c r="P527" s="170" t="s">
        <v>1553</v>
      </c>
      <c r="Q527" s="123" t="s">
        <v>2587</v>
      </c>
      <c r="R527" s="124">
        <v>0.81899999999999995</v>
      </c>
      <c r="S527" s="124">
        <v>0.18099999999999999</v>
      </c>
      <c r="T527" s="124">
        <v>0</v>
      </c>
      <c r="U527" s="121">
        <f t="shared" si="204"/>
        <v>348979.844053181</v>
      </c>
      <c r="V527" s="121">
        <f t="shared" si="205"/>
        <v>77124.971640568794</v>
      </c>
      <c r="W527" s="121">
        <f t="shared" si="206"/>
        <v>0</v>
      </c>
      <c r="X527" s="121">
        <f t="shared" ref="X527:X551" si="210">IF(ISERROR(ROUND((SUM(AC527:AO527)-((AC527+AO527))/2)/12,15)),"",ROUND((SUM(AC527:AO527)-((AC527+AO527))/2)/12,15))</f>
        <v>426104.81569374999</v>
      </c>
      <c r="Y527" s="121">
        <f t="shared" si="207"/>
        <v>534047.76570600003</v>
      </c>
      <c r="Z527" s="121">
        <f t="shared" si="208"/>
        <v>118025.208294</v>
      </c>
      <c r="AA527" s="121">
        <f t="shared" si="209"/>
        <v>0</v>
      </c>
      <c r="AB527" s="121">
        <f t="shared" ref="AB527:AB551" si="211">IF(AO527="",0,+AO527)</f>
        <v>652072.97399999981</v>
      </c>
      <c r="AC527" s="121">
        <v>449224.42298999999</v>
      </c>
      <c r="AD527" s="121">
        <v>443484.12657999998</v>
      </c>
      <c r="AE527" s="121">
        <v>437743.83016999997</v>
      </c>
      <c r="AF527" s="121">
        <v>432003.5337599999</v>
      </c>
      <c r="AG527" s="121">
        <v>426263.23734999989</v>
      </c>
      <c r="AH527" s="121">
        <v>420522.94093999988</v>
      </c>
      <c r="AI527" s="121">
        <v>414782.64452999987</v>
      </c>
      <c r="AJ527" s="121">
        <v>409042.34811999981</v>
      </c>
      <c r="AK527" s="121">
        <v>403302.0517099998</v>
      </c>
      <c r="AL527" s="121">
        <v>397561.75529999979</v>
      </c>
      <c r="AM527" s="121">
        <v>391821.45888999978</v>
      </c>
      <c r="AN527" s="121">
        <v>386081.16247999971</v>
      </c>
      <c r="AO527" s="121">
        <v>652072.97399999981</v>
      </c>
      <c r="AP527" s="125" t="str">
        <f>CONCATENATE(A527,M527)</f>
        <v>Reg AssetR</v>
      </c>
      <c r="AQ527" s="125" t="str">
        <f>CONCATENATE(AP527,L527,H527)</f>
        <v>Reg AssetRR10Accrued Pension</v>
      </c>
      <c r="AS527" s="125" t="str">
        <f>CONCATENATE(L527,H527,J527)</f>
        <v>R10Accrued Pension</v>
      </c>
    </row>
    <row r="528" spans="1:45" s="125" customFormat="1" ht="25.5" customHeight="1">
      <c r="A528" s="216" t="s">
        <v>1442</v>
      </c>
      <c r="B528" s="217" t="str">
        <f t="shared" si="202"/>
        <v>Reg Asset182344807010BC060561</v>
      </c>
      <c r="C528" s="186">
        <v>182344</v>
      </c>
      <c r="D528" s="201">
        <v>807010</v>
      </c>
      <c r="E528" s="162" t="s">
        <v>3122</v>
      </c>
      <c r="F528" s="169" t="s">
        <v>735</v>
      </c>
      <c r="G528" s="117" t="s">
        <v>520</v>
      </c>
      <c r="H528" s="118" t="s">
        <v>1149</v>
      </c>
      <c r="I528" s="119"/>
      <c r="J528" s="120"/>
      <c r="K528" s="120" t="str">
        <f t="shared" si="203"/>
        <v>SFAS-109</v>
      </c>
      <c r="L528" s="170" t="s">
        <v>930</v>
      </c>
      <c r="M528" s="122" t="str">
        <f t="shared" si="149"/>
        <v>N</v>
      </c>
      <c r="N528" s="116" t="str">
        <f>IF($L528&lt;&gt;"",VLOOKUP($L528,Categories!$E:$G,2,FALSE),IF($F528&lt;&gt;"","NO CAT",""))</f>
        <v>Not in Rate Base</v>
      </c>
      <c r="O528" s="116" t="str">
        <f>IF($L528&lt;&gt;"",VLOOKUP($L528,Categories!$E:$G,3,FALSE),IF($F528&lt;&gt;"","NO CAT",""))</f>
        <v>SFAS-109   (offsetting)</v>
      </c>
      <c r="P528" s="170" t="s">
        <v>1186</v>
      </c>
      <c r="Q528" s="123" t="s">
        <v>1187</v>
      </c>
      <c r="R528" s="124">
        <v>0</v>
      </c>
      <c r="S528" s="124">
        <v>0</v>
      </c>
      <c r="T528" s="124">
        <v>1</v>
      </c>
      <c r="U528" s="121">
        <f t="shared" si="204"/>
        <v>0</v>
      </c>
      <c r="V528" s="121">
        <f t="shared" si="205"/>
        <v>0</v>
      </c>
      <c r="W528" s="121">
        <f t="shared" si="206"/>
        <v>17369.331894166698</v>
      </c>
      <c r="X528" s="121">
        <f t="shared" si="210"/>
        <v>17369.331894166698</v>
      </c>
      <c r="Y528" s="121">
        <f t="shared" si="207"/>
        <v>0</v>
      </c>
      <c r="Z528" s="121">
        <f t="shared" si="208"/>
        <v>0</v>
      </c>
      <c r="AA528" s="121">
        <f t="shared" si="209"/>
        <v>12955.226570000001</v>
      </c>
      <c r="AB528" s="121">
        <f t="shared" si="211"/>
        <v>12955.22656999999</v>
      </c>
      <c r="AC528" s="121">
        <v>22870.136630000008</v>
      </c>
      <c r="AD528" s="121">
        <v>20660.144150000007</v>
      </c>
      <c r="AE528" s="121">
        <v>18422.732349999998</v>
      </c>
      <c r="AF528" s="121">
        <v>16113.177739999999</v>
      </c>
      <c r="AG528" s="121">
        <v>20123.40202999999</v>
      </c>
      <c r="AH528" s="121">
        <v>19414.306779999988</v>
      </c>
      <c r="AI528" s="121">
        <v>18624.269039999992</v>
      </c>
      <c r="AJ528" s="121">
        <v>17966.349030000001</v>
      </c>
      <c r="AK528" s="121">
        <v>17321.148929999999</v>
      </c>
      <c r="AL528" s="121">
        <v>17090.81424</v>
      </c>
      <c r="AM528" s="121">
        <v>16579.830939999993</v>
      </c>
      <c r="AN528" s="121">
        <v>8203.12589999999</v>
      </c>
      <c r="AO528" s="121">
        <v>12955.22656999999</v>
      </c>
      <c r="AP528" s="125" t="str">
        <f>CONCATENATE(A528,M528)</f>
        <v>Reg AssetN</v>
      </c>
      <c r="AQ528" s="125" t="str">
        <f>CONCATENATE(AP528,L528,H528)</f>
        <v>Reg AssetNN3SFAS-109</v>
      </c>
      <c r="AS528" s="125" t="str">
        <f>CONCATENATE(L528,H528,J528)</f>
        <v>N3SFAS-109</v>
      </c>
    </row>
    <row r="529" spans="1:53" s="125" customFormat="1" ht="25.5" customHeight="1">
      <c r="A529" s="216" t="s">
        <v>1442</v>
      </c>
      <c r="B529" s="217" t="str">
        <f>CONCATENATE(A529,C529,D529,E529)</f>
        <v>Reg Asset1823440-146.67.000</v>
      </c>
      <c r="C529" s="186">
        <v>182344</v>
      </c>
      <c r="D529" s="201" t="s">
        <v>1199</v>
      </c>
      <c r="E529" s="162">
        <v>0</v>
      </c>
      <c r="F529" s="169" t="s">
        <v>735</v>
      </c>
      <c r="G529" s="117" t="s">
        <v>520</v>
      </c>
      <c r="H529" s="118" t="s">
        <v>521</v>
      </c>
      <c r="I529" s="119"/>
      <c r="J529" s="120" t="s">
        <v>105</v>
      </c>
      <c r="K529" s="120" t="str">
        <f>IF(L529="N3","SFAS-109","")</f>
        <v/>
      </c>
      <c r="L529" s="170" t="s">
        <v>2817</v>
      </c>
      <c r="M529" s="122" t="str">
        <f>LEFT(L529,1)</f>
        <v>N</v>
      </c>
      <c r="N529" s="116" t="str">
        <f>IF($L529&lt;&gt;"",VLOOKUP($L529,Categories!$E:$G,2,FALSE),IF($F529&lt;&gt;"","NO CAT",""))</f>
        <v>Not in Rate Base</v>
      </c>
      <c r="O529" s="116" t="str">
        <f>IF($L529&lt;&gt;"",VLOOKUP($L529,Categories!$E:$G,3,FALSE),IF($F529&lt;&gt;"","NO CAT",""))</f>
        <v>NM-2 ASGA</v>
      </c>
      <c r="P529" s="170" t="s">
        <v>1186</v>
      </c>
      <c r="Q529" s="123" t="s">
        <v>1187</v>
      </c>
      <c r="R529" s="124">
        <v>0</v>
      </c>
      <c r="S529" s="124">
        <v>0</v>
      </c>
      <c r="T529" s="124">
        <v>1</v>
      </c>
      <c r="U529" s="121" t="str">
        <f>IF(ABS(X529)=0,"",IF($R529="NO ALLOC","NO ALLOC",ROUND($R529*X529,15)))</f>
        <v/>
      </c>
      <c r="V529" s="121" t="str">
        <f>IF(ABS(X529)=0,"",IF($S529="NO ALLOC","NO ALLOC",ROUND($S529*X529,15)))</f>
        <v/>
      </c>
      <c r="W529" s="121" t="str">
        <f>IF(ABS(X529)=0,"",IF($T529="NO ALLOC","NO ALLOC",ROUND($T529*X529,15)))</f>
        <v/>
      </c>
      <c r="X529" s="121">
        <f t="shared" si="210"/>
        <v>0</v>
      </c>
      <c r="Y529" s="121" t="str">
        <f>IF(ABS(AB529)=0,"",IF($R529="NO ALLOC","NO ALLOC",ROUND($R529*AB529,15)))</f>
        <v/>
      </c>
      <c r="Z529" s="121" t="str">
        <f>IF(ABS(AB529)=0,"",IF($S529="NO ALLOC","NO ALLOC",ROUND($S529*AB529,15)))</f>
        <v/>
      </c>
      <c r="AA529" s="121" t="str">
        <f>IF(ABS(AB529)=0,"",IF($T529="NO ALLOC","NO ALLOC",ROUND($T529*AB529,15)))</f>
        <v/>
      </c>
      <c r="AB529" s="121">
        <f t="shared" si="211"/>
        <v>0</v>
      </c>
      <c r="AC529" s="121">
        <v>0</v>
      </c>
      <c r="AD529" s="121">
        <v>0</v>
      </c>
      <c r="AE529" s="121">
        <v>0</v>
      </c>
      <c r="AF529" s="121">
        <v>0</v>
      </c>
      <c r="AG529" s="121">
        <v>0</v>
      </c>
      <c r="AH529" s="121">
        <v>0</v>
      </c>
      <c r="AI529" s="121">
        <v>0</v>
      </c>
      <c r="AJ529" s="121">
        <v>0</v>
      </c>
      <c r="AK529" s="121">
        <v>0</v>
      </c>
      <c r="AL529" s="121">
        <v>0</v>
      </c>
      <c r="AM529" s="121">
        <v>0</v>
      </c>
      <c r="AN529" s="121">
        <v>0</v>
      </c>
      <c r="AO529" s="121">
        <v>0</v>
      </c>
      <c r="AP529" s="125" t="str">
        <f>CONCATENATE(A529,M529)</f>
        <v>Reg AssetN</v>
      </c>
      <c r="AQ529" s="125" t="str">
        <f>CONCATENATE(AP529,L529,H529)</f>
        <v>Reg AssetNN8ASGA</v>
      </c>
      <c r="AS529" s="125" t="str">
        <f>CONCATENATE(L529,H529,J529)</f>
        <v>N8ASGANCR</v>
      </c>
    </row>
    <row r="530" spans="1:53" s="125" customFormat="1" ht="25.5" customHeight="1">
      <c r="A530" s="216" t="s">
        <v>1442</v>
      </c>
      <c r="B530" s="217" t="str">
        <f t="shared" si="202"/>
        <v>Reg Asset1823440-146.67.000</v>
      </c>
      <c r="C530" s="186">
        <v>182344</v>
      </c>
      <c r="D530" s="201" t="s">
        <v>1199</v>
      </c>
      <c r="E530" s="162">
        <v>0</v>
      </c>
      <c r="F530" s="169" t="s">
        <v>735</v>
      </c>
      <c r="G530" s="117" t="s">
        <v>520</v>
      </c>
      <c r="H530" s="118" t="s">
        <v>914</v>
      </c>
      <c r="I530" s="119"/>
      <c r="J530" s="120"/>
      <c r="K530" s="120" t="str">
        <f>IF(L530="N3","SFAS-109","")</f>
        <v/>
      </c>
      <c r="L530" s="170" t="s">
        <v>1893</v>
      </c>
      <c r="M530" s="122" t="str">
        <f t="shared" si="149"/>
        <v>R</v>
      </c>
      <c r="N530" s="116" t="str">
        <f>IF($L530&lt;&gt;"",VLOOKUP($L530,Categories!$E:$G,2,FALSE),IF($F530&lt;&gt;"","NO CAT",""))</f>
        <v>Rate Base</v>
      </c>
      <c r="O530" s="116" t="str">
        <f>IF($L530&lt;&gt;"",VLOOKUP($L530,Categories!$E:$G,3,FALSE),IF($F530&lt;&gt;"","NO CAT",""))</f>
        <v>Deferred Debits &amp; Credits</v>
      </c>
      <c r="P530" s="170" t="s">
        <v>1553</v>
      </c>
      <c r="Q530" s="123" t="s">
        <v>2587</v>
      </c>
      <c r="R530" s="124">
        <v>0.81899999999999995</v>
      </c>
      <c r="S530" s="124">
        <v>0.18099999999999999</v>
      </c>
      <c r="T530" s="124">
        <v>0</v>
      </c>
      <c r="U530" s="121">
        <f t="shared" si="204"/>
        <v>22307.040687749999</v>
      </c>
      <c r="V530" s="121">
        <f t="shared" si="205"/>
        <v>4929.8832289166703</v>
      </c>
      <c r="W530" s="121">
        <f t="shared" si="206"/>
        <v>0</v>
      </c>
      <c r="X530" s="121">
        <f t="shared" si="210"/>
        <v>27236.923916666699</v>
      </c>
      <c r="Y530" s="121" t="str">
        <f t="shared" si="207"/>
        <v/>
      </c>
      <c r="Z530" s="121" t="str">
        <f t="shared" si="208"/>
        <v/>
      </c>
      <c r="AA530" s="121" t="str">
        <f t="shared" si="209"/>
        <v/>
      </c>
      <c r="AB530" s="121">
        <f t="shared" si="211"/>
        <v>0</v>
      </c>
      <c r="AC530" s="121">
        <v>28421.137999999999</v>
      </c>
      <c r="AD530" s="121">
        <v>28421.137999999999</v>
      </c>
      <c r="AE530" s="121">
        <v>28421.137999999999</v>
      </c>
      <c r="AF530" s="121">
        <v>28421.137999999999</v>
      </c>
      <c r="AG530" s="121">
        <v>28421.137999999999</v>
      </c>
      <c r="AH530" s="121">
        <v>28421.137999999999</v>
      </c>
      <c r="AI530" s="121">
        <v>28421.137999999999</v>
      </c>
      <c r="AJ530" s="121">
        <v>28421.137999999999</v>
      </c>
      <c r="AK530" s="121">
        <v>28421.137999999999</v>
      </c>
      <c r="AL530" s="121">
        <v>28421.137999999999</v>
      </c>
      <c r="AM530" s="121">
        <v>28421.137999999999</v>
      </c>
      <c r="AN530" s="121">
        <v>28421.137999999999</v>
      </c>
      <c r="AO530" s="121">
        <v>0</v>
      </c>
      <c r="AP530" s="125" t="str">
        <f>CONCATENATE(A530,M530)</f>
        <v>Reg AssetR</v>
      </c>
      <c r="AQ530" s="125" t="str">
        <f>CONCATENATE(AP530,L530,H530)</f>
        <v>Reg AssetRR10Medicare Subsidy</v>
      </c>
      <c r="AS530" s="125" t="str">
        <f>CONCATENATE(L530,H530,J530)</f>
        <v>R10Medicare Subsidy</v>
      </c>
    </row>
    <row r="531" spans="1:53" s="125" customFormat="1" ht="25.5" customHeight="1">
      <c r="A531" s="216" t="s">
        <v>1442</v>
      </c>
      <c r="B531" s="217" t="str">
        <f t="shared" si="202"/>
        <v>Reg Asset182344BT010125</v>
      </c>
      <c r="C531" s="186">
        <v>182344</v>
      </c>
      <c r="D531" s="201"/>
      <c r="E531" s="162" t="s">
        <v>1024</v>
      </c>
      <c r="F531" s="169" t="s">
        <v>735</v>
      </c>
      <c r="G531" s="117" t="s">
        <v>118</v>
      </c>
      <c r="H531" s="118" t="s">
        <v>914</v>
      </c>
      <c r="I531" s="119"/>
      <c r="J531" s="120"/>
      <c r="K531" s="120" t="str">
        <f>IF(L531="N3","SFAS-109","")</f>
        <v/>
      </c>
      <c r="L531" s="170" t="s">
        <v>1893</v>
      </c>
      <c r="M531" s="122" t="str">
        <f>LEFT(L531,1)</f>
        <v>R</v>
      </c>
      <c r="N531" s="116" t="str">
        <f>IF($L531&lt;&gt;"",VLOOKUP($L531,Categories!$E:$G,2,FALSE),IF($F531&lt;&gt;"","NO CAT",""))</f>
        <v>Rate Base</v>
      </c>
      <c r="O531" s="116" t="str">
        <f>IF($L531&lt;&gt;"",VLOOKUP($L531,Categories!$E:$G,3,FALSE),IF($F531&lt;&gt;"","NO CAT",""))</f>
        <v>Deferred Debits &amp; Credits</v>
      </c>
      <c r="P531" s="170" t="s">
        <v>1553</v>
      </c>
      <c r="Q531" s="123" t="s">
        <v>2587</v>
      </c>
      <c r="R531" s="124">
        <v>0.81899999999999995</v>
      </c>
      <c r="S531" s="124">
        <v>0.18099999999999999</v>
      </c>
      <c r="T531" s="124">
        <v>0</v>
      </c>
      <c r="U531" s="121">
        <f t="shared" si="204"/>
        <v>-22034.710867601199</v>
      </c>
      <c r="V531" s="121">
        <f t="shared" si="205"/>
        <v>-4869.6980061487502</v>
      </c>
      <c r="W531" s="121">
        <f t="shared" si="206"/>
        <v>0</v>
      </c>
      <c r="X531" s="121">
        <f t="shared" si="210"/>
        <v>-26904.408873749999</v>
      </c>
      <c r="Y531" s="121" t="str">
        <f t="shared" si="207"/>
        <v/>
      </c>
      <c r="Z531" s="121" t="str">
        <f t="shared" si="208"/>
        <v/>
      </c>
      <c r="AA531" s="121" t="str">
        <f t="shared" si="209"/>
        <v/>
      </c>
      <c r="AB531" s="121">
        <f t="shared" si="211"/>
        <v>0</v>
      </c>
      <c r="AC531" s="121">
        <v>-26825.650110000006</v>
      </c>
      <c r="AD531" s="121">
        <v>-26825.650110000006</v>
      </c>
      <c r="AE531" s="121">
        <v>-26825.650109999999</v>
      </c>
      <c r="AF531" s="121">
        <v>-28420.975689999999</v>
      </c>
      <c r="AG531" s="121">
        <v>-28420.975689999999</v>
      </c>
      <c r="AH531" s="121">
        <v>-28420.975689999999</v>
      </c>
      <c r="AI531" s="121">
        <v>-28420.975689999999</v>
      </c>
      <c r="AJ531" s="121">
        <v>-28420.975689999999</v>
      </c>
      <c r="AK531" s="121">
        <v>-28420.975689999999</v>
      </c>
      <c r="AL531" s="121">
        <v>-28420.975689999999</v>
      </c>
      <c r="AM531" s="121">
        <v>-28420.975689999999</v>
      </c>
      <c r="AN531" s="121">
        <v>-28420.975689999999</v>
      </c>
      <c r="AO531" s="121">
        <v>0</v>
      </c>
      <c r="AP531" s="125" t="str">
        <f>CONCATENATE(A531,M531)</f>
        <v>Reg AssetR</v>
      </c>
      <c r="AQ531" s="125" t="str">
        <f>CONCATENATE(AP531,L531,H531)</f>
        <v>Reg AssetRR10Medicare Subsidy</v>
      </c>
      <c r="AS531" s="125" t="str">
        <f>CONCATENATE(L531,H531,J531)</f>
        <v>R10Medicare Subsidy</v>
      </c>
      <c r="AV531" s="161"/>
      <c r="AW531" s="161"/>
      <c r="AX531" s="161"/>
      <c r="AY531" s="161"/>
      <c r="AZ531" s="161"/>
      <c r="BA531" s="161"/>
    </row>
    <row r="532" spans="1:53" s="125" customFormat="1" ht="25.5" customHeight="1">
      <c r="A532" s="216" t="s">
        <v>1442</v>
      </c>
      <c r="B532" s="217" t="str">
        <f t="shared" si="202"/>
        <v>Reg Asset182355800125BE030099</v>
      </c>
      <c r="C532" s="186">
        <v>182355</v>
      </c>
      <c r="D532" s="201">
        <v>800125</v>
      </c>
      <c r="E532" s="162" t="s">
        <v>3185</v>
      </c>
      <c r="F532" s="169" t="s">
        <v>736</v>
      </c>
      <c r="G532" s="117" t="s">
        <v>737</v>
      </c>
      <c r="H532" s="118" t="s">
        <v>972</v>
      </c>
      <c r="I532" s="119"/>
      <c r="J532" s="120"/>
      <c r="K532" s="120" t="str">
        <f t="shared" si="203"/>
        <v/>
      </c>
      <c r="L532" s="170" t="s">
        <v>928</v>
      </c>
      <c r="M532" s="122" t="str">
        <f t="shared" si="149"/>
        <v>N</v>
      </c>
      <c r="N532" s="116" t="str">
        <f>IF($L532&lt;&gt;"",VLOOKUP($L532,Categories!$E:$G,2,FALSE),IF($F532&lt;&gt;"","NO CAT",""))</f>
        <v>Not in Rate Base</v>
      </c>
      <c r="O532" s="116" t="str">
        <f>IF($L532&lt;&gt;"",VLOOKUP($L532,Categories!$E:$G,3,FALSE),IF($F532&lt;&gt;"","NO CAT",""))</f>
        <v>Direct Assign Items Not in RB</v>
      </c>
      <c r="P532" s="170" t="s">
        <v>1186</v>
      </c>
      <c r="Q532" s="123" t="s">
        <v>1187</v>
      </c>
      <c r="R532" s="124">
        <v>0</v>
      </c>
      <c r="S532" s="124">
        <v>0</v>
      </c>
      <c r="T532" s="124">
        <v>1</v>
      </c>
      <c r="U532" s="121">
        <f t="shared" si="204"/>
        <v>0</v>
      </c>
      <c r="V532" s="121">
        <f t="shared" si="205"/>
        <v>0</v>
      </c>
      <c r="W532" s="121">
        <f t="shared" si="206"/>
        <v>5960.1400041666702</v>
      </c>
      <c r="X532" s="121">
        <f t="shared" si="210"/>
        <v>5960.1400041666702</v>
      </c>
      <c r="Y532" s="121">
        <f t="shared" si="207"/>
        <v>0</v>
      </c>
      <c r="Z532" s="121">
        <f t="shared" si="208"/>
        <v>0</v>
      </c>
      <c r="AA532" s="121">
        <f t="shared" si="209"/>
        <v>5955.8964100000003</v>
      </c>
      <c r="AB532" s="121">
        <f t="shared" si="211"/>
        <v>5955.8964100000021</v>
      </c>
      <c r="AC532" s="121">
        <v>5797.6745700000001</v>
      </c>
      <c r="AD532" s="121">
        <v>5829.0137300000006</v>
      </c>
      <c r="AE532" s="121">
        <v>5860.4751999999999</v>
      </c>
      <c r="AF532" s="121">
        <v>5892.05944</v>
      </c>
      <c r="AG532" s="121">
        <v>5923.7670100000005</v>
      </c>
      <c r="AH532" s="121">
        <v>5955.5984500000013</v>
      </c>
      <c r="AI532" s="121">
        <v>5987.5542700000015</v>
      </c>
      <c r="AJ532" s="121">
        <v>6019.6350100000018</v>
      </c>
      <c r="AK532" s="121">
        <v>6051.8412100000014</v>
      </c>
      <c r="AL532" s="121">
        <v>6084.1733700000023</v>
      </c>
      <c r="AM532" s="121">
        <v>6116.6320600000026</v>
      </c>
      <c r="AN532" s="121">
        <v>5924.1448100000025</v>
      </c>
      <c r="AO532" s="121">
        <v>5955.8964100000021</v>
      </c>
      <c r="AP532" s="125" t="str">
        <f>CONCATENATE(A532,M532)</f>
        <v>Reg AssetN</v>
      </c>
      <c r="AQ532" s="125" t="str">
        <f>CONCATENATE(AP532,L532,H532)</f>
        <v>Reg AssetNN2Asset Retirement Obligation</v>
      </c>
      <c r="AS532" s="125" t="str">
        <f>CONCATENATE(L532,H532,J532)</f>
        <v>N2Asset Retirement Obligation</v>
      </c>
    </row>
    <row r="533" spans="1:53" s="125" customFormat="1" ht="25.5" customHeight="1">
      <c r="A533" s="216" t="s">
        <v>1442</v>
      </c>
      <c r="B533" s="217" t="str">
        <f t="shared" si="202"/>
        <v>Reg Asset182356800176BG030179</v>
      </c>
      <c r="C533" s="186">
        <v>182356</v>
      </c>
      <c r="D533" s="201">
        <v>800176</v>
      </c>
      <c r="E533" s="162" t="s">
        <v>3186</v>
      </c>
      <c r="F533" s="169" t="s">
        <v>2275</v>
      </c>
      <c r="G533" s="117" t="s">
        <v>1082</v>
      </c>
      <c r="H533" s="118" t="s">
        <v>972</v>
      </c>
      <c r="I533" s="119"/>
      <c r="J533" s="120"/>
      <c r="K533" s="120" t="str">
        <f t="shared" si="203"/>
        <v/>
      </c>
      <c r="L533" s="170" t="s">
        <v>928</v>
      </c>
      <c r="M533" s="122" t="str">
        <f t="shared" si="149"/>
        <v>N</v>
      </c>
      <c r="N533" s="116" t="str">
        <f>IF($L533&lt;&gt;"",VLOOKUP($L533,Categories!$E:$G,2,FALSE),IF($F533&lt;&gt;"","NO CAT",""))</f>
        <v>Not in Rate Base</v>
      </c>
      <c r="O533" s="116" t="str">
        <f>IF($L533&lt;&gt;"",VLOOKUP($L533,Categories!$E:$G,3,FALSE),IF($F533&lt;&gt;"","NO CAT",""))</f>
        <v>Direct Assign Items Not in RB</v>
      </c>
      <c r="P533" s="170" t="s">
        <v>1186</v>
      </c>
      <c r="Q533" s="123" t="s">
        <v>1187</v>
      </c>
      <c r="R533" s="124">
        <v>0</v>
      </c>
      <c r="S533" s="124">
        <v>0</v>
      </c>
      <c r="T533" s="124">
        <v>1</v>
      </c>
      <c r="U533" s="121">
        <f t="shared" si="204"/>
        <v>0</v>
      </c>
      <c r="V533" s="121">
        <f t="shared" si="205"/>
        <v>0</v>
      </c>
      <c r="W533" s="121">
        <f t="shared" si="206"/>
        <v>11007.4357783333</v>
      </c>
      <c r="X533" s="121">
        <f t="shared" si="210"/>
        <v>11007.4357783333</v>
      </c>
      <c r="Y533" s="121">
        <f t="shared" si="207"/>
        <v>0</v>
      </c>
      <c r="Z533" s="121">
        <f t="shared" si="208"/>
        <v>0</v>
      </c>
      <c r="AA533" s="121">
        <f t="shared" si="209"/>
        <v>9211.1784000000007</v>
      </c>
      <c r="AB533" s="121">
        <f t="shared" si="211"/>
        <v>9211.1784000000025</v>
      </c>
      <c r="AC533" s="121">
        <v>11418.243700000001</v>
      </c>
      <c r="AD533" s="121">
        <v>11451.08223</v>
      </c>
      <c r="AE533" s="121">
        <v>11484.096710000002</v>
      </c>
      <c r="AF533" s="121">
        <v>11517.288100000002</v>
      </c>
      <c r="AG533" s="121">
        <v>11550.657060000003</v>
      </c>
      <c r="AH533" s="121">
        <v>11584.204460000003</v>
      </c>
      <c r="AI533" s="121">
        <v>11617.931050000003</v>
      </c>
      <c r="AJ533" s="121">
        <v>11651.837610000002</v>
      </c>
      <c r="AK533" s="121">
        <v>11685.924980000002</v>
      </c>
      <c r="AL533" s="121">
        <v>10008.270620000003</v>
      </c>
      <c r="AM533" s="121">
        <v>10050.117050000003</v>
      </c>
      <c r="AN533" s="121">
        <v>9173.1084200000023</v>
      </c>
      <c r="AO533" s="121">
        <v>9211.1784000000025</v>
      </c>
      <c r="AP533" s="125" t="str">
        <f>CONCATENATE(A533,M533)</f>
        <v>Reg AssetN</v>
      </c>
      <c r="AQ533" s="125" t="str">
        <f>CONCATENATE(AP533,L533,H533)</f>
        <v>Reg AssetNN2Asset Retirement Obligation</v>
      </c>
      <c r="AS533" s="125" t="str">
        <f>CONCATENATE(L533,H533,J533)</f>
        <v>N2Asset Retirement Obligation</v>
      </c>
    </row>
    <row r="534" spans="1:53" s="125" customFormat="1" ht="25.5" customHeight="1">
      <c r="A534" s="216" t="s">
        <v>1442</v>
      </c>
      <c r="B534" s="217" t="str">
        <f t="shared" si="202"/>
        <v>Reg Asset182366CFDBE030149</v>
      </c>
      <c r="C534" s="186">
        <v>182366</v>
      </c>
      <c r="D534" s="201" t="s">
        <v>1673</v>
      </c>
      <c r="E534" s="162" t="s">
        <v>1672</v>
      </c>
      <c r="F534" s="169" t="s">
        <v>1671</v>
      </c>
      <c r="G534" s="117" t="s">
        <v>1674</v>
      </c>
      <c r="H534" s="118" t="s">
        <v>2860</v>
      </c>
      <c r="I534" s="119"/>
      <c r="J534" s="120"/>
      <c r="K534" s="120" t="str">
        <f t="shared" si="203"/>
        <v/>
      </c>
      <c r="L534" s="170" t="s">
        <v>2811</v>
      </c>
      <c r="M534" s="122" t="str">
        <f t="shared" ref="M534:M688" si="212">LEFT(L534,1)</f>
        <v>N</v>
      </c>
      <c r="N534" s="116" t="str">
        <f>IF($L534&lt;&gt;"",VLOOKUP($L534,Categories!$E:$G,2,FALSE),IF($F534&lt;&gt;"","NO CAT",""))</f>
        <v>Not in Rate Base</v>
      </c>
      <c r="O534" s="116" t="str">
        <f>IF($L534&lt;&gt;"",VLOOKUP($L534,Categories!$E:$G,3,FALSE),IF($F534&lt;&gt;"","NO CAT",""))</f>
        <v>Hedges &amp; OCI</v>
      </c>
      <c r="P534" s="170" t="s">
        <v>1186</v>
      </c>
      <c r="Q534" s="123" t="s">
        <v>1187</v>
      </c>
      <c r="R534" s="124">
        <v>0</v>
      </c>
      <c r="S534" s="124">
        <v>0</v>
      </c>
      <c r="T534" s="124">
        <v>1</v>
      </c>
      <c r="U534" s="121">
        <f t="shared" si="204"/>
        <v>0</v>
      </c>
      <c r="V534" s="121">
        <f t="shared" si="205"/>
        <v>0</v>
      </c>
      <c r="W534" s="121">
        <f t="shared" si="206"/>
        <v>1247.46610416667</v>
      </c>
      <c r="X534" s="121">
        <f t="shared" si="210"/>
        <v>1247.46610416667</v>
      </c>
      <c r="Y534" s="121">
        <f t="shared" si="207"/>
        <v>0</v>
      </c>
      <c r="Z534" s="121">
        <f t="shared" si="208"/>
        <v>0</v>
      </c>
      <c r="AA534" s="121">
        <f t="shared" si="209"/>
        <v>21608.6715</v>
      </c>
      <c r="AB534" s="121">
        <f t="shared" si="211"/>
        <v>21608.6715</v>
      </c>
      <c r="AC534" s="121">
        <v>0</v>
      </c>
      <c r="AD534" s="121">
        <v>0</v>
      </c>
      <c r="AE534" s="121">
        <v>0</v>
      </c>
      <c r="AF534" s="121">
        <v>0</v>
      </c>
      <c r="AG534" s="121">
        <v>0</v>
      </c>
      <c r="AH534" s="121">
        <v>0</v>
      </c>
      <c r="AI534" s="121">
        <v>0</v>
      </c>
      <c r="AJ534" s="121">
        <v>2561.1060000000002</v>
      </c>
      <c r="AK534" s="121">
        <v>0</v>
      </c>
      <c r="AL534" s="121">
        <v>1521.3575000000001</v>
      </c>
      <c r="AM534" s="121">
        <v>82.793999999999997</v>
      </c>
      <c r="AN534" s="121">
        <v>0</v>
      </c>
      <c r="AO534" s="121">
        <v>21608.6715</v>
      </c>
      <c r="AP534" s="125" t="str">
        <f>CONCATENATE(A534,M534)</f>
        <v>Reg AssetN</v>
      </c>
      <c r="AQ534" s="125" t="str">
        <f>CONCATENATE(AP534,L534,H534)</f>
        <v>Reg AssetNN5Hedges &amp; OCI</v>
      </c>
      <c r="AS534" s="125" t="str">
        <f>CONCATENATE(L534,H534,J534)</f>
        <v>N5Hedges &amp; OCI</v>
      </c>
    </row>
    <row r="535" spans="1:53" s="125" customFormat="1" ht="25.5" customHeight="1">
      <c r="A535" s="216" t="s">
        <v>1442</v>
      </c>
      <c r="B535" s="217" t="str">
        <f t="shared" si="202"/>
        <v>Reg Asset182366DSOBE030149</v>
      </c>
      <c r="C535" s="186">
        <v>182366</v>
      </c>
      <c r="D535" s="201" t="s">
        <v>592</v>
      </c>
      <c r="E535" s="162" t="s">
        <v>1672</v>
      </c>
      <c r="F535" s="169" t="s">
        <v>1671</v>
      </c>
      <c r="G535" s="117" t="s">
        <v>1674</v>
      </c>
      <c r="H535" s="118" t="s">
        <v>2860</v>
      </c>
      <c r="I535" s="119"/>
      <c r="J535" s="120"/>
      <c r="K535" s="120" t="str">
        <f t="shared" si="203"/>
        <v/>
      </c>
      <c r="L535" s="170" t="s">
        <v>2811</v>
      </c>
      <c r="M535" s="122" t="str">
        <f>LEFT(L535,1)</f>
        <v>N</v>
      </c>
      <c r="N535" s="116" t="str">
        <f>IF($L535&lt;&gt;"",VLOOKUP($L535,Categories!$E:$G,2,FALSE),IF($F535&lt;&gt;"","NO CAT",""))</f>
        <v>Not in Rate Base</v>
      </c>
      <c r="O535" s="116" t="str">
        <f>IF($L535&lt;&gt;"",VLOOKUP($L535,Categories!$E:$G,3,FALSE),IF($F535&lt;&gt;"","NO CAT",""))</f>
        <v>Hedges &amp; OCI</v>
      </c>
      <c r="P535" s="170" t="s">
        <v>1186</v>
      </c>
      <c r="Q535" s="123" t="s">
        <v>1187</v>
      </c>
      <c r="R535" s="124">
        <v>0</v>
      </c>
      <c r="S535" s="124">
        <v>0</v>
      </c>
      <c r="T535" s="124">
        <v>1</v>
      </c>
      <c r="U535" s="121" t="str">
        <f t="shared" si="204"/>
        <v/>
      </c>
      <c r="V535" s="121" t="str">
        <f t="shared" si="205"/>
        <v/>
      </c>
      <c r="W535" s="121" t="str">
        <f t="shared" si="206"/>
        <v/>
      </c>
      <c r="X535" s="121">
        <f t="shared" si="210"/>
        <v>0</v>
      </c>
      <c r="Y535" s="121" t="str">
        <f t="shared" si="207"/>
        <v/>
      </c>
      <c r="Z535" s="121" t="str">
        <f t="shared" si="208"/>
        <v/>
      </c>
      <c r="AA535" s="121" t="str">
        <f t="shared" si="209"/>
        <v/>
      </c>
      <c r="AB535" s="121">
        <f t="shared" si="211"/>
        <v>0</v>
      </c>
      <c r="AC535" s="121">
        <v>0</v>
      </c>
      <c r="AD535" s="121">
        <v>0</v>
      </c>
      <c r="AE535" s="121">
        <v>0</v>
      </c>
      <c r="AF535" s="121">
        <v>0</v>
      </c>
      <c r="AG535" s="121">
        <v>0</v>
      </c>
      <c r="AH535" s="121">
        <v>0</v>
      </c>
      <c r="AI535" s="121">
        <v>0</v>
      </c>
      <c r="AJ535" s="121">
        <v>0</v>
      </c>
      <c r="AK535" s="121">
        <v>0</v>
      </c>
      <c r="AL535" s="121">
        <v>0</v>
      </c>
      <c r="AM535" s="121">
        <v>0</v>
      </c>
      <c r="AN535" s="121">
        <v>0</v>
      </c>
      <c r="AO535" s="121">
        <v>0</v>
      </c>
      <c r="AP535" s="125" t="str">
        <f>CONCATENATE(A535,M535)</f>
        <v>Reg AssetN</v>
      </c>
      <c r="AQ535" s="125" t="str">
        <f>CONCATENATE(AP535,L535,H535)</f>
        <v>Reg AssetNN5Hedges &amp; OCI</v>
      </c>
      <c r="AS535" s="125" t="str">
        <f>CONCATENATE(L535,H535,J535)</f>
        <v>N5Hedges &amp; OCI</v>
      </c>
    </row>
    <row r="536" spans="1:53" s="125" customFormat="1" ht="25.5" customHeight="1">
      <c r="A536" s="216" t="s">
        <v>1442</v>
      </c>
      <c r="B536" s="217" t="str">
        <f t="shared" si="202"/>
        <v>Reg Asset182367810001BE030589</v>
      </c>
      <c r="C536" s="186">
        <v>182367</v>
      </c>
      <c r="D536" s="201">
        <v>810001</v>
      </c>
      <c r="E536" s="162" t="s">
        <v>3797</v>
      </c>
      <c r="F536" s="169" t="s">
        <v>480</v>
      </c>
      <c r="G536" s="117" t="s">
        <v>2915</v>
      </c>
      <c r="H536" s="118" t="s">
        <v>2915</v>
      </c>
      <c r="I536" s="119"/>
      <c r="J536" s="120"/>
      <c r="K536" s="120" t="str">
        <f t="shared" si="203"/>
        <v/>
      </c>
      <c r="L536" s="170" t="s">
        <v>1893</v>
      </c>
      <c r="M536" s="122" t="str">
        <f t="shared" si="212"/>
        <v>R</v>
      </c>
      <c r="N536" s="116" t="str">
        <f>IF($L536&lt;&gt;"",VLOOKUP($L536,Categories!$E:$G,2,FALSE),IF($F536&lt;&gt;"","NO CAT",""))</f>
        <v>Rate Base</v>
      </c>
      <c r="O536" s="116" t="str">
        <f>IF($L536&lt;&gt;"",VLOOKUP($L536,Categories!$E:$G,3,FALSE),IF($F536&lt;&gt;"","NO CAT",""))</f>
        <v>Deferred Debits &amp; Credits</v>
      </c>
      <c r="P536" s="170" t="s">
        <v>1183</v>
      </c>
      <c r="Q536" s="123" t="s">
        <v>1177</v>
      </c>
      <c r="R536" s="124">
        <v>1</v>
      </c>
      <c r="S536" s="124">
        <v>0</v>
      </c>
      <c r="T536" s="124">
        <v>0</v>
      </c>
      <c r="U536" s="121" t="str">
        <f t="shared" si="204"/>
        <v/>
      </c>
      <c r="V536" s="121" t="str">
        <f t="shared" si="205"/>
        <v/>
      </c>
      <c r="W536" s="121" t="str">
        <f t="shared" si="206"/>
        <v/>
      </c>
      <c r="X536" s="121">
        <f t="shared" si="210"/>
        <v>0</v>
      </c>
      <c r="Y536" s="121" t="str">
        <f t="shared" si="207"/>
        <v/>
      </c>
      <c r="Z536" s="121" t="str">
        <f t="shared" si="208"/>
        <v/>
      </c>
      <c r="AA536" s="121" t="str">
        <f t="shared" si="209"/>
        <v/>
      </c>
      <c r="AB536" s="121">
        <f t="shared" si="211"/>
        <v>0</v>
      </c>
      <c r="AC536" s="121">
        <v>0</v>
      </c>
      <c r="AD536" s="121">
        <v>0</v>
      </c>
      <c r="AE536" s="121">
        <v>0</v>
      </c>
      <c r="AF536" s="121">
        <v>0</v>
      </c>
      <c r="AG536" s="121">
        <v>0</v>
      </c>
      <c r="AH536" s="121">
        <v>0</v>
      </c>
      <c r="AI536" s="121">
        <v>0</v>
      </c>
      <c r="AJ536" s="121">
        <v>0</v>
      </c>
      <c r="AK536" s="121">
        <v>0</v>
      </c>
      <c r="AL536" s="121">
        <v>0</v>
      </c>
      <c r="AM536" s="121">
        <v>0</v>
      </c>
      <c r="AN536" s="121">
        <v>0</v>
      </c>
      <c r="AO536" s="121">
        <v>0</v>
      </c>
      <c r="AP536" s="125" t="str">
        <f>CONCATENATE(A536,M536)</f>
        <v>Reg AssetR</v>
      </c>
      <c r="AQ536" s="125" t="str">
        <f>CONCATENATE(AP536,L536,H536)</f>
        <v>Reg AssetRR10Energy Supply Reconciliation</v>
      </c>
      <c r="AS536" s="125" t="str">
        <f>CONCATENATE(L536,H536,J536)</f>
        <v>R10Energy Supply Reconciliation</v>
      </c>
    </row>
    <row r="537" spans="1:53" s="125" customFormat="1" ht="25.5" customHeight="1">
      <c r="A537" s="216" t="s">
        <v>1442</v>
      </c>
      <c r="B537" s="217" t="str">
        <f t="shared" si="202"/>
        <v>Reg Asset182367809001-10BE030369</v>
      </c>
      <c r="C537" s="186">
        <v>182367</v>
      </c>
      <c r="D537" s="201" t="s">
        <v>2914</v>
      </c>
      <c r="E537" s="162" t="s">
        <v>1625</v>
      </c>
      <c r="F537" s="169" t="s">
        <v>480</v>
      </c>
      <c r="G537" s="117" t="s">
        <v>2916</v>
      </c>
      <c r="H537" s="118" t="s">
        <v>635</v>
      </c>
      <c r="I537" s="119"/>
      <c r="J537" s="120"/>
      <c r="K537" s="120" t="str">
        <f t="shared" si="203"/>
        <v/>
      </c>
      <c r="L537" s="170" t="s">
        <v>1893</v>
      </c>
      <c r="M537" s="122" t="str">
        <f t="shared" si="212"/>
        <v>R</v>
      </c>
      <c r="N537" s="116" t="str">
        <f>IF($L537&lt;&gt;"",VLOOKUP($L537,Categories!$E:$G,2,FALSE),IF($F537&lt;&gt;"","NO CAT",""))</f>
        <v>Rate Base</v>
      </c>
      <c r="O537" s="116" t="str">
        <f>IF($L537&lt;&gt;"",VLOOKUP($L537,Categories!$E:$G,3,FALSE),IF($F537&lt;&gt;"","NO CAT",""))</f>
        <v>Deferred Debits &amp; Credits</v>
      </c>
      <c r="P537" s="170" t="s">
        <v>1183</v>
      </c>
      <c r="Q537" s="123" t="s">
        <v>1177</v>
      </c>
      <c r="R537" s="124">
        <v>1</v>
      </c>
      <c r="S537" s="124">
        <v>0</v>
      </c>
      <c r="T537" s="124">
        <v>0</v>
      </c>
      <c r="U537" s="121">
        <f t="shared" si="204"/>
        <v>-3333.89566666667</v>
      </c>
      <c r="V537" s="121">
        <f t="shared" si="205"/>
        <v>0</v>
      </c>
      <c r="W537" s="121">
        <f t="shared" si="206"/>
        <v>0</v>
      </c>
      <c r="X537" s="121">
        <f t="shared" si="210"/>
        <v>-3333.89566666667</v>
      </c>
      <c r="Y537" s="121">
        <f t="shared" si="207"/>
        <v>-2317.3980000000001</v>
      </c>
      <c r="Z537" s="121">
        <f t="shared" si="208"/>
        <v>0</v>
      </c>
      <c r="AA537" s="121">
        <f t="shared" si="209"/>
        <v>0</v>
      </c>
      <c r="AB537" s="121">
        <f t="shared" si="211"/>
        <v>-2317.3980000000001</v>
      </c>
      <c r="AC537" s="121">
        <v>909.99</v>
      </c>
      <c r="AD537" s="121">
        <v>-25993.258000000002</v>
      </c>
      <c r="AE537" s="121">
        <v>-37076.733</v>
      </c>
      <c r="AF537" s="121">
        <v>-39214.222999999998</v>
      </c>
      <c r="AG537" s="121">
        <v>-10011.564</v>
      </c>
      <c r="AH537" s="121">
        <v>7966.5029999999997</v>
      </c>
      <c r="AI537" s="121">
        <v>22547.348999999998</v>
      </c>
      <c r="AJ537" s="121">
        <v>19646.254000000001</v>
      </c>
      <c r="AK537" s="121">
        <v>14814.554</v>
      </c>
      <c r="AL537" s="121">
        <v>6801.7910000000002</v>
      </c>
      <c r="AM537" s="121">
        <v>2777.5680000000002</v>
      </c>
      <c r="AN537" s="121">
        <v>-1561.2850000000001</v>
      </c>
      <c r="AO537" s="121">
        <v>-2317.3980000000001</v>
      </c>
      <c r="AP537" s="125" t="str">
        <f>CONCATENATE(A537,M537)</f>
        <v>Reg AssetR</v>
      </c>
      <c r="AQ537" s="125" t="str">
        <f>CONCATENATE(AP537,L537,H537)</f>
        <v>Reg AssetRR10NBWC True-up</v>
      </c>
      <c r="AS537" s="125" t="str">
        <f>CONCATENATE(L537,H537,J537)</f>
        <v>R10NBWC True-up</v>
      </c>
    </row>
    <row r="538" spans="1:53" s="125" customFormat="1" ht="25.5" customHeight="1">
      <c r="A538" s="216" t="s">
        <v>1442</v>
      </c>
      <c r="B538" s="217" t="str">
        <f t="shared" si="202"/>
        <v>Reg Asset182367ReclassBE039999</v>
      </c>
      <c r="C538" s="186">
        <v>182367</v>
      </c>
      <c r="D538" s="201" t="s">
        <v>1961</v>
      </c>
      <c r="E538" s="162" t="s">
        <v>3291</v>
      </c>
      <c r="F538" s="169" t="s">
        <v>480</v>
      </c>
      <c r="G538" s="117" t="s">
        <v>26</v>
      </c>
      <c r="H538" s="118" t="s">
        <v>635</v>
      </c>
      <c r="I538" s="119"/>
      <c r="J538" s="120"/>
      <c r="K538" s="120" t="str">
        <f>IF(L538="N3","SFAS-109","")</f>
        <v/>
      </c>
      <c r="L538" s="170" t="s">
        <v>1893</v>
      </c>
      <c r="M538" s="122" t="str">
        <f>LEFT(L538,1)</f>
        <v>R</v>
      </c>
      <c r="N538" s="116" t="str">
        <f>IF($L538&lt;&gt;"",VLOOKUP($L538,Categories!$E:$G,2,FALSE),IF($F538&lt;&gt;"","NO CAT",""))</f>
        <v>Rate Base</v>
      </c>
      <c r="O538" s="116" t="str">
        <f>IF($L538&lt;&gt;"",VLOOKUP($L538,Categories!$E:$G,3,FALSE),IF($F538&lt;&gt;"","NO CAT",""))</f>
        <v>Deferred Debits &amp; Credits</v>
      </c>
      <c r="P538" s="170" t="s">
        <v>1183</v>
      </c>
      <c r="Q538" s="123" t="s">
        <v>1177</v>
      </c>
      <c r="R538" s="124">
        <v>1</v>
      </c>
      <c r="S538" s="124">
        <v>0</v>
      </c>
      <c r="T538" s="124">
        <v>0</v>
      </c>
      <c r="U538" s="121">
        <f t="shared" si="204"/>
        <v>10104.06494</v>
      </c>
      <c r="V538" s="121">
        <f t="shared" si="205"/>
        <v>0</v>
      </c>
      <c r="W538" s="121">
        <f t="shared" si="206"/>
        <v>0</v>
      </c>
      <c r="X538" s="121">
        <f t="shared" si="210"/>
        <v>10104.06494</v>
      </c>
      <c r="Y538" s="121">
        <f t="shared" si="207"/>
        <v>2317.3980000000001</v>
      </c>
      <c r="Z538" s="121">
        <f t="shared" si="208"/>
        <v>0</v>
      </c>
      <c r="AA538" s="121">
        <f t="shared" si="209"/>
        <v>0</v>
      </c>
      <c r="AB538" s="121">
        <f t="shared" si="211"/>
        <v>2317.3980000000001</v>
      </c>
      <c r="AC538" s="121">
        <v>0</v>
      </c>
      <c r="AD538" s="121">
        <v>25993.258000000002</v>
      </c>
      <c r="AE538" s="121">
        <v>37076.733</v>
      </c>
      <c r="AF538" s="121">
        <v>42954.033369999997</v>
      </c>
      <c r="AG538" s="121">
        <v>12504.770909999996</v>
      </c>
      <c r="AH538" s="121">
        <v>0</v>
      </c>
      <c r="AI538" s="121">
        <v>0</v>
      </c>
      <c r="AJ538" s="121">
        <v>0</v>
      </c>
      <c r="AK538" s="121">
        <v>0</v>
      </c>
      <c r="AL538" s="121">
        <v>0</v>
      </c>
      <c r="AM538" s="121">
        <v>0</v>
      </c>
      <c r="AN538" s="121">
        <v>1561.2850000000001</v>
      </c>
      <c r="AO538" s="121">
        <v>2317.3980000000001</v>
      </c>
      <c r="AP538" s="125" t="str">
        <f>CONCATENATE(A538,M538)</f>
        <v>Reg AssetR</v>
      </c>
      <c r="AQ538" s="125" t="str">
        <f>CONCATENATE(AP538,L538,H538)</f>
        <v>Reg AssetRR10NBWC True-up</v>
      </c>
      <c r="AS538" s="125" t="str">
        <f>CONCATENATE(L538,H538,J538)</f>
        <v>R10NBWC True-up</v>
      </c>
    </row>
    <row r="539" spans="1:53" s="125" customFormat="1" ht="25.5" customHeight="1">
      <c r="A539" s="216" t="s">
        <v>1442</v>
      </c>
      <c r="B539" s="217" t="str">
        <f>CONCATENATE(A539,C539,D539,E539)</f>
        <v>Reg Asset182367801009-10BE030369</v>
      </c>
      <c r="C539" s="186">
        <v>182367</v>
      </c>
      <c r="D539" s="201" t="s">
        <v>4734</v>
      </c>
      <c r="E539" s="162" t="s">
        <v>1625</v>
      </c>
      <c r="F539" s="169" t="s">
        <v>480</v>
      </c>
      <c r="G539" s="117" t="s">
        <v>4735</v>
      </c>
      <c r="H539" s="118" t="s">
        <v>635</v>
      </c>
      <c r="I539" s="119"/>
      <c r="J539" s="120"/>
      <c r="K539" s="120" t="str">
        <f>IF(L539="N3","SFAS-109","")</f>
        <v/>
      </c>
      <c r="L539" s="170" t="s">
        <v>1893</v>
      </c>
      <c r="M539" s="122" t="str">
        <f>LEFT(L539,1)</f>
        <v>R</v>
      </c>
      <c r="N539" s="116" t="str">
        <f>IF($L539&lt;&gt;"",VLOOKUP($L539,Categories!$E:$G,2,FALSE),IF($F539&lt;&gt;"","NO CAT",""))</f>
        <v>Rate Base</v>
      </c>
      <c r="O539" s="116" t="str">
        <f>IF($L539&lt;&gt;"",VLOOKUP($L539,Categories!$E:$G,3,FALSE),IF($F539&lt;&gt;"","NO CAT",""))</f>
        <v>Deferred Debits &amp; Credits</v>
      </c>
      <c r="P539" s="170" t="s">
        <v>1183</v>
      </c>
      <c r="Q539" s="123" t="s">
        <v>1177</v>
      </c>
      <c r="R539" s="124">
        <v>1</v>
      </c>
      <c r="S539" s="124">
        <v>0</v>
      </c>
      <c r="T539" s="124">
        <v>0</v>
      </c>
      <c r="U539" s="121">
        <f>IF(ABS(X539)=0,"",IF($R539="NO ALLOC","NO ALLOC",ROUND($R539*X539,15)))</f>
        <v>-1346.773445</v>
      </c>
      <c r="V539" s="121">
        <f>IF(ABS(X539)=0,"",IF($S539="NO ALLOC","NO ALLOC",ROUND($S539*X539,15)))</f>
        <v>0</v>
      </c>
      <c r="W539" s="121">
        <f>IF(ABS(X539)=0,"",IF($T539="NO ALLOC","NO ALLOC",ROUND($T539*X539,15)))</f>
        <v>0</v>
      </c>
      <c r="X539" s="121">
        <f t="shared" si="210"/>
        <v>-1346.773445</v>
      </c>
      <c r="Y539" s="121" t="str">
        <f>IF(ABS(AB539)=0,"",IF($R539="NO ALLOC","NO ALLOC",ROUND($R539*AB539,15)))</f>
        <v/>
      </c>
      <c r="Z539" s="121" t="str">
        <f>IF(ABS(AB539)=0,"",IF($S539="NO ALLOC","NO ALLOC",ROUND($S539*AB539,15)))</f>
        <v/>
      </c>
      <c r="AA539" s="121" t="str">
        <f>IF(ABS(AB539)=0,"",IF($T539="NO ALLOC","NO ALLOC",ROUND($T539*AB539,15)))</f>
        <v/>
      </c>
      <c r="AB539" s="121">
        <f t="shared" si="211"/>
        <v>0</v>
      </c>
      <c r="AC539" s="121"/>
      <c r="AD539" s="121"/>
      <c r="AE539" s="121"/>
      <c r="AF539" s="121">
        <v>-3739.8103700000001</v>
      </c>
      <c r="AG539" s="121">
        <v>-2493.2069100000003</v>
      </c>
      <c r="AH539" s="121">
        <v>-1246.6034500000003</v>
      </c>
      <c r="AI539" s="121">
        <v>-4340.8303099999994</v>
      </c>
      <c r="AJ539" s="121">
        <v>-2893.8868699999998</v>
      </c>
      <c r="AK539" s="121">
        <v>-1446.9434299999998</v>
      </c>
      <c r="AL539" s="121">
        <v>0</v>
      </c>
      <c r="AM539" s="121">
        <v>0</v>
      </c>
      <c r="AN539" s="121">
        <v>0</v>
      </c>
      <c r="AO539" s="121">
        <v>0</v>
      </c>
      <c r="AP539" s="125" t="str">
        <f>CONCATENATE(A539,M539)</f>
        <v>Reg AssetR</v>
      </c>
      <c r="AQ539" s="125" t="str">
        <f>CONCATENATE(AP539,L539,H539)</f>
        <v>Reg AssetRR10NBWC True-up</v>
      </c>
      <c r="AS539" s="125" t="str">
        <f>CONCATENATE(L539,H539,J539)</f>
        <v>R10NBWC True-up</v>
      </c>
    </row>
    <row r="540" spans="1:53" s="125" customFormat="1" ht="25.5" customHeight="1">
      <c r="A540" s="216" t="s">
        <v>1442</v>
      </c>
      <c r="B540" s="217" t="str">
        <f t="shared" si="202"/>
        <v>Reg Asset182370ReclassBG039999</v>
      </c>
      <c r="C540" s="186">
        <v>182370</v>
      </c>
      <c r="D540" s="201" t="s">
        <v>1961</v>
      </c>
      <c r="E540" s="162" t="s">
        <v>1918</v>
      </c>
      <c r="F540" s="169" t="s">
        <v>1464</v>
      </c>
      <c r="G540" s="117" t="s">
        <v>1244</v>
      </c>
      <c r="H540" s="118" t="s">
        <v>507</v>
      </c>
      <c r="I540" s="119"/>
      <c r="J540" s="120"/>
      <c r="K540" s="120" t="str">
        <f t="shared" si="203"/>
        <v/>
      </c>
      <c r="L540" s="170" t="s">
        <v>928</v>
      </c>
      <c r="M540" s="122" t="str">
        <f t="shared" si="212"/>
        <v>N</v>
      </c>
      <c r="N540" s="116" t="str">
        <f>IF($L540&lt;&gt;"",VLOOKUP($L540,Categories!$E:$G,2,FALSE),IF($F540&lt;&gt;"","NO CAT",""))</f>
        <v>Not in Rate Base</v>
      </c>
      <c r="O540" s="116" t="str">
        <f>IF($L540&lt;&gt;"",VLOOKUP($L540,Categories!$E:$G,3,FALSE),IF($F540&lt;&gt;"","NO CAT",""))</f>
        <v>Direct Assign Items Not in RB</v>
      </c>
      <c r="P540" s="170" t="s">
        <v>1186</v>
      </c>
      <c r="Q540" s="123" t="s">
        <v>1187</v>
      </c>
      <c r="R540" s="124">
        <v>0</v>
      </c>
      <c r="S540" s="124">
        <v>0</v>
      </c>
      <c r="T540" s="124">
        <v>1</v>
      </c>
      <c r="U540" s="121">
        <f t="shared" si="204"/>
        <v>0</v>
      </c>
      <c r="V540" s="121">
        <f t="shared" si="205"/>
        <v>0</v>
      </c>
      <c r="W540" s="121">
        <f t="shared" si="206"/>
        <v>1311.3923462499999</v>
      </c>
      <c r="X540" s="121">
        <f t="shared" si="210"/>
        <v>1311.3923462499999</v>
      </c>
      <c r="Y540" s="121">
        <f t="shared" si="207"/>
        <v>0</v>
      </c>
      <c r="Z540" s="121">
        <f t="shared" si="208"/>
        <v>0</v>
      </c>
      <c r="AA540" s="121">
        <f t="shared" si="209"/>
        <v>2587.3955700000001</v>
      </c>
      <c r="AB540" s="121">
        <f t="shared" si="211"/>
        <v>2587.3955700000001</v>
      </c>
      <c r="AC540" s="121">
        <v>2170.8637200000003</v>
      </c>
      <c r="AD540" s="121">
        <v>1204.6500800000001</v>
      </c>
      <c r="AE540" s="121">
        <v>0</v>
      </c>
      <c r="AF540" s="121">
        <v>2452.1070299999997</v>
      </c>
      <c r="AG540" s="121">
        <v>2977.0965699999997</v>
      </c>
      <c r="AH540" s="121">
        <v>1806.6390199999998</v>
      </c>
      <c r="AI540" s="121">
        <v>2397.8956899999998</v>
      </c>
      <c r="AJ540" s="121">
        <v>2397.8956899999998</v>
      </c>
      <c r="AK540" s="121">
        <v>0</v>
      </c>
      <c r="AL540" s="121">
        <v>0</v>
      </c>
      <c r="AM540" s="121">
        <v>0</v>
      </c>
      <c r="AN540" s="121">
        <v>121.29442999999999</v>
      </c>
      <c r="AO540" s="121">
        <v>2587.3955700000001</v>
      </c>
      <c r="AP540" s="125" t="str">
        <f>CONCATENATE(A540,M540)</f>
        <v>Reg AssetN</v>
      </c>
      <c r="AQ540" s="125" t="str">
        <f>CONCATENATE(AP540,L540,H540)</f>
        <v>Reg AssetNN2Balance Sheet reclass</v>
      </c>
      <c r="AS540" s="125" t="str">
        <f>CONCATENATE(L540,H540,J540)</f>
        <v>N2Balance Sheet reclass</v>
      </c>
    </row>
    <row r="541" spans="1:53" s="125" customFormat="1" ht="25.5" customHeight="1">
      <c r="A541" s="216" t="s">
        <v>1442</v>
      </c>
      <c r="B541" s="217" t="str">
        <f t="shared" si="202"/>
        <v>Reg Asset182370808002-11BG030153</v>
      </c>
      <c r="C541" s="186">
        <v>182370</v>
      </c>
      <c r="D541" s="201" t="s">
        <v>27</v>
      </c>
      <c r="E541" s="162" t="s">
        <v>1676</v>
      </c>
      <c r="F541" s="169" t="s">
        <v>1464</v>
      </c>
      <c r="G541" s="117" t="s">
        <v>28</v>
      </c>
      <c r="H541" s="118" t="s">
        <v>102</v>
      </c>
      <c r="I541" s="119"/>
      <c r="J541" s="120"/>
      <c r="K541" s="120" t="str">
        <f>IF(L541="N3","SFAS-109","")</f>
        <v/>
      </c>
      <c r="L541" s="170" t="s">
        <v>928</v>
      </c>
      <c r="M541" s="122" t="str">
        <f>LEFT(L541,1)</f>
        <v>N</v>
      </c>
      <c r="N541" s="116" t="str">
        <f>IF($L541&lt;&gt;"",VLOOKUP($L541,Categories!$E:$G,2,FALSE),IF($F541&lt;&gt;"","NO CAT",""))</f>
        <v>Not in Rate Base</v>
      </c>
      <c r="O541" s="116" t="str">
        <f>IF($L541&lt;&gt;"",VLOOKUP($L541,Categories!$E:$G,3,FALSE),IF($F541&lt;&gt;"","NO CAT",""))</f>
        <v>Direct Assign Items Not in RB</v>
      </c>
      <c r="P541" s="170" t="s">
        <v>1186</v>
      </c>
      <c r="Q541" s="123" t="s">
        <v>1187</v>
      </c>
      <c r="R541" s="124">
        <v>0</v>
      </c>
      <c r="S541" s="124">
        <v>0</v>
      </c>
      <c r="T541" s="124">
        <v>1</v>
      </c>
      <c r="U541" s="121" t="str">
        <f t="shared" si="204"/>
        <v/>
      </c>
      <c r="V541" s="121" t="str">
        <f t="shared" si="205"/>
        <v/>
      </c>
      <c r="W541" s="121" t="str">
        <f t="shared" si="206"/>
        <v/>
      </c>
      <c r="X541" s="121">
        <f t="shared" si="210"/>
        <v>0</v>
      </c>
      <c r="Y541" s="121" t="str">
        <f t="shared" si="207"/>
        <v/>
      </c>
      <c r="Z541" s="121" t="str">
        <f t="shared" si="208"/>
        <v/>
      </c>
      <c r="AA541" s="121" t="str">
        <f t="shared" si="209"/>
        <v/>
      </c>
      <c r="AB541" s="121">
        <f t="shared" si="211"/>
        <v>0</v>
      </c>
      <c r="AC541" s="121">
        <v>0</v>
      </c>
      <c r="AD541" s="121">
        <v>0</v>
      </c>
      <c r="AE541" s="121">
        <v>0</v>
      </c>
      <c r="AF541" s="121">
        <v>0</v>
      </c>
      <c r="AG541" s="121">
        <v>0</v>
      </c>
      <c r="AH541" s="121">
        <v>0</v>
      </c>
      <c r="AI541" s="121">
        <v>0</v>
      </c>
      <c r="AJ541" s="121">
        <v>0</v>
      </c>
      <c r="AK541" s="121">
        <v>0</v>
      </c>
      <c r="AL541" s="121">
        <v>0</v>
      </c>
      <c r="AM541" s="121">
        <v>0</v>
      </c>
      <c r="AN541" s="121">
        <v>0</v>
      </c>
      <c r="AO541" s="121">
        <v>0</v>
      </c>
      <c r="AP541" s="125" t="str">
        <f>CONCATENATE(A541,M541)</f>
        <v>Reg AssetN</v>
      </c>
      <c r="AQ541" s="125" t="str">
        <f>CONCATENATE(AP541,L541,H541)</f>
        <v>Reg AssetNN2Deferred Gas Costs</v>
      </c>
      <c r="AS541" s="125" t="str">
        <f>CONCATENATE(L541,H541,J541)</f>
        <v>N2Deferred Gas Costs</v>
      </c>
    </row>
    <row r="542" spans="1:53" s="125" customFormat="1" ht="25.5" customHeight="1">
      <c r="A542" s="216" t="s">
        <v>1442</v>
      </c>
      <c r="B542" s="217" t="str">
        <f>CONCATENATE(A542,C542,D542,E542)</f>
        <v>Reg Asset182370808002-14BG030089</v>
      </c>
      <c r="C542" s="186">
        <v>182370</v>
      </c>
      <c r="D542" s="201" t="s">
        <v>4629</v>
      </c>
      <c r="E542" s="162" t="s">
        <v>3798</v>
      </c>
      <c r="F542" s="169" t="s">
        <v>1464</v>
      </c>
      <c r="G542" s="117" t="s">
        <v>4628</v>
      </c>
      <c r="H542" s="118" t="s">
        <v>102</v>
      </c>
      <c r="I542" s="119"/>
      <c r="J542" s="120"/>
      <c r="K542" s="120" t="str">
        <f>IF(L542="N3","SFAS-109","")</f>
        <v/>
      </c>
      <c r="L542" s="170" t="s">
        <v>928</v>
      </c>
      <c r="M542" s="122" t="str">
        <f>LEFT(L542,1)</f>
        <v>N</v>
      </c>
      <c r="N542" s="116" t="str">
        <f>IF($L542&lt;&gt;"",VLOOKUP($L542,Categories!$E:$G,2,FALSE),IF($F542&lt;&gt;"","NO CAT",""))</f>
        <v>Not in Rate Base</v>
      </c>
      <c r="O542" s="116" t="str">
        <f>IF($L542&lt;&gt;"",VLOOKUP($L542,Categories!$E:$G,3,FALSE),IF($F542&lt;&gt;"","NO CAT",""))</f>
        <v>Direct Assign Items Not in RB</v>
      </c>
      <c r="P542" s="170" t="s">
        <v>1186</v>
      </c>
      <c r="Q542" s="123" t="s">
        <v>1187</v>
      </c>
      <c r="R542" s="124">
        <v>0</v>
      </c>
      <c r="S542" s="124">
        <v>0</v>
      </c>
      <c r="T542" s="124">
        <v>1</v>
      </c>
      <c r="U542" s="121">
        <f>IF(ABS(X542)=0,"",IF($R542="NO ALLOC","NO ALLOC",ROUND($R542*X542,15)))</f>
        <v>0</v>
      </c>
      <c r="V542" s="121">
        <f>IF(ABS(X542)=0,"",IF($S542="NO ALLOC","NO ALLOC",ROUND($S542*X542,15)))</f>
        <v>0</v>
      </c>
      <c r="W542" s="121">
        <f>IF(ABS(X542)=0,"",IF($T542="NO ALLOC","NO ALLOC",ROUND($T542*X542,15)))</f>
        <v>-1272.1462191666701</v>
      </c>
      <c r="X542" s="121">
        <f t="shared" si="210"/>
        <v>-1272.1462191666701</v>
      </c>
      <c r="Y542" s="121" t="str">
        <f>IF(ABS(AB542)=0,"",IF($R542="NO ALLOC","NO ALLOC",ROUND($R542*AB542,15)))</f>
        <v/>
      </c>
      <c r="Z542" s="121" t="str">
        <f>IF(ABS(AB542)=0,"",IF($S542="NO ALLOC","NO ALLOC",ROUND($S542*AB542,15)))</f>
        <v/>
      </c>
      <c r="AA542" s="121" t="str">
        <f>IF(ABS(AB542)=0,"",IF($T542="NO ALLOC","NO ALLOC",ROUND($T542*AB542,15)))</f>
        <v/>
      </c>
      <c r="AB542" s="121">
        <f t="shared" si="211"/>
        <v>0</v>
      </c>
      <c r="AC542" s="121">
        <v>-2170.8637199999998</v>
      </c>
      <c r="AD542" s="121">
        <v>-1204.6500799999997</v>
      </c>
      <c r="AE542" s="121">
        <v>107.73346000000043</v>
      </c>
      <c r="AF542" s="121">
        <v>-2452.1070299999997</v>
      </c>
      <c r="AG542" s="121">
        <v>-2977.0965699999997</v>
      </c>
      <c r="AH542" s="121">
        <v>-1806.6390199999998</v>
      </c>
      <c r="AI542" s="121">
        <v>-2397.8956899999998</v>
      </c>
      <c r="AJ542" s="121">
        <v>-2397.8956899999998</v>
      </c>
      <c r="AK542" s="121">
        <v>-246.97157000000001</v>
      </c>
      <c r="AL542" s="121">
        <v>-268.26686000000001</v>
      </c>
      <c r="AM542" s="121">
        <v>-268.26686000000001</v>
      </c>
      <c r="AN542" s="121">
        <v>-268.26686000000001</v>
      </c>
      <c r="AO542" s="121">
        <v>0</v>
      </c>
      <c r="AP542" s="125" t="str">
        <f>CONCATENATE(A542,M542)</f>
        <v>Reg AssetN</v>
      </c>
      <c r="AQ542" s="125" t="str">
        <f>CONCATENATE(AP542,L542,H542)</f>
        <v>Reg AssetNN2Deferred Gas Costs</v>
      </c>
      <c r="AS542" s="125" t="str">
        <f>CONCATENATE(L542,H542,J542)</f>
        <v>N2Deferred Gas Costs</v>
      </c>
    </row>
    <row r="543" spans="1:53" s="125" customFormat="1" ht="25.5" customHeight="1">
      <c r="A543" s="216" t="s">
        <v>1442</v>
      </c>
      <c r="B543" s="217" t="str">
        <f>CONCATENATE(A543,C543,D543,E543)</f>
        <v>Reg Asset182370808002-13BG030089</v>
      </c>
      <c r="C543" s="186">
        <v>182370</v>
      </c>
      <c r="D543" s="201" t="s">
        <v>4315</v>
      </c>
      <c r="E543" s="162" t="s">
        <v>3798</v>
      </c>
      <c r="F543" s="169" t="s">
        <v>1464</v>
      </c>
      <c r="G543" s="117" t="s">
        <v>4316</v>
      </c>
      <c r="H543" s="118" t="s">
        <v>102</v>
      </c>
      <c r="I543" s="119"/>
      <c r="J543" s="120"/>
      <c r="K543" s="120" t="str">
        <f>IF(L543="N3","SFAS-109","")</f>
        <v/>
      </c>
      <c r="L543" s="170" t="s">
        <v>928</v>
      </c>
      <c r="M543" s="122" t="str">
        <f>LEFT(L543,1)</f>
        <v>N</v>
      </c>
      <c r="N543" s="116" t="str">
        <f>IF($L543&lt;&gt;"",VLOOKUP($L543,Categories!$E:$G,2,FALSE),IF($F543&lt;&gt;"","NO CAT",""))</f>
        <v>Not in Rate Base</v>
      </c>
      <c r="O543" s="116" t="str">
        <f>IF($L543&lt;&gt;"",VLOOKUP($L543,Categories!$E:$G,3,FALSE),IF($F543&lt;&gt;"","NO CAT",""))</f>
        <v>Direct Assign Items Not in RB</v>
      </c>
      <c r="P543" s="170" t="s">
        <v>1186</v>
      </c>
      <c r="Q543" s="123" t="s">
        <v>1187</v>
      </c>
      <c r="R543" s="124">
        <v>0</v>
      </c>
      <c r="S543" s="124">
        <v>0</v>
      </c>
      <c r="T543" s="124">
        <v>1</v>
      </c>
      <c r="U543" s="121">
        <f>IF(ABS(X543)=0,"",IF($R543="NO ALLOC","NO ALLOC",ROUND($R543*X543,15)))</f>
        <v>0</v>
      </c>
      <c r="V543" s="121">
        <f>IF(ABS(X543)=0,"",IF($S543="NO ALLOC","NO ALLOC",ROUND($S543*X543,15)))</f>
        <v>0</v>
      </c>
      <c r="W543" s="121">
        <f>IF(ABS(X543)=0,"",IF($T543="NO ALLOC","NO ALLOC",ROUND($T543*X543,15)))</f>
        <v>-1.1640000000000001E-12</v>
      </c>
      <c r="X543" s="121">
        <f t="shared" si="210"/>
        <v>-1.1640000000000001E-12</v>
      </c>
      <c r="Y543" s="121">
        <f>IF(ABS(AB543)=0,"",IF($R543="NO ALLOC","NO ALLOC",ROUND($R543*AB543,15)))</f>
        <v>0</v>
      </c>
      <c r="Z543" s="121">
        <f>IF(ABS(AB543)=0,"",IF($S543="NO ALLOC","NO ALLOC",ROUND($S543*AB543,15)))</f>
        <v>0</v>
      </c>
      <c r="AA543" s="121">
        <f>IF(ABS(AB543)=0,"",IF($T543="NO ALLOC","NO ALLOC",ROUND($T543*AB543,15)))</f>
        <v>-1.1640000000000001E-12</v>
      </c>
      <c r="AB543" s="121">
        <f t="shared" si="211"/>
        <v>-1.1641532182693482E-12</v>
      </c>
      <c r="AC543" s="121">
        <v>-1.1641532182693482E-12</v>
      </c>
      <c r="AD543" s="121">
        <v>-1.1641532182693482E-12</v>
      </c>
      <c r="AE543" s="121">
        <v>-1.1641532182693482E-12</v>
      </c>
      <c r="AF543" s="121">
        <v>-1.1641532182693482E-12</v>
      </c>
      <c r="AG543" s="121">
        <v>-1.1641532182693482E-12</v>
      </c>
      <c r="AH543" s="121">
        <v>-1.1641532182693482E-12</v>
      </c>
      <c r="AI543" s="121">
        <v>-1.1641532182693482E-12</v>
      </c>
      <c r="AJ543" s="121">
        <v>-1.1641532182693482E-12</v>
      </c>
      <c r="AK543" s="121">
        <v>-1.1641532182693482E-12</v>
      </c>
      <c r="AL543" s="121">
        <v>-1.1641532182693482E-12</v>
      </c>
      <c r="AM543" s="121">
        <v>-1.1641532182693482E-12</v>
      </c>
      <c r="AN543" s="121">
        <v>-1.1641532182693482E-12</v>
      </c>
      <c r="AO543" s="121">
        <v>-1.1641532182693482E-12</v>
      </c>
      <c r="AP543" s="125" t="str">
        <f>CONCATENATE(A543,M543)</f>
        <v>Reg AssetN</v>
      </c>
      <c r="AQ543" s="125" t="str">
        <f>CONCATENATE(AP543,L543,H543)</f>
        <v>Reg AssetNN2Deferred Gas Costs</v>
      </c>
      <c r="AS543" s="125" t="str">
        <f>CONCATENATE(L543,H543,J543)</f>
        <v>N2Deferred Gas Costs</v>
      </c>
    </row>
    <row r="544" spans="1:53" s="125" customFormat="1" ht="25.5" customHeight="1">
      <c r="A544" s="216" t="s">
        <v>1442</v>
      </c>
      <c r="B544" s="217" t="str">
        <f>CONCATENATE(A544,C544,D544,E544)</f>
        <v>Reg Asset182370808002-15BG030089</v>
      </c>
      <c r="C544" s="186">
        <v>182370</v>
      </c>
      <c r="D544" s="201" t="s">
        <v>4829</v>
      </c>
      <c r="E544" s="162" t="s">
        <v>3798</v>
      </c>
      <c r="F544" s="169" t="s">
        <v>1464</v>
      </c>
      <c r="G544" s="117" t="s">
        <v>4830</v>
      </c>
      <c r="H544" s="118" t="s">
        <v>102</v>
      </c>
      <c r="I544" s="119"/>
      <c r="J544" s="120"/>
      <c r="K544" s="120" t="str">
        <f>IF(L544="N3","SFAS-109","")</f>
        <v/>
      </c>
      <c r="L544" s="170" t="s">
        <v>928</v>
      </c>
      <c r="M544" s="122" t="str">
        <f>LEFT(L544,1)</f>
        <v>N</v>
      </c>
      <c r="N544" s="116" t="str">
        <f>IF($L544&lt;&gt;"",VLOOKUP($L544,Categories!$E:$G,2,FALSE),IF($F544&lt;&gt;"","NO CAT",""))</f>
        <v>Not in Rate Base</v>
      </c>
      <c r="O544" s="116" t="str">
        <f>IF($L544&lt;&gt;"",VLOOKUP($L544,Categories!$E:$G,3,FALSE),IF($F544&lt;&gt;"","NO CAT",""))</f>
        <v>Direct Assign Items Not in RB</v>
      </c>
      <c r="P544" s="170" t="s">
        <v>1186</v>
      </c>
      <c r="Q544" s="123" t="s">
        <v>1187</v>
      </c>
      <c r="R544" s="124">
        <v>0</v>
      </c>
      <c r="S544" s="124">
        <v>0</v>
      </c>
      <c r="T544" s="124">
        <v>1</v>
      </c>
      <c r="U544" s="121">
        <f>IF(ABS(X544)=0,"",IF($R544="NO ALLOC","NO ALLOC",ROUND($R544*X544,15)))</f>
        <v>0</v>
      </c>
      <c r="V544" s="121">
        <f>IF(ABS(X544)=0,"",IF($S544="NO ALLOC","NO ALLOC",ROUND($S544*X544,15)))</f>
        <v>0</v>
      </c>
      <c r="W544" s="121">
        <f>IF(ABS(X544)=0,"",IF($T544="NO ALLOC","NO ALLOC",ROUND($T544*X544,15)))</f>
        <v>26.79543125</v>
      </c>
      <c r="X544" s="121">
        <f t="shared" si="210"/>
        <v>26.79543125</v>
      </c>
      <c r="Y544" s="121">
        <f>IF(ABS(AB544)=0,"",IF($R544="NO ALLOC","NO ALLOC",ROUND($R544*AB544,15)))</f>
        <v>0</v>
      </c>
      <c r="Z544" s="121">
        <f>IF(ABS(AB544)=0,"",IF($S544="NO ALLOC","NO ALLOC",ROUND($S544*AB544,15)))</f>
        <v>0</v>
      </c>
      <c r="AA544" s="121">
        <f>IF(ABS(AB544)=0,"",IF($T544="NO ALLOC","NO ALLOC",ROUND($T544*AB544,15)))</f>
        <v>-3069.3955700000001</v>
      </c>
      <c r="AB544" s="121">
        <f t="shared" si="211"/>
        <v>-3069.3955699999997</v>
      </c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>
        <v>574</v>
      </c>
      <c r="AM544" s="121">
        <v>1135.27053</v>
      </c>
      <c r="AN544" s="121">
        <v>146.97243000000006</v>
      </c>
      <c r="AO544" s="121">
        <v>-3069.3955699999997</v>
      </c>
      <c r="AP544" s="125" t="str">
        <f>CONCATENATE(A544,M544)</f>
        <v>Reg AssetN</v>
      </c>
      <c r="AQ544" s="125" t="str">
        <f>CONCATENATE(AP544,L544,H544)</f>
        <v>Reg AssetNN2Deferred Gas Costs</v>
      </c>
      <c r="AS544" s="125" t="str">
        <f>CONCATENATE(L544,H544,J544)</f>
        <v>N2Deferred Gas Costs</v>
      </c>
    </row>
    <row r="545" spans="1:45" s="125" customFormat="1" ht="25.5" customHeight="1">
      <c r="A545" s="216" t="s">
        <v>1442</v>
      </c>
      <c r="B545" s="217" t="str">
        <f t="shared" ref="B545:B567" si="213">CONCATENATE(A545,C545,D545,E545)</f>
        <v>Reg Asset182371ReclassBG039999</v>
      </c>
      <c r="C545" s="186">
        <v>182371</v>
      </c>
      <c r="D545" s="201" t="s">
        <v>1961</v>
      </c>
      <c r="E545" s="162" t="s">
        <v>1918</v>
      </c>
      <c r="F545" s="169" t="s">
        <v>148</v>
      </c>
      <c r="G545" s="117" t="s">
        <v>1244</v>
      </c>
      <c r="H545" s="118" t="s">
        <v>507</v>
      </c>
      <c r="I545" s="119"/>
      <c r="J545" s="120"/>
      <c r="K545" s="120" t="str">
        <f t="shared" ref="K545:K567" si="214">IF(L545="N3","SFAS-109","")</f>
        <v/>
      </c>
      <c r="L545" s="170" t="s">
        <v>928</v>
      </c>
      <c r="M545" s="122" t="str">
        <f t="shared" si="212"/>
        <v>N</v>
      </c>
      <c r="N545" s="116" t="str">
        <f>IF($L545&lt;&gt;"",VLOOKUP($L545,Categories!$E:$G,2,FALSE),IF($F545&lt;&gt;"","NO CAT",""))</f>
        <v>Not in Rate Base</v>
      </c>
      <c r="O545" s="116" t="str">
        <f>IF($L545&lt;&gt;"",VLOOKUP($L545,Categories!$E:$G,3,FALSE),IF($F545&lt;&gt;"","NO CAT",""))</f>
        <v>Direct Assign Items Not in RB</v>
      </c>
      <c r="P545" s="170" t="s">
        <v>1186</v>
      </c>
      <c r="Q545" s="123" t="s">
        <v>1187</v>
      </c>
      <c r="R545" s="124">
        <v>0</v>
      </c>
      <c r="S545" s="124">
        <v>0</v>
      </c>
      <c r="T545" s="124">
        <v>1</v>
      </c>
      <c r="U545" s="121" t="str">
        <f t="shared" si="204"/>
        <v/>
      </c>
      <c r="V545" s="121" t="str">
        <f t="shared" si="205"/>
        <v/>
      </c>
      <c r="W545" s="121" t="str">
        <f t="shared" si="206"/>
        <v/>
      </c>
      <c r="X545" s="121">
        <f t="shared" si="210"/>
        <v>0</v>
      </c>
      <c r="Y545" s="121" t="str">
        <f t="shared" si="207"/>
        <v/>
      </c>
      <c r="Z545" s="121" t="str">
        <f t="shared" si="208"/>
        <v/>
      </c>
      <c r="AA545" s="121" t="str">
        <f t="shared" si="209"/>
        <v/>
      </c>
      <c r="AB545" s="121">
        <f t="shared" si="211"/>
        <v>0</v>
      </c>
      <c r="AC545" s="121">
        <v>0</v>
      </c>
      <c r="AD545" s="121">
        <v>0</v>
      </c>
      <c r="AE545" s="121">
        <v>0</v>
      </c>
      <c r="AF545" s="121">
        <v>0</v>
      </c>
      <c r="AG545" s="121">
        <v>0</v>
      </c>
      <c r="AH545" s="121">
        <v>0</v>
      </c>
      <c r="AI545" s="121">
        <v>0</v>
      </c>
      <c r="AJ545" s="121">
        <v>0</v>
      </c>
      <c r="AK545" s="121">
        <v>0</v>
      </c>
      <c r="AL545" s="121">
        <v>0</v>
      </c>
      <c r="AM545" s="121">
        <v>0</v>
      </c>
      <c r="AN545" s="121">
        <v>0</v>
      </c>
      <c r="AO545" s="121">
        <v>0</v>
      </c>
      <c r="AP545" s="125" t="str">
        <f>CONCATENATE(A545,M545)</f>
        <v>Reg AssetN</v>
      </c>
      <c r="AQ545" s="125" t="str">
        <f>CONCATENATE(AP545,L545,H545)</f>
        <v>Reg AssetNN2Balance Sheet reclass</v>
      </c>
      <c r="AS545" s="125" t="str">
        <f>CONCATENATE(L545,H545,J545)</f>
        <v>N2Balance Sheet reclass</v>
      </c>
    </row>
    <row r="546" spans="1:45" s="125" customFormat="1" ht="25.5" customHeight="1">
      <c r="A546" s="216" t="s">
        <v>1442</v>
      </c>
      <c r="B546" s="217" t="str">
        <f t="shared" si="213"/>
        <v>Reg Asset182371</v>
      </c>
      <c r="C546" s="186">
        <v>182371</v>
      </c>
      <c r="D546" s="201"/>
      <c r="E546" s="162"/>
      <c r="F546" s="169" t="s">
        <v>148</v>
      </c>
      <c r="G546" s="117" t="s">
        <v>2518</v>
      </c>
      <c r="H546" s="118" t="s">
        <v>792</v>
      </c>
      <c r="I546" s="119"/>
      <c r="J546" s="120" t="s">
        <v>105</v>
      </c>
      <c r="K546" s="120" t="str">
        <f t="shared" ref="K546:K551" si="215">IF(L546="N3","SFAS-109","")</f>
        <v/>
      </c>
      <c r="L546" s="170" t="s">
        <v>2821</v>
      </c>
      <c r="M546" s="122" t="str">
        <f t="shared" ref="M546:M551" si="216">LEFT(L546,1)</f>
        <v>N</v>
      </c>
      <c r="N546" s="116" t="str">
        <f>IF($L546&lt;&gt;"",VLOOKUP($L546,Categories!$E:$G,2,FALSE),IF($F546&lt;&gt;"","NO CAT",""))</f>
        <v>Not in Rate Base</v>
      </c>
      <c r="O546" s="116" t="str">
        <f>IF($L546&lt;&gt;"",VLOOKUP($L546,Categories!$E:$G,3,FALSE),IF($F546&lt;&gt;"","NO CAT",""))</f>
        <v>Deferrals Accruing Non-Cash Return   (other than ASGA)</v>
      </c>
      <c r="P546" s="170" t="s">
        <v>1186</v>
      </c>
      <c r="Q546" s="123" t="s">
        <v>1187</v>
      </c>
      <c r="R546" s="124">
        <v>0</v>
      </c>
      <c r="S546" s="124">
        <v>0</v>
      </c>
      <c r="T546" s="124">
        <v>1</v>
      </c>
      <c r="U546" s="121">
        <f t="shared" ref="U546:U567" si="217">IF(ABS(X546)=0,"",IF($R546="NO ALLOC","NO ALLOC",ROUND($R546*X546,15)))</f>
        <v>0</v>
      </c>
      <c r="V546" s="121">
        <f t="shared" ref="V546:V567" si="218">IF(ABS(X546)=0,"",IF($S546="NO ALLOC","NO ALLOC",ROUND($S546*X546,15)))</f>
        <v>0</v>
      </c>
      <c r="W546" s="121">
        <f t="shared" ref="W546:W567" si="219">IF(ABS(X546)=0,"",IF($T546="NO ALLOC","NO ALLOC",ROUND($T546*X546,15)))</f>
        <v>-5.3999999999999997E-14</v>
      </c>
      <c r="X546" s="121">
        <f t="shared" si="210"/>
        <v>-5.3999999999999997E-14</v>
      </c>
      <c r="Y546" s="121">
        <f t="shared" ref="Y546:Y567" si="220">IF(ABS(AB546)=0,"",IF($R546="NO ALLOC","NO ALLOC",ROUND($R546*AB546,15)))</f>
        <v>0</v>
      </c>
      <c r="Z546" s="121">
        <f t="shared" ref="Z546:Z567" si="221">IF(ABS(AB546)=0,"",IF($S546="NO ALLOC","NO ALLOC",ROUND($S546*AB546,15)))</f>
        <v>0</v>
      </c>
      <c r="AA546" s="121">
        <f t="shared" ref="AA546:AA567" si="222">IF(ABS(AB546)=0,"",IF($T546="NO ALLOC","NO ALLOC",ROUND($T546*AB546,15)))</f>
        <v>-5.3999999999999997E-14</v>
      </c>
      <c r="AB546" s="121">
        <f t="shared" si="211"/>
        <v>-5.3660187404602763E-14</v>
      </c>
      <c r="AC546" s="121">
        <v>-5.3660187404602763E-14</v>
      </c>
      <c r="AD546" s="121">
        <v>-5.3660187404602763E-14</v>
      </c>
      <c r="AE546" s="121">
        <v>-5.3660187404602763E-14</v>
      </c>
      <c r="AF546" s="121">
        <v>-5.3660187404602763E-14</v>
      </c>
      <c r="AG546" s="121">
        <v>-5.3660187404602763E-14</v>
      </c>
      <c r="AH546" s="121">
        <v>-5.3660187404602763E-14</v>
      </c>
      <c r="AI546" s="121">
        <v>-5.3660187404602763E-14</v>
      </c>
      <c r="AJ546" s="121">
        <v>-5.3660187404602763E-14</v>
      </c>
      <c r="AK546" s="121">
        <v>-5.3660187404602763E-14</v>
      </c>
      <c r="AL546" s="121">
        <v>-5.3660187404602763E-14</v>
      </c>
      <c r="AM546" s="121">
        <v>-5.3660187404602763E-14</v>
      </c>
      <c r="AN546" s="121">
        <v>-5.3660187404602763E-14</v>
      </c>
      <c r="AO546" s="121">
        <v>-5.3660187404602763E-14</v>
      </c>
      <c r="AP546" s="125" t="str">
        <f>CONCATENATE(A546,M546)</f>
        <v>Reg AssetN</v>
      </c>
      <c r="AQ546" s="125" t="str">
        <f>CONCATENATE(AP546,L546,H546)</f>
        <v>Reg AssetNN10Seneca Sale Gain</v>
      </c>
      <c r="AS546" s="125" t="str">
        <f>CONCATENATE(L546,H546,J546)</f>
        <v>N10Seneca Sale GainNCR</v>
      </c>
    </row>
    <row r="547" spans="1:45" s="125" customFormat="1" ht="25.5" customHeight="1">
      <c r="A547" s="216" t="s">
        <v>1442</v>
      </c>
      <c r="B547" s="217" t="str">
        <f t="shared" si="213"/>
        <v>Reg Asset182371801251BG030158</v>
      </c>
      <c r="C547" s="186">
        <v>182371</v>
      </c>
      <c r="D547" s="201">
        <v>801251</v>
      </c>
      <c r="E547" s="162" t="s">
        <v>1677</v>
      </c>
      <c r="F547" s="169" t="s">
        <v>148</v>
      </c>
      <c r="G547" s="117" t="s">
        <v>2327</v>
      </c>
      <c r="H547" s="118" t="s">
        <v>102</v>
      </c>
      <c r="I547" s="119"/>
      <c r="J547" s="120" t="s">
        <v>105</v>
      </c>
      <c r="K547" s="120" t="str">
        <f t="shared" si="215"/>
        <v/>
      </c>
      <c r="L547" s="170" t="s">
        <v>2821</v>
      </c>
      <c r="M547" s="122" t="str">
        <f t="shared" si="216"/>
        <v>N</v>
      </c>
      <c r="N547" s="116" t="str">
        <f>IF($L547&lt;&gt;"",VLOOKUP($L547,Categories!$E:$G,2,FALSE),IF($F547&lt;&gt;"","NO CAT",""))</f>
        <v>Not in Rate Base</v>
      </c>
      <c r="O547" s="116" t="str">
        <f>IF($L547&lt;&gt;"",VLOOKUP($L547,Categories!$E:$G,3,FALSE),IF($F547&lt;&gt;"","NO CAT",""))</f>
        <v>Deferrals Accruing Non-Cash Return   (other than ASGA)</v>
      </c>
      <c r="P547" s="170" t="s">
        <v>1186</v>
      </c>
      <c r="Q547" s="123" t="s">
        <v>1187</v>
      </c>
      <c r="R547" s="124">
        <v>0</v>
      </c>
      <c r="S547" s="124">
        <v>0</v>
      </c>
      <c r="T547" s="124">
        <v>1</v>
      </c>
      <c r="U547" s="121">
        <f t="shared" si="217"/>
        <v>0</v>
      </c>
      <c r="V547" s="121">
        <f t="shared" si="218"/>
        <v>0</v>
      </c>
      <c r="W547" s="121">
        <f t="shared" si="219"/>
        <v>-1.2810000000000001E-12</v>
      </c>
      <c r="X547" s="121">
        <f t="shared" si="210"/>
        <v>-1.2810000000000001E-12</v>
      </c>
      <c r="Y547" s="121">
        <f t="shared" si="220"/>
        <v>0</v>
      </c>
      <c r="Z547" s="121">
        <f t="shared" si="221"/>
        <v>0</v>
      </c>
      <c r="AA547" s="121">
        <f t="shared" si="222"/>
        <v>-1.2810000000000001E-12</v>
      </c>
      <c r="AB547" s="121">
        <f t="shared" si="211"/>
        <v>-1.2805685400962829E-12</v>
      </c>
      <c r="AC547" s="121">
        <v>-1.2805685400962829E-12</v>
      </c>
      <c r="AD547" s="121">
        <v>-1.2805685400962829E-12</v>
      </c>
      <c r="AE547" s="121">
        <v>-1.2805685400962829E-12</v>
      </c>
      <c r="AF547" s="121">
        <v>-1.2805685400962829E-12</v>
      </c>
      <c r="AG547" s="121">
        <v>-1.2805685400962829E-12</v>
      </c>
      <c r="AH547" s="121">
        <v>-1.2805685400962829E-12</v>
      </c>
      <c r="AI547" s="121">
        <v>-1.2805685400962829E-12</v>
      </c>
      <c r="AJ547" s="121">
        <v>-1.2805685400962829E-12</v>
      </c>
      <c r="AK547" s="121">
        <v>-1.2805685400962829E-12</v>
      </c>
      <c r="AL547" s="121">
        <v>-1.2805685400962829E-12</v>
      </c>
      <c r="AM547" s="121">
        <v>-1.2805685400962829E-12</v>
      </c>
      <c r="AN547" s="121">
        <v>-1.2805685400962829E-12</v>
      </c>
      <c r="AO547" s="121">
        <v>-1.2805685400962829E-12</v>
      </c>
      <c r="AP547" s="125" t="str">
        <f>CONCATENATE(A547,M547)</f>
        <v>Reg AssetN</v>
      </c>
      <c r="AQ547" s="125" t="str">
        <f>CONCATENATE(AP547,L547,H547)</f>
        <v>Reg AssetNN10Deferred Gas Costs</v>
      </c>
      <c r="AS547" s="125" t="str">
        <f>CONCATENATE(L547,H547,J547)</f>
        <v>N10Deferred Gas CostsNCR</v>
      </c>
    </row>
    <row r="548" spans="1:45" s="125" customFormat="1" ht="25.5" customHeight="1">
      <c r="A548" s="216" t="s">
        <v>1442</v>
      </c>
      <c r="B548" s="217" t="str">
        <f>CONCATENATE(A548,C548,D548,E548)</f>
        <v>Reg Asset182371808002-13BG030158</v>
      </c>
      <c r="C548" s="186">
        <v>182371</v>
      </c>
      <c r="D548" s="201" t="s">
        <v>4315</v>
      </c>
      <c r="E548" s="162" t="s">
        <v>1677</v>
      </c>
      <c r="F548" s="169" t="s">
        <v>148</v>
      </c>
      <c r="G548" s="117"/>
      <c r="H548" s="118" t="s">
        <v>102</v>
      </c>
      <c r="I548" s="119"/>
      <c r="J548" s="120" t="s">
        <v>105</v>
      </c>
      <c r="K548" s="120" t="str">
        <f t="shared" si="215"/>
        <v/>
      </c>
      <c r="L548" s="170" t="s">
        <v>2821</v>
      </c>
      <c r="M548" s="122" t="str">
        <f t="shared" si="216"/>
        <v>N</v>
      </c>
      <c r="N548" s="116" t="str">
        <f>IF($L548&lt;&gt;"",VLOOKUP($L548,Categories!$E:$G,2,FALSE),IF($F548&lt;&gt;"","NO CAT",""))</f>
        <v>Not in Rate Base</v>
      </c>
      <c r="O548" s="116" t="str">
        <f>IF($L548&lt;&gt;"",VLOOKUP($L548,Categories!$E:$G,3,FALSE),IF($F548&lt;&gt;"","NO CAT",""))</f>
        <v>Deferrals Accruing Non-Cash Return   (other than ASGA)</v>
      </c>
      <c r="P548" s="170" t="s">
        <v>1186</v>
      </c>
      <c r="Q548" s="123" t="s">
        <v>1187</v>
      </c>
      <c r="R548" s="124">
        <v>0</v>
      </c>
      <c r="S548" s="124">
        <v>0</v>
      </c>
      <c r="T548" s="124">
        <v>1</v>
      </c>
      <c r="U548" s="121">
        <f>IF(ABS(X548)=0,"",IF($R548="NO ALLOC","NO ALLOC",ROUND($R548*X548,15)))</f>
        <v>0</v>
      </c>
      <c r="V548" s="121">
        <f>IF(ABS(X548)=0,"",IF($S548="NO ALLOC","NO ALLOC",ROUND($S548*X548,15)))</f>
        <v>0</v>
      </c>
      <c r="W548" s="121">
        <f>IF(ABS(X548)=0,"",IF($T548="NO ALLOC","NO ALLOC",ROUND($T548*X548,15)))</f>
        <v>247.17538375000001</v>
      </c>
      <c r="X548" s="121">
        <f t="shared" si="210"/>
        <v>247.17538375000001</v>
      </c>
      <c r="Y548" s="121">
        <f>IF(ABS(AB548)=0,"",IF($R548="NO ALLOC","NO ALLOC",ROUND($R548*AB548,15)))</f>
        <v>0</v>
      </c>
      <c r="Z548" s="121">
        <f>IF(ABS(AB548)=0,"",IF($S548="NO ALLOC","NO ALLOC",ROUND($S548*AB548,15)))</f>
        <v>0</v>
      </c>
      <c r="AA548" s="121">
        <f>IF(ABS(AB548)=0,"",IF($T548="NO ALLOC","NO ALLOC",ROUND($T548*AB548,15)))</f>
        <v>120.123</v>
      </c>
      <c r="AB548" s="121">
        <f t="shared" si="211"/>
        <v>120.12299999999995</v>
      </c>
      <c r="AC548" s="121">
        <v>768.77420999999993</v>
      </c>
      <c r="AD548" s="121">
        <v>453.71599999999995</v>
      </c>
      <c r="AE548" s="121">
        <v>453.14299999999992</v>
      </c>
      <c r="AF548" s="121">
        <v>321.96099999999996</v>
      </c>
      <c r="AG548" s="121">
        <v>244.83299999999994</v>
      </c>
      <c r="AH548" s="121">
        <v>224.03599999999994</v>
      </c>
      <c r="AI548" s="121">
        <v>203.71999999999994</v>
      </c>
      <c r="AJ548" s="121">
        <v>193.14799999999994</v>
      </c>
      <c r="AK548" s="121">
        <v>166.63699999999994</v>
      </c>
      <c r="AL548" s="121">
        <v>146.67799999999994</v>
      </c>
      <c r="AM548" s="121">
        <v>107.45499999999994</v>
      </c>
      <c r="AN548" s="121">
        <v>6.328999999999942</v>
      </c>
      <c r="AO548" s="121">
        <v>120.12299999999995</v>
      </c>
      <c r="AP548" s="125" t="str">
        <f>CONCATENATE(A548,M548)</f>
        <v>Reg AssetN</v>
      </c>
      <c r="AQ548" s="125" t="str">
        <f>CONCATENATE(AP548,L548,H548)</f>
        <v>Reg AssetNN10Deferred Gas Costs</v>
      </c>
      <c r="AS548" s="125" t="str">
        <f>CONCATENATE(L548,H548,J548)</f>
        <v>N10Deferred Gas CostsNCR</v>
      </c>
    </row>
    <row r="549" spans="1:45" s="125" customFormat="1" ht="25.5" customHeight="1">
      <c r="A549" s="216" t="s">
        <v>1442</v>
      </c>
      <c r="B549" s="217" t="str">
        <f>CONCATENATE(A549,C549,D549,E549)</f>
        <v>Reg Asset182371808002-12BG030158</v>
      </c>
      <c r="C549" s="186">
        <v>182371</v>
      </c>
      <c r="D549" s="201" t="s">
        <v>783</v>
      </c>
      <c r="E549" s="162" t="s">
        <v>1677</v>
      </c>
      <c r="F549" s="169" t="s">
        <v>148</v>
      </c>
      <c r="G549" s="117" t="s">
        <v>4415</v>
      </c>
      <c r="H549" s="118" t="s">
        <v>102</v>
      </c>
      <c r="I549" s="119"/>
      <c r="J549" s="120" t="s">
        <v>105</v>
      </c>
      <c r="K549" s="120" t="str">
        <f t="shared" si="215"/>
        <v/>
      </c>
      <c r="L549" s="170" t="s">
        <v>2821</v>
      </c>
      <c r="M549" s="122" t="str">
        <f t="shared" si="216"/>
        <v>N</v>
      </c>
      <c r="N549" s="116" t="str">
        <f>IF($L549&lt;&gt;"",VLOOKUP($L549,Categories!$E:$G,2,FALSE),IF($F549&lt;&gt;"","NO CAT",""))</f>
        <v>Not in Rate Base</v>
      </c>
      <c r="O549" s="116" t="str">
        <f>IF($L549&lt;&gt;"",VLOOKUP($L549,Categories!$E:$G,3,FALSE),IF($F549&lt;&gt;"","NO CAT",""))</f>
        <v>Deferrals Accruing Non-Cash Return   (other than ASGA)</v>
      </c>
      <c r="P549" s="170" t="s">
        <v>1186</v>
      </c>
      <c r="Q549" s="123" t="s">
        <v>1187</v>
      </c>
      <c r="R549" s="124">
        <v>0</v>
      </c>
      <c r="S549" s="124">
        <v>0</v>
      </c>
      <c r="T549" s="124">
        <v>1</v>
      </c>
      <c r="U549" s="121">
        <f>IF(ABS(X549)=0,"",IF($R549="NO ALLOC","NO ALLOC",ROUND($R549*X549,15)))</f>
        <v>0</v>
      </c>
      <c r="V549" s="121">
        <f>IF(ABS(X549)=0,"",IF($S549="NO ALLOC","NO ALLOC",ROUND($S549*X549,15)))</f>
        <v>0</v>
      </c>
      <c r="W549" s="121">
        <f>IF(ABS(X549)=0,"",IF($T549="NO ALLOC","NO ALLOC",ROUND($T549*X549,15)))</f>
        <v>208.703820833333</v>
      </c>
      <c r="X549" s="121">
        <f t="shared" si="210"/>
        <v>208.703820833333</v>
      </c>
      <c r="Y549" s="121" t="str">
        <f>IF(ABS(AB549)=0,"",IF($R549="NO ALLOC","NO ALLOC",ROUND($R549*AB549,15)))</f>
        <v/>
      </c>
      <c r="Z549" s="121" t="str">
        <f>IF(ABS(AB549)=0,"",IF($S549="NO ALLOC","NO ALLOC",ROUND($S549*AB549,15)))</f>
        <v/>
      </c>
      <c r="AA549" s="121" t="str">
        <f>IF(ABS(AB549)=0,"",IF($T549="NO ALLOC","NO ALLOC",ROUND($T549*AB549,15)))</f>
        <v/>
      </c>
      <c r="AB549" s="121">
        <f t="shared" si="211"/>
        <v>0</v>
      </c>
      <c r="AC549" s="121">
        <v>217.77790000000007</v>
      </c>
      <c r="AD549" s="121">
        <v>217.77790000000007</v>
      </c>
      <c r="AE549" s="121">
        <v>217.77790000000007</v>
      </c>
      <c r="AF549" s="121">
        <v>217.77790000000007</v>
      </c>
      <c r="AG549" s="121">
        <v>217.77790000000007</v>
      </c>
      <c r="AH549" s="121">
        <v>217.77790000000007</v>
      </c>
      <c r="AI549" s="121">
        <v>217.77790000000007</v>
      </c>
      <c r="AJ549" s="121">
        <v>217.77790000000007</v>
      </c>
      <c r="AK549" s="121">
        <v>217.77790000000007</v>
      </c>
      <c r="AL549" s="121">
        <v>217.77790000000007</v>
      </c>
      <c r="AM549" s="121">
        <v>217.77790000000007</v>
      </c>
      <c r="AN549" s="121">
        <v>217.77790000000007</v>
      </c>
      <c r="AO549" s="121">
        <v>0</v>
      </c>
      <c r="AP549" s="125" t="str">
        <f>CONCATENATE(A549,M549)</f>
        <v>Reg AssetN</v>
      </c>
      <c r="AQ549" s="125" t="str">
        <f>CONCATENATE(AP549,L549,H549)</f>
        <v>Reg AssetNN10Deferred Gas Costs</v>
      </c>
      <c r="AS549" s="125" t="str">
        <f>CONCATENATE(L549,H549,J549)</f>
        <v>N10Deferred Gas CostsNCR</v>
      </c>
    </row>
    <row r="550" spans="1:45" s="125" customFormat="1" ht="25.5" customHeight="1">
      <c r="A550" s="216" t="s">
        <v>1442</v>
      </c>
      <c r="B550" s="217" t="str">
        <f t="shared" si="213"/>
        <v>Reg Asset182371808002-11BG030158</v>
      </c>
      <c r="C550" s="186">
        <v>182371</v>
      </c>
      <c r="D550" s="201" t="s">
        <v>27</v>
      </c>
      <c r="E550" s="162" t="s">
        <v>1677</v>
      </c>
      <c r="F550" s="169" t="s">
        <v>148</v>
      </c>
      <c r="G550" s="117" t="s">
        <v>786</v>
      </c>
      <c r="H550" s="118" t="s">
        <v>102</v>
      </c>
      <c r="I550" s="119"/>
      <c r="J550" s="120" t="s">
        <v>105</v>
      </c>
      <c r="K550" s="120" t="str">
        <f t="shared" si="215"/>
        <v/>
      </c>
      <c r="L550" s="170" t="s">
        <v>2821</v>
      </c>
      <c r="M550" s="122" t="str">
        <f t="shared" si="216"/>
        <v>N</v>
      </c>
      <c r="N550" s="116" t="str">
        <f>IF($L550&lt;&gt;"",VLOOKUP($L550,Categories!$E:$G,2,FALSE),IF($F550&lt;&gt;"","NO CAT",""))</f>
        <v>Not in Rate Base</v>
      </c>
      <c r="O550" s="116" t="str">
        <f>IF($L550&lt;&gt;"",VLOOKUP($L550,Categories!$E:$G,3,FALSE),IF($F550&lt;&gt;"","NO CAT",""))</f>
        <v>Deferrals Accruing Non-Cash Return   (other than ASGA)</v>
      </c>
      <c r="P550" s="170" t="s">
        <v>1186</v>
      </c>
      <c r="Q550" s="123" t="s">
        <v>1187</v>
      </c>
      <c r="R550" s="124">
        <v>0</v>
      </c>
      <c r="S550" s="124">
        <v>0</v>
      </c>
      <c r="T550" s="124">
        <v>1</v>
      </c>
      <c r="U550" s="121" t="str">
        <f t="shared" si="217"/>
        <v/>
      </c>
      <c r="V550" s="121" t="str">
        <f t="shared" si="218"/>
        <v/>
      </c>
      <c r="W550" s="121" t="str">
        <f t="shared" si="219"/>
        <v/>
      </c>
      <c r="X550" s="121">
        <f t="shared" si="210"/>
        <v>0</v>
      </c>
      <c r="Y550" s="121" t="str">
        <f t="shared" si="220"/>
        <v/>
      </c>
      <c r="Z550" s="121" t="str">
        <f t="shared" si="221"/>
        <v/>
      </c>
      <c r="AA550" s="121" t="str">
        <f t="shared" si="222"/>
        <v/>
      </c>
      <c r="AB550" s="121">
        <f t="shared" si="211"/>
        <v>0</v>
      </c>
      <c r="AC550" s="121">
        <v>0</v>
      </c>
      <c r="AD550" s="121">
        <v>0</v>
      </c>
      <c r="AE550" s="121">
        <v>0</v>
      </c>
      <c r="AF550" s="121">
        <v>0</v>
      </c>
      <c r="AG550" s="121">
        <v>0</v>
      </c>
      <c r="AH550" s="121">
        <v>0</v>
      </c>
      <c r="AI550" s="121">
        <v>0</v>
      </c>
      <c r="AJ550" s="121">
        <v>0</v>
      </c>
      <c r="AK550" s="121">
        <v>0</v>
      </c>
      <c r="AL550" s="121">
        <v>0</v>
      </c>
      <c r="AM550" s="121">
        <v>0</v>
      </c>
      <c r="AN550" s="121">
        <v>0</v>
      </c>
      <c r="AO550" s="121">
        <v>0</v>
      </c>
      <c r="AP550" s="125" t="str">
        <f>CONCATENATE(A550,M550)</f>
        <v>Reg AssetN</v>
      </c>
      <c r="AQ550" s="125" t="str">
        <f>CONCATENATE(AP550,L550,H550)</f>
        <v>Reg AssetNN10Deferred Gas Costs</v>
      </c>
      <c r="AS550" s="125" t="str">
        <f>CONCATENATE(L550,H550,J550)</f>
        <v>N10Deferred Gas CostsNCR</v>
      </c>
    </row>
    <row r="551" spans="1:45" s="125" customFormat="1" ht="25.5" customHeight="1">
      <c r="A551" s="216" t="s">
        <v>1442</v>
      </c>
      <c r="B551" s="217" t="str">
        <f t="shared" ref="B551" si="223">CONCATENATE(A551,C551,D551,E551)</f>
        <v>Reg Asset182371808002-14BG030158</v>
      </c>
      <c r="C551" s="186">
        <v>182371</v>
      </c>
      <c r="D551" s="201" t="s">
        <v>4629</v>
      </c>
      <c r="E551" s="162" t="s">
        <v>1677</v>
      </c>
      <c r="F551" s="169" t="s">
        <v>148</v>
      </c>
      <c r="G551" s="117" t="s">
        <v>4857</v>
      </c>
      <c r="H551" s="118" t="s">
        <v>102</v>
      </c>
      <c r="I551" s="119"/>
      <c r="J551" s="120" t="s">
        <v>105</v>
      </c>
      <c r="K551" s="120" t="str">
        <f t="shared" si="215"/>
        <v/>
      </c>
      <c r="L551" s="170" t="s">
        <v>2821</v>
      </c>
      <c r="M551" s="122" t="str">
        <f t="shared" si="216"/>
        <v>N</v>
      </c>
      <c r="N551" s="116" t="str">
        <f>IF($L551&lt;&gt;"",VLOOKUP($L551,Categories!$E:$G,2,FALSE),IF($F551&lt;&gt;"","NO CAT",""))</f>
        <v>Not in Rate Base</v>
      </c>
      <c r="O551" s="116" t="str">
        <f>IF($L551&lt;&gt;"",VLOOKUP($L551,Categories!$E:$G,3,FALSE),IF($F551&lt;&gt;"","NO CAT",""))</f>
        <v>Deferrals Accruing Non-Cash Return   (other than ASGA)</v>
      </c>
      <c r="P551" s="170" t="s">
        <v>1186</v>
      </c>
      <c r="Q551" s="123" t="s">
        <v>1187</v>
      </c>
      <c r="R551" s="124">
        <v>0</v>
      </c>
      <c r="S551" s="124">
        <v>0</v>
      </c>
      <c r="T551" s="124">
        <v>1</v>
      </c>
      <c r="U551" s="121">
        <f t="shared" ref="U551" si="224">IF(ABS(X551)=0,"",IF($R551="NO ALLOC","NO ALLOC",ROUND($R551*X551,15)))</f>
        <v>0</v>
      </c>
      <c r="V551" s="121">
        <f t="shared" ref="V551" si="225">IF(ABS(X551)=0,"",IF($S551="NO ALLOC","NO ALLOC",ROUND($S551*X551,15)))</f>
        <v>0</v>
      </c>
      <c r="W551" s="121">
        <f t="shared" ref="W551" si="226">IF(ABS(X551)=0,"",IF($T551="NO ALLOC","NO ALLOC",ROUND($T551*X551,15)))</f>
        <v>8.0750183333333307</v>
      </c>
      <c r="X551" s="121">
        <f t="shared" si="210"/>
        <v>8.0750183333333307</v>
      </c>
      <c r="Y551" s="121">
        <f t="shared" ref="Y551" si="227">IF(ABS(AB551)=0,"",IF($R551="NO ALLOC","NO ALLOC",ROUND($R551*AB551,15)))</f>
        <v>0</v>
      </c>
      <c r="Z551" s="121">
        <f t="shared" ref="Z551" si="228">IF(ABS(AB551)=0,"",IF($S551="NO ALLOC","NO ALLOC",ROUND($S551*AB551,15)))</f>
        <v>0</v>
      </c>
      <c r="AA551" s="121">
        <f t="shared" ref="AA551" si="229">IF(ABS(AB551)=0,"",IF($T551="NO ALLOC","NO ALLOC",ROUND($T551*AB551,15)))</f>
        <v>193.80044000000001</v>
      </c>
      <c r="AB551" s="121">
        <f t="shared" si="211"/>
        <v>193.80044000000001</v>
      </c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>
        <v>193.80044000000001</v>
      </c>
      <c r="AP551" s="125" t="str">
        <f>CONCATENATE(A551,M551)</f>
        <v>Reg AssetN</v>
      </c>
      <c r="AQ551" s="125" t="str">
        <f>CONCATENATE(AP551,L551,H551)</f>
        <v>Reg AssetNN10Deferred Gas Costs</v>
      </c>
      <c r="AS551" s="125" t="str">
        <f>CONCATENATE(L551,H551,J551)</f>
        <v>N10Deferred Gas CostsNCR</v>
      </c>
    </row>
    <row r="552" spans="1:45" s="125" customFormat="1" ht="25.5" customHeight="1">
      <c r="A552" s="216" t="s">
        <v>1442</v>
      </c>
      <c r="B552" s="217" t="str">
        <f t="shared" si="213"/>
        <v>Reg Asset182375GasBG030162</v>
      </c>
      <c r="C552" s="186">
        <v>182375</v>
      </c>
      <c r="D552" s="201" t="s">
        <v>1178</v>
      </c>
      <c r="E552" s="162" t="s">
        <v>3205</v>
      </c>
      <c r="F552" s="169" t="s">
        <v>952</v>
      </c>
      <c r="G552" s="117" t="s">
        <v>151</v>
      </c>
      <c r="H552" s="118" t="s">
        <v>2860</v>
      </c>
      <c r="I552" s="119"/>
      <c r="J552" s="120"/>
      <c r="K552" s="120" t="str">
        <f t="shared" si="214"/>
        <v/>
      </c>
      <c r="L552" s="170" t="s">
        <v>2811</v>
      </c>
      <c r="M552" s="122" t="str">
        <f t="shared" si="212"/>
        <v>N</v>
      </c>
      <c r="N552" s="116" t="str">
        <f>IF($L552&lt;&gt;"",VLOOKUP($L552,Categories!$E:$G,2,FALSE),IF($F552&lt;&gt;"","NO CAT",""))</f>
        <v>Not in Rate Base</v>
      </c>
      <c r="O552" s="116" t="str">
        <f>IF($L552&lt;&gt;"",VLOOKUP($L552,Categories!$E:$G,3,FALSE),IF($F552&lt;&gt;"","NO CAT",""))</f>
        <v>Hedges &amp; OCI</v>
      </c>
      <c r="P552" s="170" t="s">
        <v>1186</v>
      </c>
      <c r="Q552" s="123" t="s">
        <v>1187</v>
      </c>
      <c r="R552" s="124">
        <v>0</v>
      </c>
      <c r="S552" s="124">
        <v>0</v>
      </c>
      <c r="T552" s="124">
        <v>1</v>
      </c>
      <c r="U552" s="121">
        <f t="shared" si="217"/>
        <v>0</v>
      </c>
      <c r="V552" s="121">
        <f t="shared" si="218"/>
        <v>0</v>
      </c>
      <c r="W552" s="121">
        <f t="shared" si="219"/>
        <v>313.34916666666697</v>
      </c>
      <c r="X552" s="121">
        <f t="shared" ref="X552:X568" si="230">IF(ISERROR(ROUND((SUM(AC552:AO552)-((AC552+AO552))/2)/12,15)),"",ROUND((SUM(AC552:AO552)-((AC552+AO552))/2)/12,15))</f>
        <v>313.34916666666697</v>
      </c>
      <c r="Y552" s="121">
        <f t="shared" si="220"/>
        <v>0</v>
      </c>
      <c r="Z552" s="121">
        <f t="shared" si="221"/>
        <v>0</v>
      </c>
      <c r="AA552" s="121">
        <f t="shared" si="222"/>
        <v>2327.86</v>
      </c>
      <c r="AB552" s="121">
        <f t="shared" ref="AB552:AB568" si="231">IF(AO552="",0,+AO552)</f>
        <v>2327.86</v>
      </c>
      <c r="AC552" s="121">
        <v>0</v>
      </c>
      <c r="AD552" s="121">
        <v>0</v>
      </c>
      <c r="AE552" s="121">
        <v>0</v>
      </c>
      <c r="AF552" s="121">
        <v>0</v>
      </c>
      <c r="AG552" s="121">
        <v>0</v>
      </c>
      <c r="AH552" s="121">
        <v>0</v>
      </c>
      <c r="AI552" s="121">
        <v>0</v>
      </c>
      <c r="AJ552" s="121">
        <v>606.51</v>
      </c>
      <c r="AK552" s="121">
        <v>252.43</v>
      </c>
      <c r="AL552" s="121">
        <v>280.31</v>
      </c>
      <c r="AM552" s="121">
        <v>874.4</v>
      </c>
      <c r="AN552" s="121">
        <v>582.61</v>
      </c>
      <c r="AO552" s="121">
        <v>2327.86</v>
      </c>
      <c r="AP552" s="125" t="str">
        <f>CONCATENATE(A552,M552)</f>
        <v>Reg AssetN</v>
      </c>
      <c r="AQ552" s="125" t="str">
        <f>CONCATENATE(AP552,L552,H552)</f>
        <v>Reg AssetNN5Hedges &amp; OCI</v>
      </c>
      <c r="AS552" s="125" t="str">
        <f>CONCATENATE(L552,H552,J552)</f>
        <v>N5Hedges &amp; OCI</v>
      </c>
    </row>
    <row r="553" spans="1:45" s="125" customFormat="1" ht="25.5" customHeight="1">
      <c r="A553" s="216" t="s">
        <v>1442</v>
      </c>
      <c r="B553" s="217" t="str">
        <f t="shared" si="213"/>
        <v>Reg Asset182390807031-11BE030188</v>
      </c>
      <c r="C553" s="186">
        <v>182390</v>
      </c>
      <c r="D553" s="201" t="s">
        <v>2457</v>
      </c>
      <c r="E553" s="221" t="s">
        <v>1602</v>
      </c>
      <c r="F553" s="169" t="s">
        <v>1833</v>
      </c>
      <c r="G553" s="117" t="s">
        <v>1853</v>
      </c>
      <c r="H553" s="118" t="s">
        <v>1833</v>
      </c>
      <c r="I553" s="119"/>
      <c r="J553" s="120" t="s">
        <v>105</v>
      </c>
      <c r="K553" s="120" t="str">
        <f t="shared" si="214"/>
        <v/>
      </c>
      <c r="L553" s="170" t="s">
        <v>2821</v>
      </c>
      <c r="M553" s="122" t="str">
        <f t="shared" si="212"/>
        <v>N</v>
      </c>
      <c r="N553" s="116" t="str">
        <f>IF($L553&lt;&gt;"",VLOOKUP($L553,Categories!$E:$G,2,FALSE),IF($F553&lt;&gt;"","NO CAT",""))</f>
        <v>Not in Rate Base</v>
      </c>
      <c r="O553" s="116" t="str">
        <f>IF($L553&lt;&gt;"",VLOOKUP($L553,Categories!$E:$G,3,FALSE),IF($F553&lt;&gt;"","NO CAT",""))</f>
        <v>Deferrals Accruing Non-Cash Return   (other than ASGA)</v>
      </c>
      <c r="P553" s="170" t="s">
        <v>1186</v>
      </c>
      <c r="Q553" s="123" t="s">
        <v>1187</v>
      </c>
      <c r="R553" s="124">
        <v>0</v>
      </c>
      <c r="S553" s="124">
        <v>0</v>
      </c>
      <c r="T553" s="124">
        <v>1</v>
      </c>
      <c r="U553" s="121">
        <f t="shared" si="217"/>
        <v>0</v>
      </c>
      <c r="V553" s="121">
        <f t="shared" si="218"/>
        <v>0</v>
      </c>
      <c r="W553" s="121">
        <f t="shared" si="219"/>
        <v>-46000</v>
      </c>
      <c r="X553" s="121">
        <f t="shared" si="230"/>
        <v>-46000</v>
      </c>
      <c r="Y553" s="121">
        <f t="shared" si="220"/>
        <v>0</v>
      </c>
      <c r="Z553" s="121">
        <f t="shared" si="221"/>
        <v>0</v>
      </c>
      <c r="AA553" s="121">
        <f t="shared" si="222"/>
        <v>-52000</v>
      </c>
      <c r="AB553" s="121">
        <f t="shared" si="231"/>
        <v>-52000</v>
      </c>
      <c r="AC553" s="121">
        <v>-40000</v>
      </c>
      <c r="AD553" s="121">
        <v>-41000</v>
      </c>
      <c r="AE553" s="121">
        <v>-42000</v>
      </c>
      <c r="AF553" s="121">
        <v>-43000</v>
      </c>
      <c r="AG553" s="121">
        <v>-44000</v>
      </c>
      <c r="AH553" s="121">
        <v>-45000</v>
      </c>
      <c r="AI553" s="121">
        <v>-46000</v>
      </c>
      <c r="AJ553" s="121">
        <v>-47000</v>
      </c>
      <c r="AK553" s="121">
        <v>-48000</v>
      </c>
      <c r="AL553" s="121">
        <v>-49000</v>
      </c>
      <c r="AM553" s="121">
        <v>-50000</v>
      </c>
      <c r="AN553" s="121">
        <v>-51000</v>
      </c>
      <c r="AO553" s="121">
        <v>-52000</v>
      </c>
      <c r="AP553" s="125" t="str">
        <f>CONCATENATE(A553,M553)</f>
        <v>Reg AssetN</v>
      </c>
      <c r="AQ553" s="125" t="str">
        <f>CONCATENATE(AP553,L553,H553)</f>
        <v>Reg AssetNN10Storm Costs</v>
      </c>
      <c r="AS553" s="125" t="str">
        <f>CONCATENATE(L553,H553,J553)</f>
        <v>N10Storm CostsNCR</v>
      </c>
    </row>
    <row r="554" spans="1:45" s="125" customFormat="1" ht="25.5" customHeight="1">
      <c r="A554" s="216" t="s">
        <v>1442</v>
      </c>
      <c r="B554" s="217" t="str">
        <f t="shared" si="213"/>
        <v>Reg Asset182390807032-11BE030188</v>
      </c>
      <c r="C554" s="186">
        <v>182390</v>
      </c>
      <c r="D554" s="201" t="s">
        <v>2477</v>
      </c>
      <c r="E554" s="221" t="s">
        <v>1602</v>
      </c>
      <c r="F554" s="169" t="s">
        <v>1833</v>
      </c>
      <c r="G554" s="117" t="s">
        <v>1854</v>
      </c>
      <c r="H554" s="118" t="s">
        <v>1833</v>
      </c>
      <c r="I554" s="119"/>
      <c r="J554" s="120" t="s">
        <v>105</v>
      </c>
      <c r="K554" s="120" t="str">
        <f t="shared" si="214"/>
        <v/>
      </c>
      <c r="L554" s="170" t="s">
        <v>2821</v>
      </c>
      <c r="M554" s="122" t="str">
        <f t="shared" si="212"/>
        <v>N</v>
      </c>
      <c r="N554" s="116" t="str">
        <f>IF($L554&lt;&gt;"",VLOOKUP($L554,Categories!$E:$G,2,FALSE),IF($F554&lt;&gt;"","NO CAT",""))</f>
        <v>Not in Rate Base</v>
      </c>
      <c r="O554" s="116" t="str">
        <f>IF($L554&lt;&gt;"",VLOOKUP($L554,Categories!$E:$G,3,FALSE),IF($F554&lt;&gt;"","NO CAT",""))</f>
        <v>Deferrals Accruing Non-Cash Return   (other than ASGA)</v>
      </c>
      <c r="P554" s="170" t="s">
        <v>1186</v>
      </c>
      <c r="Q554" s="123" t="s">
        <v>1187</v>
      </c>
      <c r="R554" s="124">
        <v>0</v>
      </c>
      <c r="S554" s="124">
        <v>0</v>
      </c>
      <c r="T554" s="124">
        <v>1</v>
      </c>
      <c r="U554" s="121">
        <f t="shared" si="217"/>
        <v>0</v>
      </c>
      <c r="V554" s="121">
        <f t="shared" si="218"/>
        <v>0</v>
      </c>
      <c r="W554" s="121">
        <f t="shared" si="219"/>
        <v>211404.12217625001</v>
      </c>
      <c r="X554" s="121">
        <f t="shared" si="230"/>
        <v>211404.12217625001</v>
      </c>
      <c r="Y554" s="121">
        <f t="shared" si="220"/>
        <v>0</v>
      </c>
      <c r="Z554" s="121">
        <f t="shared" si="221"/>
        <v>0</v>
      </c>
      <c r="AA554" s="121">
        <f t="shared" si="222"/>
        <v>223807.13039999999</v>
      </c>
      <c r="AB554" s="121">
        <f t="shared" si="231"/>
        <v>223807.13039999994</v>
      </c>
      <c r="AC554" s="121">
        <v>206218.98754999996</v>
      </c>
      <c r="AD554" s="121">
        <v>207366.04232999997</v>
      </c>
      <c r="AE554" s="121">
        <v>208207.05694999997</v>
      </c>
      <c r="AF554" s="121">
        <v>207634.99988999995</v>
      </c>
      <c r="AG554" s="121">
        <v>207536.01014999996</v>
      </c>
      <c r="AH554" s="121">
        <v>207512.30233999994</v>
      </c>
      <c r="AI554" s="121">
        <v>208406.31652999995</v>
      </c>
      <c r="AJ554" s="121">
        <v>214999.47031999993</v>
      </c>
      <c r="AK554" s="121">
        <v>214487.95467999994</v>
      </c>
      <c r="AL554" s="121">
        <v>213833.55163999996</v>
      </c>
      <c r="AM554" s="121">
        <v>213854.45494999996</v>
      </c>
      <c r="AN554" s="121">
        <v>217998.24735999995</v>
      </c>
      <c r="AO554" s="121">
        <v>223807.13039999994</v>
      </c>
      <c r="AP554" s="125" t="str">
        <f>CONCATENATE(A554,M554)</f>
        <v>Reg AssetN</v>
      </c>
      <c r="AQ554" s="125" t="str">
        <f>CONCATENATE(AP554,L554,H554)</f>
        <v>Reg AssetNN10Storm Costs</v>
      </c>
      <c r="AS554" s="125" t="str">
        <f>CONCATENATE(L554,H554,J554)</f>
        <v>N10Storm CostsNCR</v>
      </c>
    </row>
    <row r="555" spans="1:45" s="125" customFormat="1" ht="25.5" customHeight="1">
      <c r="A555" s="216" t="s">
        <v>1442</v>
      </c>
      <c r="B555" s="217" t="str">
        <f t="shared" si="213"/>
        <v>Reg Asset182390807033-11BE030188</v>
      </c>
      <c r="C555" s="186">
        <v>182390</v>
      </c>
      <c r="D555" s="201" t="s">
        <v>2478</v>
      </c>
      <c r="E555" s="221" t="s">
        <v>1602</v>
      </c>
      <c r="F555" s="169" t="s">
        <v>1833</v>
      </c>
      <c r="G555" s="117" t="s">
        <v>1855</v>
      </c>
      <c r="H555" s="118" t="s">
        <v>1833</v>
      </c>
      <c r="I555" s="119"/>
      <c r="J555" s="120" t="s">
        <v>105</v>
      </c>
      <c r="K555" s="120" t="str">
        <f t="shared" si="214"/>
        <v/>
      </c>
      <c r="L555" s="170" t="s">
        <v>2821</v>
      </c>
      <c r="M555" s="122" t="str">
        <f t="shared" si="212"/>
        <v>N</v>
      </c>
      <c r="N555" s="116" t="str">
        <f>IF($L555&lt;&gt;"",VLOOKUP($L555,Categories!$E:$G,2,FALSE),IF($F555&lt;&gt;"","NO CAT",""))</f>
        <v>Not in Rate Base</v>
      </c>
      <c r="O555" s="116" t="str">
        <f>IF($L555&lt;&gt;"",VLOOKUP($L555,Categories!$E:$G,3,FALSE),IF($F555&lt;&gt;"","NO CAT",""))</f>
        <v>Deferrals Accruing Non-Cash Return   (other than ASGA)</v>
      </c>
      <c r="P555" s="170" t="s">
        <v>1186</v>
      </c>
      <c r="Q555" s="123" t="s">
        <v>1187</v>
      </c>
      <c r="R555" s="124">
        <v>0</v>
      </c>
      <c r="S555" s="124">
        <v>0</v>
      </c>
      <c r="T555" s="124">
        <v>1</v>
      </c>
      <c r="U555" s="121">
        <f t="shared" si="217"/>
        <v>0</v>
      </c>
      <c r="V555" s="121">
        <f t="shared" si="218"/>
        <v>0</v>
      </c>
      <c r="W555" s="121">
        <f t="shared" si="219"/>
        <v>23437.631038750002</v>
      </c>
      <c r="X555" s="121">
        <f t="shared" si="230"/>
        <v>23437.631038750002</v>
      </c>
      <c r="Y555" s="121">
        <f t="shared" si="220"/>
        <v>0</v>
      </c>
      <c r="Z555" s="121">
        <f t="shared" si="221"/>
        <v>0</v>
      </c>
      <c r="AA555" s="121">
        <f t="shared" si="222"/>
        <v>29545.165489999999</v>
      </c>
      <c r="AB555" s="121">
        <f t="shared" si="231"/>
        <v>29545.165489999999</v>
      </c>
      <c r="AC555" s="121">
        <v>17791.798379999997</v>
      </c>
      <c r="AD555" s="121">
        <v>18749.297909999998</v>
      </c>
      <c r="AE555" s="121">
        <v>19711.701449999997</v>
      </c>
      <c r="AF555" s="121">
        <v>20674.562539999995</v>
      </c>
      <c r="AG555" s="121">
        <v>21635.438299999998</v>
      </c>
      <c r="AH555" s="121">
        <v>22595.744839999996</v>
      </c>
      <c r="AI555" s="121">
        <v>23558.062329999993</v>
      </c>
      <c r="AJ555" s="121">
        <v>23558.062329999993</v>
      </c>
      <c r="AK555" s="121">
        <v>24550.185019999997</v>
      </c>
      <c r="AL555" s="121">
        <v>26520.738809999995</v>
      </c>
      <c r="AM555" s="121">
        <v>27513.096109999995</v>
      </c>
      <c r="AN555" s="121">
        <v>28516.200889999996</v>
      </c>
      <c r="AO555" s="121">
        <v>29545.165489999999</v>
      </c>
      <c r="AP555" s="125" t="str">
        <f>CONCATENATE(A555,M555)</f>
        <v>Reg AssetN</v>
      </c>
      <c r="AQ555" s="125" t="str">
        <f>CONCATENATE(AP555,L555,H555)</f>
        <v>Reg AssetNN10Storm Costs</v>
      </c>
      <c r="AS555" s="125" t="str">
        <f>CONCATENATE(L555,H555,J555)</f>
        <v>N10Storm CostsNCR</v>
      </c>
    </row>
    <row r="556" spans="1:45" s="125" customFormat="1" ht="25.5" customHeight="1">
      <c r="A556" s="216" t="s">
        <v>1442</v>
      </c>
      <c r="B556" s="217" t="str">
        <f t="shared" si="213"/>
        <v>Reg Asset182390801230BE030188</v>
      </c>
      <c r="C556" s="186">
        <v>182390</v>
      </c>
      <c r="D556" s="201">
        <v>801230</v>
      </c>
      <c r="E556" s="162" t="s">
        <v>1602</v>
      </c>
      <c r="F556" s="169" t="s">
        <v>1833</v>
      </c>
      <c r="G556" s="117" t="s">
        <v>29</v>
      </c>
      <c r="H556" s="118" t="s">
        <v>1833</v>
      </c>
      <c r="I556" s="119"/>
      <c r="J556" s="120" t="s">
        <v>105</v>
      </c>
      <c r="K556" s="120" t="str">
        <f t="shared" si="214"/>
        <v/>
      </c>
      <c r="L556" s="170" t="s">
        <v>2821</v>
      </c>
      <c r="M556" s="122" t="str">
        <f t="shared" si="212"/>
        <v>N</v>
      </c>
      <c r="N556" s="116" t="str">
        <f>IF($L556&lt;&gt;"",VLOOKUP($L556,Categories!$E:$G,2,FALSE),IF($F556&lt;&gt;"","NO CAT",""))</f>
        <v>Not in Rate Base</v>
      </c>
      <c r="O556" s="116" t="str">
        <f>IF($L556&lt;&gt;"",VLOOKUP($L556,Categories!$E:$G,3,FALSE),IF($F556&lt;&gt;"","NO CAT",""))</f>
        <v>Deferrals Accruing Non-Cash Return   (other than ASGA)</v>
      </c>
      <c r="P556" s="170" t="s">
        <v>1186</v>
      </c>
      <c r="Q556" s="123" t="s">
        <v>1187</v>
      </c>
      <c r="R556" s="124">
        <v>0</v>
      </c>
      <c r="S556" s="124">
        <v>0</v>
      </c>
      <c r="T556" s="124">
        <v>1</v>
      </c>
      <c r="U556" s="121">
        <f t="shared" si="217"/>
        <v>0</v>
      </c>
      <c r="V556" s="121">
        <f t="shared" si="218"/>
        <v>0</v>
      </c>
      <c r="W556" s="121">
        <f t="shared" si="219"/>
        <v>8116.4873483333304</v>
      </c>
      <c r="X556" s="121">
        <f t="shared" si="230"/>
        <v>8116.4873483333304</v>
      </c>
      <c r="Y556" s="121">
        <f t="shared" si="220"/>
        <v>0</v>
      </c>
      <c r="Z556" s="121">
        <f t="shared" si="221"/>
        <v>0</v>
      </c>
      <c r="AA556" s="121">
        <f t="shared" si="222"/>
        <v>9325.8369199999997</v>
      </c>
      <c r="AB556" s="121">
        <f t="shared" si="231"/>
        <v>9325.8369199999997</v>
      </c>
      <c r="AC556" s="121">
        <v>6931.8096399999986</v>
      </c>
      <c r="AD556" s="121">
        <v>7125.6674199999989</v>
      </c>
      <c r="AE556" s="121">
        <v>7320.5337699999982</v>
      </c>
      <c r="AF556" s="121">
        <v>7516.4139399999985</v>
      </c>
      <c r="AG556" s="121">
        <v>7713.3132099999984</v>
      </c>
      <c r="AH556" s="121">
        <v>7911.2368799999977</v>
      </c>
      <c r="AI556" s="121">
        <v>8110.190279999998</v>
      </c>
      <c r="AJ556" s="121">
        <v>8310.1787599999989</v>
      </c>
      <c r="AK556" s="121">
        <v>8511.2077099999988</v>
      </c>
      <c r="AL556" s="121">
        <v>8713.2825499999981</v>
      </c>
      <c r="AM556" s="121">
        <v>8916.4087099999997</v>
      </c>
      <c r="AN556" s="121">
        <v>9120.5916699999998</v>
      </c>
      <c r="AO556" s="121">
        <v>9325.8369199999997</v>
      </c>
      <c r="AP556" s="125" t="str">
        <f>CONCATENATE(A556,M556)</f>
        <v>Reg AssetN</v>
      </c>
      <c r="AQ556" s="125" t="str">
        <f>CONCATENATE(AP556,L556,H556)</f>
        <v>Reg AssetNN10Storm Costs</v>
      </c>
      <c r="AS556" s="125" t="str">
        <f>CONCATENATE(L556,H556,J556)</f>
        <v>N10Storm CostsNCR</v>
      </c>
    </row>
    <row r="557" spans="1:45" s="125" customFormat="1" ht="25.5" customHeight="1">
      <c r="A557" s="216" t="s">
        <v>1442</v>
      </c>
      <c r="B557" s="217" t="str">
        <f t="shared" si="213"/>
        <v>Reg Asset182390808032BE030188</v>
      </c>
      <c r="C557" s="186">
        <v>182390</v>
      </c>
      <c r="D557" s="201">
        <v>808032</v>
      </c>
      <c r="E557" s="162" t="s">
        <v>1602</v>
      </c>
      <c r="F557" s="169" t="s">
        <v>1833</v>
      </c>
      <c r="G557" s="117" t="s">
        <v>2264</v>
      </c>
      <c r="H557" s="118" t="s">
        <v>1833</v>
      </c>
      <c r="I557" s="119"/>
      <c r="J557" s="120" t="s">
        <v>105</v>
      </c>
      <c r="K557" s="120" t="str">
        <f t="shared" si="214"/>
        <v/>
      </c>
      <c r="L557" s="170" t="s">
        <v>2821</v>
      </c>
      <c r="M557" s="122" t="str">
        <f t="shared" si="212"/>
        <v>N</v>
      </c>
      <c r="N557" s="116" t="str">
        <f>IF($L557&lt;&gt;"",VLOOKUP($L557,Categories!$E:$G,2,FALSE),IF($F557&lt;&gt;"","NO CAT",""))</f>
        <v>Not in Rate Base</v>
      </c>
      <c r="O557" s="116" t="str">
        <f>IF($L557&lt;&gt;"",VLOOKUP($L557,Categories!$E:$G,3,FALSE),IF($F557&lt;&gt;"","NO CAT",""))</f>
        <v>Deferrals Accruing Non-Cash Return   (other than ASGA)</v>
      </c>
      <c r="P557" s="170" t="s">
        <v>1186</v>
      </c>
      <c r="Q557" s="123" t="s">
        <v>1187</v>
      </c>
      <c r="R557" s="124">
        <v>0</v>
      </c>
      <c r="S557" s="124">
        <v>0</v>
      </c>
      <c r="T557" s="124">
        <v>1</v>
      </c>
      <c r="U557" s="121">
        <f t="shared" si="217"/>
        <v>0</v>
      </c>
      <c r="V557" s="121">
        <f t="shared" si="218"/>
        <v>0</v>
      </c>
      <c r="W557" s="121">
        <f t="shared" si="219"/>
        <v>-57453</v>
      </c>
      <c r="X557" s="121">
        <f t="shared" si="230"/>
        <v>-57453</v>
      </c>
      <c r="Y557" s="121">
        <f t="shared" si="220"/>
        <v>0</v>
      </c>
      <c r="Z557" s="121">
        <f t="shared" si="221"/>
        <v>0</v>
      </c>
      <c r="AA557" s="121">
        <f t="shared" si="222"/>
        <v>-57453</v>
      </c>
      <c r="AB557" s="121">
        <f t="shared" si="231"/>
        <v>-57453</v>
      </c>
      <c r="AC557" s="121">
        <v>-57453</v>
      </c>
      <c r="AD557" s="121">
        <v>-57453</v>
      </c>
      <c r="AE557" s="121">
        <v>-57453</v>
      </c>
      <c r="AF557" s="121">
        <v>-57453</v>
      </c>
      <c r="AG557" s="121">
        <v>-57453</v>
      </c>
      <c r="AH557" s="121">
        <v>-57453</v>
      </c>
      <c r="AI557" s="121">
        <v>-57453</v>
      </c>
      <c r="AJ557" s="121">
        <v>-57453</v>
      </c>
      <c r="AK557" s="121">
        <v>-57453</v>
      </c>
      <c r="AL557" s="121">
        <v>-57453</v>
      </c>
      <c r="AM557" s="121">
        <v>-57453</v>
      </c>
      <c r="AN557" s="121">
        <v>-57453</v>
      </c>
      <c r="AO557" s="121">
        <v>-57453</v>
      </c>
      <c r="AP557" s="125" t="str">
        <f>CONCATENATE(A557,M557)</f>
        <v>Reg AssetN</v>
      </c>
      <c r="AQ557" s="125" t="str">
        <f>CONCATENATE(AP557,L557,H557)</f>
        <v>Reg AssetNN10Storm Costs</v>
      </c>
      <c r="AS557" s="125" t="str">
        <f>CONCATENATE(L557,H557,J557)</f>
        <v>N10Storm CostsNCR</v>
      </c>
    </row>
    <row r="558" spans="1:45" s="125" customFormat="1" ht="25.5" customHeight="1">
      <c r="A558" s="216" t="s">
        <v>1442</v>
      </c>
      <c r="B558" s="217" t="str">
        <f t="shared" si="213"/>
        <v>Reg Asset182390807031BE030188</v>
      </c>
      <c r="C558" s="186">
        <v>182390</v>
      </c>
      <c r="D558" s="201">
        <v>807031</v>
      </c>
      <c r="E558" s="162" t="s">
        <v>1602</v>
      </c>
      <c r="F558" s="169" t="s">
        <v>1833</v>
      </c>
      <c r="G558" s="117" t="s">
        <v>1853</v>
      </c>
      <c r="H558" s="118" t="s">
        <v>1833</v>
      </c>
      <c r="I558" s="119"/>
      <c r="J558" s="120" t="s">
        <v>105</v>
      </c>
      <c r="K558" s="120" t="str">
        <f t="shared" si="214"/>
        <v/>
      </c>
      <c r="L558" s="170" t="s">
        <v>2821</v>
      </c>
      <c r="M558" s="122" t="str">
        <f t="shared" si="212"/>
        <v>N</v>
      </c>
      <c r="N558" s="116" t="str">
        <f>IF($L558&lt;&gt;"",VLOOKUP($L558,Categories!$E:$G,2,FALSE),IF($F558&lt;&gt;"","NO CAT",""))</f>
        <v>Not in Rate Base</v>
      </c>
      <c r="O558" s="116" t="str">
        <f>IF($L558&lt;&gt;"",VLOOKUP($L558,Categories!$E:$G,3,FALSE),IF($F558&lt;&gt;"","NO CAT",""))</f>
        <v>Deferrals Accruing Non-Cash Return   (other than ASGA)</v>
      </c>
      <c r="P558" s="170" t="s">
        <v>1186</v>
      </c>
      <c r="Q558" s="123" t="s">
        <v>1187</v>
      </c>
      <c r="R558" s="124">
        <v>0</v>
      </c>
      <c r="S558" s="124">
        <v>0</v>
      </c>
      <c r="T558" s="124">
        <v>1</v>
      </c>
      <c r="U558" s="121">
        <f t="shared" si="217"/>
        <v>0</v>
      </c>
      <c r="V558" s="121">
        <f t="shared" si="218"/>
        <v>0</v>
      </c>
      <c r="W558" s="121">
        <f t="shared" si="219"/>
        <v>-27423</v>
      </c>
      <c r="X558" s="121">
        <f t="shared" si="230"/>
        <v>-27423</v>
      </c>
      <c r="Y558" s="121">
        <f t="shared" si="220"/>
        <v>0</v>
      </c>
      <c r="Z558" s="121">
        <f t="shared" si="221"/>
        <v>0</v>
      </c>
      <c r="AA558" s="121">
        <f t="shared" si="222"/>
        <v>-27423</v>
      </c>
      <c r="AB558" s="121">
        <f t="shared" si="231"/>
        <v>-27423</v>
      </c>
      <c r="AC558" s="121">
        <v>-27423</v>
      </c>
      <c r="AD558" s="121">
        <v>-27423</v>
      </c>
      <c r="AE558" s="121">
        <v>-27423</v>
      </c>
      <c r="AF558" s="121">
        <v>-27423</v>
      </c>
      <c r="AG558" s="121">
        <v>-27423</v>
      </c>
      <c r="AH558" s="121">
        <v>-27423</v>
      </c>
      <c r="AI558" s="121">
        <v>-27423</v>
      </c>
      <c r="AJ558" s="121">
        <v>-27423</v>
      </c>
      <c r="AK558" s="121">
        <v>-27423</v>
      </c>
      <c r="AL558" s="121">
        <v>-27423</v>
      </c>
      <c r="AM558" s="121">
        <v>-27423</v>
      </c>
      <c r="AN558" s="121">
        <v>-27423</v>
      </c>
      <c r="AO558" s="121">
        <v>-27423</v>
      </c>
      <c r="AP558" s="125" t="str">
        <f>CONCATENATE(A558,M558)</f>
        <v>Reg AssetN</v>
      </c>
      <c r="AQ558" s="125" t="str">
        <f>CONCATENATE(AP558,L558,H558)</f>
        <v>Reg AssetNN10Storm Costs</v>
      </c>
      <c r="AS558" s="125" t="str">
        <f>CONCATENATE(L558,H558,J558)</f>
        <v>N10Storm CostsNCR</v>
      </c>
    </row>
    <row r="559" spans="1:45" s="125" customFormat="1" ht="25.5" customHeight="1">
      <c r="A559" s="216" t="s">
        <v>1442</v>
      </c>
      <c r="B559" s="217" t="str">
        <f t="shared" si="213"/>
        <v>Reg Asset182390807032BE030188</v>
      </c>
      <c r="C559" s="186">
        <v>182390</v>
      </c>
      <c r="D559" s="201">
        <v>807032</v>
      </c>
      <c r="E559" s="162" t="s">
        <v>1602</v>
      </c>
      <c r="F559" s="169" t="s">
        <v>1833</v>
      </c>
      <c r="G559" s="117" t="s">
        <v>1854</v>
      </c>
      <c r="H559" s="118" t="s">
        <v>1833</v>
      </c>
      <c r="I559" s="119"/>
      <c r="J559" s="120" t="s">
        <v>105</v>
      </c>
      <c r="K559" s="120" t="str">
        <f t="shared" si="214"/>
        <v/>
      </c>
      <c r="L559" s="170" t="s">
        <v>2821</v>
      </c>
      <c r="M559" s="122" t="str">
        <f t="shared" si="212"/>
        <v>N</v>
      </c>
      <c r="N559" s="116" t="str">
        <f>IF($L559&lt;&gt;"",VLOOKUP($L559,Categories!$E:$G,2,FALSE),IF($F559&lt;&gt;"","NO CAT",""))</f>
        <v>Not in Rate Base</v>
      </c>
      <c r="O559" s="116" t="str">
        <f>IF($L559&lt;&gt;"",VLOOKUP($L559,Categories!$E:$G,3,FALSE),IF($F559&lt;&gt;"","NO CAT",""))</f>
        <v>Deferrals Accruing Non-Cash Return   (other than ASGA)</v>
      </c>
      <c r="P559" s="170" t="s">
        <v>1186</v>
      </c>
      <c r="Q559" s="123" t="s">
        <v>1187</v>
      </c>
      <c r="R559" s="124">
        <v>0</v>
      </c>
      <c r="S559" s="124">
        <v>0</v>
      </c>
      <c r="T559" s="124">
        <v>1</v>
      </c>
      <c r="U559" s="121">
        <f t="shared" si="217"/>
        <v>0</v>
      </c>
      <c r="V559" s="121">
        <f t="shared" si="218"/>
        <v>0</v>
      </c>
      <c r="W559" s="121">
        <f t="shared" si="219"/>
        <v>106905.22318</v>
      </c>
      <c r="X559" s="121">
        <f t="shared" si="230"/>
        <v>106905.22318</v>
      </c>
      <c r="Y559" s="121">
        <f t="shared" si="220"/>
        <v>0</v>
      </c>
      <c r="Z559" s="121">
        <f t="shared" si="221"/>
        <v>0</v>
      </c>
      <c r="AA559" s="121">
        <f t="shared" si="222"/>
        <v>106905.22318</v>
      </c>
      <c r="AB559" s="121">
        <f t="shared" si="231"/>
        <v>106905.22318</v>
      </c>
      <c r="AC559" s="121">
        <v>106905.22318</v>
      </c>
      <c r="AD559" s="121">
        <v>106905.22318</v>
      </c>
      <c r="AE559" s="121">
        <v>106905.22318</v>
      </c>
      <c r="AF559" s="121">
        <v>106905.22318</v>
      </c>
      <c r="AG559" s="121">
        <v>106905.22318</v>
      </c>
      <c r="AH559" s="121">
        <v>106905.22318</v>
      </c>
      <c r="AI559" s="121">
        <v>106905.22318</v>
      </c>
      <c r="AJ559" s="121">
        <v>106905.22318</v>
      </c>
      <c r="AK559" s="121">
        <v>106905.22318</v>
      </c>
      <c r="AL559" s="121">
        <v>106905.22318</v>
      </c>
      <c r="AM559" s="121">
        <v>106905.22318</v>
      </c>
      <c r="AN559" s="121">
        <v>106905.22318</v>
      </c>
      <c r="AO559" s="121">
        <v>106905.22318</v>
      </c>
      <c r="AP559" s="125" t="str">
        <f>CONCATENATE(A559,M559)</f>
        <v>Reg AssetN</v>
      </c>
      <c r="AQ559" s="125" t="str">
        <f>CONCATENATE(AP559,L559,H559)</f>
        <v>Reg AssetNN10Storm Costs</v>
      </c>
      <c r="AS559" s="125" t="str">
        <f>CONCATENATE(L559,H559,J559)</f>
        <v>N10Storm CostsNCR</v>
      </c>
    </row>
    <row r="560" spans="1:45" s="125" customFormat="1" ht="25.5" customHeight="1">
      <c r="A560" s="216" t="s">
        <v>1442</v>
      </c>
      <c r="B560" s="217" t="str">
        <f t="shared" si="213"/>
        <v>Reg Asset182390807033BE030188</v>
      </c>
      <c r="C560" s="186">
        <v>182390</v>
      </c>
      <c r="D560" s="201">
        <v>807033</v>
      </c>
      <c r="E560" s="162" t="s">
        <v>1602</v>
      </c>
      <c r="F560" s="169" t="s">
        <v>1833</v>
      </c>
      <c r="G560" s="117" t="s">
        <v>1855</v>
      </c>
      <c r="H560" s="118" t="s">
        <v>1833</v>
      </c>
      <c r="I560" s="119"/>
      <c r="J560" s="120" t="s">
        <v>105</v>
      </c>
      <c r="K560" s="120" t="str">
        <f t="shared" si="214"/>
        <v/>
      </c>
      <c r="L560" s="170" t="s">
        <v>2821</v>
      </c>
      <c r="M560" s="122" t="str">
        <f t="shared" si="212"/>
        <v>N</v>
      </c>
      <c r="N560" s="116" t="str">
        <f>IF($L560&lt;&gt;"",VLOOKUP($L560,Categories!$E:$G,2,FALSE),IF($F560&lt;&gt;"","NO CAT",""))</f>
        <v>Not in Rate Base</v>
      </c>
      <c r="O560" s="116" t="str">
        <f>IF($L560&lt;&gt;"",VLOOKUP($L560,Categories!$E:$G,3,FALSE),IF($F560&lt;&gt;"","NO CAT",""))</f>
        <v>Deferrals Accruing Non-Cash Return   (other than ASGA)</v>
      </c>
      <c r="P560" s="170" t="s">
        <v>1186</v>
      </c>
      <c r="Q560" s="123" t="s">
        <v>1187</v>
      </c>
      <c r="R560" s="124">
        <v>0</v>
      </c>
      <c r="S560" s="124">
        <v>0</v>
      </c>
      <c r="T560" s="124">
        <v>1</v>
      </c>
      <c r="U560" s="121">
        <f t="shared" si="217"/>
        <v>0</v>
      </c>
      <c r="V560" s="121">
        <f t="shared" si="218"/>
        <v>0</v>
      </c>
      <c r="W560" s="121">
        <f t="shared" si="219"/>
        <v>8300.3007199999993</v>
      </c>
      <c r="X560" s="121">
        <f t="shared" si="230"/>
        <v>8300.3007199999993</v>
      </c>
      <c r="Y560" s="121">
        <f t="shared" si="220"/>
        <v>0</v>
      </c>
      <c r="Z560" s="121">
        <f t="shared" si="221"/>
        <v>0</v>
      </c>
      <c r="AA560" s="121">
        <f t="shared" si="222"/>
        <v>8300.3007199999993</v>
      </c>
      <c r="AB560" s="121">
        <f t="shared" si="231"/>
        <v>8300.3007199999993</v>
      </c>
      <c r="AC560" s="121">
        <v>8300.3007199999993</v>
      </c>
      <c r="AD560" s="121">
        <v>8300.3007199999993</v>
      </c>
      <c r="AE560" s="121">
        <v>8300.3007199999993</v>
      </c>
      <c r="AF560" s="121">
        <v>8300.3007199999993</v>
      </c>
      <c r="AG560" s="121">
        <v>8300.3007199999993</v>
      </c>
      <c r="AH560" s="121">
        <v>8300.3007199999993</v>
      </c>
      <c r="AI560" s="121">
        <v>8300.3007199999993</v>
      </c>
      <c r="AJ560" s="121">
        <v>8300.3007199999993</v>
      </c>
      <c r="AK560" s="121">
        <v>8300.3007199999993</v>
      </c>
      <c r="AL560" s="121">
        <v>8300.3007199999993</v>
      </c>
      <c r="AM560" s="121">
        <v>8300.3007199999993</v>
      </c>
      <c r="AN560" s="121">
        <v>8300.3007199999993</v>
      </c>
      <c r="AO560" s="121">
        <v>8300.3007199999993</v>
      </c>
      <c r="AP560" s="125" t="str">
        <f>CONCATENATE(A560,M560)</f>
        <v>Reg AssetN</v>
      </c>
      <c r="AQ560" s="125" t="str">
        <f>CONCATENATE(AP560,L560,H560)</f>
        <v>Reg AssetNN10Storm Costs</v>
      </c>
      <c r="AS560" s="125" t="str">
        <f>CONCATENATE(L560,H560,J560)</f>
        <v>N10Storm CostsNCR</v>
      </c>
    </row>
    <row r="561" spans="1:45" s="125" customFormat="1" ht="25.5" customHeight="1">
      <c r="A561" s="216" t="s">
        <v>1442</v>
      </c>
      <c r="B561" s="217" t="str">
        <f>CONCATENATE(A561,C561,D561,E561)</f>
        <v>Reg Asset182390807034BE030188</v>
      </c>
      <c r="C561" s="186">
        <v>182390</v>
      </c>
      <c r="D561" s="201">
        <v>807034</v>
      </c>
      <c r="E561" s="162" t="s">
        <v>1602</v>
      </c>
      <c r="F561" s="169" t="s">
        <v>1833</v>
      </c>
      <c r="G561" s="117" t="s">
        <v>4630</v>
      </c>
      <c r="H561" s="118" t="s">
        <v>1833</v>
      </c>
      <c r="I561" s="119"/>
      <c r="J561" s="120" t="s">
        <v>105</v>
      </c>
      <c r="K561" s="120" t="str">
        <f>IF(L561="N3","SFAS-109","")</f>
        <v/>
      </c>
      <c r="L561" s="170" t="s">
        <v>2821</v>
      </c>
      <c r="M561" s="122" t="str">
        <f>LEFT(L561,1)</f>
        <v>N</v>
      </c>
      <c r="N561" s="116" t="str">
        <f>IF($L561&lt;&gt;"",VLOOKUP($L561,Categories!$E:$G,2,FALSE),IF($F561&lt;&gt;"","NO CAT",""))</f>
        <v>Not in Rate Base</v>
      </c>
      <c r="O561" s="116" t="str">
        <f>IF($L561&lt;&gt;"",VLOOKUP($L561,Categories!$E:$G,3,FALSE),IF($F561&lt;&gt;"","NO CAT",""))</f>
        <v>Deferrals Accruing Non-Cash Return   (other than ASGA)</v>
      </c>
      <c r="P561" s="170" t="s">
        <v>1186</v>
      </c>
      <c r="Q561" s="123" t="s">
        <v>1187</v>
      </c>
      <c r="R561" s="124">
        <v>0</v>
      </c>
      <c r="S561" s="124">
        <v>0</v>
      </c>
      <c r="T561" s="124">
        <v>1</v>
      </c>
      <c r="U561" s="121">
        <f>IF(ABS(X561)=0,"",IF($R561="NO ALLOC","NO ALLOC",ROUND($R561*X561,15)))</f>
        <v>0</v>
      </c>
      <c r="V561" s="121">
        <f>IF(ABS(X561)=0,"",IF($S561="NO ALLOC","NO ALLOC",ROUND($S561*X561,15)))</f>
        <v>0</v>
      </c>
      <c r="W561" s="121">
        <f>IF(ABS(X561)=0,"",IF($T561="NO ALLOC","NO ALLOC",ROUND($T561*X561,15)))</f>
        <v>-92.823459999999997</v>
      </c>
      <c r="X561" s="121">
        <f t="shared" si="230"/>
        <v>-92.823459999999997</v>
      </c>
      <c r="Y561" s="121">
        <f>IF(ABS(AB561)=0,"",IF($R561="NO ALLOC","NO ALLOC",ROUND($R561*AB561,15)))</f>
        <v>0</v>
      </c>
      <c r="Z561" s="121">
        <f>IF(ABS(AB561)=0,"",IF($S561="NO ALLOC","NO ALLOC",ROUND($S561*AB561,15)))</f>
        <v>0</v>
      </c>
      <c r="AA561" s="121">
        <f>IF(ABS(AB561)=0,"",IF($T561="NO ALLOC","NO ALLOC",ROUND($T561*AB561,15)))</f>
        <v>-146.44198</v>
      </c>
      <c r="AB561" s="121">
        <f t="shared" si="231"/>
        <v>-146.44198</v>
      </c>
      <c r="AC561" s="121">
        <v>-39.204939999999993</v>
      </c>
      <c r="AD561" s="121">
        <v>-48.141359999999992</v>
      </c>
      <c r="AE561" s="121">
        <v>-57.07777999999999</v>
      </c>
      <c r="AF561" s="121">
        <v>-66.014200000000002</v>
      </c>
      <c r="AG561" s="121">
        <v>-74.950620000000001</v>
      </c>
      <c r="AH561" s="121">
        <v>-83.887039999999999</v>
      </c>
      <c r="AI561" s="121">
        <v>-92.823459999999997</v>
      </c>
      <c r="AJ561" s="121">
        <v>-101.75988</v>
      </c>
      <c r="AK561" s="121">
        <v>-110.69629999999999</v>
      </c>
      <c r="AL561" s="121">
        <v>-119.63271999999999</v>
      </c>
      <c r="AM561" s="121">
        <v>-128.56913999999998</v>
      </c>
      <c r="AN561" s="121">
        <v>-137.50556</v>
      </c>
      <c r="AO561" s="121">
        <v>-146.44198</v>
      </c>
      <c r="AP561" s="125" t="str">
        <f>CONCATENATE(A561,M561)</f>
        <v>Reg AssetN</v>
      </c>
      <c r="AQ561" s="125" t="str">
        <f>CONCATENATE(AP561,L561,H561)</f>
        <v>Reg AssetNN10Storm Costs</v>
      </c>
      <c r="AS561" s="125" t="str">
        <f>CONCATENATE(L561,H561,J561)</f>
        <v>N10Storm CostsNCR</v>
      </c>
    </row>
    <row r="562" spans="1:45" s="125" customFormat="1" ht="25.5" customHeight="1">
      <c r="A562" s="216" t="s">
        <v>1442</v>
      </c>
      <c r="B562" s="217" t="str">
        <f t="shared" si="213"/>
        <v>Reg Asset1823960-242.40.99BE030212</v>
      </c>
      <c r="C562" s="186">
        <v>182396</v>
      </c>
      <c r="D562" s="201" t="s">
        <v>1191</v>
      </c>
      <c r="E562" s="162" t="s">
        <v>3545</v>
      </c>
      <c r="F562" s="169" t="s">
        <v>2274</v>
      </c>
      <c r="G562" s="117" t="s">
        <v>951</v>
      </c>
      <c r="H562" s="118" t="s">
        <v>1149</v>
      </c>
      <c r="I562" s="119"/>
      <c r="J562" s="120"/>
      <c r="K562" s="120" t="str">
        <f t="shared" si="214"/>
        <v>SFAS-109</v>
      </c>
      <c r="L562" s="170" t="s">
        <v>930</v>
      </c>
      <c r="M562" s="122" t="str">
        <f t="shared" si="212"/>
        <v>N</v>
      </c>
      <c r="N562" s="116" t="str">
        <f>IF($L562&lt;&gt;"",VLOOKUP($L562,Categories!$E:$G,2,FALSE),IF($F562&lt;&gt;"","NO CAT",""))</f>
        <v>Not in Rate Base</v>
      </c>
      <c r="O562" s="116" t="str">
        <f>IF($L562&lt;&gt;"",VLOOKUP($L562,Categories!$E:$G,3,FALSE),IF($F562&lt;&gt;"","NO CAT",""))</f>
        <v>SFAS-109   (offsetting)</v>
      </c>
      <c r="P562" s="170" t="s">
        <v>1186</v>
      </c>
      <c r="Q562" s="123" t="s">
        <v>1187</v>
      </c>
      <c r="R562" s="124">
        <v>0</v>
      </c>
      <c r="S562" s="124">
        <v>0</v>
      </c>
      <c r="T562" s="124">
        <v>1</v>
      </c>
      <c r="U562" s="121">
        <f t="shared" si="217"/>
        <v>0</v>
      </c>
      <c r="V562" s="121">
        <f t="shared" si="218"/>
        <v>0</v>
      </c>
      <c r="W562" s="121">
        <f t="shared" si="219"/>
        <v>5845.3190000000004</v>
      </c>
      <c r="X562" s="121">
        <f t="shared" si="230"/>
        <v>5845.3190000000004</v>
      </c>
      <c r="Y562" s="121">
        <f t="shared" si="220"/>
        <v>0</v>
      </c>
      <c r="Z562" s="121">
        <f t="shared" si="221"/>
        <v>0</v>
      </c>
      <c r="AA562" s="121">
        <f t="shared" si="222"/>
        <v>5845.3190000000004</v>
      </c>
      <c r="AB562" s="121">
        <f t="shared" si="231"/>
        <v>5845.3190000000004</v>
      </c>
      <c r="AC562" s="121">
        <v>5845.3190000000004</v>
      </c>
      <c r="AD562" s="121">
        <v>5845.3190000000004</v>
      </c>
      <c r="AE562" s="121">
        <v>5845.3190000000004</v>
      </c>
      <c r="AF562" s="121">
        <v>5845.3190000000004</v>
      </c>
      <c r="AG562" s="121">
        <v>5845.3190000000004</v>
      </c>
      <c r="AH562" s="121">
        <v>5845.3190000000004</v>
      </c>
      <c r="AI562" s="121">
        <v>5845.3190000000004</v>
      </c>
      <c r="AJ562" s="121">
        <v>5845.3190000000004</v>
      </c>
      <c r="AK562" s="121">
        <v>5845.3190000000004</v>
      </c>
      <c r="AL562" s="121">
        <v>5845.3190000000004</v>
      </c>
      <c r="AM562" s="121">
        <v>5845.3190000000004</v>
      </c>
      <c r="AN562" s="121">
        <v>5845.3190000000004</v>
      </c>
      <c r="AO562" s="121">
        <v>5845.3190000000004</v>
      </c>
      <c r="AP562" s="125" t="str">
        <f>CONCATENATE(A562,M562)</f>
        <v>Reg AssetN</v>
      </c>
      <c r="AQ562" s="125" t="str">
        <f>CONCATENATE(AP562,L562,H562)</f>
        <v>Reg AssetNN3SFAS-109</v>
      </c>
      <c r="AS562" s="125" t="str">
        <f>CONCATENATE(L562,H562,J562)</f>
        <v>N3SFAS-109</v>
      </c>
    </row>
    <row r="563" spans="1:45" s="125" customFormat="1" ht="25.5" customHeight="1">
      <c r="A563" s="216" t="s">
        <v>1442</v>
      </c>
      <c r="B563" s="217" t="str">
        <f t="shared" si="213"/>
        <v>Reg Asset1823970-149.51.99BT010103</v>
      </c>
      <c r="C563" s="186">
        <v>182397</v>
      </c>
      <c r="D563" s="201" t="s">
        <v>2748</v>
      </c>
      <c r="E563" s="221" t="s">
        <v>1613</v>
      </c>
      <c r="F563" s="169" t="s">
        <v>338</v>
      </c>
      <c r="G563" s="117" t="s">
        <v>951</v>
      </c>
      <c r="H563" s="118" t="s">
        <v>1149</v>
      </c>
      <c r="I563" s="119"/>
      <c r="J563" s="120"/>
      <c r="K563" s="120" t="str">
        <f t="shared" si="214"/>
        <v>SFAS-109</v>
      </c>
      <c r="L563" s="170" t="s">
        <v>930</v>
      </c>
      <c r="M563" s="122" t="str">
        <f t="shared" si="212"/>
        <v>N</v>
      </c>
      <c r="N563" s="116" t="str">
        <f>IF($L563&lt;&gt;"",VLOOKUP($L563,Categories!$E:$G,2,FALSE),IF($F563&lt;&gt;"","NO CAT",""))</f>
        <v>Not in Rate Base</v>
      </c>
      <c r="O563" s="116" t="str">
        <f>IF($L563&lt;&gt;"",VLOOKUP($L563,Categories!$E:$G,3,FALSE),IF($F563&lt;&gt;"","NO CAT",""))</f>
        <v>SFAS-109   (offsetting)</v>
      </c>
      <c r="P563" s="170" t="s">
        <v>1186</v>
      </c>
      <c r="Q563" s="123" t="s">
        <v>1187</v>
      </c>
      <c r="R563" s="124">
        <v>0</v>
      </c>
      <c r="S563" s="124">
        <v>0</v>
      </c>
      <c r="T563" s="124">
        <v>1</v>
      </c>
      <c r="U563" s="121">
        <f t="shared" si="217"/>
        <v>0</v>
      </c>
      <c r="V563" s="121">
        <f t="shared" si="218"/>
        <v>0</v>
      </c>
      <c r="W563" s="121">
        <f t="shared" si="219"/>
        <v>-5812.8490000000002</v>
      </c>
      <c r="X563" s="121">
        <f t="shared" si="230"/>
        <v>-5812.8490000000002</v>
      </c>
      <c r="Y563" s="121">
        <f t="shared" si="220"/>
        <v>0</v>
      </c>
      <c r="Z563" s="121">
        <f t="shared" si="221"/>
        <v>0</v>
      </c>
      <c r="AA563" s="121">
        <f t="shared" si="222"/>
        <v>-5812.8490000000002</v>
      </c>
      <c r="AB563" s="121">
        <f t="shared" si="231"/>
        <v>-5812.8490000000002</v>
      </c>
      <c r="AC563" s="121">
        <v>-5812.8490000000002</v>
      </c>
      <c r="AD563" s="121">
        <v>-5812.8490000000002</v>
      </c>
      <c r="AE563" s="121">
        <v>-5812.8490000000002</v>
      </c>
      <c r="AF563" s="121">
        <v>-5812.8490000000002</v>
      </c>
      <c r="AG563" s="121">
        <v>-5812.8490000000002</v>
      </c>
      <c r="AH563" s="121">
        <v>-5812.8490000000002</v>
      </c>
      <c r="AI563" s="121">
        <v>-5812.8490000000002</v>
      </c>
      <c r="AJ563" s="121">
        <v>-5812.8490000000002</v>
      </c>
      <c r="AK563" s="121">
        <v>-5812.8490000000002</v>
      </c>
      <c r="AL563" s="121">
        <v>-5812.8490000000002</v>
      </c>
      <c r="AM563" s="121">
        <v>-5812.8490000000002</v>
      </c>
      <c r="AN563" s="121">
        <v>-5812.8490000000002</v>
      </c>
      <c r="AO563" s="121">
        <v>-5812.8490000000002</v>
      </c>
      <c r="AP563" s="125" t="str">
        <f>CONCATENATE(A563,M563)</f>
        <v>Reg AssetN</v>
      </c>
      <c r="AQ563" s="125" t="str">
        <f>CONCATENATE(AP563,L563,H563)</f>
        <v>Reg AssetNN3SFAS-109</v>
      </c>
      <c r="AS563" s="125" t="str">
        <f>CONCATENATE(L563,H563,J563)</f>
        <v>N3SFAS-109</v>
      </c>
    </row>
    <row r="564" spans="1:45" s="125" customFormat="1" ht="25.5" customHeight="1">
      <c r="A564" s="216" t="s">
        <v>1442</v>
      </c>
      <c r="B564" s="217" t="str">
        <f t="shared" si="213"/>
        <v>Reg Asset182397BT010103</v>
      </c>
      <c r="C564" s="186">
        <v>182397</v>
      </c>
      <c r="D564" s="201"/>
      <c r="E564" s="162" t="s">
        <v>1613</v>
      </c>
      <c r="F564" s="169" t="s">
        <v>338</v>
      </c>
      <c r="G564" s="117" t="s">
        <v>951</v>
      </c>
      <c r="H564" s="118" t="s">
        <v>1149</v>
      </c>
      <c r="I564" s="119"/>
      <c r="J564" s="120"/>
      <c r="K564" s="120" t="str">
        <f>IF(L564="N3","SFAS-109","")</f>
        <v>SFAS-109</v>
      </c>
      <c r="L564" s="170" t="s">
        <v>930</v>
      </c>
      <c r="M564" s="122" t="str">
        <f>LEFT(L564,1)</f>
        <v>N</v>
      </c>
      <c r="N564" s="116" t="str">
        <f>IF($L564&lt;&gt;"",VLOOKUP($L564,Categories!$E:$G,2,FALSE),IF($F564&lt;&gt;"","NO CAT",""))</f>
        <v>Not in Rate Base</v>
      </c>
      <c r="O564" s="116" t="str">
        <f>IF($L564&lt;&gt;"",VLOOKUP($L564,Categories!$E:$G,3,FALSE),IF($F564&lt;&gt;"","NO CAT",""))</f>
        <v>SFAS-109   (offsetting)</v>
      </c>
      <c r="P564" s="170" t="s">
        <v>1186</v>
      </c>
      <c r="Q564" s="123" t="s">
        <v>1187</v>
      </c>
      <c r="R564" s="124">
        <v>0</v>
      </c>
      <c r="S564" s="124">
        <v>0</v>
      </c>
      <c r="T564" s="124">
        <v>1</v>
      </c>
      <c r="U564" s="121">
        <f t="shared" si="217"/>
        <v>0</v>
      </c>
      <c r="V564" s="121">
        <f t="shared" si="218"/>
        <v>0</v>
      </c>
      <c r="W564" s="121">
        <f t="shared" si="219"/>
        <v>1233.8599999999999</v>
      </c>
      <c r="X564" s="121">
        <f t="shared" si="230"/>
        <v>1233.8599999999999</v>
      </c>
      <c r="Y564" s="121">
        <f t="shared" si="220"/>
        <v>0</v>
      </c>
      <c r="Z564" s="121">
        <f t="shared" si="221"/>
        <v>0</v>
      </c>
      <c r="AA564" s="121">
        <f t="shared" si="222"/>
        <v>1331.27</v>
      </c>
      <c r="AB564" s="121">
        <f t="shared" si="231"/>
        <v>1331.27</v>
      </c>
      <c r="AC564" s="121">
        <v>1136.45</v>
      </c>
      <c r="AD564" s="121">
        <v>1152.6849999999999</v>
      </c>
      <c r="AE564" s="121">
        <v>1168.92</v>
      </c>
      <c r="AF564" s="121">
        <v>1185.155</v>
      </c>
      <c r="AG564" s="121">
        <v>1201.3900000000001</v>
      </c>
      <c r="AH564" s="121">
        <v>1217.625</v>
      </c>
      <c r="AI564" s="121">
        <v>1233.8599999999999</v>
      </c>
      <c r="AJ564" s="121">
        <v>1250.095</v>
      </c>
      <c r="AK564" s="121">
        <v>1266.33</v>
      </c>
      <c r="AL564" s="121">
        <v>1282.5650000000001</v>
      </c>
      <c r="AM564" s="121">
        <v>1298.8</v>
      </c>
      <c r="AN564" s="121">
        <v>1315.0350000000001</v>
      </c>
      <c r="AO564" s="121">
        <v>1331.27</v>
      </c>
      <c r="AP564" s="125" t="str">
        <f>CONCATENATE(A564,M564)</f>
        <v>Reg AssetN</v>
      </c>
      <c r="AQ564" s="125" t="str">
        <f>CONCATENATE(AP564,L564,H564)</f>
        <v>Reg AssetNN3SFAS-109</v>
      </c>
      <c r="AS564" s="125" t="str">
        <f>CONCATENATE(L564,H564,J564)</f>
        <v>N3SFAS-109</v>
      </c>
    </row>
    <row r="565" spans="1:45" s="125" customFormat="1" ht="25.5" customHeight="1">
      <c r="A565" s="216" t="s">
        <v>1442</v>
      </c>
      <c r="B565" s="217" t="str">
        <f t="shared" si="213"/>
        <v>Reg Asset1823980-242.40.99BG030213</v>
      </c>
      <c r="C565" s="186">
        <v>182398</v>
      </c>
      <c r="D565" s="201" t="s">
        <v>1191</v>
      </c>
      <c r="E565" s="162" t="s">
        <v>3546</v>
      </c>
      <c r="F565" s="169" t="s">
        <v>1946</v>
      </c>
      <c r="G565" s="117" t="s">
        <v>1190</v>
      </c>
      <c r="H565" s="118" t="s">
        <v>1149</v>
      </c>
      <c r="I565" s="119"/>
      <c r="J565" s="120"/>
      <c r="K565" s="120" t="str">
        <f t="shared" si="214"/>
        <v>SFAS-109</v>
      </c>
      <c r="L565" s="170" t="s">
        <v>930</v>
      </c>
      <c r="M565" s="122" t="str">
        <f t="shared" si="212"/>
        <v>N</v>
      </c>
      <c r="N565" s="116" t="str">
        <f>IF($L565&lt;&gt;"",VLOOKUP($L565,Categories!$E:$G,2,FALSE),IF($F565&lt;&gt;"","NO CAT",""))</f>
        <v>Not in Rate Base</v>
      </c>
      <c r="O565" s="116" t="str">
        <f>IF($L565&lt;&gt;"",VLOOKUP($L565,Categories!$E:$G,3,FALSE),IF($F565&lt;&gt;"","NO CAT",""))</f>
        <v>SFAS-109   (offsetting)</v>
      </c>
      <c r="P565" s="170" t="s">
        <v>1186</v>
      </c>
      <c r="Q565" s="123" t="s">
        <v>1187</v>
      </c>
      <c r="R565" s="124">
        <v>0</v>
      </c>
      <c r="S565" s="124">
        <v>0</v>
      </c>
      <c r="T565" s="124">
        <v>1</v>
      </c>
      <c r="U565" s="121">
        <f t="shared" si="217"/>
        <v>0</v>
      </c>
      <c r="V565" s="121">
        <f t="shared" si="218"/>
        <v>0</v>
      </c>
      <c r="W565" s="121">
        <f t="shared" si="219"/>
        <v>1481.6120000000001</v>
      </c>
      <c r="X565" s="121">
        <f t="shared" si="230"/>
        <v>1481.6120000000001</v>
      </c>
      <c r="Y565" s="121">
        <f t="shared" si="220"/>
        <v>0</v>
      </c>
      <c r="Z565" s="121">
        <f t="shared" si="221"/>
        <v>0</v>
      </c>
      <c r="AA565" s="121">
        <f t="shared" si="222"/>
        <v>1481.6120000000001</v>
      </c>
      <c r="AB565" s="121">
        <f t="shared" si="231"/>
        <v>1481.6120000000001</v>
      </c>
      <c r="AC565" s="121">
        <v>1481.6120000000001</v>
      </c>
      <c r="AD565" s="121">
        <v>1481.6120000000001</v>
      </c>
      <c r="AE565" s="121">
        <v>1481.6120000000001</v>
      </c>
      <c r="AF565" s="121">
        <v>1481.6120000000001</v>
      </c>
      <c r="AG565" s="121">
        <v>1481.6120000000001</v>
      </c>
      <c r="AH565" s="121">
        <v>1481.6120000000001</v>
      </c>
      <c r="AI565" s="121">
        <v>1481.6120000000001</v>
      </c>
      <c r="AJ565" s="121">
        <v>1481.6120000000001</v>
      </c>
      <c r="AK565" s="121">
        <v>1481.6120000000001</v>
      </c>
      <c r="AL565" s="121">
        <v>1481.6120000000001</v>
      </c>
      <c r="AM565" s="121">
        <v>1481.6120000000001</v>
      </c>
      <c r="AN565" s="121">
        <v>1481.6120000000001</v>
      </c>
      <c r="AO565" s="121">
        <v>1481.6120000000001</v>
      </c>
      <c r="AP565" s="125" t="str">
        <f>CONCATENATE(A565,M565)</f>
        <v>Reg AssetN</v>
      </c>
      <c r="AQ565" s="125" t="str">
        <f>CONCATENATE(AP565,L565,H565)</f>
        <v>Reg AssetNN3SFAS-109</v>
      </c>
      <c r="AS565" s="125" t="str">
        <f>CONCATENATE(L565,H565,J565)</f>
        <v>N3SFAS-109</v>
      </c>
    </row>
    <row r="566" spans="1:45" s="125" customFormat="1" ht="25.5" customHeight="1">
      <c r="A566" s="216" t="s">
        <v>1442</v>
      </c>
      <c r="B566" s="217" t="str">
        <f t="shared" si="213"/>
        <v>Reg Asset1823990-149.51.99BT010103</v>
      </c>
      <c r="C566" s="186">
        <v>182399</v>
      </c>
      <c r="D566" s="201" t="s">
        <v>2748</v>
      </c>
      <c r="E566" s="221" t="s">
        <v>1613</v>
      </c>
      <c r="F566" s="169" t="s">
        <v>1742</v>
      </c>
      <c r="G566" s="117" t="s">
        <v>1190</v>
      </c>
      <c r="H566" s="118" t="s">
        <v>1149</v>
      </c>
      <c r="I566" s="119"/>
      <c r="J566" s="120"/>
      <c r="K566" s="120" t="str">
        <f t="shared" si="214"/>
        <v>SFAS-109</v>
      </c>
      <c r="L566" s="170" t="s">
        <v>930</v>
      </c>
      <c r="M566" s="122" t="str">
        <f t="shared" si="212"/>
        <v>N</v>
      </c>
      <c r="N566" s="116" t="str">
        <f>IF($L566&lt;&gt;"",VLOOKUP($L566,Categories!$E:$G,2,FALSE),IF($F566&lt;&gt;"","NO CAT",""))</f>
        <v>Not in Rate Base</v>
      </c>
      <c r="O566" s="116" t="str">
        <f>IF($L566&lt;&gt;"",VLOOKUP($L566,Categories!$E:$G,3,FALSE),IF($F566&lt;&gt;"","NO CAT",""))</f>
        <v>SFAS-109   (offsetting)</v>
      </c>
      <c r="P566" s="170" t="s">
        <v>1186</v>
      </c>
      <c r="Q566" s="123" t="s">
        <v>1187</v>
      </c>
      <c r="R566" s="124">
        <v>0</v>
      </c>
      <c r="S566" s="124">
        <v>0</v>
      </c>
      <c r="T566" s="124">
        <v>1</v>
      </c>
      <c r="U566" s="121">
        <f t="shared" si="217"/>
        <v>0</v>
      </c>
      <c r="V566" s="121">
        <f t="shared" si="218"/>
        <v>0</v>
      </c>
      <c r="W566" s="121">
        <f t="shared" si="219"/>
        <v>-1461.5975000000001</v>
      </c>
      <c r="X566" s="121">
        <f t="shared" si="230"/>
        <v>-1461.5975000000001</v>
      </c>
      <c r="Y566" s="121">
        <f t="shared" si="220"/>
        <v>0</v>
      </c>
      <c r="Z566" s="121">
        <f t="shared" si="221"/>
        <v>0</v>
      </c>
      <c r="AA566" s="121">
        <f t="shared" si="222"/>
        <v>-1461.5975000000001</v>
      </c>
      <c r="AB566" s="121">
        <f t="shared" si="231"/>
        <v>-1461.5975000000001</v>
      </c>
      <c r="AC566" s="121">
        <v>-1461.5975000000001</v>
      </c>
      <c r="AD566" s="121">
        <v>-1461.5975000000001</v>
      </c>
      <c r="AE566" s="121">
        <v>-1461.5975000000001</v>
      </c>
      <c r="AF566" s="121">
        <v>-1461.5975000000001</v>
      </c>
      <c r="AG566" s="121">
        <v>-1461.5975000000001</v>
      </c>
      <c r="AH566" s="121">
        <v>-1461.5975000000001</v>
      </c>
      <c r="AI566" s="121">
        <v>-1461.5975000000001</v>
      </c>
      <c r="AJ566" s="121">
        <v>-1461.5975000000001</v>
      </c>
      <c r="AK566" s="121">
        <v>-1461.5975000000001</v>
      </c>
      <c r="AL566" s="121">
        <v>-1461.5975000000001</v>
      </c>
      <c r="AM566" s="121">
        <v>-1461.5975000000001</v>
      </c>
      <c r="AN566" s="121">
        <v>-1461.5975000000001</v>
      </c>
      <c r="AO566" s="121">
        <v>-1461.5975000000001</v>
      </c>
      <c r="AP566" s="125" t="str">
        <f>CONCATENATE(A566,M566)</f>
        <v>Reg AssetN</v>
      </c>
      <c r="AQ566" s="125" t="str">
        <f>CONCATENATE(AP566,L566,H566)</f>
        <v>Reg AssetNN3SFAS-109</v>
      </c>
      <c r="AS566" s="125" t="str">
        <f>CONCATENATE(L566,H566,J566)</f>
        <v>N3SFAS-109</v>
      </c>
    </row>
    <row r="567" spans="1:45" s="125" customFormat="1" ht="25.5" customHeight="1">
      <c r="A567" s="216" t="s">
        <v>1442</v>
      </c>
      <c r="B567" s="217" t="str">
        <f t="shared" si="213"/>
        <v>Reg Asset182399BT010103</v>
      </c>
      <c r="C567" s="186">
        <v>182399</v>
      </c>
      <c r="D567" s="201"/>
      <c r="E567" s="162" t="s">
        <v>1613</v>
      </c>
      <c r="F567" s="169" t="s">
        <v>1742</v>
      </c>
      <c r="G567" s="117" t="s">
        <v>1190</v>
      </c>
      <c r="H567" s="118" t="s">
        <v>1149</v>
      </c>
      <c r="I567" s="119"/>
      <c r="J567" s="120"/>
      <c r="K567" s="120" t="str">
        <f t="shared" si="214"/>
        <v>SFAS-109</v>
      </c>
      <c r="L567" s="170" t="s">
        <v>930</v>
      </c>
      <c r="M567" s="122" t="str">
        <f>LEFT(L567,1)</f>
        <v>N</v>
      </c>
      <c r="N567" s="116" t="str">
        <f>IF($L567&lt;&gt;"",VLOOKUP($L567,Categories!$E:$G,2,FALSE),IF($F567&lt;&gt;"","NO CAT",""))</f>
        <v>Not in Rate Base</v>
      </c>
      <c r="O567" s="116" t="str">
        <f>IF($L567&lt;&gt;"",VLOOKUP($L567,Categories!$E:$G,3,FALSE),IF($F567&lt;&gt;"","NO CAT",""))</f>
        <v>SFAS-109   (offsetting)</v>
      </c>
      <c r="P567" s="170" t="s">
        <v>1186</v>
      </c>
      <c r="Q567" s="123" t="s">
        <v>1187</v>
      </c>
      <c r="R567" s="124">
        <v>0</v>
      </c>
      <c r="S567" s="124">
        <v>0</v>
      </c>
      <c r="T567" s="124">
        <v>1</v>
      </c>
      <c r="U567" s="121">
        <f t="shared" si="217"/>
        <v>0</v>
      </c>
      <c r="V567" s="121">
        <f t="shared" si="218"/>
        <v>0</v>
      </c>
      <c r="W567" s="121">
        <f t="shared" si="219"/>
        <v>296.30700000000002</v>
      </c>
      <c r="X567" s="121">
        <f t="shared" si="230"/>
        <v>296.30700000000002</v>
      </c>
      <c r="Y567" s="121">
        <f t="shared" si="220"/>
        <v>0</v>
      </c>
      <c r="Z567" s="121">
        <f t="shared" si="221"/>
        <v>0</v>
      </c>
      <c r="AA567" s="121">
        <f t="shared" si="222"/>
        <v>320.661</v>
      </c>
      <c r="AB567" s="121">
        <f t="shared" si="231"/>
        <v>320.661</v>
      </c>
      <c r="AC567" s="121">
        <v>271.95299999999997</v>
      </c>
      <c r="AD567" s="121">
        <v>276.012</v>
      </c>
      <c r="AE567" s="121">
        <v>280.07100000000003</v>
      </c>
      <c r="AF567" s="121">
        <v>284.13</v>
      </c>
      <c r="AG567" s="121">
        <v>288.18900000000002</v>
      </c>
      <c r="AH567" s="121">
        <v>292.24799999999999</v>
      </c>
      <c r="AI567" s="121">
        <v>296.30700000000002</v>
      </c>
      <c r="AJ567" s="121">
        <v>300.36599999999999</v>
      </c>
      <c r="AK567" s="121">
        <v>304.42500000000001</v>
      </c>
      <c r="AL567" s="121">
        <v>308.48399999999998</v>
      </c>
      <c r="AM567" s="121">
        <v>312.54300000000001</v>
      </c>
      <c r="AN567" s="121">
        <v>316.60199999999998</v>
      </c>
      <c r="AO567" s="121">
        <v>320.661</v>
      </c>
      <c r="AP567" s="125" t="str">
        <f>CONCATENATE(A567,M567)</f>
        <v>Reg AssetN</v>
      </c>
      <c r="AQ567" s="125" t="str">
        <f>CONCATENATE(AP567,L567,H567)</f>
        <v>Reg AssetNN3SFAS-109</v>
      </c>
      <c r="AS567" s="125" t="str">
        <f>CONCATENATE(L567,H567,J567)</f>
        <v>N3SFAS-109</v>
      </c>
    </row>
    <row r="568" spans="1:45" s="125" customFormat="1" ht="25.5" customHeight="1">
      <c r="A568" s="216" t="s">
        <v>1442</v>
      </c>
      <c r="B568" s="217" t="str">
        <f t="shared" ref="B568:B579" si="232">CONCATENATE(A568,C568,D568,E568)</f>
        <v>Reg Asset189000Move Debt Exp0</v>
      </c>
      <c r="C568" s="186">
        <v>189000</v>
      </c>
      <c r="D568" s="201" t="s">
        <v>2225</v>
      </c>
      <c r="E568" s="162">
        <v>0</v>
      </c>
      <c r="F568" s="169" t="s">
        <v>43</v>
      </c>
      <c r="G568" s="117" t="s">
        <v>1759</v>
      </c>
      <c r="H568" s="118" t="s">
        <v>45</v>
      </c>
      <c r="I568" s="119"/>
      <c r="J568" s="120"/>
      <c r="K568" s="120" t="str">
        <f>IF(L568="N3","SFAS-109","")</f>
        <v/>
      </c>
      <c r="L568" s="170" t="s">
        <v>1893</v>
      </c>
      <c r="M568" s="122" t="str">
        <f t="shared" si="212"/>
        <v>R</v>
      </c>
      <c r="N568" s="116" t="str">
        <f>IF($L568&lt;&gt;"",VLOOKUP($L568,Categories!$E:$G,2,FALSE),IF($F568&lt;&gt;"","NO CAT",""))</f>
        <v>Rate Base</v>
      </c>
      <c r="O568" s="116" t="str">
        <f>IF($L568&lt;&gt;"",VLOOKUP($L568,Categories!$E:$G,3,FALSE),IF($F568&lt;&gt;"","NO CAT",""))</f>
        <v>Deferred Debits &amp; Credits</v>
      </c>
      <c r="P568" s="170" t="s">
        <v>1188</v>
      </c>
      <c r="Q568" s="123" t="s">
        <v>1843</v>
      </c>
      <c r="R568" s="124">
        <v>0.76071990262269951</v>
      </c>
      <c r="S568" s="124">
        <v>0.23928009737730072</v>
      </c>
      <c r="T568" s="124">
        <v>0</v>
      </c>
      <c r="U568" s="121">
        <f t="shared" ref="U568:U578" si="233">IF(ABS(X568)=0,"",IF($R568="NO ALLOC","NO ALLOC",ROUND($R568*X568,15)))</f>
        <v>16265.7712499429</v>
      </c>
      <c r="V568" s="121">
        <f t="shared" ref="V568:V578" si="234">IF(ABS(X568)=0,"",IF($S568="NO ALLOC","NO ALLOC",ROUND($S568*X568,15)))</f>
        <v>5116.3053775571098</v>
      </c>
      <c r="W568" s="121">
        <f t="shared" ref="W568:W578" si="235">IF(ABS(X568)=0,"",IF($T568="NO ALLOC","NO ALLOC",ROUND($T568*X568,15)))</f>
        <v>0</v>
      </c>
      <c r="X568" s="121">
        <f t="shared" si="230"/>
        <v>21382.076627499999</v>
      </c>
      <c r="Y568" s="121">
        <f t="shared" ref="Y568:Y578" si="236">IF(ABS(AB568)=0,"",IF($R568="NO ALLOC","NO ALLOC",ROUND($R568*AB568,15)))</f>
        <v>15477.522113097901</v>
      </c>
      <c r="Z568" s="121">
        <f t="shared" ref="Z568:Z578" si="237">IF(ABS(AB568)=0,"",IF($S568="NO ALLOC","NO ALLOC",ROUND($S568*AB568,15)))</f>
        <v>4868.3661169020697</v>
      </c>
      <c r="AA568" s="121">
        <f t="shared" ref="AA568:AA578" si="238">IF(ABS(AB568)=0,"",IF($T568="NO ALLOC","NO ALLOC",ROUND($T568*AB568,15)))</f>
        <v>0</v>
      </c>
      <c r="AB568" s="121">
        <f t="shared" si="231"/>
        <v>20345.88822999999</v>
      </c>
      <c r="AC568" s="121">
        <v>22614.736529999995</v>
      </c>
      <c r="AD568" s="121">
        <v>22401.266780000002</v>
      </c>
      <c r="AE568" s="121">
        <v>22187.797029999994</v>
      </c>
      <c r="AF568" s="121">
        <v>21974.327280000001</v>
      </c>
      <c r="AG568" s="121">
        <v>21760.857529999994</v>
      </c>
      <c r="AH568" s="121">
        <v>21559.161169999999</v>
      </c>
      <c r="AI568" s="121">
        <v>21357.464809999994</v>
      </c>
      <c r="AJ568" s="121">
        <v>21162.558710000001</v>
      </c>
      <c r="AK568" s="121">
        <v>20967.652610000001</v>
      </c>
      <c r="AL568" s="121">
        <v>20772.746510000001</v>
      </c>
      <c r="AM568" s="121">
        <v>20577.84040999999</v>
      </c>
      <c r="AN568" s="121">
        <v>20382.934309999986</v>
      </c>
      <c r="AO568" s="121">
        <v>20345.88822999999</v>
      </c>
      <c r="AP568" s="125" t="str">
        <f>CONCATENATE(A568,M568)</f>
        <v>Reg AssetR</v>
      </c>
      <c r="AQ568" s="125" t="str">
        <f>CONCATENATE(AP568,L568,H568)</f>
        <v>Reg AssetRR10Gain / Loss on Reacquired Debt</v>
      </c>
      <c r="AS568" s="125" t="str">
        <f>CONCATENATE(L568,H568,J568)</f>
        <v>R10Gain / Loss on Reacquired Debt</v>
      </c>
    </row>
    <row r="569" spans="1:45" s="125" customFormat="1" ht="25.5" customHeight="1">
      <c r="A569" s="216" t="s">
        <v>1442</v>
      </c>
      <c r="B569" s="217" t="str">
        <f t="shared" si="232"/>
        <v>Reg Asset254012801202BE030416</v>
      </c>
      <c r="C569" s="186">
        <v>254012</v>
      </c>
      <c r="D569" s="201">
        <v>801202</v>
      </c>
      <c r="E569" s="162" t="s">
        <v>4678</v>
      </c>
      <c r="F569" s="169" t="s">
        <v>2777</v>
      </c>
      <c r="G569" s="117" t="s">
        <v>2514</v>
      </c>
      <c r="H569" s="118" t="s">
        <v>624</v>
      </c>
      <c r="I569" s="120"/>
      <c r="J569" s="120"/>
      <c r="K569" s="120" t="str">
        <f t="shared" ref="K569:K570" si="239">IF(L569="N3","SFAS-109","")</f>
        <v/>
      </c>
      <c r="L569" s="170" t="s">
        <v>928</v>
      </c>
      <c r="M569" s="122" t="str">
        <f t="shared" si="212"/>
        <v>N</v>
      </c>
      <c r="N569" s="116" t="str">
        <f>IF($L569&lt;&gt;"",VLOOKUP($L569,Categories!$E:$G,2,FALSE),IF($F569&lt;&gt;"","NO CAT",""))</f>
        <v>Not in Rate Base</v>
      </c>
      <c r="O569" s="116" t="str">
        <f>IF($L569&lt;&gt;"",VLOOKUP($L569,Categories!$E:$G,3,FALSE),IF($F569&lt;&gt;"","NO CAT",""))</f>
        <v>Direct Assign Items Not in RB</v>
      </c>
      <c r="P569" s="170" t="s">
        <v>1186</v>
      </c>
      <c r="Q569" s="123" t="s">
        <v>1187</v>
      </c>
      <c r="R569" s="124">
        <v>0</v>
      </c>
      <c r="S569" s="124">
        <v>0</v>
      </c>
      <c r="T569" s="124">
        <v>1</v>
      </c>
      <c r="U569" s="121">
        <f t="shared" si="233"/>
        <v>0</v>
      </c>
      <c r="V569" s="121">
        <f t="shared" si="234"/>
        <v>0</v>
      </c>
      <c r="W569" s="121">
        <f t="shared" si="235"/>
        <v>-2708.9784941666699</v>
      </c>
      <c r="X569" s="121">
        <f t="shared" ref="X569:X591" si="240">IF(ISERROR(ROUND((SUM(AC569:AO569)-((AC569+AO569))/2)/12,15)),"",ROUND((SUM(AC569:AO569)-((AC569+AO569))/2)/12,15))</f>
        <v>-2708.9784941666699</v>
      </c>
      <c r="Y569" s="121">
        <f t="shared" si="236"/>
        <v>0</v>
      </c>
      <c r="Z569" s="121">
        <f t="shared" si="237"/>
        <v>0</v>
      </c>
      <c r="AA569" s="121">
        <f t="shared" si="238"/>
        <v>-2794.19155</v>
      </c>
      <c r="AB569" s="121">
        <f t="shared" ref="AB569:AB591" si="241">IF(AO569="",0,+AO569)</f>
        <v>-2794.19155</v>
      </c>
      <c r="AC569" s="121">
        <v>-2625.5038699999996</v>
      </c>
      <c r="AD569" s="121">
        <v>-2639.16345</v>
      </c>
      <c r="AE569" s="121">
        <v>-2652.8941</v>
      </c>
      <c r="AF569" s="121">
        <v>-2666.6961900000001</v>
      </c>
      <c r="AG569" s="121">
        <v>-2680.57008</v>
      </c>
      <c r="AH569" s="121">
        <v>-2694.5161600000001</v>
      </c>
      <c r="AI569" s="121">
        <v>-2708.5347900000002</v>
      </c>
      <c r="AJ569" s="121">
        <v>-2722.6263599999997</v>
      </c>
      <c r="AK569" s="121">
        <v>-2736.7912399999996</v>
      </c>
      <c r="AL569" s="121">
        <v>-2751.0298099999995</v>
      </c>
      <c r="AM569" s="121">
        <v>-2765.3424599999994</v>
      </c>
      <c r="AN569" s="121">
        <v>-2779.7295799999997</v>
      </c>
      <c r="AO569" s="121">
        <v>-2794.19155</v>
      </c>
      <c r="AP569" s="125" t="str">
        <f>CONCATENATE(A569,M569)</f>
        <v>Reg AssetN</v>
      </c>
      <c r="AQ569" s="125" t="str">
        <f>CONCATENATE(AP569,L569,H569)</f>
        <v>Reg AssetNN2Excess Earnings</v>
      </c>
      <c r="AS569" s="125" t="str">
        <f>CONCATENATE(L569,H569,J569)</f>
        <v>N2Excess Earnings</v>
      </c>
    </row>
    <row r="570" spans="1:45" s="125" customFormat="1" ht="25.5" customHeight="1">
      <c r="A570" s="216" t="s">
        <v>1442</v>
      </c>
      <c r="B570" s="217" t="str">
        <f>CONCATENATE(A570,C570,D570,E570)</f>
        <v>Reg Asset254013BC0305562</v>
      </c>
      <c r="C570" s="186">
        <v>254013</v>
      </c>
      <c r="D570" s="201"/>
      <c r="E570" s="162" t="s">
        <v>4417</v>
      </c>
      <c r="F570" s="169" t="s">
        <v>2777</v>
      </c>
      <c r="G570" s="117" t="s">
        <v>4416</v>
      </c>
      <c r="H570" s="118" t="s">
        <v>170</v>
      </c>
      <c r="I570" s="120"/>
      <c r="J570" s="120"/>
      <c r="K570" s="120" t="str">
        <f t="shared" si="239"/>
        <v/>
      </c>
      <c r="L570" s="170" t="s">
        <v>1893</v>
      </c>
      <c r="M570" s="122" t="str">
        <f>LEFT(L570,1)</f>
        <v>R</v>
      </c>
      <c r="N570" s="116" t="str">
        <f>IF($L570&lt;&gt;"",VLOOKUP($L570,Categories!$E:$G,2,FALSE),IF($F570&lt;&gt;"","NO CAT",""))</f>
        <v>Rate Base</v>
      </c>
      <c r="O570" s="116" t="str">
        <f>IF($L570&lt;&gt;"",VLOOKUP($L570,Categories!$E:$G,3,FALSE),IF($F570&lt;&gt;"","NO CAT",""))</f>
        <v>Deferred Debits &amp; Credits</v>
      </c>
      <c r="P570" s="170" t="s">
        <v>1553</v>
      </c>
      <c r="Q570" s="123" t="s">
        <v>2587</v>
      </c>
      <c r="R570" s="124">
        <v>0.81899999999999995</v>
      </c>
      <c r="S570" s="124">
        <v>0.18099999999999999</v>
      </c>
      <c r="T570" s="124">
        <v>0</v>
      </c>
      <c r="U570" s="121">
        <f t="shared" si="233"/>
        <v>-35233.702245105</v>
      </c>
      <c r="V570" s="121">
        <f t="shared" si="234"/>
        <v>-7786.6912165616704</v>
      </c>
      <c r="W570" s="121">
        <f t="shared" si="235"/>
        <v>0</v>
      </c>
      <c r="X570" s="121">
        <f t="shared" si="240"/>
        <v>-43020.393461666703</v>
      </c>
      <c r="Y570" s="121">
        <f t="shared" si="236"/>
        <v>-4750.9633080000003</v>
      </c>
      <c r="Z570" s="121">
        <f t="shared" si="237"/>
        <v>-1049.9686919999999</v>
      </c>
      <c r="AA570" s="121">
        <f t="shared" si="238"/>
        <v>0</v>
      </c>
      <c r="AB570" s="121">
        <f t="shared" si="241"/>
        <v>-5800.9319999999998</v>
      </c>
      <c r="AC570" s="121">
        <v>-47812.547960000004</v>
      </c>
      <c r="AD570" s="121">
        <v>-47259.516960000001</v>
      </c>
      <c r="AE570" s="121">
        <v>-46706.485959999998</v>
      </c>
      <c r="AF570" s="121">
        <v>-46153.454960000003</v>
      </c>
      <c r="AG570" s="121">
        <v>-45600.42396</v>
      </c>
      <c r="AH570" s="121">
        <v>-45047.392959999997</v>
      </c>
      <c r="AI570" s="121">
        <v>-44494.361960000002</v>
      </c>
      <c r="AJ570" s="121">
        <v>-43941.330959999999</v>
      </c>
      <c r="AK570" s="121">
        <v>-43388.299959999997</v>
      </c>
      <c r="AL570" s="121">
        <v>-42835.268960000001</v>
      </c>
      <c r="AM570" s="121">
        <v>-42282.237959999999</v>
      </c>
      <c r="AN570" s="121">
        <v>-41729.206960000003</v>
      </c>
      <c r="AO570" s="121">
        <v>-5800.9319999999998</v>
      </c>
      <c r="AP570" s="125" t="str">
        <f>CONCATENATE(A570,M570)</f>
        <v>Reg AssetR</v>
      </c>
      <c r="AQ570" s="125" t="str">
        <f>CONCATENATE(AP570,L570,H570)</f>
        <v>Reg AssetRR10OPEBs</v>
      </c>
      <c r="AS570" s="125" t="str">
        <f>CONCATENATE(L570,H570,J570)</f>
        <v>R10OPEBs</v>
      </c>
    </row>
    <row r="571" spans="1:45" s="125" customFormat="1" ht="25.5" customHeight="1">
      <c r="A571" s="216" t="s">
        <v>1442</v>
      </c>
      <c r="B571" s="217" t="str">
        <f>CONCATENATE(A571,C571,D571,E571)</f>
        <v>Reg Asset254015ReclassBG039999</v>
      </c>
      <c r="C571" s="186">
        <v>254015</v>
      </c>
      <c r="D571" s="201" t="s">
        <v>1961</v>
      </c>
      <c r="E571" s="162" t="s">
        <v>1918</v>
      </c>
      <c r="F571" s="169" t="s">
        <v>1306</v>
      </c>
      <c r="G571" s="117" t="s">
        <v>4587</v>
      </c>
      <c r="H571" s="118" t="s">
        <v>507</v>
      </c>
      <c r="I571" s="119"/>
      <c r="J571" s="120"/>
      <c r="K571" s="120" t="str">
        <f t="shared" ref="K571:K576" si="242">IF(L571="N3","SFAS-109","")</f>
        <v/>
      </c>
      <c r="L571" s="170" t="s">
        <v>928</v>
      </c>
      <c r="M571" s="122" t="str">
        <f>LEFT(L571,1)</f>
        <v>N</v>
      </c>
      <c r="N571" s="116" t="str">
        <f>IF($L571&lt;&gt;"",VLOOKUP($L571,Categories!$E:$G,2,FALSE),IF($F571&lt;&gt;"","NO CAT",""))</f>
        <v>Not in Rate Base</v>
      </c>
      <c r="O571" s="116" t="str">
        <f>IF($L571&lt;&gt;"",VLOOKUP($L571,Categories!$E:$G,3,FALSE),IF($F571&lt;&gt;"","NO CAT",""))</f>
        <v>Direct Assign Items Not in RB</v>
      </c>
      <c r="P571" s="170" t="s">
        <v>1186</v>
      </c>
      <c r="Q571" s="123" t="s">
        <v>1187</v>
      </c>
      <c r="R571" s="124">
        <v>0</v>
      </c>
      <c r="S571" s="124">
        <v>0</v>
      </c>
      <c r="T571" s="124">
        <v>1</v>
      </c>
      <c r="U571" s="121">
        <f>IF(ABS(X571)=0,"",IF($R571="NO ALLOC","NO ALLOC",ROUND($R571*X571,15)))</f>
        <v>0</v>
      </c>
      <c r="V571" s="121">
        <f>IF(ABS(X571)=0,"",IF($S571="NO ALLOC","NO ALLOC",ROUND($S571*X571,15)))</f>
        <v>0</v>
      </c>
      <c r="W571" s="121">
        <f>IF(ABS(X571)=0,"",IF($T571="NO ALLOC","NO ALLOC",ROUND($T571*X571,15)))</f>
        <v>-1336.6276399999999</v>
      </c>
      <c r="X571" s="121">
        <f t="shared" si="240"/>
        <v>-1336.6276399999999</v>
      </c>
      <c r="Y571" s="121" t="str">
        <f>IF(ABS(AB571)=0,"",IF($R571="NO ALLOC","NO ALLOC",ROUND($R571*AB571,15)))</f>
        <v/>
      </c>
      <c r="Z571" s="121" t="str">
        <f>IF(ABS(AB571)=0,"",IF($S571="NO ALLOC","NO ALLOC",ROUND($S571*AB571,15)))</f>
        <v/>
      </c>
      <c r="AA571" s="121" t="str">
        <f>IF(ABS(AB571)=0,"",IF($T571="NO ALLOC","NO ALLOC",ROUND($T571*AB571,15)))</f>
        <v/>
      </c>
      <c r="AB571" s="121">
        <f t="shared" si="241"/>
        <v>0</v>
      </c>
      <c r="AC571" s="121">
        <v>-2170.8637200000003</v>
      </c>
      <c r="AD571" s="121">
        <v>-1204.6500800000001</v>
      </c>
      <c r="AE571" s="121">
        <v>0</v>
      </c>
      <c r="AF571" s="121">
        <v>-2452.1070299999997</v>
      </c>
      <c r="AG571" s="121">
        <v>-2977.0965699999997</v>
      </c>
      <c r="AH571" s="121">
        <v>-2977.0965700000002</v>
      </c>
      <c r="AI571" s="121">
        <v>-3568.3532399999999</v>
      </c>
      <c r="AJ571" s="121">
        <v>-1774.7963299999999</v>
      </c>
      <c r="AK571" s="121">
        <v>0</v>
      </c>
      <c r="AL571" s="121">
        <v>0</v>
      </c>
      <c r="AM571" s="121">
        <v>0</v>
      </c>
      <c r="AN571" s="121">
        <v>0</v>
      </c>
      <c r="AO571" s="121">
        <v>0</v>
      </c>
      <c r="AP571" s="125" t="str">
        <f>CONCATENATE(A571,M571)</f>
        <v>Reg AssetN</v>
      </c>
      <c r="AQ571" s="125" t="str">
        <f>CONCATENATE(AP571,L571,H571)</f>
        <v>Reg AssetNN2Balance Sheet reclass</v>
      </c>
      <c r="AS571" s="125" t="str">
        <f>CONCATENATE(L571,H571,J571)</f>
        <v>N2Balance Sheet reclass</v>
      </c>
    </row>
    <row r="572" spans="1:45" s="125" customFormat="1" ht="25.5" customHeight="1">
      <c r="A572" s="216" t="s">
        <v>1442</v>
      </c>
      <c r="B572" s="217" t="str">
        <f t="shared" si="232"/>
        <v>Reg Asset254015601136BG030586</v>
      </c>
      <c r="C572" s="186">
        <v>254015</v>
      </c>
      <c r="D572" s="201">
        <v>601136</v>
      </c>
      <c r="E572" s="162" t="s">
        <v>2705</v>
      </c>
      <c r="F572" s="169" t="s">
        <v>1306</v>
      </c>
      <c r="G572" s="117" t="s">
        <v>2571</v>
      </c>
      <c r="H572" s="118" t="s">
        <v>2704</v>
      </c>
      <c r="I572" s="119"/>
      <c r="J572" s="120"/>
      <c r="K572" s="120" t="str">
        <f t="shared" si="242"/>
        <v/>
      </c>
      <c r="L572" s="170" t="s">
        <v>928</v>
      </c>
      <c r="M572" s="122" t="str">
        <f t="shared" si="212"/>
        <v>N</v>
      </c>
      <c r="N572" s="116" t="str">
        <f>IF($L572&lt;&gt;"",VLOOKUP($L572,Categories!$E:$G,2,FALSE),IF($F572&lt;&gt;"","NO CAT",""))</f>
        <v>Not in Rate Base</v>
      </c>
      <c r="O572" s="116" t="str">
        <f>IF($L572&lt;&gt;"",VLOOKUP($L572,Categories!$E:$G,3,FALSE),IF($F572&lt;&gt;"","NO CAT",""))</f>
        <v>Direct Assign Items Not in RB</v>
      </c>
      <c r="P572" s="170" t="s">
        <v>1186</v>
      </c>
      <c r="Q572" s="123" t="s">
        <v>1187</v>
      </c>
      <c r="R572" s="124">
        <v>0</v>
      </c>
      <c r="S572" s="124">
        <v>0</v>
      </c>
      <c r="T572" s="124">
        <v>1</v>
      </c>
      <c r="U572" s="121">
        <f t="shared" si="233"/>
        <v>0</v>
      </c>
      <c r="V572" s="121">
        <f t="shared" si="234"/>
        <v>0</v>
      </c>
      <c r="W572" s="121">
        <f t="shared" si="235"/>
        <v>-1.0000000000000001E-15</v>
      </c>
      <c r="X572" s="121">
        <f t="shared" si="240"/>
        <v>-1.0000000000000001E-15</v>
      </c>
      <c r="Y572" s="121" t="str">
        <f t="shared" si="236"/>
        <v/>
      </c>
      <c r="Z572" s="121" t="str">
        <f t="shared" si="237"/>
        <v/>
      </c>
      <c r="AA572" s="121" t="str">
        <f t="shared" si="238"/>
        <v/>
      </c>
      <c r="AB572" s="121">
        <f t="shared" si="241"/>
        <v>0</v>
      </c>
      <c r="AC572" s="121">
        <v>-2.9103830456733704E-14</v>
      </c>
      <c r="AD572" s="121">
        <v>0</v>
      </c>
      <c r="AE572" s="121">
        <v>0</v>
      </c>
      <c r="AF572" s="121">
        <v>0</v>
      </c>
      <c r="AG572" s="121">
        <v>0</v>
      </c>
      <c r="AH572" s="121">
        <v>0</v>
      </c>
      <c r="AI572" s="121">
        <v>0</v>
      </c>
      <c r="AJ572" s="121">
        <v>0</v>
      </c>
      <c r="AK572" s="121">
        <v>0</v>
      </c>
      <c r="AL572" s="121">
        <v>0</v>
      </c>
      <c r="AM572" s="121">
        <v>0</v>
      </c>
      <c r="AN572" s="121">
        <v>0</v>
      </c>
      <c r="AO572" s="121">
        <v>0</v>
      </c>
      <c r="AP572" s="125" t="str">
        <f>CONCATENATE(A572,M572)</f>
        <v>Reg AssetN</v>
      </c>
      <c r="AQ572" s="125" t="str">
        <f>CONCATENATE(AP572,L572,H572)</f>
        <v>Reg AssetNN2GSC Refund</v>
      </c>
      <c r="AS572" s="125" t="str">
        <f>CONCATENATE(L572,H572,J572)</f>
        <v>N2GSC Refund</v>
      </c>
    </row>
    <row r="573" spans="1:45" s="125" customFormat="1" ht="25.5" customHeight="1">
      <c r="A573" s="216" t="s">
        <v>1442</v>
      </c>
      <c r="B573" s="217" t="str">
        <f t="shared" si="232"/>
        <v>Reg Asset254015ReclassBG039999</v>
      </c>
      <c r="C573" s="186">
        <v>254015</v>
      </c>
      <c r="D573" s="201" t="s">
        <v>1961</v>
      </c>
      <c r="E573" s="162" t="s">
        <v>1918</v>
      </c>
      <c r="F573" s="169" t="s">
        <v>1306</v>
      </c>
      <c r="G573" s="117" t="s">
        <v>2484</v>
      </c>
      <c r="H573" s="118" t="s">
        <v>507</v>
      </c>
      <c r="I573" s="119"/>
      <c r="J573" s="120"/>
      <c r="K573" s="120" t="str">
        <f t="shared" si="242"/>
        <v/>
      </c>
      <c r="L573" s="170" t="s">
        <v>928</v>
      </c>
      <c r="M573" s="122" t="str">
        <f t="shared" si="212"/>
        <v>N</v>
      </c>
      <c r="N573" s="116" t="str">
        <f>IF($L573&lt;&gt;"",VLOOKUP($L573,Categories!$E:$G,2,FALSE),IF($F573&lt;&gt;"","NO CAT",""))</f>
        <v>Not in Rate Base</v>
      </c>
      <c r="O573" s="116" t="str">
        <f>IF($L573&lt;&gt;"",VLOOKUP($L573,Categories!$E:$G,3,FALSE),IF($F573&lt;&gt;"","NO CAT",""))</f>
        <v>Direct Assign Items Not in RB</v>
      </c>
      <c r="P573" s="170" t="s">
        <v>1186</v>
      </c>
      <c r="Q573" s="123" t="s">
        <v>1187</v>
      </c>
      <c r="R573" s="124">
        <v>0</v>
      </c>
      <c r="S573" s="124">
        <v>0</v>
      </c>
      <c r="T573" s="124">
        <v>1</v>
      </c>
      <c r="U573" s="121">
        <f t="shared" si="233"/>
        <v>0</v>
      </c>
      <c r="V573" s="121">
        <f t="shared" si="234"/>
        <v>0</v>
      </c>
      <c r="W573" s="121">
        <f t="shared" si="235"/>
        <v>174.698369583333</v>
      </c>
      <c r="X573" s="121">
        <f t="shared" si="240"/>
        <v>174.698369583333</v>
      </c>
      <c r="Y573" s="121">
        <f t="shared" si="236"/>
        <v>0</v>
      </c>
      <c r="Z573" s="121">
        <f t="shared" si="237"/>
        <v>0</v>
      </c>
      <c r="AA573" s="121">
        <f t="shared" si="238"/>
        <v>-2587.3955700000001</v>
      </c>
      <c r="AB573" s="121">
        <f t="shared" si="241"/>
        <v>-2587.3955699999997</v>
      </c>
      <c r="AC573" s="121">
        <v>0</v>
      </c>
      <c r="AD573" s="121">
        <v>0</v>
      </c>
      <c r="AE573" s="121">
        <v>0</v>
      </c>
      <c r="AF573" s="121">
        <v>0</v>
      </c>
      <c r="AG573" s="121">
        <v>0</v>
      </c>
      <c r="AH573" s="121">
        <v>1170.4575500000001</v>
      </c>
      <c r="AI573" s="121">
        <v>1170.4575500000001</v>
      </c>
      <c r="AJ573" s="121">
        <v>1170.4575500000001</v>
      </c>
      <c r="AK573" s="121">
        <v>0</v>
      </c>
      <c r="AL573" s="121">
        <v>0</v>
      </c>
      <c r="AM573" s="121">
        <v>0</v>
      </c>
      <c r="AN573" s="121">
        <v>-121.29442999999999</v>
      </c>
      <c r="AO573" s="121">
        <v>-2587.3955699999997</v>
      </c>
      <c r="AP573" s="125" t="str">
        <f>CONCATENATE(A573,M573)</f>
        <v>Reg AssetN</v>
      </c>
      <c r="AQ573" s="125" t="str">
        <f>CONCATENATE(AP573,L573,H573)</f>
        <v>Reg AssetNN2Balance Sheet reclass</v>
      </c>
      <c r="AS573" s="125" t="str">
        <f>CONCATENATE(L573,H573,J573)</f>
        <v>N2Balance Sheet reclass</v>
      </c>
    </row>
    <row r="574" spans="1:45" s="125" customFormat="1" ht="25.5" customHeight="1">
      <c r="A574" s="216" t="s">
        <v>1442</v>
      </c>
      <c r="B574" s="217" t="str">
        <f>CONCATENATE(A574,C574,D574,E574)</f>
        <v>Reg Asset254015801268BG030586</v>
      </c>
      <c r="C574" s="186">
        <v>254015</v>
      </c>
      <c r="D574" s="201">
        <v>801268</v>
      </c>
      <c r="E574" s="162" t="s">
        <v>2705</v>
      </c>
      <c r="F574" s="169" t="s">
        <v>1306</v>
      </c>
      <c r="G574" s="117" t="s">
        <v>4534</v>
      </c>
      <c r="H574" s="118" t="s">
        <v>2704</v>
      </c>
      <c r="I574" s="119"/>
      <c r="J574" s="120"/>
      <c r="K574" s="120" t="str">
        <f t="shared" si="242"/>
        <v/>
      </c>
      <c r="L574" s="170" t="s">
        <v>928</v>
      </c>
      <c r="M574" s="122" t="str">
        <f>LEFT(L574,1)</f>
        <v>N</v>
      </c>
      <c r="N574" s="116" t="str">
        <f>IF($L574&lt;&gt;"",VLOOKUP($L574,Categories!$E:$G,2,FALSE),IF($F574&lt;&gt;"","NO CAT",""))</f>
        <v>Not in Rate Base</v>
      </c>
      <c r="O574" s="116" t="str">
        <f>IF($L574&lt;&gt;"",VLOOKUP($L574,Categories!$E:$G,3,FALSE),IF($F574&lt;&gt;"","NO CAT",""))</f>
        <v>Direct Assign Items Not in RB</v>
      </c>
      <c r="P574" s="170" t="s">
        <v>1186</v>
      </c>
      <c r="Q574" s="123" t="s">
        <v>1187</v>
      </c>
      <c r="R574" s="124">
        <v>0</v>
      </c>
      <c r="S574" s="124">
        <v>0</v>
      </c>
      <c r="T574" s="124">
        <v>1</v>
      </c>
      <c r="U574" s="121">
        <f>IF(ABS(X574)=0,"",IF($R574="NO ALLOC","NO ALLOC",ROUND($R574*X574,15)))</f>
        <v>0</v>
      </c>
      <c r="V574" s="121">
        <f>IF(ABS(X574)=0,"",IF($S574="NO ALLOC","NO ALLOC",ROUND($S574*X574,15)))</f>
        <v>0</v>
      </c>
      <c r="W574" s="121">
        <f>IF(ABS(X574)=0,"",IF($T574="NO ALLOC","NO ALLOC",ROUND($T574*X574,15)))</f>
        <v>-105.314720416667</v>
      </c>
      <c r="X574" s="121">
        <f t="shared" si="240"/>
        <v>-105.314720416667</v>
      </c>
      <c r="Y574" s="121" t="str">
        <f>IF(ABS(AB574)=0,"",IF($R574="NO ALLOC","NO ALLOC",ROUND($R574*AB574,15)))</f>
        <v/>
      </c>
      <c r="Z574" s="121" t="str">
        <f>IF(ABS(AB574)=0,"",IF($S574="NO ALLOC","NO ALLOC",ROUND($S574*AB574,15)))</f>
        <v/>
      </c>
      <c r="AA574" s="121" t="str">
        <f>IF(ABS(AB574)=0,"",IF($T574="NO ALLOC","NO ALLOC",ROUND($T574*AB574,15)))</f>
        <v/>
      </c>
      <c r="AB574" s="121">
        <f t="shared" si="241"/>
        <v>0</v>
      </c>
      <c r="AC574" s="121">
        <v>-834.39126999999996</v>
      </c>
      <c r="AD574" s="121">
        <v>-634.84799999999996</v>
      </c>
      <c r="AE574" s="121">
        <v>-414.01100000000002</v>
      </c>
      <c r="AF574" s="121">
        <v>-217.30500000000001</v>
      </c>
      <c r="AG574" s="121">
        <v>-76.388000000000005</v>
      </c>
      <c r="AH574" s="121">
        <v>-4.6092000000000004</v>
      </c>
      <c r="AI574" s="121">
        <v>34.520000000000003</v>
      </c>
      <c r="AJ574" s="121">
        <v>58.671999999999997</v>
      </c>
      <c r="AK574" s="121">
        <v>80.451189999999997</v>
      </c>
      <c r="AL574" s="121">
        <v>108.979</v>
      </c>
      <c r="AM574" s="121">
        <v>108.979</v>
      </c>
      <c r="AN574" s="121">
        <v>108.979</v>
      </c>
      <c r="AO574" s="121">
        <v>0</v>
      </c>
      <c r="AP574" s="125" t="str">
        <f>CONCATENATE(A574,M574)</f>
        <v>Reg AssetN</v>
      </c>
      <c r="AQ574" s="125" t="str">
        <f>CONCATENATE(AP574,L574,H574)</f>
        <v>Reg AssetNN2GSC Refund</v>
      </c>
      <c r="AS574" s="125" t="str">
        <f>CONCATENATE(L574,H574,J574)</f>
        <v>N2GSC Refund</v>
      </c>
    </row>
    <row r="575" spans="1:45" s="125" customFormat="1" ht="25.5" customHeight="1">
      <c r="A575" s="216" t="s">
        <v>1442</v>
      </c>
      <c r="B575" s="217" t="str">
        <f t="shared" si="232"/>
        <v>Reg Asset254015801251BG030586</v>
      </c>
      <c r="C575" s="186">
        <v>254015</v>
      </c>
      <c r="D575" s="201">
        <v>801251</v>
      </c>
      <c r="E575" s="162" t="s">
        <v>2705</v>
      </c>
      <c r="F575" s="169" t="s">
        <v>1306</v>
      </c>
      <c r="G575" s="117" t="s">
        <v>2329</v>
      </c>
      <c r="H575" s="118" t="s">
        <v>2327</v>
      </c>
      <c r="I575" s="119"/>
      <c r="J575" s="120"/>
      <c r="K575" s="120" t="str">
        <f t="shared" si="242"/>
        <v/>
      </c>
      <c r="L575" s="170" t="s">
        <v>928</v>
      </c>
      <c r="M575" s="122" t="str">
        <f t="shared" si="212"/>
        <v>N</v>
      </c>
      <c r="N575" s="116" t="str">
        <f>IF($L575&lt;&gt;"",VLOOKUP($L575,Categories!$E:$G,2,FALSE),IF($F575&lt;&gt;"","NO CAT",""))</f>
        <v>Not in Rate Base</v>
      </c>
      <c r="O575" s="116" t="str">
        <f>IF($L575&lt;&gt;"",VLOOKUP($L575,Categories!$E:$G,3,FALSE),IF($F575&lt;&gt;"","NO CAT",""))</f>
        <v>Direct Assign Items Not in RB</v>
      </c>
      <c r="P575" s="170" t="s">
        <v>1186</v>
      </c>
      <c r="Q575" s="123" t="s">
        <v>1187</v>
      </c>
      <c r="R575" s="124">
        <v>0</v>
      </c>
      <c r="S575" s="124">
        <v>0</v>
      </c>
      <c r="T575" s="124">
        <v>1</v>
      </c>
      <c r="U575" s="121">
        <f t="shared" si="233"/>
        <v>0</v>
      </c>
      <c r="V575" s="121">
        <f t="shared" si="234"/>
        <v>0</v>
      </c>
      <c r="W575" s="121">
        <f t="shared" si="235"/>
        <v>-2285.8583441666701</v>
      </c>
      <c r="X575" s="121">
        <f t="shared" si="240"/>
        <v>-2285.8583441666701</v>
      </c>
      <c r="Y575" s="121">
        <f t="shared" si="236"/>
        <v>0</v>
      </c>
      <c r="Z575" s="121">
        <f t="shared" si="237"/>
        <v>0</v>
      </c>
      <c r="AA575" s="121">
        <f t="shared" si="238"/>
        <v>-1108.3005800000001</v>
      </c>
      <c r="AB575" s="121">
        <f t="shared" si="241"/>
        <v>-1108.3005799999994</v>
      </c>
      <c r="AC575" s="121">
        <v>-3328.8366199999991</v>
      </c>
      <c r="AD575" s="121">
        <v>-3045.7885599999995</v>
      </c>
      <c r="AE575" s="121">
        <v>-2800.7491799999998</v>
      </c>
      <c r="AF575" s="121">
        <v>-2556.0355799999998</v>
      </c>
      <c r="AG575" s="121">
        <v>-2426.2545899999996</v>
      </c>
      <c r="AH575" s="121">
        <v>-2354.9718399999992</v>
      </c>
      <c r="AI575" s="121">
        <v>-2283.5132799999992</v>
      </c>
      <c r="AJ575" s="121">
        <v>-2258.0152799999992</v>
      </c>
      <c r="AK575" s="121">
        <v>-2182.2194899999995</v>
      </c>
      <c r="AL575" s="121">
        <v>-2036.9195599999994</v>
      </c>
      <c r="AM575" s="121">
        <v>-1836.6690399999993</v>
      </c>
      <c r="AN575" s="121">
        <v>-1430.5951299999995</v>
      </c>
      <c r="AO575" s="121">
        <v>-1108.3005799999994</v>
      </c>
      <c r="AP575" s="125" t="str">
        <f>CONCATENATE(A575,M575)</f>
        <v>Reg AssetN</v>
      </c>
      <c r="AQ575" s="125" t="str">
        <f>CONCATENATE(AP575,L575,H575)</f>
        <v>Reg AssetNN2Stranded Gas Capacity</v>
      </c>
      <c r="AS575" s="125" t="str">
        <f>CONCATENATE(L575,H575,J575)</f>
        <v>N2Stranded Gas Capacity</v>
      </c>
    </row>
    <row r="576" spans="1:45" s="125" customFormat="1" ht="25.5" customHeight="1">
      <c r="A576" s="216" t="s">
        <v>1442</v>
      </c>
      <c r="B576" s="217" t="str">
        <f>CONCATENATE(A576,C576,D576,E576)</f>
        <v>Reg Asset254015601137BG030158</v>
      </c>
      <c r="C576" s="186">
        <v>254015</v>
      </c>
      <c r="D576" s="201">
        <v>601137</v>
      </c>
      <c r="E576" s="162" t="s">
        <v>1677</v>
      </c>
      <c r="F576" s="169" t="s">
        <v>1306</v>
      </c>
      <c r="G576" s="117" t="s">
        <v>4736</v>
      </c>
      <c r="H576" s="118" t="s">
        <v>2704</v>
      </c>
      <c r="I576" s="119"/>
      <c r="J576" s="120"/>
      <c r="K576" s="120" t="str">
        <f t="shared" si="242"/>
        <v/>
      </c>
      <c r="L576" s="170" t="s">
        <v>928</v>
      </c>
      <c r="M576" s="122" t="str">
        <f>LEFT(L576,1)</f>
        <v>N</v>
      </c>
      <c r="N576" s="116" t="str">
        <f>IF($L576&lt;&gt;"",VLOOKUP($L576,Categories!$E:$G,2,FALSE),IF($F576&lt;&gt;"","NO CAT",""))</f>
        <v>Not in Rate Base</v>
      </c>
      <c r="O576" s="116" t="str">
        <f>IF($L576&lt;&gt;"",VLOOKUP($L576,Categories!$E:$G,3,FALSE),IF($F576&lt;&gt;"","NO CAT",""))</f>
        <v>Direct Assign Items Not in RB</v>
      </c>
      <c r="P576" s="170" t="s">
        <v>1186</v>
      </c>
      <c r="Q576" s="123" t="s">
        <v>1187</v>
      </c>
      <c r="R576" s="124">
        <v>0</v>
      </c>
      <c r="S576" s="124">
        <v>0</v>
      </c>
      <c r="T576" s="124">
        <v>1</v>
      </c>
      <c r="U576" s="121">
        <f>IF(ABS(X576)=0,"",IF($R576="NO ALLOC","NO ALLOC",ROUND($R576*X576,15)))</f>
        <v>0</v>
      </c>
      <c r="V576" s="121">
        <f>IF(ABS(X576)=0,"",IF($S576="NO ALLOC","NO ALLOC",ROUND($S576*X576,15)))</f>
        <v>0</v>
      </c>
      <c r="W576" s="121">
        <f>IF(ABS(X576)=0,"",IF($T576="NO ALLOC","NO ALLOC",ROUND($T576*X576,15)))</f>
        <v>-127.69870166666701</v>
      </c>
      <c r="X576" s="121">
        <f t="shared" si="240"/>
        <v>-127.69870166666701</v>
      </c>
      <c r="Y576" s="121">
        <f>IF(ABS(AB576)=0,"",IF($R576="NO ALLOC","NO ALLOC",ROUND($R576*AB576,15)))</f>
        <v>0</v>
      </c>
      <c r="Z576" s="121">
        <f>IF(ABS(AB576)=0,"",IF($S576="NO ALLOC","NO ALLOC",ROUND($S576*AB576,15)))</f>
        <v>0</v>
      </c>
      <c r="AA576" s="121">
        <f>IF(ABS(AB576)=0,"",IF($T576="NO ALLOC","NO ALLOC",ROUND($T576*AB576,15)))</f>
        <v>-97.402000000000001</v>
      </c>
      <c r="AB576" s="121">
        <f t="shared" si="241"/>
        <v>-97.402000000000001</v>
      </c>
      <c r="AC576" s="121"/>
      <c r="AD576" s="121"/>
      <c r="AE576" s="121"/>
      <c r="AF576" s="121">
        <v>-180.78520999999998</v>
      </c>
      <c r="AG576" s="121">
        <v>-184.41920999999999</v>
      </c>
      <c r="AH576" s="121">
        <v>-177.52600000000001</v>
      </c>
      <c r="AI576" s="121">
        <v>-173.18</v>
      </c>
      <c r="AJ576" s="121">
        <v>-170.328</v>
      </c>
      <c r="AK576" s="121">
        <v>-163.523</v>
      </c>
      <c r="AL576" s="121">
        <v>-159.108</v>
      </c>
      <c r="AM576" s="121">
        <v>-149.36199999999999</v>
      </c>
      <c r="AN576" s="121">
        <v>-125.452</v>
      </c>
      <c r="AO576" s="121">
        <v>-97.402000000000001</v>
      </c>
      <c r="AP576" s="125" t="str">
        <f>CONCATENATE(A576,M576)</f>
        <v>Reg AssetN</v>
      </c>
      <c r="AQ576" s="125" t="str">
        <f>CONCATENATE(AP576,L576,H576)</f>
        <v>Reg AssetNN2GSC Refund</v>
      </c>
      <c r="AS576" s="125" t="str">
        <f>CONCATENATE(L576,H576,J576)</f>
        <v>N2GSC Refund</v>
      </c>
    </row>
    <row r="577" spans="1:45" s="125" customFormat="1" ht="25.5" customHeight="1">
      <c r="A577" s="216" t="s">
        <v>1442</v>
      </c>
      <c r="B577" s="217" t="str">
        <f t="shared" si="232"/>
        <v>Reg Asset254016800165BE030309</v>
      </c>
      <c r="C577" s="186">
        <v>254016</v>
      </c>
      <c r="D577" s="201" t="s">
        <v>2625</v>
      </c>
      <c r="E577" s="162" t="s">
        <v>3802</v>
      </c>
      <c r="F577" s="169" t="s">
        <v>714</v>
      </c>
      <c r="G577" s="117" t="s">
        <v>586</v>
      </c>
      <c r="H577" s="118" t="s">
        <v>1943</v>
      </c>
      <c r="I577" s="120"/>
      <c r="J577" s="120"/>
      <c r="K577" s="120" t="str">
        <f t="shared" ref="K577:K578" si="243">IF(L577="N3","SFAS-109","")</f>
        <v/>
      </c>
      <c r="L577" s="170" t="s">
        <v>1893</v>
      </c>
      <c r="M577" s="122" t="str">
        <f t="shared" si="212"/>
        <v>R</v>
      </c>
      <c r="N577" s="116" t="str">
        <f>IF($L577&lt;&gt;"",VLOOKUP($L577,Categories!$E:$G,2,FALSE),IF($F577&lt;&gt;"","NO CAT",""))</f>
        <v>Rate Base</v>
      </c>
      <c r="O577" s="116" t="str">
        <f>IF($L577&lt;&gt;"",VLOOKUP($L577,Categories!$E:$G,3,FALSE),IF($F577&lt;&gt;"","NO CAT",""))</f>
        <v>Deferred Debits &amp; Credits</v>
      </c>
      <c r="P577" s="170" t="s">
        <v>1183</v>
      </c>
      <c r="Q577" s="123" t="s">
        <v>1177</v>
      </c>
      <c r="R577" s="124">
        <v>1</v>
      </c>
      <c r="S577" s="124">
        <v>0</v>
      </c>
      <c r="T577" s="124">
        <v>0</v>
      </c>
      <c r="U577" s="121">
        <f t="shared" si="233"/>
        <v>1.1E-14</v>
      </c>
      <c r="V577" s="121">
        <f t="shared" si="234"/>
        <v>0</v>
      </c>
      <c r="W577" s="121">
        <f t="shared" si="235"/>
        <v>0</v>
      </c>
      <c r="X577" s="121">
        <f t="shared" si="240"/>
        <v>1.1E-14</v>
      </c>
      <c r="Y577" s="121" t="str">
        <f t="shared" si="236"/>
        <v/>
      </c>
      <c r="Z577" s="121" t="str">
        <f t="shared" si="237"/>
        <v/>
      </c>
      <c r="AA577" s="121" t="str">
        <f t="shared" si="238"/>
        <v/>
      </c>
      <c r="AB577" s="121">
        <f t="shared" si="241"/>
        <v>0</v>
      </c>
      <c r="AC577" s="121">
        <v>3.7252902151951871E-14</v>
      </c>
      <c r="AD577" s="121">
        <v>3.7252902151951871E-14</v>
      </c>
      <c r="AE577" s="121">
        <v>3.7252902151951871E-14</v>
      </c>
      <c r="AF577" s="121">
        <v>3.7252902151951871E-14</v>
      </c>
      <c r="AG577" s="121">
        <v>0</v>
      </c>
      <c r="AH577" s="121">
        <v>0</v>
      </c>
      <c r="AI577" s="121">
        <v>0</v>
      </c>
      <c r="AJ577" s="121">
        <v>0</v>
      </c>
      <c r="AK577" s="121">
        <v>0</v>
      </c>
      <c r="AL577" s="121">
        <v>0</v>
      </c>
      <c r="AM577" s="121">
        <v>0</v>
      </c>
      <c r="AN577" s="121">
        <v>0</v>
      </c>
      <c r="AO577" s="121">
        <v>0</v>
      </c>
      <c r="AP577" s="125" t="str">
        <f>CONCATENATE(A577,M577)</f>
        <v>Reg AssetR</v>
      </c>
      <c r="AQ577" s="125" t="str">
        <f>CONCATENATE(AP577,L577,H577)</f>
        <v>Reg AssetRR10Service Quality Performance Program</v>
      </c>
      <c r="AS577" s="125" t="str">
        <f>CONCATENATE(L577,H577,J577)</f>
        <v>R10Service Quality Performance Program</v>
      </c>
    </row>
    <row r="578" spans="1:45" s="125" customFormat="1" ht="25.5" customHeight="1">
      <c r="A578" s="216" t="s">
        <v>1442</v>
      </c>
      <c r="B578" s="217" t="str">
        <f t="shared" si="232"/>
        <v>Reg Asset254016807005BE030182</v>
      </c>
      <c r="C578" s="186">
        <v>254016</v>
      </c>
      <c r="D578" s="201" t="s">
        <v>1506</v>
      </c>
      <c r="E578" s="162" t="s">
        <v>397</v>
      </c>
      <c r="F578" s="169" t="s">
        <v>714</v>
      </c>
      <c r="G578" s="117" t="s">
        <v>1286</v>
      </c>
      <c r="H578" s="118" t="s">
        <v>1805</v>
      </c>
      <c r="I578" s="119"/>
      <c r="J578" s="120"/>
      <c r="K578" s="120" t="str">
        <f t="shared" si="243"/>
        <v/>
      </c>
      <c r="L578" s="170" t="s">
        <v>1893</v>
      </c>
      <c r="M578" s="122" t="str">
        <f t="shared" si="212"/>
        <v>R</v>
      </c>
      <c r="N578" s="116" t="str">
        <f>IF($L578&lt;&gt;"",VLOOKUP($L578,Categories!$E:$G,2,FALSE),IF($F578&lt;&gt;"","NO CAT",""))</f>
        <v>Rate Base</v>
      </c>
      <c r="O578" s="116" t="str">
        <f>IF($L578&lt;&gt;"",VLOOKUP($L578,Categories!$E:$G,3,FALSE),IF($F578&lt;&gt;"","NO CAT",""))</f>
        <v>Deferred Debits &amp; Credits</v>
      </c>
      <c r="P578" s="170" t="s">
        <v>1183</v>
      </c>
      <c r="Q578" s="123" t="s">
        <v>1177</v>
      </c>
      <c r="R578" s="124">
        <v>1</v>
      </c>
      <c r="S578" s="124">
        <v>0</v>
      </c>
      <c r="T578" s="124">
        <v>0</v>
      </c>
      <c r="U578" s="121">
        <f t="shared" si="233"/>
        <v>-7.0000000000000001E-15</v>
      </c>
      <c r="V578" s="121">
        <f t="shared" si="234"/>
        <v>0</v>
      </c>
      <c r="W578" s="121">
        <f t="shared" si="235"/>
        <v>0</v>
      </c>
      <c r="X578" s="121">
        <f t="shared" si="240"/>
        <v>-7.0000000000000001E-15</v>
      </c>
      <c r="Y578" s="121" t="str">
        <f t="shared" si="236"/>
        <v/>
      </c>
      <c r="Z578" s="121" t="str">
        <f t="shared" si="237"/>
        <v/>
      </c>
      <c r="AA578" s="121" t="str">
        <f t="shared" si="238"/>
        <v/>
      </c>
      <c r="AB578" s="121">
        <f t="shared" si="241"/>
        <v>0</v>
      </c>
      <c r="AC578" s="121">
        <v>-1.7098500393331051E-13</v>
      </c>
      <c r="AD578" s="121">
        <v>0</v>
      </c>
      <c r="AE578" s="121">
        <v>0</v>
      </c>
      <c r="AF578" s="121">
        <v>0</v>
      </c>
      <c r="AG578" s="121">
        <v>0</v>
      </c>
      <c r="AH578" s="121">
        <v>0</v>
      </c>
      <c r="AI578" s="121">
        <v>0</v>
      </c>
      <c r="AJ578" s="121">
        <v>0</v>
      </c>
      <c r="AK578" s="121">
        <v>0</v>
      </c>
      <c r="AL578" s="121">
        <v>0</v>
      </c>
      <c r="AM578" s="121">
        <v>0</v>
      </c>
      <c r="AN578" s="121">
        <v>0</v>
      </c>
      <c r="AO578" s="121">
        <v>0</v>
      </c>
      <c r="AP578" s="125" t="str">
        <f>CONCATENATE(A578,M578)</f>
        <v>Reg AssetR</v>
      </c>
      <c r="AQ578" s="125" t="str">
        <f>CONCATENATE(AP578,L578,H578)</f>
        <v>Reg AssetRR10Capitalized Installation Costs</v>
      </c>
      <c r="AS578" s="125" t="str">
        <f>CONCATENATE(L578,H578,J578)</f>
        <v>R10Capitalized Installation Costs</v>
      </c>
    </row>
    <row r="579" spans="1:45" s="125" customFormat="1" ht="25.5" customHeight="1">
      <c r="A579" s="216" t="s">
        <v>1442</v>
      </c>
      <c r="B579" s="217" t="str">
        <f t="shared" si="232"/>
        <v>Reg Asset254016808004BE030368</v>
      </c>
      <c r="C579" s="186">
        <v>254016</v>
      </c>
      <c r="D579" s="201">
        <v>808004</v>
      </c>
      <c r="E579" s="162" t="s">
        <v>2991</v>
      </c>
      <c r="F579" s="169" t="s">
        <v>714</v>
      </c>
      <c r="G579" s="117" t="s">
        <v>2208</v>
      </c>
      <c r="H579" s="118" t="s">
        <v>539</v>
      </c>
      <c r="I579" s="120"/>
      <c r="J579" s="120"/>
      <c r="K579" s="120" t="str">
        <f t="shared" ref="K579:K656" si="244">IF(L579="N3","SFAS-109","")</f>
        <v/>
      </c>
      <c r="L579" s="170" t="s">
        <v>1893</v>
      </c>
      <c r="M579" s="122" t="str">
        <f t="shared" si="212"/>
        <v>R</v>
      </c>
      <c r="N579" s="116" t="str">
        <f>IF($L579&lt;&gt;"",VLOOKUP($L579,Categories!$E:$G,2,FALSE),IF($F579&lt;&gt;"","NO CAT",""))</f>
        <v>Rate Base</v>
      </c>
      <c r="O579" s="116" t="str">
        <f>IF($L579&lt;&gt;"",VLOOKUP($L579,Categories!$E:$G,3,FALSE),IF($F579&lt;&gt;"","NO CAT",""))</f>
        <v>Deferred Debits &amp; Credits</v>
      </c>
      <c r="P579" s="170" t="s">
        <v>1183</v>
      </c>
      <c r="Q579" s="123" t="s">
        <v>1177</v>
      </c>
      <c r="R579" s="124">
        <v>1</v>
      </c>
      <c r="S579" s="124">
        <v>0</v>
      </c>
      <c r="T579" s="124">
        <v>0</v>
      </c>
      <c r="U579" s="121">
        <f>IF(ABS(X579)=0,"",IF($R579="NO ALLOC","NO ALLOC",ROUND($R579*X579,15)))</f>
        <v>-4925.1014299999997</v>
      </c>
      <c r="V579" s="121">
        <f>IF(ABS(X579)=0,"",IF($S579="NO ALLOC","NO ALLOC",ROUND($S579*X579,15)))</f>
        <v>0</v>
      </c>
      <c r="W579" s="121">
        <f>IF(ABS(X579)=0,"",IF($T579="NO ALLOC","NO ALLOC",ROUND($T579*X579,15)))</f>
        <v>0</v>
      </c>
      <c r="X579" s="121">
        <f t="shared" si="240"/>
        <v>-4925.1014299999997</v>
      </c>
      <c r="Y579" s="121">
        <f>IF(ABS(AB579)=0,"",IF($R579="NO ALLOC","NO ALLOC",ROUND($R579*AB579,15)))</f>
        <v>-4925.1014299999997</v>
      </c>
      <c r="Z579" s="121">
        <f>IF(ABS(AB579)=0,"",IF($S579="NO ALLOC","NO ALLOC",ROUND($S579*AB579,15)))</f>
        <v>0</v>
      </c>
      <c r="AA579" s="121">
        <f>IF(ABS(AB579)=0,"",IF($T579="NO ALLOC","NO ALLOC",ROUND($T579*AB579,15)))</f>
        <v>0</v>
      </c>
      <c r="AB579" s="121">
        <f t="shared" si="241"/>
        <v>-4925.1014299999997</v>
      </c>
      <c r="AC579" s="121">
        <v>-4925.1014299999997</v>
      </c>
      <c r="AD579" s="121">
        <v>-4925.1014299999997</v>
      </c>
      <c r="AE579" s="121">
        <v>-4925.1014299999997</v>
      </c>
      <c r="AF579" s="121">
        <v>-4925.1014299999997</v>
      </c>
      <c r="AG579" s="121">
        <v>-4925.1014299999997</v>
      </c>
      <c r="AH579" s="121">
        <v>-4925.1014299999997</v>
      </c>
      <c r="AI579" s="121">
        <v>-4925.1014299999997</v>
      </c>
      <c r="AJ579" s="121">
        <v>-4925.1014299999997</v>
      </c>
      <c r="AK579" s="121">
        <v>-4925.1014299999997</v>
      </c>
      <c r="AL579" s="121">
        <v>-4925.1014299999997</v>
      </c>
      <c r="AM579" s="121">
        <v>-4925.1014299999997</v>
      </c>
      <c r="AN579" s="121">
        <v>-4925.1014299999997</v>
      </c>
      <c r="AO579" s="121">
        <v>-4925.1014299999997</v>
      </c>
      <c r="AP579" s="125" t="str">
        <f>CONCATENATE(A579,M579)</f>
        <v>Reg AssetR</v>
      </c>
      <c r="AQ579" s="125" t="str">
        <f>CONCATENATE(AP579,L579,H579)</f>
        <v>Reg AssetRR10Inc Tax on Lower Book Depr Exp vs. Amt in Rates</v>
      </c>
      <c r="AS579" s="125" t="str">
        <f>CONCATENATE(L579,H579,J579)</f>
        <v>R10Inc Tax on Lower Book Depr Exp vs. Amt in Rates</v>
      </c>
    </row>
    <row r="580" spans="1:45" s="125" customFormat="1" ht="25.5" customHeight="1">
      <c r="A580" s="216" t="s">
        <v>1442</v>
      </c>
      <c r="B580" s="217" t="str">
        <f>CONCATENATE(A580,C580,D580,E580)</f>
        <v>Reg Asset254016ReclassBE039999</v>
      </c>
      <c r="C580" s="186">
        <v>254016</v>
      </c>
      <c r="D580" s="201" t="s">
        <v>1961</v>
      </c>
      <c r="E580" s="162" t="s">
        <v>3291</v>
      </c>
      <c r="F580" s="169" t="s">
        <v>714</v>
      </c>
      <c r="G580" s="117" t="s">
        <v>1244</v>
      </c>
      <c r="H580" s="118" t="s">
        <v>635</v>
      </c>
      <c r="I580" s="120"/>
      <c r="J580" s="120"/>
      <c r="K580" s="120" t="str">
        <f>IF(L580="N3","SFAS-109","")</f>
        <v/>
      </c>
      <c r="L580" s="170" t="s">
        <v>1893</v>
      </c>
      <c r="M580" s="122" t="str">
        <f>LEFT(L580,1)</f>
        <v>R</v>
      </c>
      <c r="N580" s="116" t="str">
        <f>IF($L580&lt;&gt;"",VLOOKUP($L580,Categories!$E:$G,2,FALSE),IF($F580&lt;&gt;"","NO CAT",""))</f>
        <v>Rate Base</v>
      </c>
      <c r="O580" s="116" t="str">
        <f>IF($L580&lt;&gt;"",VLOOKUP($L580,Categories!$E:$G,3,FALSE),IF($F580&lt;&gt;"","NO CAT",""))</f>
        <v>Deferred Debits &amp; Credits</v>
      </c>
      <c r="P580" s="170" t="s">
        <v>1183</v>
      </c>
      <c r="Q580" s="123" t="s">
        <v>1177</v>
      </c>
      <c r="R580" s="124">
        <v>1</v>
      </c>
      <c r="S580" s="124">
        <v>0</v>
      </c>
      <c r="T580" s="124">
        <v>0</v>
      </c>
      <c r="U580" s="121">
        <f>IF(ABS(X580)=0,"",IF($R580="NO ALLOC","NO ALLOC",ROUND($R580*X580,15)))</f>
        <v>-874.34845333333305</v>
      </c>
      <c r="V580" s="121">
        <f>IF(ABS(X580)=0,"",IF($S580="NO ALLOC","NO ALLOC",ROUND($S580*X580,15)))</f>
        <v>0</v>
      </c>
      <c r="W580" s="121">
        <f>IF(ABS(X580)=0,"",IF($T580="NO ALLOC","NO ALLOC",ROUND($T580*X580,15)))</f>
        <v>0</v>
      </c>
      <c r="X580" s="121">
        <f t="shared" si="240"/>
        <v>-874.34845333333305</v>
      </c>
      <c r="Y580" s="121" t="str">
        <f>IF(ABS(AB580)=0,"",IF($R580="NO ALLOC","NO ALLOC",ROUND($R580*AB580,15)))</f>
        <v/>
      </c>
      <c r="Z580" s="121" t="str">
        <f>IF(ABS(AB580)=0,"",IF($S580="NO ALLOC","NO ALLOC",ROUND($S580*AB580,15)))</f>
        <v/>
      </c>
      <c r="AA580" s="121" t="str">
        <f>IF(ABS(AB580)=0,"",IF($T580="NO ALLOC","NO ALLOC",ROUND($T580*AB580,15)))</f>
        <v/>
      </c>
      <c r="AB580" s="121">
        <f t="shared" si="241"/>
        <v>0</v>
      </c>
      <c r="AC580" s="161">
        <v>0</v>
      </c>
      <c r="AD580" s="121">
        <v>0</v>
      </c>
      <c r="AE580" s="121">
        <v>0</v>
      </c>
      <c r="AF580" s="121">
        <v>0</v>
      </c>
      <c r="AG580" s="121">
        <v>0</v>
      </c>
      <c r="AH580" s="121">
        <v>0</v>
      </c>
      <c r="AI580" s="121">
        <v>-7118.4760800000004</v>
      </c>
      <c r="AJ580" s="121">
        <v>-3373.7053599999999</v>
      </c>
      <c r="AK580" s="121">
        <v>0</v>
      </c>
      <c r="AL580" s="121">
        <v>0</v>
      </c>
      <c r="AM580" s="121">
        <v>0</v>
      </c>
      <c r="AN580" s="121">
        <v>0</v>
      </c>
      <c r="AO580" s="121">
        <v>0</v>
      </c>
      <c r="AP580" s="125" t="str">
        <f>CONCATENATE(A580,M580)</f>
        <v>Reg AssetR</v>
      </c>
      <c r="AQ580" s="125" t="str">
        <f>CONCATENATE(AP580,L580,H580)</f>
        <v>Reg AssetRR10NBWC True-up</v>
      </c>
      <c r="AS580" s="125" t="str">
        <f>CONCATENATE(L580,H580,J580)</f>
        <v>R10NBWC True-up</v>
      </c>
    </row>
    <row r="581" spans="1:45" s="125" customFormat="1" ht="25.5" customHeight="1">
      <c r="A581" s="216" t="s">
        <v>1442</v>
      </c>
      <c r="B581" s="217" t="str">
        <f t="shared" ref="B581:B669" si="245">CONCATENATE(A581,C581,D581,E581)</f>
        <v>Reg Asset254016801226BE030907</v>
      </c>
      <c r="C581" s="186">
        <v>254016</v>
      </c>
      <c r="D581" s="201">
        <v>801226</v>
      </c>
      <c r="E581" s="162" t="s">
        <v>3803</v>
      </c>
      <c r="F581" s="169" t="s">
        <v>714</v>
      </c>
      <c r="G581" s="117" t="s">
        <v>33</v>
      </c>
      <c r="H581" s="118" t="s">
        <v>914</v>
      </c>
      <c r="I581" s="120"/>
      <c r="J581" s="120"/>
      <c r="K581" s="120" t="str">
        <f t="shared" si="244"/>
        <v/>
      </c>
      <c r="L581" s="170" t="s">
        <v>2821</v>
      </c>
      <c r="M581" s="122" t="str">
        <f t="shared" si="212"/>
        <v>N</v>
      </c>
      <c r="N581" s="116" t="str">
        <f>IF($L581&lt;&gt;"",VLOOKUP($L581,Categories!$E:$G,2,FALSE),IF($F581&lt;&gt;"","NO CAT",""))</f>
        <v>Not in Rate Base</v>
      </c>
      <c r="O581" s="116" t="str">
        <f>IF($L581&lt;&gt;"",VLOOKUP($L581,Categories!$E:$G,3,FALSE),IF($F581&lt;&gt;"","NO CAT",""))</f>
        <v>Deferrals Accruing Non-Cash Return   (other than ASGA)</v>
      </c>
      <c r="P581" s="170" t="s">
        <v>1186</v>
      </c>
      <c r="Q581" s="123" t="s">
        <v>1187</v>
      </c>
      <c r="R581" s="124">
        <v>0</v>
      </c>
      <c r="S581" s="124">
        <v>0</v>
      </c>
      <c r="T581" s="124">
        <v>1</v>
      </c>
      <c r="U581" s="121">
        <f t="shared" ref="U581:U669" si="246">IF(ABS(X581)=0,"",IF($R581="NO ALLOC","NO ALLOC",ROUND($R581*X581,15)))</f>
        <v>0</v>
      </c>
      <c r="V581" s="121">
        <f t="shared" ref="V581:V669" si="247">IF(ABS(X581)=0,"",IF($S581="NO ALLOC","NO ALLOC",ROUND($S581*X581,15)))</f>
        <v>0</v>
      </c>
      <c r="W581" s="121">
        <f t="shared" ref="W581:W669" si="248">IF(ABS(X581)=0,"",IF($T581="NO ALLOC","NO ALLOC",ROUND($T581*X581,15)))</f>
        <v>-2692.49121625</v>
      </c>
      <c r="X581" s="121">
        <f t="shared" si="240"/>
        <v>-2692.49121625</v>
      </c>
      <c r="Y581" s="121">
        <f t="shared" ref="Y581:Y669" si="249">IF(ABS(AB581)=0,"",IF($R581="NO ALLOC","NO ALLOC",ROUND($R581*AB581,15)))</f>
        <v>0</v>
      </c>
      <c r="Z581" s="121">
        <f t="shared" ref="Z581:Z669" si="250">IF(ABS(AB581)=0,"",IF($S581="NO ALLOC","NO ALLOC",ROUND($S581*AB581,15)))</f>
        <v>0</v>
      </c>
      <c r="AA581" s="121">
        <f t="shared" ref="AA581:AA669" si="251">IF(ABS(AB581)=0,"",IF($T581="NO ALLOC","NO ALLOC",ROUND($T581*AB581,15)))</f>
        <v>-3091.09238</v>
      </c>
      <c r="AB581" s="121">
        <f t="shared" si="241"/>
        <v>-3091.0923799999996</v>
      </c>
      <c r="AC581" s="121">
        <v>-2302.02189</v>
      </c>
      <c r="AD581" s="121">
        <v>-2365.9173400000004</v>
      </c>
      <c r="AE581" s="121">
        <v>-2430.1452200000003</v>
      </c>
      <c r="AF581" s="121">
        <v>-2494.7072499999999</v>
      </c>
      <c r="AG581" s="121">
        <v>-2559.6051699999998</v>
      </c>
      <c r="AH581" s="121">
        <v>-2624.8407399999996</v>
      </c>
      <c r="AI581" s="121">
        <v>-2690.4156999999996</v>
      </c>
      <c r="AJ581" s="121">
        <v>-2756.3318299999996</v>
      </c>
      <c r="AK581" s="121">
        <v>-2822.5908999999992</v>
      </c>
      <c r="AL581" s="121">
        <v>-2889.1946899999994</v>
      </c>
      <c r="AM581" s="121">
        <v>-2956.1449999999995</v>
      </c>
      <c r="AN581" s="121">
        <v>-3023.4436199999996</v>
      </c>
      <c r="AO581" s="121">
        <v>-3091.0923799999996</v>
      </c>
      <c r="AP581" s="125" t="str">
        <f>CONCATENATE(A581,M581)</f>
        <v>Reg AssetN</v>
      </c>
      <c r="AQ581" s="125" t="str">
        <f>CONCATENATE(AP581,L581,H581)</f>
        <v>Reg AssetNN10Medicare Subsidy</v>
      </c>
      <c r="AS581" s="125" t="str">
        <f>CONCATENATE(L581,H581,J581)</f>
        <v>N10Medicare Subsidy</v>
      </c>
    </row>
    <row r="582" spans="1:45" s="125" customFormat="1" ht="25.5" customHeight="1">
      <c r="A582" s="216" t="s">
        <v>1442</v>
      </c>
      <c r="B582" s="217" t="str">
        <f t="shared" si="245"/>
        <v>Reg Asset254016801216BE030598</v>
      </c>
      <c r="C582" s="186">
        <v>254016</v>
      </c>
      <c r="D582" s="201">
        <v>801216</v>
      </c>
      <c r="E582" s="162" t="s">
        <v>34</v>
      </c>
      <c r="F582" s="169" t="s">
        <v>714</v>
      </c>
      <c r="G582" s="117" t="s">
        <v>36</v>
      </c>
      <c r="H582" s="118" t="s">
        <v>1075</v>
      </c>
      <c r="I582" s="120"/>
      <c r="J582" s="120" t="s">
        <v>105</v>
      </c>
      <c r="K582" s="120" t="str">
        <f t="shared" si="244"/>
        <v/>
      </c>
      <c r="L582" s="170" t="s">
        <v>2821</v>
      </c>
      <c r="M582" s="122" t="str">
        <f t="shared" si="212"/>
        <v>N</v>
      </c>
      <c r="N582" s="116" t="str">
        <f>IF($L582&lt;&gt;"",VLOOKUP($L582,Categories!$E:$G,2,FALSE),IF($F582&lt;&gt;"","NO CAT",""))</f>
        <v>Not in Rate Base</v>
      </c>
      <c r="O582" s="116" t="str">
        <f>IF($L582&lt;&gt;"",VLOOKUP($L582,Categories!$E:$G,3,FALSE),IF($F582&lt;&gt;"","NO CAT",""))</f>
        <v>Deferrals Accruing Non-Cash Return   (other than ASGA)</v>
      </c>
      <c r="P582" s="170" t="s">
        <v>1186</v>
      </c>
      <c r="Q582" s="123" t="s">
        <v>1187</v>
      </c>
      <c r="R582" s="124">
        <v>0</v>
      </c>
      <c r="S582" s="124">
        <v>0</v>
      </c>
      <c r="T582" s="124">
        <v>1</v>
      </c>
      <c r="U582" s="121">
        <f t="shared" si="246"/>
        <v>0</v>
      </c>
      <c r="V582" s="121">
        <f t="shared" si="247"/>
        <v>0</v>
      </c>
      <c r="W582" s="121">
        <f t="shared" si="248"/>
        <v>-1862.8936195833301</v>
      </c>
      <c r="X582" s="121">
        <f t="shared" si="240"/>
        <v>-1862.8936195833301</v>
      </c>
      <c r="Y582" s="121" t="str">
        <f t="shared" si="249"/>
        <v/>
      </c>
      <c r="Z582" s="121" t="str">
        <f t="shared" si="250"/>
        <v/>
      </c>
      <c r="AA582" s="121" t="str">
        <f t="shared" si="251"/>
        <v/>
      </c>
      <c r="AB582" s="121">
        <f t="shared" si="241"/>
        <v>0</v>
      </c>
      <c r="AC582" s="121">
        <v>-4838.6689699999997</v>
      </c>
      <c r="AD582" s="121">
        <v>-6332.6836399999993</v>
      </c>
      <c r="AE582" s="121">
        <v>-6687.1169399999999</v>
      </c>
      <c r="AF582" s="121">
        <v>-6915.5883699999995</v>
      </c>
      <c r="AG582" s="121">
        <v>0</v>
      </c>
      <c r="AH582" s="121">
        <v>0</v>
      </c>
      <c r="AI582" s="121">
        <v>0</v>
      </c>
      <c r="AJ582" s="121">
        <v>0</v>
      </c>
      <c r="AK582" s="121">
        <v>0</v>
      </c>
      <c r="AL582" s="121">
        <v>0</v>
      </c>
      <c r="AM582" s="121">
        <v>0</v>
      </c>
      <c r="AN582" s="121">
        <v>0</v>
      </c>
      <c r="AO582" s="121">
        <v>0</v>
      </c>
      <c r="AP582" s="125" t="str">
        <f>CONCATENATE(A582,M582)</f>
        <v>Reg AssetN</v>
      </c>
      <c r="AQ582" s="125" t="str">
        <f>CONCATENATE(AP582,L582,H582)</f>
        <v>Reg AssetNN10Variable Rate Debt</v>
      </c>
      <c r="AS582" s="125" t="str">
        <f>CONCATENATE(L582,H582,J582)</f>
        <v>N10Variable Rate DebtNCR</v>
      </c>
    </row>
    <row r="583" spans="1:45" s="125" customFormat="1" ht="25.5" customHeight="1">
      <c r="A583" s="216" t="s">
        <v>1442</v>
      </c>
      <c r="B583" s="217" t="str">
        <f t="shared" si="245"/>
        <v>Reg Asset254016801214BE030596</v>
      </c>
      <c r="C583" s="186">
        <v>254016</v>
      </c>
      <c r="D583" s="201">
        <v>801214</v>
      </c>
      <c r="E583" s="162" t="s">
        <v>37</v>
      </c>
      <c r="F583" s="169" t="s">
        <v>714</v>
      </c>
      <c r="G583" s="117" t="s">
        <v>38</v>
      </c>
      <c r="H583" s="118" t="s">
        <v>1076</v>
      </c>
      <c r="I583" s="120"/>
      <c r="J583" s="120" t="s">
        <v>105</v>
      </c>
      <c r="K583" s="120" t="str">
        <f t="shared" si="244"/>
        <v/>
      </c>
      <c r="L583" s="170" t="s">
        <v>2821</v>
      </c>
      <c r="M583" s="122" t="str">
        <f t="shared" si="212"/>
        <v>N</v>
      </c>
      <c r="N583" s="116" t="str">
        <f>IF($L583&lt;&gt;"",VLOOKUP($L583,Categories!$E:$G,2,FALSE),IF($F583&lt;&gt;"","NO CAT",""))</f>
        <v>Not in Rate Base</v>
      </c>
      <c r="O583" s="116" t="str">
        <f>IF($L583&lt;&gt;"",VLOOKUP($L583,Categories!$E:$G,3,FALSE),IF($F583&lt;&gt;"","NO CAT",""))</f>
        <v>Deferrals Accruing Non-Cash Return   (other than ASGA)</v>
      </c>
      <c r="P583" s="170" t="s">
        <v>1186</v>
      </c>
      <c r="Q583" s="123" t="s">
        <v>1187</v>
      </c>
      <c r="R583" s="124">
        <v>0</v>
      </c>
      <c r="S583" s="124">
        <v>0</v>
      </c>
      <c r="T583" s="124">
        <v>1</v>
      </c>
      <c r="U583" s="121">
        <f t="shared" si="246"/>
        <v>0</v>
      </c>
      <c r="V583" s="121">
        <f t="shared" si="247"/>
        <v>0</v>
      </c>
      <c r="W583" s="121">
        <f t="shared" si="248"/>
        <v>-24.255481666666601</v>
      </c>
      <c r="X583" s="121">
        <f t="shared" si="240"/>
        <v>-24.255481666666601</v>
      </c>
      <c r="Y583" s="121">
        <f t="shared" si="249"/>
        <v>0</v>
      </c>
      <c r="Z583" s="121">
        <f t="shared" si="250"/>
        <v>0</v>
      </c>
      <c r="AA583" s="121">
        <f t="shared" si="251"/>
        <v>-121.8729</v>
      </c>
      <c r="AB583" s="121">
        <f t="shared" si="241"/>
        <v>-121.8728999999999</v>
      </c>
      <c r="AC583" s="121">
        <v>73.410540000000069</v>
      </c>
      <c r="AD583" s="121">
        <v>57.125800000000069</v>
      </c>
      <c r="AE583" s="121">
        <v>40.843050000000069</v>
      </c>
      <c r="AF583" s="121">
        <v>24.562290000000068</v>
      </c>
      <c r="AG583" s="121">
        <v>8.2835400000000714</v>
      </c>
      <c r="AH583" s="121">
        <v>-7.9931899999999256</v>
      </c>
      <c r="AI583" s="121">
        <v>-24.267889999999927</v>
      </c>
      <c r="AJ583" s="121">
        <v>-40.540549999999925</v>
      </c>
      <c r="AK583" s="121">
        <v>-56.811159999999923</v>
      </c>
      <c r="AL583" s="121">
        <v>-73.07970999999992</v>
      </c>
      <c r="AM583" s="121">
        <v>-89.346189999999922</v>
      </c>
      <c r="AN583" s="121">
        <v>-105.6105899999999</v>
      </c>
      <c r="AO583" s="121">
        <v>-121.8728999999999</v>
      </c>
      <c r="AP583" s="125" t="str">
        <f>CONCATENATE(A583,M583)</f>
        <v>Reg AssetN</v>
      </c>
      <c r="AQ583" s="125" t="str">
        <f>CONCATENATE(AP583,L583,H583)</f>
        <v>Reg AssetNN10Management Audit</v>
      </c>
      <c r="AS583" s="125" t="str">
        <f>CONCATENATE(L583,H583,J583)</f>
        <v>N10Management AuditNCR</v>
      </c>
    </row>
    <row r="584" spans="1:45" s="125" customFormat="1" ht="25.5" customHeight="1">
      <c r="A584" s="216" t="s">
        <v>1442</v>
      </c>
      <c r="B584" s="217" t="str">
        <f t="shared" si="245"/>
        <v>Reg Asset254016801213BE030908</v>
      </c>
      <c r="C584" s="186">
        <v>254016</v>
      </c>
      <c r="D584" s="201">
        <v>801213</v>
      </c>
      <c r="E584" s="162" t="s">
        <v>2532</v>
      </c>
      <c r="F584" s="169" t="s">
        <v>714</v>
      </c>
      <c r="G584" s="117" t="s">
        <v>3124</v>
      </c>
      <c r="H584" s="118" t="s">
        <v>1436</v>
      </c>
      <c r="I584" s="120"/>
      <c r="J584" s="120" t="s">
        <v>105</v>
      </c>
      <c r="K584" s="120" t="str">
        <f t="shared" si="244"/>
        <v/>
      </c>
      <c r="L584" s="170" t="s">
        <v>2821</v>
      </c>
      <c r="M584" s="122" t="str">
        <f t="shared" si="212"/>
        <v>N</v>
      </c>
      <c r="N584" s="116" t="str">
        <f>IF($L584&lt;&gt;"",VLOOKUP($L584,Categories!$E:$G,2,FALSE),IF($F584&lt;&gt;"","NO CAT",""))</f>
        <v>Not in Rate Base</v>
      </c>
      <c r="O584" s="116" t="str">
        <f>IF($L584&lt;&gt;"",VLOOKUP($L584,Categories!$E:$G,3,FALSE),IF($F584&lt;&gt;"","NO CAT",""))</f>
        <v>Deferrals Accruing Non-Cash Return   (other than ASGA)</v>
      </c>
      <c r="P584" s="170" t="s">
        <v>1186</v>
      </c>
      <c r="Q584" s="123" t="s">
        <v>1187</v>
      </c>
      <c r="R584" s="124">
        <v>0</v>
      </c>
      <c r="S584" s="124">
        <v>0</v>
      </c>
      <c r="T584" s="124">
        <v>1</v>
      </c>
      <c r="U584" s="121">
        <f t="shared" si="246"/>
        <v>0</v>
      </c>
      <c r="V584" s="121">
        <f t="shared" si="247"/>
        <v>0</v>
      </c>
      <c r="W584" s="121">
        <f t="shared" si="248"/>
        <v>-17415.4346425</v>
      </c>
      <c r="X584" s="121">
        <f t="shared" si="240"/>
        <v>-17415.4346425</v>
      </c>
      <c r="Y584" s="121">
        <f t="shared" si="249"/>
        <v>0</v>
      </c>
      <c r="Z584" s="121">
        <f t="shared" si="250"/>
        <v>0</v>
      </c>
      <c r="AA584" s="121">
        <f t="shared" si="251"/>
        <v>-19993.646359999999</v>
      </c>
      <c r="AB584" s="121">
        <f t="shared" si="241"/>
        <v>-19993.646359999992</v>
      </c>
      <c r="AC584" s="121">
        <v>-14889.820859999996</v>
      </c>
      <c r="AD584" s="121">
        <v>-15303.106149999998</v>
      </c>
      <c r="AE584" s="121">
        <v>-15718.54162</v>
      </c>
      <c r="AF584" s="121">
        <v>-16136.138459999998</v>
      </c>
      <c r="AG584" s="121">
        <v>-16555.907909999998</v>
      </c>
      <c r="AH584" s="121">
        <v>-16977.861279999997</v>
      </c>
      <c r="AI584" s="121">
        <v>-17402.009919999997</v>
      </c>
      <c r="AJ584" s="121">
        <v>-17828.365259999999</v>
      </c>
      <c r="AK584" s="121">
        <v>-18256.938779999997</v>
      </c>
      <c r="AL584" s="121">
        <v>-18687.742019999994</v>
      </c>
      <c r="AM584" s="121">
        <v>-19120.786579999993</v>
      </c>
      <c r="AN584" s="121">
        <v>-19556.084119999992</v>
      </c>
      <c r="AO584" s="121">
        <v>-19993.646359999992</v>
      </c>
      <c r="AP584" s="125" t="str">
        <f>CONCATENATE(A584,M584)</f>
        <v>Reg AssetN</v>
      </c>
      <c r="AQ584" s="125" t="str">
        <f>CONCATENATE(AP584,L584,H584)</f>
        <v>Reg AssetNN10Theoretical Reserve</v>
      </c>
      <c r="AS584" s="125" t="str">
        <f>CONCATENATE(L584,H584,J584)</f>
        <v>N10Theoretical ReserveNCR</v>
      </c>
    </row>
    <row r="585" spans="1:45" s="125" customFormat="1" ht="25.5" customHeight="1">
      <c r="A585" s="216" t="s">
        <v>1442</v>
      </c>
      <c r="B585" s="217" t="str">
        <f t="shared" si="245"/>
        <v>Reg Asset254016801217BE030599</v>
      </c>
      <c r="C585" s="186">
        <v>254016</v>
      </c>
      <c r="D585" s="201">
        <v>801217</v>
      </c>
      <c r="E585" s="162" t="s">
        <v>39</v>
      </c>
      <c r="F585" s="169" t="s">
        <v>714</v>
      </c>
      <c r="G585" s="117" t="s">
        <v>730</v>
      </c>
      <c r="H585" s="118" t="s">
        <v>1078</v>
      </c>
      <c r="I585" s="120"/>
      <c r="J585" s="120" t="s">
        <v>105</v>
      </c>
      <c r="K585" s="120" t="str">
        <f t="shared" si="244"/>
        <v/>
      </c>
      <c r="L585" s="170" t="s">
        <v>2821</v>
      </c>
      <c r="M585" s="122" t="str">
        <f t="shared" si="212"/>
        <v>N</v>
      </c>
      <c r="N585" s="116" t="str">
        <f>IF($L585&lt;&gt;"",VLOOKUP($L585,Categories!$E:$G,2,FALSE),IF($F585&lt;&gt;"","NO CAT",""))</f>
        <v>Not in Rate Base</v>
      </c>
      <c r="O585" s="116" t="str">
        <f>IF($L585&lt;&gt;"",VLOOKUP($L585,Categories!$E:$G,3,FALSE),IF($F585&lt;&gt;"","NO CAT",""))</f>
        <v>Deferrals Accruing Non-Cash Return   (other than ASGA)</v>
      </c>
      <c r="P585" s="170" t="s">
        <v>1186</v>
      </c>
      <c r="Q585" s="123" t="s">
        <v>1187</v>
      </c>
      <c r="R585" s="124">
        <v>0</v>
      </c>
      <c r="S585" s="124">
        <v>0</v>
      </c>
      <c r="T585" s="124">
        <v>1</v>
      </c>
      <c r="U585" s="121">
        <f t="shared" si="246"/>
        <v>0</v>
      </c>
      <c r="V585" s="121">
        <f t="shared" si="247"/>
        <v>0</v>
      </c>
      <c r="W585" s="121">
        <f t="shared" si="248"/>
        <v>-351.78999833333302</v>
      </c>
      <c r="X585" s="121">
        <f t="shared" si="240"/>
        <v>-351.78999833333302</v>
      </c>
      <c r="Y585" s="121" t="str">
        <f t="shared" si="249"/>
        <v/>
      </c>
      <c r="Z585" s="121" t="str">
        <f t="shared" si="250"/>
        <v/>
      </c>
      <c r="AA585" s="121" t="str">
        <f t="shared" si="251"/>
        <v/>
      </c>
      <c r="AB585" s="121">
        <f t="shared" si="241"/>
        <v>0</v>
      </c>
      <c r="AC585" s="121">
        <v>0</v>
      </c>
      <c r="AD585" s="121">
        <v>-317.81190000000004</v>
      </c>
      <c r="AE585" s="121">
        <v>-649.83240000000001</v>
      </c>
      <c r="AF585" s="121">
        <v>-788.16144000000008</v>
      </c>
      <c r="AG585" s="121">
        <v>-966.57872000000009</v>
      </c>
      <c r="AH585" s="121">
        <v>-291.23843000000005</v>
      </c>
      <c r="AI585" s="121">
        <v>-414.47760000000005</v>
      </c>
      <c r="AJ585" s="121">
        <v>-141.95897000000002</v>
      </c>
      <c r="AK585" s="121">
        <v>-207.18871000000001</v>
      </c>
      <c r="AL585" s="121">
        <v>-94.112070000000017</v>
      </c>
      <c r="AM585" s="121">
        <v>-152.30335000000002</v>
      </c>
      <c r="AN585" s="121">
        <v>-197.81639000000004</v>
      </c>
      <c r="AO585" s="121">
        <v>0</v>
      </c>
      <c r="AP585" s="125" t="str">
        <f>CONCATENATE(A585,M585)</f>
        <v>Reg AssetN</v>
      </c>
      <c r="AQ585" s="125" t="str">
        <f>CONCATENATE(AP585,L585,H585)</f>
        <v>Reg AssetNN10Incremental Maintenance</v>
      </c>
      <c r="AS585" s="125" t="str">
        <f>CONCATENATE(L585,H585,J585)</f>
        <v>N10Incremental MaintenanceNCR</v>
      </c>
    </row>
    <row r="586" spans="1:45" s="125" customFormat="1" ht="25.5" customHeight="1">
      <c r="A586" s="216" t="s">
        <v>1442</v>
      </c>
      <c r="B586" s="217" t="str">
        <f t="shared" si="245"/>
        <v>Reg Asset254016601139BE030192</v>
      </c>
      <c r="C586" s="186">
        <v>254016</v>
      </c>
      <c r="D586" s="201">
        <v>601139</v>
      </c>
      <c r="E586" s="162" t="s">
        <v>1156</v>
      </c>
      <c r="F586" s="169" t="s">
        <v>714</v>
      </c>
      <c r="G586" s="117" t="s">
        <v>1157</v>
      </c>
      <c r="H586" s="118" t="s">
        <v>891</v>
      </c>
      <c r="I586" s="120"/>
      <c r="J586" s="120" t="s">
        <v>105</v>
      </c>
      <c r="K586" s="120" t="str">
        <f t="shared" si="244"/>
        <v/>
      </c>
      <c r="L586" s="170" t="s">
        <v>2821</v>
      </c>
      <c r="M586" s="122" t="str">
        <f t="shared" si="212"/>
        <v>N</v>
      </c>
      <c r="N586" s="116" t="str">
        <f>IF($L586&lt;&gt;"",VLOOKUP($L586,Categories!$E:$G,2,FALSE),IF($F586&lt;&gt;"","NO CAT",""))</f>
        <v>Not in Rate Base</v>
      </c>
      <c r="O586" s="116" t="str">
        <f>IF($L586&lt;&gt;"",VLOOKUP($L586,Categories!$E:$G,3,FALSE),IF($F586&lt;&gt;"","NO CAT",""))</f>
        <v>Deferrals Accruing Non-Cash Return   (other than ASGA)</v>
      </c>
      <c r="P586" s="170" t="s">
        <v>1186</v>
      </c>
      <c r="Q586" s="123" t="s">
        <v>1187</v>
      </c>
      <c r="R586" s="124">
        <v>0</v>
      </c>
      <c r="S586" s="124">
        <v>0</v>
      </c>
      <c r="T586" s="124">
        <v>1</v>
      </c>
      <c r="U586" s="121">
        <f t="shared" si="246"/>
        <v>0</v>
      </c>
      <c r="V586" s="121">
        <f t="shared" si="247"/>
        <v>0</v>
      </c>
      <c r="W586" s="121">
        <f t="shared" si="248"/>
        <v>-15013.3382470833</v>
      </c>
      <c r="X586" s="121">
        <f t="shared" si="240"/>
        <v>-15013.3382470833</v>
      </c>
      <c r="Y586" s="121" t="str">
        <f t="shared" si="249"/>
        <v/>
      </c>
      <c r="Z586" s="121" t="str">
        <f t="shared" si="250"/>
        <v/>
      </c>
      <c r="AA586" s="121" t="str">
        <f t="shared" si="251"/>
        <v/>
      </c>
      <c r="AB586" s="121">
        <f t="shared" si="241"/>
        <v>0</v>
      </c>
      <c r="AC586" s="121">
        <v>-24424.020890000003</v>
      </c>
      <c r="AD586" s="121">
        <v>-25447.382240000003</v>
      </c>
      <c r="AE586" s="121">
        <v>-26468.280300000002</v>
      </c>
      <c r="AF586" s="121">
        <v>-27486.702249999998</v>
      </c>
      <c r="AG586" s="121">
        <v>-28502.63521</v>
      </c>
      <c r="AH586" s="121">
        <v>-29516.06623</v>
      </c>
      <c r="AI586" s="121">
        <v>-30526.98229</v>
      </c>
      <c r="AJ586" s="121">
        <v>0</v>
      </c>
      <c r="AK586" s="121">
        <v>0</v>
      </c>
      <c r="AL586" s="121">
        <v>0</v>
      </c>
      <c r="AM586" s="121">
        <v>0</v>
      </c>
      <c r="AN586" s="121">
        <v>0</v>
      </c>
      <c r="AO586" s="121">
        <v>0</v>
      </c>
      <c r="AP586" s="125" t="str">
        <f>CONCATENATE(A586,M586)</f>
        <v>Reg AssetN</v>
      </c>
      <c r="AQ586" s="125" t="str">
        <f>CONCATENATE(AP586,L586,H586)</f>
        <v>Reg AssetNN10Bonus Depreciation</v>
      </c>
      <c r="AS586" s="125" t="str">
        <f>CONCATENATE(L586,H586,J586)</f>
        <v>N10Bonus DepreciationNCR</v>
      </c>
    </row>
    <row r="587" spans="1:45" s="125" customFormat="1" ht="25.5" customHeight="1">
      <c r="A587" s="216" t="s">
        <v>1442</v>
      </c>
      <c r="B587" s="217" t="str">
        <f t="shared" si="245"/>
        <v>Reg Asset254016800130BE030915</v>
      </c>
      <c r="C587" s="186">
        <v>254016</v>
      </c>
      <c r="D587" s="201">
        <v>800130</v>
      </c>
      <c r="E587" s="162" t="s">
        <v>1158</v>
      </c>
      <c r="F587" s="169" t="s">
        <v>714</v>
      </c>
      <c r="G587" s="117" t="s">
        <v>1159</v>
      </c>
      <c r="H587" s="118" t="s">
        <v>2496</v>
      </c>
      <c r="I587" s="120"/>
      <c r="J587" s="120" t="s">
        <v>105</v>
      </c>
      <c r="K587" s="120" t="str">
        <f t="shared" si="244"/>
        <v/>
      </c>
      <c r="L587" s="170" t="s">
        <v>2821</v>
      </c>
      <c r="M587" s="122" t="str">
        <f t="shared" si="212"/>
        <v>N</v>
      </c>
      <c r="N587" s="116" t="str">
        <f>IF($L587&lt;&gt;"",VLOOKUP($L587,Categories!$E:$G,2,FALSE),IF($F587&lt;&gt;"","NO CAT",""))</f>
        <v>Not in Rate Base</v>
      </c>
      <c r="O587" s="116" t="str">
        <f>IF($L587&lt;&gt;"",VLOOKUP($L587,Categories!$E:$G,3,FALSE),IF($F587&lt;&gt;"","NO CAT",""))</f>
        <v>Deferrals Accruing Non-Cash Return   (other than ASGA)</v>
      </c>
      <c r="P587" s="170" t="s">
        <v>1186</v>
      </c>
      <c r="Q587" s="123" t="s">
        <v>1187</v>
      </c>
      <c r="R587" s="124">
        <v>0</v>
      </c>
      <c r="S587" s="124">
        <v>0</v>
      </c>
      <c r="T587" s="124">
        <v>1</v>
      </c>
      <c r="U587" s="121" t="str">
        <f t="shared" si="246"/>
        <v/>
      </c>
      <c r="V587" s="121" t="str">
        <f t="shared" si="247"/>
        <v/>
      </c>
      <c r="W587" s="121" t="str">
        <f t="shared" si="248"/>
        <v/>
      </c>
      <c r="X587" s="121">
        <f t="shared" si="240"/>
        <v>0</v>
      </c>
      <c r="Y587" s="121" t="str">
        <f t="shared" si="249"/>
        <v/>
      </c>
      <c r="Z587" s="121" t="str">
        <f t="shared" si="250"/>
        <v/>
      </c>
      <c r="AA587" s="121" t="str">
        <f t="shared" si="251"/>
        <v/>
      </c>
      <c r="AB587" s="121">
        <f t="shared" si="241"/>
        <v>0</v>
      </c>
      <c r="AC587" s="161">
        <v>0</v>
      </c>
      <c r="AD587" s="121">
        <v>0</v>
      </c>
      <c r="AE587" s="121">
        <v>0</v>
      </c>
      <c r="AF587" s="121">
        <v>0</v>
      </c>
      <c r="AG587" s="121">
        <v>0</v>
      </c>
      <c r="AH587" s="121">
        <v>0</v>
      </c>
      <c r="AI587" s="121">
        <v>0</v>
      </c>
      <c r="AJ587" s="121">
        <v>0</v>
      </c>
      <c r="AK587" s="121">
        <v>0</v>
      </c>
      <c r="AL587" s="121">
        <v>0</v>
      </c>
      <c r="AM587" s="121">
        <v>0</v>
      </c>
      <c r="AN587" s="121">
        <v>0</v>
      </c>
      <c r="AO587" s="121">
        <v>0</v>
      </c>
      <c r="AP587" s="125" t="str">
        <f>CONCATENATE(A587,M587)</f>
        <v>Reg AssetN</v>
      </c>
      <c r="AQ587" s="125" t="str">
        <f>CONCATENATE(AP587,L587,H587)</f>
        <v>Reg AssetNN10System Benefits Charge</v>
      </c>
      <c r="AS587" s="125" t="str">
        <f>CONCATENATE(L587,H587,J587)</f>
        <v>N10System Benefits ChargeNCR</v>
      </c>
    </row>
    <row r="588" spans="1:45" s="125" customFormat="1" ht="25.5" customHeight="1">
      <c r="A588" s="216" t="s">
        <v>1442</v>
      </c>
      <c r="B588" s="217" t="str">
        <f t="shared" si="245"/>
        <v>Reg Asset254016801236BE030595</v>
      </c>
      <c r="C588" s="186">
        <v>254016</v>
      </c>
      <c r="D588" s="201">
        <v>801236</v>
      </c>
      <c r="E588" s="162" t="s">
        <v>1160</v>
      </c>
      <c r="F588" s="169" t="s">
        <v>714</v>
      </c>
      <c r="G588" s="117" t="s">
        <v>4679</v>
      </c>
      <c r="H588" s="118" t="s">
        <v>892</v>
      </c>
      <c r="I588" s="120"/>
      <c r="J588" s="120" t="s">
        <v>105</v>
      </c>
      <c r="K588" s="120" t="str">
        <f t="shared" si="244"/>
        <v/>
      </c>
      <c r="L588" s="170" t="s">
        <v>2821</v>
      </c>
      <c r="M588" s="122" t="str">
        <f t="shared" si="212"/>
        <v>N</v>
      </c>
      <c r="N588" s="116" t="str">
        <f>IF($L588&lt;&gt;"",VLOOKUP($L588,Categories!$E:$G,2,FALSE),IF($F588&lt;&gt;"","NO CAT",""))</f>
        <v>Not in Rate Base</v>
      </c>
      <c r="O588" s="116" t="str">
        <f>IF($L588&lt;&gt;"",VLOOKUP($L588,Categories!$E:$G,3,FALSE),IF($F588&lt;&gt;"","NO CAT",""))</f>
        <v>Deferrals Accruing Non-Cash Return   (other than ASGA)</v>
      </c>
      <c r="P588" s="170" t="s">
        <v>1186</v>
      </c>
      <c r="Q588" s="123" t="s">
        <v>1187</v>
      </c>
      <c r="R588" s="124">
        <v>0</v>
      </c>
      <c r="S588" s="124">
        <v>0</v>
      </c>
      <c r="T588" s="124">
        <v>1</v>
      </c>
      <c r="U588" s="121">
        <f t="shared" si="246"/>
        <v>0</v>
      </c>
      <c r="V588" s="121">
        <f t="shared" si="247"/>
        <v>0</v>
      </c>
      <c r="W588" s="121">
        <f t="shared" si="248"/>
        <v>-492.46145166666702</v>
      </c>
      <c r="X588" s="121">
        <f t="shared" si="240"/>
        <v>-492.46145166666702</v>
      </c>
      <c r="Y588" s="121">
        <f t="shared" si="249"/>
        <v>0</v>
      </c>
      <c r="Z588" s="121">
        <f t="shared" si="250"/>
        <v>0</v>
      </c>
      <c r="AA588" s="121">
        <f t="shared" si="251"/>
        <v>-7.1299999999999999E-13</v>
      </c>
      <c r="AB588" s="121">
        <f t="shared" si="241"/>
        <v>-7.1304384618997577E-13</v>
      </c>
      <c r="AC588" s="121">
        <v>-8.7311491370201108E-13</v>
      </c>
      <c r="AD588" s="121">
        <v>-823.20367000000078</v>
      </c>
      <c r="AE588" s="121">
        <v>-728.27668000000074</v>
      </c>
      <c r="AF588" s="121">
        <v>-521.86585000000082</v>
      </c>
      <c r="AG588" s="121">
        <v>-280.48004000000077</v>
      </c>
      <c r="AH588" s="121">
        <v>-311.02192000000082</v>
      </c>
      <c r="AI588" s="121">
        <v>-668.8644600000008</v>
      </c>
      <c r="AJ588" s="121">
        <v>-620.47079000000076</v>
      </c>
      <c r="AK588" s="121">
        <v>-1031.1961400000007</v>
      </c>
      <c r="AL588" s="121">
        <v>-821.19148000000064</v>
      </c>
      <c r="AM588" s="121">
        <v>-102.96639000000071</v>
      </c>
      <c r="AN588" s="121">
        <v>-7.1304384618997577E-13</v>
      </c>
      <c r="AO588" s="121">
        <v>-7.1304384618997577E-13</v>
      </c>
      <c r="AP588" s="125" t="str">
        <f>CONCATENATE(A588,M588)</f>
        <v>Reg AssetN</v>
      </c>
      <c r="AQ588" s="125" t="str">
        <f>CONCATENATE(AP588,L588,H588)</f>
        <v>Reg AssetNN10Vegetation Management</v>
      </c>
      <c r="AS588" s="125" t="str">
        <f>CONCATENATE(L588,H588,J588)</f>
        <v>N10Vegetation ManagementNCR</v>
      </c>
    </row>
    <row r="589" spans="1:45" s="125" customFormat="1" ht="25.5" customHeight="1">
      <c r="A589" s="216" t="s">
        <v>1442</v>
      </c>
      <c r="B589" s="217" t="str">
        <f t="shared" si="245"/>
        <v>Reg Asset254016OPEB EleBE030246</v>
      </c>
      <c r="C589" s="186">
        <v>254016</v>
      </c>
      <c r="D589" s="201" t="s">
        <v>1999</v>
      </c>
      <c r="E589" s="162" t="s">
        <v>706</v>
      </c>
      <c r="F589" s="169" t="s">
        <v>714</v>
      </c>
      <c r="G589" s="117" t="s">
        <v>2000</v>
      </c>
      <c r="H589" s="118" t="s">
        <v>170</v>
      </c>
      <c r="I589" s="120"/>
      <c r="J589" s="120" t="s">
        <v>105</v>
      </c>
      <c r="K589" s="120" t="str">
        <f t="shared" si="244"/>
        <v/>
      </c>
      <c r="L589" s="170" t="s">
        <v>2821</v>
      </c>
      <c r="M589" s="122" t="str">
        <f t="shared" si="212"/>
        <v>N</v>
      </c>
      <c r="N589" s="116" t="str">
        <f>IF($L589&lt;&gt;"",VLOOKUP($L589,Categories!$E:$G,2,FALSE),IF($F589&lt;&gt;"","NO CAT",""))</f>
        <v>Not in Rate Base</v>
      </c>
      <c r="O589" s="116" t="str">
        <f>IF($L589&lt;&gt;"",VLOOKUP($L589,Categories!$E:$G,3,FALSE),IF($F589&lt;&gt;"","NO CAT",""))</f>
        <v>Deferrals Accruing Non-Cash Return   (other than ASGA)</v>
      </c>
      <c r="P589" s="170" t="s">
        <v>1186</v>
      </c>
      <c r="Q589" s="123" t="s">
        <v>1187</v>
      </c>
      <c r="R589" s="124">
        <v>0</v>
      </c>
      <c r="S589" s="124">
        <v>0</v>
      </c>
      <c r="T589" s="124">
        <v>1</v>
      </c>
      <c r="U589" s="121">
        <f t="shared" si="246"/>
        <v>0</v>
      </c>
      <c r="V589" s="121">
        <f t="shared" si="247"/>
        <v>0</v>
      </c>
      <c r="W589" s="121">
        <f t="shared" si="248"/>
        <v>-7681.5156941666601</v>
      </c>
      <c r="X589" s="121">
        <f t="shared" si="240"/>
        <v>-7681.5156941666601</v>
      </c>
      <c r="Y589" s="121">
        <f t="shared" si="249"/>
        <v>0</v>
      </c>
      <c r="Z589" s="121">
        <f t="shared" si="250"/>
        <v>0</v>
      </c>
      <c r="AA589" s="121">
        <f t="shared" si="251"/>
        <v>-14810.16035</v>
      </c>
      <c r="AB589" s="121">
        <f t="shared" si="241"/>
        <v>-14810.160349999998</v>
      </c>
      <c r="AC589" s="121">
        <v>-4532.0595099999991</v>
      </c>
      <c r="AD589" s="121">
        <v>-1266.7931499999981</v>
      </c>
      <c r="AE589" s="121">
        <v>-2609.020959999998</v>
      </c>
      <c r="AF589" s="121">
        <v>-3842.2480899999978</v>
      </c>
      <c r="AG589" s="121">
        <v>-5082.6158199999982</v>
      </c>
      <c r="AH589" s="121">
        <v>-6322.7777199999991</v>
      </c>
      <c r="AI589" s="121">
        <v>-7485.6822399999983</v>
      </c>
      <c r="AJ589" s="121">
        <v>-8809.1616799999974</v>
      </c>
      <c r="AK589" s="121">
        <v>-9952.4973399999981</v>
      </c>
      <c r="AL589" s="121">
        <v>-11166.763839999998</v>
      </c>
      <c r="AM589" s="121">
        <v>-12378.122759999998</v>
      </c>
      <c r="AN589" s="121">
        <v>-13591.394799999996</v>
      </c>
      <c r="AO589" s="121">
        <v>-14810.160349999998</v>
      </c>
      <c r="AP589" s="125" t="str">
        <f>CONCATENATE(A589,M589)</f>
        <v>Reg AssetN</v>
      </c>
      <c r="AQ589" s="125" t="str">
        <f>CONCATENATE(AP589,L589,H589)</f>
        <v>Reg AssetNN10OPEBs</v>
      </c>
      <c r="AS589" s="125" t="str">
        <f>CONCATENATE(L589,H589,J589)</f>
        <v>N10OPEBsNCR</v>
      </c>
    </row>
    <row r="590" spans="1:45" s="125" customFormat="1" ht="25.5" customHeight="1">
      <c r="A590" s="216" t="s">
        <v>1442</v>
      </c>
      <c r="B590" s="217" t="str">
        <f t="shared" si="245"/>
        <v>Reg Asset254016801204BE030246</v>
      </c>
      <c r="C590" s="186">
        <v>254016</v>
      </c>
      <c r="D590" s="201">
        <v>801204</v>
      </c>
      <c r="E590" s="162" t="s">
        <v>706</v>
      </c>
      <c r="F590" s="169" t="s">
        <v>714</v>
      </c>
      <c r="G590" s="117" t="s">
        <v>3786</v>
      </c>
      <c r="H590" s="118" t="s">
        <v>170</v>
      </c>
      <c r="I590" s="120"/>
      <c r="J590" s="120" t="s">
        <v>105</v>
      </c>
      <c r="K590" s="120" t="str">
        <f>IF(L590="N3","SFAS-109","")</f>
        <v/>
      </c>
      <c r="L590" s="170" t="s">
        <v>2821</v>
      </c>
      <c r="M590" s="122" t="str">
        <f>LEFT(L590,1)</f>
        <v>N</v>
      </c>
      <c r="N590" s="116" t="str">
        <f>IF($L590&lt;&gt;"",VLOOKUP($L590,Categories!$E:$G,2,FALSE),IF($F590&lt;&gt;"","NO CAT",""))</f>
        <v>Not in Rate Base</v>
      </c>
      <c r="O590" s="116" t="str">
        <f>IF($L590&lt;&gt;"",VLOOKUP($L590,Categories!$E:$G,3,FALSE),IF($F590&lt;&gt;"","NO CAT",""))</f>
        <v>Deferrals Accruing Non-Cash Return   (other than ASGA)</v>
      </c>
      <c r="P590" s="170" t="s">
        <v>1186</v>
      </c>
      <c r="Q590" s="123" t="s">
        <v>1187</v>
      </c>
      <c r="R590" s="124">
        <v>0</v>
      </c>
      <c r="S590" s="124">
        <v>0</v>
      </c>
      <c r="T590" s="124">
        <v>1</v>
      </c>
      <c r="U590" s="121">
        <f>IF(ABS(X590)=0,"",IF($R590="NO ALLOC","NO ALLOC",ROUND($R590*X590,15)))</f>
        <v>0</v>
      </c>
      <c r="V590" s="121">
        <f>IF(ABS(X590)=0,"",IF($S590="NO ALLOC","NO ALLOC",ROUND($S590*X590,15)))</f>
        <v>0</v>
      </c>
      <c r="W590" s="121">
        <f>IF(ABS(X590)=0,"",IF($T590="NO ALLOC","NO ALLOC",ROUND($T590*X590,15)))</f>
        <v>-21280.377076249999</v>
      </c>
      <c r="X590" s="121">
        <f t="shared" si="240"/>
        <v>-21280.377076249999</v>
      </c>
      <c r="Y590" s="121">
        <f>IF(ABS(AB590)=0,"",IF($R590="NO ALLOC","NO ALLOC",ROUND($R590*AB590,15)))</f>
        <v>0</v>
      </c>
      <c r="Z590" s="121">
        <f>IF(ABS(AB590)=0,"",IF($S590="NO ALLOC","NO ALLOC",ROUND($S590*AB590,15)))</f>
        <v>0</v>
      </c>
      <c r="AA590" s="121">
        <f>IF(ABS(AB590)=0,"",IF($T590="NO ALLOC","NO ALLOC",ROUND($T590*AB590,15)))</f>
        <v>-22144.543890000001</v>
      </c>
      <c r="AB590" s="121">
        <f t="shared" si="241"/>
        <v>-22144.543889999994</v>
      </c>
      <c r="AC590" s="121">
        <v>-16275.599759999999</v>
      </c>
      <c r="AD590" s="121">
        <v>-20915.914290000001</v>
      </c>
      <c r="AE590" s="121">
        <v>-21024.732529999997</v>
      </c>
      <c r="AF590" s="121">
        <v>-21134.116909999997</v>
      </c>
      <c r="AG590" s="121">
        <v>-21244.070379999994</v>
      </c>
      <c r="AH590" s="121">
        <v>-21354.595899999993</v>
      </c>
      <c r="AI590" s="121">
        <v>-21465.696449999996</v>
      </c>
      <c r="AJ590" s="121">
        <v>-21577.375009999992</v>
      </c>
      <c r="AK590" s="121">
        <v>-21689.634599999994</v>
      </c>
      <c r="AL590" s="121">
        <v>-21802.478239999993</v>
      </c>
      <c r="AM590" s="121">
        <v>-21915.908959999993</v>
      </c>
      <c r="AN590" s="121">
        <v>-22029.929819999994</v>
      </c>
      <c r="AO590" s="121">
        <v>-22144.543889999994</v>
      </c>
      <c r="AP590" s="125" t="str">
        <f>CONCATENATE(A590,M590)</f>
        <v>Reg AssetN</v>
      </c>
      <c r="AQ590" s="125" t="str">
        <f>CONCATENATE(AP590,L590,H590)</f>
        <v>Reg AssetNN10OPEBs</v>
      </c>
      <c r="AS590" s="125" t="str">
        <f>CONCATENATE(L590,H590,J590)</f>
        <v>N10OPEBsNCR</v>
      </c>
    </row>
    <row r="591" spans="1:45" s="125" customFormat="1" ht="25.5" customHeight="1">
      <c r="A591" s="216" t="s">
        <v>1442</v>
      </c>
      <c r="B591" s="217" t="str">
        <f t="shared" si="245"/>
        <v>Reg Asset254016801254BE030579</v>
      </c>
      <c r="C591" s="186">
        <v>254016</v>
      </c>
      <c r="D591" s="201">
        <v>801254</v>
      </c>
      <c r="E591" s="162" t="s">
        <v>1998</v>
      </c>
      <c r="F591" s="169" t="s">
        <v>714</v>
      </c>
      <c r="G591" s="117" t="s">
        <v>2001</v>
      </c>
      <c r="H591" s="118" t="s">
        <v>2698</v>
      </c>
      <c r="I591" s="120"/>
      <c r="J591" s="120"/>
      <c r="K591" s="120" t="str">
        <f t="shared" si="244"/>
        <v/>
      </c>
      <c r="L591" s="170" t="s">
        <v>928</v>
      </c>
      <c r="M591" s="122" t="str">
        <f t="shared" si="212"/>
        <v>N</v>
      </c>
      <c r="N591" s="116" t="str">
        <f>IF($L591&lt;&gt;"",VLOOKUP($L591,Categories!$E:$G,2,FALSE),IF($F591&lt;&gt;"","NO CAT",""))</f>
        <v>Not in Rate Base</v>
      </c>
      <c r="O591" s="116" t="str">
        <f>IF($L591&lt;&gt;"",VLOOKUP($L591,Categories!$E:$G,3,FALSE),IF($F591&lt;&gt;"","NO CAT",""))</f>
        <v>Direct Assign Items Not in RB</v>
      </c>
      <c r="P591" s="170" t="s">
        <v>1186</v>
      </c>
      <c r="Q591" s="123" t="s">
        <v>1187</v>
      </c>
      <c r="R591" s="124">
        <v>0</v>
      </c>
      <c r="S591" s="124">
        <v>0</v>
      </c>
      <c r="T591" s="124">
        <v>1</v>
      </c>
      <c r="U591" s="121">
        <f t="shared" si="246"/>
        <v>0</v>
      </c>
      <c r="V591" s="121">
        <f t="shared" si="247"/>
        <v>0</v>
      </c>
      <c r="W591" s="121">
        <f t="shared" si="248"/>
        <v>-6800</v>
      </c>
      <c r="X591" s="121">
        <f t="shared" si="240"/>
        <v>-6800</v>
      </c>
      <c r="Y591" s="121">
        <f t="shared" si="249"/>
        <v>0</v>
      </c>
      <c r="Z591" s="121">
        <f t="shared" si="250"/>
        <v>0</v>
      </c>
      <c r="AA591" s="121">
        <f t="shared" si="251"/>
        <v>-6800</v>
      </c>
      <c r="AB591" s="121">
        <f t="shared" si="241"/>
        <v>-6800</v>
      </c>
      <c r="AC591" s="121">
        <v>-6800</v>
      </c>
      <c r="AD591" s="121">
        <v>-6800</v>
      </c>
      <c r="AE591" s="121">
        <v>-6800</v>
      </c>
      <c r="AF591" s="121">
        <v>-6800</v>
      </c>
      <c r="AG591" s="121">
        <v>-6800</v>
      </c>
      <c r="AH591" s="121">
        <v>-6800</v>
      </c>
      <c r="AI591" s="121">
        <v>-6800</v>
      </c>
      <c r="AJ591" s="121">
        <v>-6800</v>
      </c>
      <c r="AK591" s="121">
        <v>-6800</v>
      </c>
      <c r="AL591" s="121">
        <v>-6800</v>
      </c>
      <c r="AM591" s="121">
        <v>-6800</v>
      </c>
      <c r="AN591" s="121">
        <v>-6800</v>
      </c>
      <c r="AO591" s="121">
        <v>-6800</v>
      </c>
      <c r="AP591" s="125" t="str">
        <f>CONCATENATE(A591,M591)</f>
        <v>Reg AssetN</v>
      </c>
      <c r="AQ591" s="125" t="str">
        <f>CONCATENATE(AP591,L591,H591)</f>
        <v>Reg AssetNN2CapEx Customer Credit</v>
      </c>
      <c r="AS591" s="125" t="str">
        <f>CONCATENATE(L591,H591,J591)</f>
        <v>N2CapEx Customer Credit</v>
      </c>
    </row>
    <row r="592" spans="1:45" s="125" customFormat="1" ht="25.5" customHeight="1">
      <c r="A592" s="216" t="s">
        <v>1442</v>
      </c>
      <c r="B592" s="217" t="str">
        <f t="shared" si="245"/>
        <v>Reg Asset254016810052BE030922</v>
      </c>
      <c r="C592" s="186">
        <v>254016</v>
      </c>
      <c r="D592" s="201">
        <v>810052</v>
      </c>
      <c r="E592" s="162" t="s">
        <v>3125</v>
      </c>
      <c r="F592" s="169" t="s">
        <v>714</v>
      </c>
      <c r="G592" s="117" t="s">
        <v>3126</v>
      </c>
      <c r="H592" s="118" t="s">
        <v>2675</v>
      </c>
      <c r="I592" s="120"/>
      <c r="J592" s="120" t="s">
        <v>105</v>
      </c>
      <c r="K592" s="120" t="str">
        <f t="shared" si="244"/>
        <v/>
      </c>
      <c r="L592" s="170" t="s">
        <v>2821</v>
      </c>
      <c r="M592" s="122" t="str">
        <f t="shared" si="212"/>
        <v>N</v>
      </c>
      <c r="N592" s="116" t="str">
        <f>IF($L592&lt;&gt;"",VLOOKUP($L592,Categories!$E:$G,2,FALSE),IF($F592&lt;&gt;"","NO CAT",""))</f>
        <v>Not in Rate Base</v>
      </c>
      <c r="O592" s="116" t="str">
        <f>IF($L592&lt;&gt;"",VLOOKUP($L592,Categories!$E:$G,3,FALSE),IF($F592&lt;&gt;"","NO CAT",""))</f>
        <v>Deferrals Accruing Non-Cash Return   (other than ASGA)</v>
      </c>
      <c r="P592" s="170" t="s">
        <v>1186</v>
      </c>
      <c r="Q592" s="123" t="s">
        <v>1187</v>
      </c>
      <c r="R592" s="124">
        <v>0</v>
      </c>
      <c r="S592" s="124">
        <v>0</v>
      </c>
      <c r="T592" s="124">
        <v>1</v>
      </c>
      <c r="U592" s="121">
        <f t="shared" si="246"/>
        <v>0</v>
      </c>
      <c r="V592" s="121">
        <f t="shared" si="247"/>
        <v>0</v>
      </c>
      <c r="W592" s="121">
        <f t="shared" si="248"/>
        <v>-11321.5209925</v>
      </c>
      <c r="X592" s="121">
        <f t="shared" ref="X592:X647" si="252">IF(ISERROR(ROUND((SUM(AC592:AO592)-((AC592+AO592))/2)/12,15)),"",ROUND((SUM(AC592:AO592)-((AC592+AO592))/2)/12,15))</f>
        <v>-11321.5209925</v>
      </c>
      <c r="Y592" s="121">
        <f t="shared" si="249"/>
        <v>0</v>
      </c>
      <c r="Z592" s="121">
        <f t="shared" si="250"/>
        <v>0</v>
      </c>
      <c r="AA592" s="121">
        <f t="shared" si="251"/>
        <v>-13777.97716</v>
      </c>
      <c r="AB592" s="121">
        <f t="shared" ref="AB592:AB647" si="253">IF(AO592="",0,+AO592)</f>
        <v>-13777.97716</v>
      </c>
      <c r="AC592" s="121">
        <v>-8891.6381400000009</v>
      </c>
      <c r="AD592" s="121">
        <v>-9290.8848700000017</v>
      </c>
      <c r="AE592" s="121">
        <v>-9691.8514700000014</v>
      </c>
      <c r="AF592" s="121">
        <v>-10094.54363</v>
      </c>
      <c r="AG592" s="121">
        <v>-10498.97032</v>
      </c>
      <c r="AH592" s="121">
        <v>-10905.14054</v>
      </c>
      <c r="AI592" s="121">
        <v>-11313.063330000001</v>
      </c>
      <c r="AJ592" s="121">
        <v>-11722.747790000001</v>
      </c>
      <c r="AK592" s="121">
        <v>-12134.20306</v>
      </c>
      <c r="AL592" s="121">
        <v>-12546.24841</v>
      </c>
      <c r="AM592" s="121">
        <v>-12957.606659999999</v>
      </c>
      <c r="AN592" s="121">
        <v>-13368.18418</v>
      </c>
      <c r="AO592" s="121">
        <v>-13777.97716</v>
      </c>
      <c r="AP592" s="125" t="str">
        <f>CONCATENATE(A592,M592)</f>
        <v>Reg AssetN</v>
      </c>
      <c r="AQ592" s="125" t="str">
        <f>CONCATENATE(AP592,L592,H592)</f>
        <v>Reg AssetNN10Mixed Use 263(a)</v>
      </c>
      <c r="AS592" s="125" t="str">
        <f>CONCATENATE(L592,H592,J592)</f>
        <v>N10Mixed Use 263(a)NCR</v>
      </c>
    </row>
    <row r="593" spans="1:45" s="125" customFormat="1" ht="25.5" customHeight="1">
      <c r="A593" s="216" t="s">
        <v>1442</v>
      </c>
      <c r="B593" s="217" t="str">
        <f t="shared" si="245"/>
        <v>Reg Asset254016801225BE030904</v>
      </c>
      <c r="C593" s="186">
        <v>254016</v>
      </c>
      <c r="D593" s="201">
        <v>801225</v>
      </c>
      <c r="E593" s="162" t="s">
        <v>112</v>
      </c>
      <c r="F593" s="169" t="s">
        <v>714</v>
      </c>
      <c r="G593" s="117" t="s">
        <v>2263</v>
      </c>
      <c r="H593" s="118" t="s">
        <v>623</v>
      </c>
      <c r="I593" s="119"/>
      <c r="J593" s="120" t="s">
        <v>105</v>
      </c>
      <c r="K593" s="120" t="str">
        <f t="shared" si="244"/>
        <v/>
      </c>
      <c r="L593" s="170" t="s">
        <v>2821</v>
      </c>
      <c r="M593" s="122" t="str">
        <f t="shared" si="212"/>
        <v>N</v>
      </c>
      <c r="N593" s="116" t="str">
        <f>IF($L593&lt;&gt;"",VLOOKUP($L593,Categories!$E:$G,2,FALSE),IF($F593&lt;&gt;"","NO CAT",""))</f>
        <v>Not in Rate Base</v>
      </c>
      <c r="O593" s="116" t="str">
        <f>IF($L593&lt;&gt;"",VLOOKUP($L593,Categories!$E:$G,3,FALSE),IF($F593&lt;&gt;"","NO CAT",""))</f>
        <v>Deferrals Accruing Non-Cash Return   (other than ASGA)</v>
      </c>
      <c r="P593" s="170" t="s">
        <v>1186</v>
      </c>
      <c r="Q593" s="123" t="s">
        <v>1187</v>
      </c>
      <c r="R593" s="124">
        <v>0</v>
      </c>
      <c r="S593" s="124">
        <v>0</v>
      </c>
      <c r="T593" s="124">
        <v>1</v>
      </c>
      <c r="U593" s="121">
        <f t="shared" si="246"/>
        <v>0</v>
      </c>
      <c r="V593" s="121">
        <f t="shared" si="247"/>
        <v>0</v>
      </c>
      <c r="W593" s="121">
        <f t="shared" si="248"/>
        <v>-4863.7973474999999</v>
      </c>
      <c r="X593" s="121">
        <f t="shared" si="252"/>
        <v>-4863.7973474999999</v>
      </c>
      <c r="Y593" s="121">
        <f t="shared" si="249"/>
        <v>0</v>
      </c>
      <c r="Z593" s="121">
        <f t="shared" si="250"/>
        <v>0</v>
      </c>
      <c r="AA593" s="121">
        <f t="shared" si="251"/>
        <v>-2020.60528</v>
      </c>
      <c r="AB593" s="121">
        <f t="shared" si="253"/>
        <v>-2020.605279999997</v>
      </c>
      <c r="AC593" s="121">
        <v>-4437.3038799999986</v>
      </c>
      <c r="AD593" s="121">
        <v>-4764.2424899999996</v>
      </c>
      <c r="AE593" s="121">
        <v>-6615.1694199999993</v>
      </c>
      <c r="AF593" s="121">
        <v>-6189.2653099999989</v>
      </c>
      <c r="AG593" s="121">
        <v>-4582.7067399999987</v>
      </c>
      <c r="AH593" s="121">
        <v>-4870.9244099999987</v>
      </c>
      <c r="AI593" s="121">
        <v>-5154.3242599999976</v>
      </c>
      <c r="AJ593" s="121">
        <v>-5874.4177299999974</v>
      </c>
      <c r="AK593" s="121">
        <v>-5151.9715399999968</v>
      </c>
      <c r="AL593" s="121">
        <v>-4465.7279099999978</v>
      </c>
      <c r="AM593" s="121">
        <v>-3518.0507399999974</v>
      </c>
      <c r="AN593" s="121">
        <v>-3949.8130399999973</v>
      </c>
      <c r="AO593" s="121">
        <v>-2020.605279999997</v>
      </c>
      <c r="AP593" s="125" t="str">
        <f>CONCATENATE(A593,M593)</f>
        <v>Reg AssetN</v>
      </c>
      <c r="AQ593" s="125" t="str">
        <f>CONCATENATE(AP593,L593,H593)</f>
        <v>Reg AssetNN10RDM</v>
      </c>
      <c r="AS593" s="125" t="str">
        <f>CONCATENATE(L593,H593,J593)</f>
        <v>N10RDMNCR</v>
      </c>
    </row>
    <row r="594" spans="1:45" s="125" customFormat="1" ht="25.5" customHeight="1">
      <c r="A594" s="216" t="s">
        <v>1442</v>
      </c>
      <c r="B594" s="217" t="str">
        <f>CONCATENATE(A594,C594,D594,E594)</f>
        <v>Reg Asset254016801225-UBBE030904</v>
      </c>
      <c r="C594" s="186">
        <v>254016</v>
      </c>
      <c r="D594" s="201" t="s">
        <v>4410</v>
      </c>
      <c r="E594" s="162" t="s">
        <v>112</v>
      </c>
      <c r="F594" s="169" t="s">
        <v>714</v>
      </c>
      <c r="G594" s="117" t="s">
        <v>4411</v>
      </c>
      <c r="H594" s="118" t="s">
        <v>4432</v>
      </c>
      <c r="I594" s="119"/>
      <c r="J594" s="120"/>
      <c r="K594" s="120" t="str">
        <f t="shared" si="244"/>
        <v/>
      </c>
      <c r="L594" s="170" t="s">
        <v>1419</v>
      </c>
      <c r="M594" s="122" t="str">
        <f>LEFT(L594,1)</f>
        <v>A</v>
      </c>
      <c r="N594" s="116" t="str">
        <f>IF($L594&lt;&gt;"",VLOOKUP($L594,Categories!$E:$G,2,FALSE),IF($F594&lt;&gt;"","NO CAT",""))</f>
        <v>All Other</v>
      </c>
      <c r="O594" s="116" t="str">
        <f>IF($L594&lt;&gt;"",VLOOKUP($L594,Categories!$E:$G,3,FALSE),IF($F594&lt;&gt;"","NO CAT",""))</f>
        <v>EB-Cap</v>
      </c>
      <c r="P594" s="170" t="s">
        <v>1557</v>
      </c>
      <c r="Q594" s="123" t="s">
        <v>1891</v>
      </c>
      <c r="R594" s="124">
        <v>0.77544352505021785</v>
      </c>
      <c r="S594" s="124">
        <v>0.22455647494978223</v>
      </c>
      <c r="T594" s="124">
        <v>0</v>
      </c>
      <c r="U594" s="121">
        <f t="shared" si="246"/>
        <v>824.54712020100999</v>
      </c>
      <c r="V594" s="121">
        <f t="shared" si="247"/>
        <v>238.77611813231999</v>
      </c>
      <c r="W594" s="121">
        <f t="shared" si="248"/>
        <v>0</v>
      </c>
      <c r="X594" s="121">
        <f t="shared" si="252"/>
        <v>1063.32323833333</v>
      </c>
      <c r="Y594" s="121">
        <f t="shared" si="249"/>
        <v>3297.9240054505899</v>
      </c>
      <c r="Z594" s="121">
        <f t="shared" si="250"/>
        <v>955.02788454941401</v>
      </c>
      <c r="AA594" s="121">
        <f t="shared" si="251"/>
        <v>0</v>
      </c>
      <c r="AB594" s="121">
        <f t="shared" si="253"/>
        <v>4252.9518899999994</v>
      </c>
      <c r="AC594" s="121">
        <v>5034.4709699999994</v>
      </c>
      <c r="AD594" s="121">
        <v>2186.6975299999999</v>
      </c>
      <c r="AE594" s="121">
        <v>676.42808999999988</v>
      </c>
      <c r="AF594" s="121">
        <v>-1792.3038000000004</v>
      </c>
      <c r="AG594" s="121">
        <v>-4124.7862100000002</v>
      </c>
      <c r="AH594" s="121">
        <v>-1758.6168300000006</v>
      </c>
      <c r="AI594" s="121">
        <v>-961.59300000000042</v>
      </c>
      <c r="AJ594" s="121">
        <v>2052.0043699999997</v>
      </c>
      <c r="AK594" s="121">
        <v>2688.4049599999994</v>
      </c>
      <c r="AL594" s="121">
        <v>1224.1283599999995</v>
      </c>
      <c r="AM594" s="121">
        <v>3607.9302099999995</v>
      </c>
      <c r="AN594" s="121">
        <v>4317.8737499999997</v>
      </c>
      <c r="AO594" s="121">
        <v>4252.9518899999994</v>
      </c>
      <c r="AP594" s="125" t="str">
        <f>CONCATENATE(A594,M594)</f>
        <v>Reg AssetA</v>
      </c>
      <c r="AQ594" s="125" t="str">
        <f>CONCATENATE(AP594,L594,H594)</f>
        <v>Reg AssetAA2RDM Unbilled</v>
      </c>
      <c r="AS594" s="125" t="str">
        <f>CONCATENATE(L594,H594,J594)</f>
        <v>A2RDM Unbilled</v>
      </c>
    </row>
    <row r="595" spans="1:45" s="125" customFormat="1" ht="25.5" customHeight="1">
      <c r="A595" s="216" t="s">
        <v>1442</v>
      </c>
      <c r="B595" s="217" t="str">
        <f t="shared" si="245"/>
        <v>Reg Asset254016801225-11BE030904</v>
      </c>
      <c r="C595" s="186">
        <v>254016</v>
      </c>
      <c r="D595" s="201" t="s">
        <v>2323</v>
      </c>
      <c r="E595" s="162" t="s">
        <v>112</v>
      </c>
      <c r="F595" s="169" t="s">
        <v>714</v>
      </c>
      <c r="G595" s="117" t="s">
        <v>2263</v>
      </c>
      <c r="H595" s="118" t="s">
        <v>623</v>
      </c>
      <c r="I595" s="119"/>
      <c r="J595" s="120" t="s">
        <v>105</v>
      </c>
      <c r="K595" s="120" t="str">
        <f t="shared" si="244"/>
        <v/>
      </c>
      <c r="L595" s="170" t="s">
        <v>2821</v>
      </c>
      <c r="M595" s="122" t="str">
        <f t="shared" si="212"/>
        <v>N</v>
      </c>
      <c r="N595" s="116" t="str">
        <f>IF($L595&lt;&gt;"",VLOOKUP($L595,Categories!$E:$G,2,FALSE),IF($F595&lt;&gt;"","NO CAT",""))</f>
        <v>Not in Rate Base</v>
      </c>
      <c r="O595" s="116" t="str">
        <f>IF($L595&lt;&gt;"",VLOOKUP($L595,Categories!$E:$G,3,FALSE),IF($F595&lt;&gt;"","NO CAT",""))</f>
        <v>Deferrals Accruing Non-Cash Return   (other than ASGA)</v>
      </c>
      <c r="P595" s="170" t="s">
        <v>1186</v>
      </c>
      <c r="Q595" s="123" t="s">
        <v>1187</v>
      </c>
      <c r="R595" s="124">
        <v>0</v>
      </c>
      <c r="S595" s="124">
        <v>0</v>
      </c>
      <c r="T595" s="124">
        <v>1</v>
      </c>
      <c r="U595" s="121">
        <f t="shared" ref="U595:U603" si="254">IF(ABS(X595)=0,"",IF($R595="NO ALLOC","NO ALLOC",ROUND($R595*X595,15)))</f>
        <v>0</v>
      </c>
      <c r="V595" s="121">
        <f t="shared" ref="V595:V603" si="255">IF(ABS(X595)=0,"",IF($S595="NO ALLOC","NO ALLOC",ROUND($S595*X595,15)))</f>
        <v>0</v>
      </c>
      <c r="W595" s="121">
        <f t="shared" ref="W595:W603" si="256">IF(ABS(X595)=0,"",IF($T595="NO ALLOC","NO ALLOC",ROUND($T595*X595,15)))</f>
        <v>-173.59585416666701</v>
      </c>
      <c r="X595" s="121">
        <f t="shared" si="252"/>
        <v>-173.59585416666701</v>
      </c>
      <c r="Y595" s="121">
        <f t="shared" ref="Y595:Y603" si="257">IF(ABS(AB595)=0,"",IF($R595="NO ALLOC","NO ALLOC",ROUND($R595*AB595,15)))</f>
        <v>0</v>
      </c>
      <c r="Z595" s="121">
        <f t="shared" ref="Z595:Z603" si="258">IF(ABS(AB595)=0,"",IF($S595="NO ALLOC","NO ALLOC",ROUND($S595*AB595,15)))</f>
        <v>0</v>
      </c>
      <c r="AA595" s="121">
        <f t="shared" ref="AA595:AA603" si="259">IF(ABS(AB595)=0,"",IF($T595="NO ALLOC","NO ALLOC",ROUND($T595*AB595,15)))</f>
        <v>-177.81354999999999</v>
      </c>
      <c r="AB595" s="121">
        <f t="shared" si="253"/>
        <v>-177.81355000000002</v>
      </c>
      <c r="AC595" s="121">
        <v>-162.42447000000001</v>
      </c>
      <c r="AD595" s="121">
        <v>-165.55051999999998</v>
      </c>
      <c r="AE595" s="121">
        <v>-168.13781</v>
      </c>
      <c r="AF595" s="121">
        <v>-170.32148000000001</v>
      </c>
      <c r="AG595" s="121">
        <v>-172.19405</v>
      </c>
      <c r="AH595" s="121">
        <v>-173.88954000000001</v>
      </c>
      <c r="AI595" s="121">
        <v>-175.45123000000001</v>
      </c>
      <c r="AJ595" s="121">
        <v>-176.69026000000002</v>
      </c>
      <c r="AK595" s="121">
        <v>-177.43233000000001</v>
      </c>
      <c r="AL595" s="121">
        <v>-177.73692000000003</v>
      </c>
      <c r="AM595" s="121">
        <v>-177.81355000000002</v>
      </c>
      <c r="AN595" s="121">
        <v>-177.81355000000002</v>
      </c>
      <c r="AO595" s="121">
        <v>-177.81355000000002</v>
      </c>
      <c r="AP595" s="125" t="str">
        <f>CONCATENATE(A595,M595)</f>
        <v>Reg AssetN</v>
      </c>
      <c r="AQ595" s="125" t="str">
        <f>CONCATENATE(AP595,L595,H595)</f>
        <v>Reg AssetNN10RDM</v>
      </c>
      <c r="AS595" s="125" t="str">
        <f>CONCATENATE(L595,H595,J595)</f>
        <v>N10RDMNCR</v>
      </c>
    </row>
    <row r="596" spans="1:45" s="125" customFormat="1" ht="25.5" customHeight="1">
      <c r="A596" s="216" t="s">
        <v>1442</v>
      </c>
      <c r="B596" s="217" t="str">
        <f t="shared" ref="B596:B603" si="260">CONCATENATE(A596,C596,D596,E596)</f>
        <v>Reg Asset254016801267BE030934</v>
      </c>
      <c r="C596" s="186">
        <v>254016</v>
      </c>
      <c r="D596" s="201">
        <v>801267</v>
      </c>
      <c r="E596" s="162" t="s">
        <v>4563</v>
      </c>
      <c r="F596" s="169" t="s">
        <v>714</v>
      </c>
      <c r="G596" s="117" t="s">
        <v>4562</v>
      </c>
      <c r="H596" s="118" t="s">
        <v>4529</v>
      </c>
      <c r="I596" s="119"/>
      <c r="J596" s="120"/>
      <c r="K596" s="120" t="str">
        <f>IF(L596="N3","SFAS-109","")</f>
        <v/>
      </c>
      <c r="L596" s="170" t="s">
        <v>2821</v>
      </c>
      <c r="M596" s="122" t="str">
        <f>LEFT(L596,1)</f>
        <v>N</v>
      </c>
      <c r="N596" s="116" t="str">
        <f>IF($L596&lt;&gt;"",VLOOKUP($L596,Categories!$E:$G,2,FALSE),IF($F596&lt;&gt;"","NO CAT",""))</f>
        <v>Not in Rate Base</v>
      </c>
      <c r="O596" s="116" t="str">
        <f>IF($L596&lt;&gt;"",VLOOKUP($L596,Categories!$E:$G,3,FALSE),IF($F596&lt;&gt;"","NO CAT",""))</f>
        <v>Deferrals Accruing Non-Cash Return   (other than ASGA)</v>
      </c>
      <c r="P596" s="170" t="s">
        <v>1186</v>
      </c>
      <c r="Q596" s="123" t="s">
        <v>1187</v>
      </c>
      <c r="R596" s="124">
        <v>0</v>
      </c>
      <c r="S596" s="124">
        <v>0</v>
      </c>
      <c r="T596" s="124">
        <v>1</v>
      </c>
      <c r="U596" s="121">
        <f t="shared" si="254"/>
        <v>0</v>
      </c>
      <c r="V596" s="121">
        <f t="shared" si="255"/>
        <v>0</v>
      </c>
      <c r="W596" s="121">
        <f t="shared" si="256"/>
        <v>-593.55676708333397</v>
      </c>
      <c r="X596" s="121">
        <f t="shared" si="252"/>
        <v>-593.55676708333397</v>
      </c>
      <c r="Y596" s="121">
        <f t="shared" si="257"/>
        <v>0</v>
      </c>
      <c r="Z596" s="121">
        <f t="shared" si="258"/>
        <v>0</v>
      </c>
      <c r="AA596" s="121">
        <f t="shared" si="259"/>
        <v>108.12314000000001</v>
      </c>
      <c r="AB596" s="121">
        <f t="shared" si="253"/>
        <v>108.12313999999979</v>
      </c>
      <c r="AC596" s="121">
        <v>-1115.80699</v>
      </c>
      <c r="AD596" s="121">
        <v>-1053.6503700000001</v>
      </c>
      <c r="AE596" s="121">
        <v>-989.99441000000013</v>
      </c>
      <c r="AF596" s="121">
        <v>-995.14501000000007</v>
      </c>
      <c r="AG596" s="121">
        <v>-931.18467000000021</v>
      </c>
      <c r="AH596" s="121">
        <v>-875.08016000000021</v>
      </c>
      <c r="AI596" s="121">
        <v>-624.16249000000028</v>
      </c>
      <c r="AJ596" s="121">
        <v>-465.03325000000024</v>
      </c>
      <c r="AK596" s="121">
        <v>-392.67364000000026</v>
      </c>
      <c r="AL596" s="121">
        <v>-166.22587000000024</v>
      </c>
      <c r="AM596" s="121">
        <v>-97.124150000000228</v>
      </c>
      <c r="AN596" s="121">
        <v>-28.565260000000226</v>
      </c>
      <c r="AO596" s="121">
        <v>108.12313999999979</v>
      </c>
      <c r="AP596" s="125" t="str">
        <f>CONCATENATE(A596,M596)</f>
        <v>Reg AssetN</v>
      </c>
      <c r="AQ596" s="125" t="str">
        <f>CONCATENATE(AP596,L596,H596)</f>
        <v>Reg AssetNN10Reliability Support Services (RSS)</v>
      </c>
      <c r="AS596" s="125" t="str">
        <f>CONCATENATE(L596,H596,J596)</f>
        <v>N10Reliability Support Services (RSS)</v>
      </c>
    </row>
    <row r="597" spans="1:45" s="125" customFormat="1" ht="25.5" customHeight="1">
      <c r="A597" s="216" t="s">
        <v>1442</v>
      </c>
      <c r="B597" s="217" t="str">
        <f t="shared" si="260"/>
        <v>Reg Asset254016801265BE030934</v>
      </c>
      <c r="C597" s="186">
        <v>254016</v>
      </c>
      <c r="D597" s="201">
        <v>801265</v>
      </c>
      <c r="E597" s="162" t="s">
        <v>4563</v>
      </c>
      <c r="F597" s="169" t="s">
        <v>714</v>
      </c>
      <c r="G597" s="117" t="s">
        <v>4658</v>
      </c>
      <c r="H597" s="118" t="s">
        <v>4529</v>
      </c>
      <c r="I597" s="119"/>
      <c r="J597" s="120"/>
      <c r="K597" s="120" t="str">
        <f>IF(L597="N3","SFAS-109","")</f>
        <v/>
      </c>
      <c r="L597" s="170" t="s">
        <v>2821</v>
      </c>
      <c r="M597" s="122" t="str">
        <f>LEFT(L597,1)</f>
        <v>N</v>
      </c>
      <c r="N597" s="116" t="str">
        <f>IF($L597&lt;&gt;"",VLOOKUP($L597,Categories!$E:$G,2,FALSE),IF($F597&lt;&gt;"","NO CAT",""))</f>
        <v>Not in Rate Base</v>
      </c>
      <c r="O597" s="116" t="str">
        <f>IF($L597&lt;&gt;"",VLOOKUP($L597,Categories!$E:$G,3,FALSE),IF($F597&lt;&gt;"","NO CAT",""))</f>
        <v>Deferrals Accruing Non-Cash Return   (other than ASGA)</v>
      </c>
      <c r="P597" s="170" t="s">
        <v>1186</v>
      </c>
      <c r="Q597" s="123" t="s">
        <v>1187</v>
      </c>
      <c r="R597" s="124">
        <v>0</v>
      </c>
      <c r="S597" s="124">
        <v>0</v>
      </c>
      <c r="T597" s="124">
        <v>1</v>
      </c>
      <c r="U597" s="121">
        <f t="shared" si="254"/>
        <v>0</v>
      </c>
      <c r="V597" s="121">
        <f t="shared" si="255"/>
        <v>0</v>
      </c>
      <c r="W597" s="121">
        <f t="shared" si="256"/>
        <v>-13223.857478333301</v>
      </c>
      <c r="X597" s="121">
        <f t="shared" si="252"/>
        <v>-13223.857478333301</v>
      </c>
      <c r="Y597" s="121">
        <f t="shared" si="257"/>
        <v>0</v>
      </c>
      <c r="Z597" s="121">
        <f t="shared" si="258"/>
        <v>0</v>
      </c>
      <c r="AA597" s="121">
        <f t="shared" si="259"/>
        <v>-18243.16344</v>
      </c>
      <c r="AB597" s="121">
        <f t="shared" si="253"/>
        <v>-18243.163440000004</v>
      </c>
      <c r="AC597" s="121">
        <v>-6114.8924999999999</v>
      </c>
      <c r="AD597" s="121">
        <v>-6539.3114000000005</v>
      </c>
      <c r="AE597" s="121">
        <v>-7509.6877500000001</v>
      </c>
      <c r="AF597" s="121">
        <v>-11107.236870000001</v>
      </c>
      <c r="AG597" s="121">
        <v>-11566.584100000002</v>
      </c>
      <c r="AH597" s="121">
        <v>-9815.8885000000028</v>
      </c>
      <c r="AI597" s="121">
        <v>-9158.1004200000025</v>
      </c>
      <c r="AJ597" s="121">
        <v>-8898.6725000000024</v>
      </c>
      <c r="AK597" s="121">
        <v>-22397.81494</v>
      </c>
      <c r="AL597" s="121">
        <v>-21031.549330000002</v>
      </c>
      <c r="AM597" s="121">
        <v>-19972.514440000003</v>
      </c>
      <c r="AN597" s="121">
        <v>-18509.901520000003</v>
      </c>
      <c r="AO597" s="121">
        <v>-18243.163440000004</v>
      </c>
      <c r="AP597" s="125" t="str">
        <f>CONCATENATE(A597,M597)</f>
        <v>Reg AssetN</v>
      </c>
      <c r="AQ597" s="125" t="str">
        <f>CONCATENATE(AP597,L597,H597)</f>
        <v>Reg AssetNN10Reliability Support Services (RSS)</v>
      </c>
      <c r="AS597" s="125" t="str">
        <f>CONCATENATE(L597,H597,J597)</f>
        <v>N10Reliability Support Services (RSS)</v>
      </c>
    </row>
    <row r="598" spans="1:45" s="125" customFormat="1" ht="25.5" customHeight="1">
      <c r="A598" s="216" t="s">
        <v>1442</v>
      </c>
      <c r="B598" s="217" t="str">
        <f t="shared" si="260"/>
        <v>Reg Asset254016801264BE030932</v>
      </c>
      <c r="C598" s="186">
        <v>254016</v>
      </c>
      <c r="D598" s="201">
        <v>801264</v>
      </c>
      <c r="E598" s="162" t="s">
        <v>4392</v>
      </c>
      <c r="F598" s="169" t="s">
        <v>714</v>
      </c>
      <c r="G598" s="117" t="s">
        <v>4407</v>
      </c>
      <c r="H598" s="118" t="s">
        <v>4564</v>
      </c>
      <c r="I598" s="120"/>
      <c r="J598" s="120"/>
      <c r="K598" s="120" t="str">
        <f t="shared" ref="K598:K610" si="261">IF(L598="N3","SFAS-109","")</f>
        <v/>
      </c>
      <c r="L598" s="170" t="s">
        <v>1893</v>
      </c>
      <c r="M598" s="122" t="str">
        <f t="shared" si="212"/>
        <v>R</v>
      </c>
      <c r="N598" s="116" t="str">
        <f>IF($L598&lt;&gt;"",VLOOKUP($L598,Categories!$E:$G,2,FALSE),IF($F598&lt;&gt;"","NO CAT",""))</f>
        <v>Rate Base</v>
      </c>
      <c r="O598" s="116" t="str">
        <f>IF($L598&lt;&gt;"",VLOOKUP($L598,Categories!$E:$G,3,FALSE),IF($F598&lt;&gt;"","NO CAT",""))</f>
        <v>Deferred Debits &amp; Credits</v>
      </c>
      <c r="P598" s="170" t="s">
        <v>1183</v>
      </c>
      <c r="Q598" s="123" t="s">
        <v>1177</v>
      </c>
      <c r="R598" s="124">
        <v>1</v>
      </c>
      <c r="S598" s="124">
        <v>0</v>
      </c>
      <c r="T598" s="124">
        <v>0</v>
      </c>
      <c r="U598" s="121" t="str">
        <f t="shared" si="254"/>
        <v/>
      </c>
      <c r="V598" s="121" t="str">
        <f t="shared" si="255"/>
        <v/>
      </c>
      <c r="W598" s="121" t="str">
        <f t="shared" si="256"/>
        <v/>
      </c>
      <c r="X598" s="121">
        <f t="shared" si="252"/>
        <v>0</v>
      </c>
      <c r="Y598" s="121" t="str">
        <f t="shared" si="257"/>
        <v/>
      </c>
      <c r="Z598" s="121" t="str">
        <f t="shared" si="258"/>
        <v/>
      </c>
      <c r="AA598" s="121" t="str">
        <f t="shared" si="259"/>
        <v/>
      </c>
      <c r="AB598" s="121">
        <f t="shared" si="253"/>
        <v>0</v>
      </c>
      <c r="AC598" s="121">
        <v>0</v>
      </c>
      <c r="AD598" s="121">
        <v>0</v>
      </c>
      <c r="AE598" s="121">
        <v>0</v>
      </c>
      <c r="AF598" s="121">
        <v>0</v>
      </c>
      <c r="AG598" s="121">
        <v>0</v>
      </c>
      <c r="AH598" s="121">
        <v>0</v>
      </c>
      <c r="AI598" s="121">
        <v>0</v>
      </c>
      <c r="AJ598" s="121">
        <v>0</v>
      </c>
      <c r="AK598" s="121">
        <v>0</v>
      </c>
      <c r="AL598" s="121">
        <v>0</v>
      </c>
      <c r="AM598" s="121">
        <v>0</v>
      </c>
      <c r="AN598" s="121">
        <v>0</v>
      </c>
      <c r="AO598" s="121">
        <v>0</v>
      </c>
      <c r="AP598" s="125" t="str">
        <f>CONCATENATE(A598,M598)</f>
        <v>Reg AssetR</v>
      </c>
      <c r="AQ598" s="125" t="str">
        <f>CONCATENATE(AP598,L598,H598)</f>
        <v>Reg AssetRR10Funded DIT Tax True-up Deferral</v>
      </c>
      <c r="AS598" s="125" t="str">
        <f>CONCATENATE(L598,H598,J598)</f>
        <v>R10Funded DIT Tax True-up Deferral</v>
      </c>
    </row>
    <row r="599" spans="1:45" s="125" customFormat="1" ht="25.5" customHeight="1">
      <c r="A599" s="216" t="s">
        <v>1442</v>
      </c>
      <c r="B599" s="217" t="str">
        <f t="shared" si="260"/>
        <v>Reg Asset254016800184BE030937</v>
      </c>
      <c r="C599" s="186">
        <v>254016</v>
      </c>
      <c r="D599" s="201">
        <v>800184</v>
      </c>
      <c r="E599" s="162" t="s">
        <v>4759</v>
      </c>
      <c r="F599" s="169" t="s">
        <v>714</v>
      </c>
      <c r="G599" s="117" t="s">
        <v>4760</v>
      </c>
      <c r="H599" s="118" t="s">
        <v>4761</v>
      </c>
      <c r="I599" s="120"/>
      <c r="J599" s="120"/>
      <c r="K599" s="120" t="str">
        <f>IF(L599="N3","SFAS-109","")</f>
        <v/>
      </c>
      <c r="L599" s="170" t="s">
        <v>1893</v>
      </c>
      <c r="M599" s="122" t="str">
        <f>LEFT(L599,1)</f>
        <v>R</v>
      </c>
      <c r="N599" s="116" t="str">
        <f>IF($L599&lt;&gt;"",VLOOKUP($L599,Categories!$E:$G,2,FALSE),IF($F599&lt;&gt;"","NO CAT",""))</f>
        <v>Rate Base</v>
      </c>
      <c r="O599" s="116" t="str">
        <f>IF($L599&lt;&gt;"",VLOOKUP($L599,Categories!$E:$G,3,FALSE),IF($F599&lt;&gt;"","NO CAT",""))</f>
        <v>Deferred Debits &amp; Credits</v>
      </c>
      <c r="P599" s="170" t="s">
        <v>1183</v>
      </c>
      <c r="Q599" s="123" t="s">
        <v>1177</v>
      </c>
      <c r="R599" s="124">
        <v>1</v>
      </c>
      <c r="S599" s="124">
        <v>0</v>
      </c>
      <c r="T599" s="124">
        <v>0</v>
      </c>
      <c r="U599" s="121">
        <f t="shared" si="254"/>
        <v>-5784.8333333333303</v>
      </c>
      <c r="V599" s="121">
        <f t="shared" si="255"/>
        <v>0</v>
      </c>
      <c r="W599" s="121">
        <f t="shared" si="256"/>
        <v>0</v>
      </c>
      <c r="X599" s="121">
        <f t="shared" si="252"/>
        <v>-5784.8333333333303</v>
      </c>
      <c r="Y599" s="121">
        <f t="shared" si="257"/>
        <v>-10722</v>
      </c>
      <c r="Z599" s="121">
        <f t="shared" si="258"/>
        <v>0</v>
      </c>
      <c r="AA599" s="121">
        <f t="shared" si="259"/>
        <v>0</v>
      </c>
      <c r="AB599" s="121">
        <f t="shared" si="253"/>
        <v>-10722</v>
      </c>
      <c r="AC599" s="121"/>
      <c r="AD599" s="121"/>
      <c r="AE599" s="121"/>
      <c r="AF599" s="121"/>
      <c r="AG599" s="121"/>
      <c r="AH599" s="121"/>
      <c r="AI599" s="121">
        <v>-10667</v>
      </c>
      <c r="AJ599" s="121">
        <v>-10667</v>
      </c>
      <c r="AK599" s="121">
        <v>-10667</v>
      </c>
      <c r="AL599" s="121">
        <v>-10667</v>
      </c>
      <c r="AM599" s="121">
        <v>-10667</v>
      </c>
      <c r="AN599" s="121">
        <v>-10722</v>
      </c>
      <c r="AO599" s="121">
        <v>-10722</v>
      </c>
      <c r="AP599" s="125" t="str">
        <f>CONCATENATE(A599,M599)</f>
        <v>Reg AssetR</v>
      </c>
      <c r="AQ599" s="125" t="str">
        <f>CONCATENATE(AP599,L599,H599)</f>
        <v>Reg AssetRR10Excess DIT - New York State Tax Rate change</v>
      </c>
      <c r="AS599" s="125" t="str">
        <f>CONCATENATE(L599,H599,J599)</f>
        <v>R10Excess DIT - New York State Tax Rate change</v>
      </c>
    </row>
    <row r="600" spans="1:45" s="125" customFormat="1" ht="25.5" customHeight="1">
      <c r="A600" s="216" t="s">
        <v>1442</v>
      </c>
      <c r="B600" s="217" t="str">
        <f t="shared" si="260"/>
        <v>Reg Asset254016801243BE030594</v>
      </c>
      <c r="C600" s="186">
        <v>254016</v>
      </c>
      <c r="D600" s="201">
        <v>801243</v>
      </c>
      <c r="E600" s="162" t="s">
        <v>342</v>
      </c>
      <c r="F600" s="169" t="s">
        <v>714</v>
      </c>
      <c r="G600" s="117" t="s">
        <v>4682</v>
      </c>
      <c r="H600" s="118" t="s">
        <v>2833</v>
      </c>
      <c r="I600" s="120"/>
      <c r="J600" s="120" t="s">
        <v>105</v>
      </c>
      <c r="K600" s="120" t="str">
        <f t="shared" si="261"/>
        <v/>
      </c>
      <c r="L600" s="170" t="s">
        <v>2821</v>
      </c>
      <c r="M600" s="122" t="str">
        <f>LEFT(L600,1)</f>
        <v>N</v>
      </c>
      <c r="N600" s="116" t="str">
        <f>IF($L600&lt;&gt;"",VLOOKUP($L600,Categories!$E:$G,2,FALSE),IF($F600&lt;&gt;"","NO CAT",""))</f>
        <v>Not in Rate Base</v>
      </c>
      <c r="O600" s="116" t="str">
        <f>IF($L600&lt;&gt;"",VLOOKUP($L600,Categories!$E:$G,3,FALSE),IF($F600&lt;&gt;"","NO CAT",""))</f>
        <v>Deferrals Accruing Non-Cash Return   (other than ASGA)</v>
      </c>
      <c r="P600" s="170" t="s">
        <v>1186</v>
      </c>
      <c r="Q600" s="123" t="s">
        <v>1187</v>
      </c>
      <c r="R600" s="124">
        <v>0</v>
      </c>
      <c r="S600" s="124">
        <v>0</v>
      </c>
      <c r="T600" s="124">
        <v>1</v>
      </c>
      <c r="U600" s="121">
        <f t="shared" si="254"/>
        <v>0</v>
      </c>
      <c r="V600" s="121">
        <f t="shared" si="255"/>
        <v>0</v>
      </c>
      <c r="W600" s="121">
        <f t="shared" si="256"/>
        <v>-2129.36279375</v>
      </c>
      <c r="X600" s="121">
        <f t="shared" si="252"/>
        <v>-2129.36279375</v>
      </c>
      <c r="Y600" s="121">
        <f t="shared" si="257"/>
        <v>0</v>
      </c>
      <c r="Z600" s="121">
        <f t="shared" si="258"/>
        <v>0</v>
      </c>
      <c r="AA600" s="121">
        <f t="shared" si="259"/>
        <v>-2096.7280900000001</v>
      </c>
      <c r="AB600" s="121">
        <f t="shared" si="253"/>
        <v>-2096.7280900000001</v>
      </c>
      <c r="AC600" s="121"/>
      <c r="AD600" s="121">
        <v>-2458.4981699999998</v>
      </c>
      <c r="AE600" s="121">
        <v>-2422.1060499999999</v>
      </c>
      <c r="AF600" s="121">
        <v>-2370.7099499999999</v>
      </c>
      <c r="AG600" s="121">
        <v>-2307.0059699999997</v>
      </c>
      <c r="AH600" s="121">
        <v>-2245.1552999999999</v>
      </c>
      <c r="AI600" s="121">
        <v>-2190.2399</v>
      </c>
      <c r="AJ600" s="121">
        <v>-2147.1260200000002</v>
      </c>
      <c r="AK600" s="121">
        <v>-2116.3152999999998</v>
      </c>
      <c r="AL600" s="121">
        <v>-2092.2767999999996</v>
      </c>
      <c r="AM600" s="121">
        <v>-2078.4223400000001</v>
      </c>
      <c r="AN600" s="121">
        <v>-2076.1336799999999</v>
      </c>
      <c r="AO600" s="121">
        <v>-2096.7280900000001</v>
      </c>
      <c r="AP600" s="125" t="str">
        <f>CONCATENATE(A600,M600)</f>
        <v>Reg AssetN</v>
      </c>
      <c r="AQ600" s="125" t="str">
        <f>CONCATENATE(AP600,L600,H600)</f>
        <v>Reg AssetNN10Low Income</v>
      </c>
      <c r="AS600" s="125" t="str">
        <f>CONCATENATE(L600,H600,J600)</f>
        <v>N10Low IncomeNCR</v>
      </c>
    </row>
    <row r="601" spans="1:45" s="125" customFormat="1" ht="25.5" customHeight="1">
      <c r="A601" s="216" t="s">
        <v>1442</v>
      </c>
      <c r="B601" s="217" t="str">
        <f t="shared" si="260"/>
        <v>Reg Asset254016801244BE030594</v>
      </c>
      <c r="C601" s="186">
        <v>254016</v>
      </c>
      <c r="D601" s="201">
        <v>801244</v>
      </c>
      <c r="E601" s="162" t="s">
        <v>342</v>
      </c>
      <c r="F601" s="169" t="s">
        <v>714</v>
      </c>
      <c r="G601" s="117" t="s">
        <v>4683</v>
      </c>
      <c r="H601" s="118" t="s">
        <v>2833</v>
      </c>
      <c r="I601" s="120"/>
      <c r="J601" s="120" t="s">
        <v>105</v>
      </c>
      <c r="K601" s="120" t="str">
        <f t="shared" si="261"/>
        <v/>
      </c>
      <c r="L601" s="170" t="s">
        <v>2821</v>
      </c>
      <c r="M601" s="122" t="str">
        <f>LEFT(L601,1)</f>
        <v>N</v>
      </c>
      <c r="N601" s="116" t="str">
        <f>IF($L601&lt;&gt;"",VLOOKUP($L601,Categories!$E:$G,2,FALSE),IF($F601&lt;&gt;"","NO CAT",""))</f>
        <v>Not in Rate Base</v>
      </c>
      <c r="O601" s="116" t="str">
        <f>IF($L601&lt;&gt;"",VLOOKUP($L601,Categories!$E:$G,3,FALSE),IF($F601&lt;&gt;"","NO CAT",""))</f>
        <v>Deferrals Accruing Non-Cash Return   (other than ASGA)</v>
      </c>
      <c r="P601" s="170" t="s">
        <v>1186</v>
      </c>
      <c r="Q601" s="123" t="s">
        <v>1187</v>
      </c>
      <c r="R601" s="124">
        <v>0</v>
      </c>
      <c r="S601" s="124">
        <v>0</v>
      </c>
      <c r="T601" s="124">
        <v>1</v>
      </c>
      <c r="U601" s="121">
        <f t="shared" si="254"/>
        <v>0</v>
      </c>
      <c r="V601" s="121">
        <f t="shared" si="255"/>
        <v>0</v>
      </c>
      <c r="W601" s="121">
        <f t="shared" si="256"/>
        <v>-2357.1731325000001</v>
      </c>
      <c r="X601" s="121">
        <f t="shared" si="252"/>
        <v>-2357.1731325000001</v>
      </c>
      <c r="Y601" s="121">
        <f t="shared" si="257"/>
        <v>0</v>
      </c>
      <c r="Z601" s="121">
        <f t="shared" si="258"/>
        <v>0</v>
      </c>
      <c r="AA601" s="121">
        <f t="shared" si="259"/>
        <v>-2764.0788200000002</v>
      </c>
      <c r="AB601" s="121">
        <f t="shared" si="253"/>
        <v>-2764.0788199999997</v>
      </c>
      <c r="AC601" s="121"/>
      <c r="AD601" s="121">
        <v>-2207.9408599999997</v>
      </c>
      <c r="AE601" s="121">
        <v>-2257.5443699999996</v>
      </c>
      <c r="AF601" s="121">
        <v>-2293.9759799999997</v>
      </c>
      <c r="AG601" s="121">
        <v>-2338.5579899999993</v>
      </c>
      <c r="AH601" s="121">
        <v>-2386.2193399999992</v>
      </c>
      <c r="AI601" s="121">
        <v>-2433.5960799999998</v>
      </c>
      <c r="AJ601" s="121">
        <v>-2484.8679499999998</v>
      </c>
      <c r="AK601" s="121">
        <v>-2539.85932</v>
      </c>
      <c r="AL601" s="121">
        <v>-2595.7171199999998</v>
      </c>
      <c r="AM601" s="121">
        <v>-2650.2637999999997</v>
      </c>
      <c r="AN601" s="121">
        <v>-2715.4953699999996</v>
      </c>
      <c r="AO601" s="121">
        <v>-2764.0788199999997</v>
      </c>
      <c r="AP601" s="125" t="str">
        <f>CONCATENATE(A601,M601)</f>
        <v>Reg AssetN</v>
      </c>
      <c r="AQ601" s="125" t="str">
        <f>CONCATENATE(AP601,L601,H601)</f>
        <v>Reg AssetNN10Low Income</v>
      </c>
      <c r="AS601" s="125" t="str">
        <f>CONCATENATE(L601,H601,J601)</f>
        <v>N10Low IncomeNCR</v>
      </c>
    </row>
    <row r="602" spans="1:45" s="125" customFormat="1" ht="25.5" customHeight="1">
      <c r="A602" s="216" t="s">
        <v>1442</v>
      </c>
      <c r="B602" s="217" t="str">
        <f t="shared" si="260"/>
        <v>Reg Asset254016801245BE030594</v>
      </c>
      <c r="C602" s="186">
        <v>254016</v>
      </c>
      <c r="D602" s="201">
        <v>801245</v>
      </c>
      <c r="E602" s="162" t="s">
        <v>342</v>
      </c>
      <c r="F602" s="169" t="s">
        <v>714</v>
      </c>
      <c r="G602" s="117" t="s">
        <v>4684</v>
      </c>
      <c r="H602" s="118" t="s">
        <v>2833</v>
      </c>
      <c r="I602" s="120"/>
      <c r="J602" s="120" t="s">
        <v>105</v>
      </c>
      <c r="K602" s="120" t="str">
        <f t="shared" si="261"/>
        <v/>
      </c>
      <c r="L602" s="170" t="s">
        <v>2821</v>
      </c>
      <c r="M602" s="122" t="str">
        <f>LEFT(L602,1)</f>
        <v>N</v>
      </c>
      <c r="N602" s="116" t="str">
        <f>IF($L602&lt;&gt;"",VLOOKUP($L602,Categories!$E:$G,2,FALSE),IF($F602&lt;&gt;"","NO CAT",""))</f>
        <v>Not in Rate Base</v>
      </c>
      <c r="O602" s="116" t="str">
        <f>IF($L602&lt;&gt;"",VLOOKUP($L602,Categories!$E:$G,3,FALSE),IF($F602&lt;&gt;"","NO CAT",""))</f>
        <v>Deferrals Accruing Non-Cash Return   (other than ASGA)</v>
      </c>
      <c r="P602" s="170" t="s">
        <v>1186</v>
      </c>
      <c r="Q602" s="123" t="s">
        <v>1187</v>
      </c>
      <c r="R602" s="124">
        <v>0</v>
      </c>
      <c r="S602" s="124">
        <v>0</v>
      </c>
      <c r="T602" s="124">
        <v>1</v>
      </c>
      <c r="U602" s="121">
        <f t="shared" si="254"/>
        <v>0</v>
      </c>
      <c r="V602" s="121">
        <f t="shared" si="255"/>
        <v>0</v>
      </c>
      <c r="W602" s="121">
        <f t="shared" si="256"/>
        <v>-185.56174958333301</v>
      </c>
      <c r="X602" s="121">
        <f t="shared" si="252"/>
        <v>-185.56174958333301</v>
      </c>
      <c r="Y602" s="121">
        <f t="shared" si="257"/>
        <v>0</v>
      </c>
      <c r="Z602" s="121">
        <f t="shared" si="258"/>
        <v>0</v>
      </c>
      <c r="AA602" s="121">
        <f t="shared" si="259"/>
        <v>-216.77986999999999</v>
      </c>
      <c r="AB602" s="121">
        <f t="shared" si="253"/>
        <v>-216.77987000000002</v>
      </c>
      <c r="AC602" s="121"/>
      <c r="AD602" s="121">
        <v>-171.27010000000001</v>
      </c>
      <c r="AE602" s="121">
        <v>-177.75495000000001</v>
      </c>
      <c r="AF602" s="121">
        <v>-184.07040000000003</v>
      </c>
      <c r="AG602" s="121">
        <v>-188.84640000000002</v>
      </c>
      <c r="AH602" s="121">
        <v>-192.16754000000003</v>
      </c>
      <c r="AI602" s="121">
        <v>-194.84169000000003</v>
      </c>
      <c r="AJ602" s="121">
        <v>-196.85969000000003</v>
      </c>
      <c r="AK602" s="121">
        <v>-195.28338000000002</v>
      </c>
      <c r="AL602" s="121">
        <v>-201.41641000000004</v>
      </c>
      <c r="AM602" s="121">
        <v>-205.03040000000001</v>
      </c>
      <c r="AN602" s="121">
        <v>-210.81010000000003</v>
      </c>
      <c r="AO602" s="121">
        <v>-216.77987000000002</v>
      </c>
      <c r="AP602" s="125" t="str">
        <f>CONCATENATE(A602,M602)</f>
        <v>Reg AssetN</v>
      </c>
      <c r="AQ602" s="125" t="str">
        <f>CONCATENATE(AP602,L602,H602)</f>
        <v>Reg AssetNN10Low Income</v>
      </c>
      <c r="AS602" s="125" t="str">
        <f>CONCATENATE(L602,H602,J602)</f>
        <v>N10Low IncomeNCR</v>
      </c>
    </row>
    <row r="603" spans="1:45" s="125" customFormat="1" ht="25.5" customHeight="1">
      <c r="A603" s="216" t="s">
        <v>1442</v>
      </c>
      <c r="B603" s="217" t="str">
        <f t="shared" si="260"/>
        <v>Reg Asset254016801246BE030594</v>
      </c>
      <c r="C603" s="186">
        <v>254016</v>
      </c>
      <c r="D603" s="201">
        <v>801246</v>
      </c>
      <c r="E603" s="162" t="s">
        <v>342</v>
      </c>
      <c r="F603" s="169" t="s">
        <v>714</v>
      </c>
      <c r="G603" s="117" t="s">
        <v>4685</v>
      </c>
      <c r="H603" s="118" t="s">
        <v>2833</v>
      </c>
      <c r="I603" s="120"/>
      <c r="J603" s="120" t="s">
        <v>105</v>
      </c>
      <c r="K603" s="120" t="str">
        <f t="shared" si="261"/>
        <v/>
      </c>
      <c r="L603" s="170" t="s">
        <v>2821</v>
      </c>
      <c r="M603" s="122" t="str">
        <f>LEFT(L603,1)</f>
        <v>N</v>
      </c>
      <c r="N603" s="116" t="str">
        <f>IF($L603&lt;&gt;"",VLOOKUP($L603,Categories!$E:$G,2,FALSE),IF($F603&lt;&gt;"","NO CAT",""))</f>
        <v>Not in Rate Base</v>
      </c>
      <c r="O603" s="116" t="str">
        <f>IF($L603&lt;&gt;"",VLOOKUP($L603,Categories!$E:$G,3,FALSE),IF($F603&lt;&gt;"","NO CAT",""))</f>
        <v>Deferrals Accruing Non-Cash Return   (other than ASGA)</v>
      </c>
      <c r="P603" s="170" t="s">
        <v>1186</v>
      </c>
      <c r="Q603" s="123" t="s">
        <v>1187</v>
      </c>
      <c r="R603" s="124">
        <v>0</v>
      </c>
      <c r="S603" s="124">
        <v>0</v>
      </c>
      <c r="T603" s="124">
        <v>1</v>
      </c>
      <c r="U603" s="121">
        <f t="shared" si="254"/>
        <v>0</v>
      </c>
      <c r="V603" s="121">
        <f t="shared" si="255"/>
        <v>0</v>
      </c>
      <c r="W603" s="121">
        <f t="shared" si="256"/>
        <v>-103.076605</v>
      </c>
      <c r="X603" s="121">
        <f t="shared" si="252"/>
        <v>-103.076605</v>
      </c>
      <c r="Y603" s="121">
        <f t="shared" si="257"/>
        <v>0</v>
      </c>
      <c r="Z603" s="121">
        <f t="shared" si="258"/>
        <v>0</v>
      </c>
      <c r="AA603" s="121">
        <f t="shared" si="259"/>
        <v>-152.30608000000001</v>
      </c>
      <c r="AB603" s="121">
        <f t="shared" si="253"/>
        <v>-152.30607999999998</v>
      </c>
      <c r="AC603" s="121"/>
      <c r="AD603" s="121">
        <v>-63.037440000000004</v>
      </c>
      <c r="AE603" s="121">
        <v>-75.526160000000004</v>
      </c>
      <c r="AF603" s="121">
        <v>-82.917810000000003</v>
      </c>
      <c r="AG603" s="121">
        <v>-88.931259999999995</v>
      </c>
      <c r="AH603" s="121">
        <v>-96.25264</v>
      </c>
      <c r="AI603" s="121">
        <v>-111.71941000000001</v>
      </c>
      <c r="AJ603" s="121">
        <v>-111.6048</v>
      </c>
      <c r="AK603" s="121">
        <v>-119.56637000000001</v>
      </c>
      <c r="AL603" s="121">
        <v>-128.75609</v>
      </c>
      <c r="AM603" s="121">
        <v>-135.88624999999999</v>
      </c>
      <c r="AN603" s="121">
        <v>-146.56798999999998</v>
      </c>
      <c r="AO603" s="121">
        <v>-152.30607999999998</v>
      </c>
      <c r="AP603" s="125" t="str">
        <f>CONCATENATE(A603,M603)</f>
        <v>Reg AssetN</v>
      </c>
      <c r="AQ603" s="125" t="str">
        <f>CONCATENATE(AP603,L603,H603)</f>
        <v>Reg AssetNN10Low Income</v>
      </c>
      <c r="AS603" s="125" t="str">
        <f>CONCATENATE(L603,H603,J603)</f>
        <v>N10Low IncomeNCR</v>
      </c>
    </row>
    <row r="604" spans="1:45" s="125" customFormat="1" ht="25.5" customHeight="1">
      <c r="A604" s="216" t="s">
        <v>1442</v>
      </c>
      <c r="B604" s="217" t="str">
        <f t="shared" ref="B604:B609" si="262">CONCATENATE(A604,C604,D604,E604)</f>
        <v>Reg Asset254016800112BE030939</v>
      </c>
      <c r="C604" s="186">
        <v>254016</v>
      </c>
      <c r="D604" s="201">
        <v>800112</v>
      </c>
      <c r="E604" s="162" t="s">
        <v>4786</v>
      </c>
      <c r="F604" s="169" t="s">
        <v>714</v>
      </c>
      <c r="G604" s="117" t="s">
        <v>4789</v>
      </c>
      <c r="H604" s="118" t="s">
        <v>2862</v>
      </c>
      <c r="I604" s="120"/>
      <c r="J604" s="120"/>
      <c r="K604" s="120" t="str">
        <f t="shared" si="261"/>
        <v/>
      </c>
      <c r="L604" s="170" t="s">
        <v>1893</v>
      </c>
      <c r="M604" s="122" t="str">
        <f t="shared" ref="M604:M609" si="263">LEFT(L604,1)</f>
        <v>R</v>
      </c>
      <c r="N604" s="116" t="str">
        <f>IF($L604&lt;&gt;"",VLOOKUP($L604,Categories!$E:$G,2,FALSE),IF($F604&lt;&gt;"","NO CAT",""))</f>
        <v>Rate Base</v>
      </c>
      <c r="O604" s="116" t="str">
        <f>IF($L604&lt;&gt;"",VLOOKUP($L604,Categories!$E:$G,3,FALSE),IF($F604&lt;&gt;"","NO CAT",""))</f>
        <v>Deferred Debits &amp; Credits</v>
      </c>
      <c r="P604" s="170" t="s">
        <v>1183</v>
      </c>
      <c r="Q604" s="123" t="s">
        <v>1177</v>
      </c>
      <c r="R604" s="124">
        <v>1</v>
      </c>
      <c r="S604" s="124">
        <v>0</v>
      </c>
      <c r="T604" s="124">
        <v>0</v>
      </c>
      <c r="U604" s="121">
        <f t="shared" ref="U604:U609" si="264">IF(ABS(X604)=0,"",IF($R604="NO ALLOC","NO ALLOC",ROUND($R604*X604,15)))</f>
        <v>9.5279937500002294</v>
      </c>
      <c r="V604" s="121">
        <f t="shared" ref="V604:V609" si="265">IF(ABS(X604)=0,"",IF($S604="NO ALLOC","NO ALLOC",ROUND($S604*X604,15)))</f>
        <v>0</v>
      </c>
      <c r="W604" s="121">
        <f t="shared" ref="W604:W609" si="266">IF(ABS(X604)=0,"",IF($T604="NO ALLOC","NO ALLOC",ROUND($T604*X604,15)))</f>
        <v>0</v>
      </c>
      <c r="X604" s="121">
        <f t="shared" si="252"/>
        <v>9.5279937500002294</v>
      </c>
      <c r="Y604" s="121">
        <f t="shared" ref="Y604:Y609" si="267">IF(ABS(AB604)=0,"",IF($R604="NO ALLOC","NO ALLOC",ROUND($R604*AB604,15)))</f>
        <v>16.781810000000998</v>
      </c>
      <c r="Z604" s="121">
        <f t="shared" ref="Z604:Z609" si="268">IF(ABS(AB604)=0,"",IF($S604="NO ALLOC","NO ALLOC",ROUND($S604*AB604,15)))</f>
        <v>0</v>
      </c>
      <c r="AA604" s="121">
        <f t="shared" ref="AA604:AA609" si="269">IF(ABS(AB604)=0,"",IF($T604="NO ALLOC","NO ALLOC",ROUND($T604*AB604,15)))</f>
        <v>0</v>
      </c>
      <c r="AB604" s="121">
        <f t="shared" si="253"/>
        <v>16.781810000000988</v>
      </c>
      <c r="AC604" s="121"/>
      <c r="AD604" s="121"/>
      <c r="AE604" s="121"/>
      <c r="AF604" s="121"/>
      <c r="AG604" s="121"/>
      <c r="AH604" s="121"/>
      <c r="AI604" s="121"/>
      <c r="AJ604" s="121"/>
      <c r="AK604" s="121">
        <v>-419.52477999999979</v>
      </c>
      <c r="AL604" s="121">
        <v>-154.71008999999938</v>
      </c>
      <c r="AM604" s="121">
        <v>242.17799000000068</v>
      </c>
      <c r="AN604" s="121">
        <v>438.00190000000083</v>
      </c>
      <c r="AO604" s="121">
        <v>16.781810000000988</v>
      </c>
      <c r="AP604" s="125" t="str">
        <f>CONCATENATE(A604,M604)</f>
        <v>Reg AssetR</v>
      </c>
      <c r="AQ604" s="125" t="str">
        <f>CONCATENATE(AP604,L604,H604)</f>
        <v>Reg AssetRR10Renewable Portfolio Standard</v>
      </c>
      <c r="AS604" s="125" t="str">
        <f>CONCATENATE(L604,H604,J604)</f>
        <v>R10Renewable Portfolio Standard</v>
      </c>
    </row>
    <row r="605" spans="1:45" s="125" customFormat="1" ht="25.5" customHeight="1">
      <c r="A605" s="216" t="s">
        <v>1442</v>
      </c>
      <c r="B605" s="217" t="str">
        <f t="shared" si="262"/>
        <v>Reg Asset254016800168BE030583</v>
      </c>
      <c r="C605" s="186">
        <v>254016</v>
      </c>
      <c r="D605" s="201">
        <v>800168</v>
      </c>
      <c r="E605" s="162" t="s">
        <v>4787</v>
      </c>
      <c r="F605" s="169" t="s">
        <v>714</v>
      </c>
      <c r="G605" s="117" t="s">
        <v>4790</v>
      </c>
      <c r="H605" s="118" t="s">
        <v>2496</v>
      </c>
      <c r="I605" s="120"/>
      <c r="J605" s="120" t="s">
        <v>105</v>
      </c>
      <c r="K605" s="120" t="str">
        <f t="shared" si="261"/>
        <v/>
      </c>
      <c r="L605" s="170" t="s">
        <v>2821</v>
      </c>
      <c r="M605" s="122" t="str">
        <f t="shared" si="263"/>
        <v>N</v>
      </c>
      <c r="N605" s="116" t="str">
        <f>IF($L605&lt;&gt;"",VLOOKUP($L605,Categories!$E:$G,2,FALSE),IF($F605&lt;&gt;"","NO CAT",""))</f>
        <v>Not in Rate Base</v>
      </c>
      <c r="O605" s="116" t="str">
        <f>IF($L605&lt;&gt;"",VLOOKUP($L605,Categories!$E:$G,3,FALSE),IF($F605&lt;&gt;"","NO CAT",""))</f>
        <v>Deferrals Accruing Non-Cash Return   (other than ASGA)</v>
      </c>
      <c r="P605" s="170" t="s">
        <v>1186</v>
      </c>
      <c r="Q605" s="123" t="s">
        <v>1187</v>
      </c>
      <c r="R605" s="124">
        <v>0</v>
      </c>
      <c r="S605" s="124">
        <v>0</v>
      </c>
      <c r="T605" s="124">
        <v>1</v>
      </c>
      <c r="U605" s="121">
        <f t="shared" si="264"/>
        <v>0</v>
      </c>
      <c r="V605" s="121">
        <f t="shared" si="265"/>
        <v>0</v>
      </c>
      <c r="W605" s="121">
        <f t="shared" si="266"/>
        <v>-238.87769083333299</v>
      </c>
      <c r="X605" s="121">
        <f t="shared" si="252"/>
        <v>-238.87769083333299</v>
      </c>
      <c r="Y605" s="121">
        <f t="shared" si="267"/>
        <v>0</v>
      </c>
      <c r="Z605" s="121">
        <f t="shared" si="268"/>
        <v>0</v>
      </c>
      <c r="AA605" s="121">
        <f t="shared" si="269"/>
        <v>-622.65168000000006</v>
      </c>
      <c r="AB605" s="121">
        <f t="shared" si="253"/>
        <v>-622.65168000000006</v>
      </c>
      <c r="AC605" s="121"/>
      <c r="AD605" s="121"/>
      <c r="AE605" s="121"/>
      <c r="AF605" s="121"/>
      <c r="AG605" s="121"/>
      <c r="AH605" s="121"/>
      <c r="AI605" s="121"/>
      <c r="AJ605" s="121"/>
      <c r="AK605" s="121">
        <v>-717.02656000000002</v>
      </c>
      <c r="AL605" s="121">
        <v>-678.56063000000006</v>
      </c>
      <c r="AM605" s="121">
        <v>-600.45950000000005</v>
      </c>
      <c r="AN605" s="121">
        <v>-559.15976000000001</v>
      </c>
      <c r="AO605" s="121">
        <v>-622.65168000000006</v>
      </c>
      <c r="AP605" s="125" t="str">
        <f>CONCATENATE(A605,M605)</f>
        <v>Reg AssetN</v>
      </c>
      <c r="AQ605" s="125" t="str">
        <f>CONCATENATE(AP605,L605,H605)</f>
        <v>Reg AssetNN10System Benefits Charge</v>
      </c>
      <c r="AS605" s="125" t="str">
        <f>CONCATENATE(L605,H605,J605)</f>
        <v>N10System Benefits ChargeNCR</v>
      </c>
    </row>
    <row r="606" spans="1:45" s="125" customFormat="1" ht="25.5" customHeight="1">
      <c r="A606" s="216" t="s">
        <v>1442</v>
      </c>
      <c r="B606" s="217" t="str">
        <f t="shared" si="262"/>
        <v>Reg Asset254016800168-CCBE030583</v>
      </c>
      <c r="C606" s="186">
        <v>254016</v>
      </c>
      <c r="D606" s="201" t="s">
        <v>4785</v>
      </c>
      <c r="E606" s="162" t="s">
        <v>4787</v>
      </c>
      <c r="F606" s="169" t="s">
        <v>714</v>
      </c>
      <c r="G606" s="117" t="s">
        <v>4791</v>
      </c>
      <c r="H606" s="118" t="s">
        <v>2496</v>
      </c>
      <c r="I606" s="120"/>
      <c r="J606" s="120" t="s">
        <v>105</v>
      </c>
      <c r="K606" s="120" t="str">
        <f t="shared" si="261"/>
        <v/>
      </c>
      <c r="L606" s="170" t="s">
        <v>2821</v>
      </c>
      <c r="M606" s="122" t="str">
        <f t="shared" si="263"/>
        <v>N</v>
      </c>
      <c r="N606" s="116" t="str">
        <f>IF($L606&lt;&gt;"",VLOOKUP($L606,Categories!$E:$G,2,FALSE),IF($F606&lt;&gt;"","NO CAT",""))</f>
        <v>Not in Rate Base</v>
      </c>
      <c r="O606" s="116" t="str">
        <f>IF($L606&lt;&gt;"",VLOOKUP($L606,Categories!$E:$G,3,FALSE),IF($F606&lt;&gt;"","NO CAT",""))</f>
        <v>Deferrals Accruing Non-Cash Return   (other than ASGA)</v>
      </c>
      <c r="P606" s="170" t="s">
        <v>1186</v>
      </c>
      <c r="Q606" s="123" t="s">
        <v>1187</v>
      </c>
      <c r="R606" s="124">
        <v>0</v>
      </c>
      <c r="S606" s="124">
        <v>0</v>
      </c>
      <c r="T606" s="124">
        <v>1</v>
      </c>
      <c r="U606" s="121">
        <f t="shared" si="264"/>
        <v>0</v>
      </c>
      <c r="V606" s="121">
        <f t="shared" si="265"/>
        <v>0</v>
      </c>
      <c r="W606" s="121">
        <f t="shared" si="266"/>
        <v>-12.3127366666667</v>
      </c>
      <c r="X606" s="121">
        <f t="shared" si="252"/>
        <v>-12.3127366666667</v>
      </c>
      <c r="Y606" s="121">
        <f t="shared" si="267"/>
        <v>0</v>
      </c>
      <c r="Z606" s="121">
        <f t="shared" si="268"/>
        <v>0</v>
      </c>
      <c r="AA606" s="121">
        <f t="shared" si="269"/>
        <v>-39.617660000000001</v>
      </c>
      <c r="AB606" s="121">
        <f t="shared" si="253"/>
        <v>-39.617660000000001</v>
      </c>
      <c r="AC606" s="121"/>
      <c r="AD606" s="121"/>
      <c r="AE606" s="121"/>
      <c r="AF606" s="121"/>
      <c r="AG606" s="121"/>
      <c r="AH606" s="121"/>
      <c r="AI606" s="121"/>
      <c r="AJ606" s="121"/>
      <c r="AK606" s="121">
        <v>-27.515399999999996</v>
      </c>
      <c r="AL606" s="121">
        <v>-30.703719999999997</v>
      </c>
      <c r="AM606" s="121">
        <v>-33.05489</v>
      </c>
      <c r="AN606" s="121">
        <v>-36.67</v>
      </c>
      <c r="AO606" s="121">
        <v>-39.617660000000001</v>
      </c>
      <c r="AP606" s="125" t="str">
        <f>CONCATENATE(A606,M606)</f>
        <v>Reg AssetN</v>
      </c>
      <c r="AQ606" s="125" t="str">
        <f>CONCATENATE(AP606,L606,H606)</f>
        <v>Reg AssetNN10System Benefits Charge</v>
      </c>
      <c r="AS606" s="125" t="str">
        <f>CONCATENATE(L606,H606,J606)</f>
        <v>N10System Benefits ChargeNCR</v>
      </c>
    </row>
    <row r="607" spans="1:45" s="125" customFormat="1" ht="25.5" customHeight="1">
      <c r="A607" s="216" t="s">
        <v>1442</v>
      </c>
      <c r="B607" s="217" t="str">
        <f t="shared" si="262"/>
        <v>Reg Asset254016808020BE030938</v>
      </c>
      <c r="C607" s="186">
        <v>254016</v>
      </c>
      <c r="D607" s="201">
        <v>808020</v>
      </c>
      <c r="E607" s="162" t="s">
        <v>4788</v>
      </c>
      <c r="F607" s="169" t="s">
        <v>714</v>
      </c>
      <c r="G607" s="117" t="s">
        <v>4792</v>
      </c>
      <c r="H607" s="118" t="s">
        <v>1718</v>
      </c>
      <c r="I607" s="120"/>
      <c r="J607" s="120"/>
      <c r="K607" s="120" t="str">
        <f t="shared" si="261"/>
        <v/>
      </c>
      <c r="L607" s="170" t="s">
        <v>1893</v>
      </c>
      <c r="M607" s="122" t="str">
        <f t="shared" si="263"/>
        <v>R</v>
      </c>
      <c r="N607" s="116" t="str">
        <f>IF($L607&lt;&gt;"",VLOOKUP($L607,Categories!$E:$G,2,FALSE),IF($F607&lt;&gt;"","NO CAT",""))</f>
        <v>Rate Base</v>
      </c>
      <c r="O607" s="116" t="str">
        <f>IF($L607&lt;&gt;"",VLOOKUP($L607,Categories!$E:$G,3,FALSE),IF($F607&lt;&gt;"","NO CAT",""))</f>
        <v>Deferred Debits &amp; Credits</v>
      </c>
      <c r="P607" s="170" t="s">
        <v>1183</v>
      </c>
      <c r="Q607" s="123" t="s">
        <v>1177</v>
      </c>
      <c r="R607" s="124">
        <v>1</v>
      </c>
      <c r="S607" s="124">
        <v>0</v>
      </c>
      <c r="T607" s="124">
        <v>0</v>
      </c>
      <c r="U607" s="121">
        <f t="shared" si="264"/>
        <v>179.58066875</v>
      </c>
      <c r="V607" s="121">
        <f t="shared" si="265"/>
        <v>0</v>
      </c>
      <c r="W607" s="121">
        <f t="shared" si="266"/>
        <v>0</v>
      </c>
      <c r="X607" s="121">
        <f t="shared" si="252"/>
        <v>179.58066875</v>
      </c>
      <c r="Y607" s="121">
        <f t="shared" si="267"/>
        <v>695.98606999999902</v>
      </c>
      <c r="Z607" s="121">
        <f t="shared" si="268"/>
        <v>0</v>
      </c>
      <c r="AA607" s="121">
        <f t="shared" si="269"/>
        <v>0</v>
      </c>
      <c r="AB607" s="121">
        <f t="shared" si="253"/>
        <v>695.9860699999989</v>
      </c>
      <c r="AC607" s="121"/>
      <c r="AD607" s="121"/>
      <c r="AE607" s="121"/>
      <c r="AF607" s="121"/>
      <c r="AG607" s="121"/>
      <c r="AH607" s="121"/>
      <c r="AI607" s="121"/>
      <c r="AJ607" s="121"/>
      <c r="AK607" s="121">
        <v>-110.52025</v>
      </c>
      <c r="AL607" s="121">
        <v>148.6731299999999</v>
      </c>
      <c r="AM607" s="121">
        <v>727.04634999999962</v>
      </c>
      <c r="AN607" s="121">
        <v>1041.7757599999993</v>
      </c>
      <c r="AO607" s="121">
        <v>695.9860699999989</v>
      </c>
      <c r="AP607" s="125" t="str">
        <f>CONCATENATE(A607,M607)</f>
        <v>Reg AssetR</v>
      </c>
      <c r="AQ607" s="125" t="str">
        <f>CONCATENATE(AP607,L607,H607)</f>
        <v>Reg AssetRR10Energy Efficiency Portfolio Standard</v>
      </c>
      <c r="AS607" s="125" t="str">
        <f>CONCATENATE(L607,H607,J607)</f>
        <v>R10Energy Efficiency Portfolio Standard</v>
      </c>
    </row>
    <row r="608" spans="1:45" s="125" customFormat="1" ht="25.5" customHeight="1">
      <c r="A608" s="216" t="s">
        <v>1442</v>
      </c>
      <c r="B608" s="217" t="str">
        <f t="shared" si="262"/>
        <v>Reg Asset254016808220BE030938</v>
      </c>
      <c r="C608" s="186">
        <v>254016</v>
      </c>
      <c r="D608" s="201">
        <v>808220</v>
      </c>
      <c r="E608" s="162" t="s">
        <v>4788</v>
      </c>
      <c r="F608" s="169" t="s">
        <v>714</v>
      </c>
      <c r="G608" s="117" t="s">
        <v>4793</v>
      </c>
      <c r="H608" s="118" t="s">
        <v>1718</v>
      </c>
      <c r="I608" s="120"/>
      <c r="J608" s="120" t="s">
        <v>105</v>
      </c>
      <c r="K608" s="120" t="str">
        <f t="shared" si="261"/>
        <v/>
      </c>
      <c r="L608" s="170" t="s">
        <v>2821</v>
      </c>
      <c r="M608" s="122" t="str">
        <f t="shared" si="263"/>
        <v>N</v>
      </c>
      <c r="N608" s="116" t="str">
        <f>IF($L608&lt;&gt;"",VLOOKUP($L608,Categories!$E:$G,2,FALSE),IF($F608&lt;&gt;"","NO CAT",""))</f>
        <v>Not in Rate Base</v>
      </c>
      <c r="O608" s="116" t="str">
        <f>IF($L608&lt;&gt;"",VLOOKUP($L608,Categories!$E:$G,3,FALSE),IF($F608&lt;&gt;"","NO CAT",""))</f>
        <v>Deferrals Accruing Non-Cash Return   (other than ASGA)</v>
      </c>
      <c r="P608" s="170" t="s">
        <v>1186</v>
      </c>
      <c r="Q608" s="123" t="s">
        <v>1187</v>
      </c>
      <c r="R608" s="124">
        <v>0</v>
      </c>
      <c r="S608" s="124">
        <v>0</v>
      </c>
      <c r="T608" s="124">
        <v>1</v>
      </c>
      <c r="U608" s="121">
        <f t="shared" si="264"/>
        <v>0</v>
      </c>
      <c r="V608" s="121">
        <f t="shared" si="265"/>
        <v>0</v>
      </c>
      <c r="W608" s="121">
        <f t="shared" si="266"/>
        <v>-4628.1844870833302</v>
      </c>
      <c r="X608" s="121">
        <f t="shared" si="252"/>
        <v>-4628.1844870833302</v>
      </c>
      <c r="Y608" s="121">
        <f t="shared" si="267"/>
        <v>0</v>
      </c>
      <c r="Z608" s="121">
        <f t="shared" si="268"/>
        <v>0</v>
      </c>
      <c r="AA608" s="121">
        <f t="shared" si="269"/>
        <v>-12872.70097</v>
      </c>
      <c r="AB608" s="121">
        <f t="shared" si="253"/>
        <v>-12872.70097</v>
      </c>
      <c r="AC608" s="121"/>
      <c r="AD608" s="121"/>
      <c r="AE608" s="121"/>
      <c r="AF608" s="121"/>
      <c r="AG608" s="121"/>
      <c r="AH608" s="121"/>
      <c r="AI608" s="121"/>
      <c r="AJ608" s="121"/>
      <c r="AK608" s="121">
        <v>-12080.995929999999</v>
      </c>
      <c r="AL608" s="121">
        <v>-12297.37011</v>
      </c>
      <c r="AM608" s="121">
        <v>-12228.23668</v>
      </c>
      <c r="AN608" s="121">
        <v>-12495.26064</v>
      </c>
      <c r="AO608" s="121">
        <v>-12872.70097</v>
      </c>
      <c r="AP608" s="125" t="str">
        <f>CONCATENATE(A608,M608)</f>
        <v>Reg AssetN</v>
      </c>
      <c r="AQ608" s="125" t="str">
        <f>CONCATENATE(AP608,L608,H608)</f>
        <v>Reg AssetNN10Energy Efficiency Portfolio Standard</v>
      </c>
      <c r="AS608" s="125" t="str">
        <f>CONCATENATE(L608,H608,J608)</f>
        <v>N10Energy Efficiency Portfolio StandardNCR</v>
      </c>
    </row>
    <row r="609" spans="1:45" s="125" customFormat="1" ht="25.5" customHeight="1">
      <c r="A609" s="216" t="s">
        <v>1442</v>
      </c>
      <c r="B609" s="217" t="str">
        <f t="shared" si="262"/>
        <v>Reg Asset254016808320BE030938</v>
      </c>
      <c r="C609" s="186">
        <v>254016</v>
      </c>
      <c r="D609" s="201">
        <v>808320</v>
      </c>
      <c r="E609" s="162" t="s">
        <v>4788</v>
      </c>
      <c r="F609" s="169" t="s">
        <v>714</v>
      </c>
      <c r="G609" s="117" t="s">
        <v>4794</v>
      </c>
      <c r="H609" s="118" t="s">
        <v>1718</v>
      </c>
      <c r="I609" s="120"/>
      <c r="J609" s="120" t="s">
        <v>105</v>
      </c>
      <c r="K609" s="120" t="str">
        <f t="shared" si="261"/>
        <v/>
      </c>
      <c r="L609" s="170" t="s">
        <v>2821</v>
      </c>
      <c r="M609" s="122" t="str">
        <f t="shared" si="263"/>
        <v>N</v>
      </c>
      <c r="N609" s="116" t="str">
        <f>IF($L609&lt;&gt;"",VLOOKUP($L609,Categories!$E:$G,2,FALSE),IF($F609&lt;&gt;"","NO CAT",""))</f>
        <v>Not in Rate Base</v>
      </c>
      <c r="O609" s="116" t="str">
        <f>IF($L609&lt;&gt;"",VLOOKUP($L609,Categories!$E:$G,3,FALSE),IF($F609&lt;&gt;"","NO CAT",""))</f>
        <v>Deferrals Accruing Non-Cash Return   (other than ASGA)</v>
      </c>
      <c r="P609" s="170" t="s">
        <v>1186</v>
      </c>
      <c r="Q609" s="123" t="s">
        <v>1187</v>
      </c>
      <c r="R609" s="124">
        <v>0</v>
      </c>
      <c r="S609" s="124">
        <v>0</v>
      </c>
      <c r="T609" s="124">
        <v>1</v>
      </c>
      <c r="U609" s="121">
        <f t="shared" si="264"/>
        <v>0</v>
      </c>
      <c r="V609" s="121">
        <f t="shared" si="265"/>
        <v>0</v>
      </c>
      <c r="W609" s="121">
        <f t="shared" si="266"/>
        <v>-1035.7863387499999</v>
      </c>
      <c r="X609" s="121">
        <f t="shared" si="252"/>
        <v>-1035.7863387499999</v>
      </c>
      <c r="Y609" s="121">
        <f t="shared" si="267"/>
        <v>0</v>
      </c>
      <c r="Z609" s="121">
        <f t="shared" si="268"/>
        <v>0</v>
      </c>
      <c r="AA609" s="121">
        <f t="shared" si="269"/>
        <v>-2845.4308900000001</v>
      </c>
      <c r="AB609" s="121">
        <f t="shared" si="253"/>
        <v>-2845.4308899999996</v>
      </c>
      <c r="AC609" s="121"/>
      <c r="AD609" s="121"/>
      <c r="AE609" s="121"/>
      <c r="AF609" s="121"/>
      <c r="AG609" s="121"/>
      <c r="AH609" s="121"/>
      <c r="AI609" s="121"/>
      <c r="AJ609" s="121"/>
      <c r="AK609" s="121">
        <v>-2696.3923399999999</v>
      </c>
      <c r="AL609" s="121">
        <v>-2733.0591999999997</v>
      </c>
      <c r="AM609" s="121">
        <v>-2769.9978299999998</v>
      </c>
      <c r="AN609" s="121">
        <v>-2807.2712499999993</v>
      </c>
      <c r="AO609" s="121">
        <v>-2845.4308899999996</v>
      </c>
      <c r="AP609" s="125" t="str">
        <f>CONCATENATE(A609,M609)</f>
        <v>Reg AssetN</v>
      </c>
      <c r="AQ609" s="125" t="str">
        <f>CONCATENATE(AP609,L609,H609)</f>
        <v>Reg AssetNN10Energy Efficiency Portfolio Standard</v>
      </c>
      <c r="AS609" s="125" t="str">
        <f>CONCATENATE(L609,H609,J609)</f>
        <v>N10Energy Efficiency Portfolio StandardNCR</v>
      </c>
    </row>
    <row r="610" spans="1:45" s="125" customFormat="1" ht="25.5" customHeight="1">
      <c r="A610" s="216" t="s">
        <v>1442</v>
      </c>
      <c r="B610" s="217" t="str">
        <f t="shared" si="245"/>
        <v>Reg Asset254017800123BG030299</v>
      </c>
      <c r="C610" s="186">
        <v>254017</v>
      </c>
      <c r="D610" s="201">
        <v>800123</v>
      </c>
      <c r="E610" s="162" t="s">
        <v>3376</v>
      </c>
      <c r="F610" s="169" t="s">
        <v>2985</v>
      </c>
      <c r="G610" s="117" t="s">
        <v>2272</v>
      </c>
      <c r="H610" s="118" t="s">
        <v>1050</v>
      </c>
      <c r="I610" s="120"/>
      <c r="J610" s="120"/>
      <c r="K610" s="120" t="str">
        <f t="shared" si="261"/>
        <v/>
      </c>
      <c r="L610" s="170" t="s">
        <v>928</v>
      </c>
      <c r="M610" s="122" t="str">
        <f t="shared" si="212"/>
        <v>N</v>
      </c>
      <c r="N610" s="116" t="str">
        <f>IF($L610&lt;&gt;"",VLOOKUP($L610,Categories!$E:$G,2,FALSE),IF($F610&lt;&gt;"","NO CAT",""))</f>
        <v>Not in Rate Base</v>
      </c>
      <c r="O610" s="116" t="str">
        <f>IF($L610&lt;&gt;"",VLOOKUP($L610,Categories!$E:$G,3,FALSE),IF($F610&lt;&gt;"","NO CAT",""))</f>
        <v>Direct Assign Items Not in RB</v>
      </c>
      <c r="P610" s="170" t="s">
        <v>1186</v>
      </c>
      <c r="Q610" s="123" t="s">
        <v>1187</v>
      </c>
      <c r="R610" s="124">
        <v>0</v>
      </c>
      <c r="S610" s="124">
        <v>0</v>
      </c>
      <c r="T610" s="124">
        <v>1</v>
      </c>
      <c r="U610" s="121">
        <f t="shared" si="246"/>
        <v>0</v>
      </c>
      <c r="V610" s="121">
        <f t="shared" si="247"/>
        <v>0</v>
      </c>
      <c r="W610" s="121">
        <f t="shared" si="248"/>
        <v>-41.666699999999999</v>
      </c>
      <c r="X610" s="121">
        <f t="shared" si="252"/>
        <v>-41.666699999999999</v>
      </c>
      <c r="Y610" s="121">
        <f t="shared" si="249"/>
        <v>0</v>
      </c>
      <c r="Z610" s="121">
        <f t="shared" si="250"/>
        <v>0</v>
      </c>
      <c r="AA610" s="121">
        <f t="shared" si="251"/>
        <v>-41.666699999999999</v>
      </c>
      <c r="AB610" s="121">
        <f t="shared" si="253"/>
        <v>-41.666699999999999</v>
      </c>
      <c r="AC610" s="121">
        <v>-41.666699999999999</v>
      </c>
      <c r="AD610" s="121">
        <v>-41.666699999999999</v>
      </c>
      <c r="AE610" s="121">
        <v>-41.666699999999999</v>
      </c>
      <c r="AF610" s="121">
        <v>-41.666699999999999</v>
      </c>
      <c r="AG610" s="121">
        <v>-41.666699999999999</v>
      </c>
      <c r="AH610" s="121">
        <v>-41.666699999999999</v>
      </c>
      <c r="AI610" s="121">
        <v>-41.666699999999999</v>
      </c>
      <c r="AJ610" s="121">
        <v>-41.666699999999999</v>
      </c>
      <c r="AK610" s="121">
        <v>-41.666699999999999</v>
      </c>
      <c r="AL610" s="121">
        <v>-41.666699999999999</v>
      </c>
      <c r="AM610" s="121">
        <v>-41.666699999999999</v>
      </c>
      <c r="AN610" s="121">
        <v>-41.666699999999999</v>
      </c>
      <c r="AO610" s="121">
        <v>-41.666699999999999</v>
      </c>
      <c r="AP610" s="125" t="str">
        <f>CONCATENATE(A610,M610)</f>
        <v>Reg AssetN</v>
      </c>
      <c r="AQ610" s="125" t="str">
        <f>CONCATENATE(AP610,L610,H610)</f>
        <v>Reg AssetNN2Gain / Loss on Surplus Sales</v>
      </c>
      <c r="AS610" s="125" t="str">
        <f>CONCATENATE(L610,H610,J610)</f>
        <v>N2Gain / Loss on Surplus Sales</v>
      </c>
    </row>
    <row r="611" spans="1:45" s="125" customFormat="1" ht="25.5" customHeight="1">
      <c r="A611" s="216" t="s">
        <v>1442</v>
      </c>
      <c r="B611" s="217" t="str">
        <f>CONCATENATE(A611,C611,D611,E611)</f>
        <v>Reg Asset254017801255BG030924</v>
      </c>
      <c r="C611" s="186">
        <v>254017</v>
      </c>
      <c r="D611" s="201" t="s">
        <v>4419</v>
      </c>
      <c r="E611" s="162" t="s">
        <v>4420</v>
      </c>
      <c r="F611" s="169" t="s">
        <v>2985</v>
      </c>
      <c r="G611" s="117" t="s">
        <v>4418</v>
      </c>
      <c r="H611" s="118" t="s">
        <v>4418</v>
      </c>
      <c r="I611" s="120"/>
      <c r="J611" s="120"/>
      <c r="K611" s="120" t="str">
        <f>IF(L611="N3","SFAS-109","")</f>
        <v/>
      </c>
      <c r="L611" s="170" t="s">
        <v>1893</v>
      </c>
      <c r="M611" s="122" t="str">
        <f>LEFT(L611,1)</f>
        <v>R</v>
      </c>
      <c r="N611" s="116" t="str">
        <f>IF($L611&lt;&gt;"",VLOOKUP($L611,Categories!$E:$G,2,FALSE),IF($F611&lt;&gt;"","NO CAT",""))</f>
        <v>Rate Base</v>
      </c>
      <c r="O611" s="116" t="str">
        <f>IF($L611&lt;&gt;"",VLOOKUP($L611,Categories!$E:$G,3,FALSE),IF($F611&lt;&gt;"","NO CAT",""))</f>
        <v>Deferred Debits &amp; Credits</v>
      </c>
      <c r="P611" s="170" t="s">
        <v>1184</v>
      </c>
      <c r="Q611" s="123" t="s">
        <v>1178</v>
      </c>
      <c r="R611" s="124">
        <v>0</v>
      </c>
      <c r="S611" s="124">
        <v>1</v>
      </c>
      <c r="T611" s="124">
        <v>0</v>
      </c>
      <c r="U611" s="121">
        <f>IF(ABS(X611)=0,"",IF($R611="NO ALLOC","NO ALLOC",ROUND($R611*X611,15)))</f>
        <v>0</v>
      </c>
      <c r="V611" s="121">
        <f>IF(ABS(X611)=0,"",IF($S611="NO ALLOC","NO ALLOC",ROUND($S611*X611,15)))</f>
        <v>-137.07979166666701</v>
      </c>
      <c r="W611" s="121">
        <f>IF(ABS(X611)=0,"",IF($T611="NO ALLOC","NO ALLOC",ROUND($T611*X611,15)))</f>
        <v>0</v>
      </c>
      <c r="X611" s="121">
        <f t="shared" si="252"/>
        <v>-137.07979166666701</v>
      </c>
      <c r="Y611" s="121">
        <f>IF(ABS(AB611)=0,"",IF($R611="NO ALLOC","NO ALLOC",ROUND($R611*AB611,15)))</f>
        <v>0</v>
      </c>
      <c r="Z611" s="121">
        <f>IF(ABS(AB611)=0,"",IF($S611="NO ALLOC","NO ALLOC",ROUND($S611*AB611,15)))</f>
        <v>-137</v>
      </c>
      <c r="AA611" s="121">
        <f>IF(ABS(AB611)=0,"",IF($T611="NO ALLOC","NO ALLOC",ROUND($T611*AB611,15)))</f>
        <v>0</v>
      </c>
      <c r="AB611" s="121">
        <f t="shared" si="253"/>
        <v>-137</v>
      </c>
      <c r="AC611" s="121">
        <v>-138.91499999999999</v>
      </c>
      <c r="AD611" s="121">
        <v>-137</v>
      </c>
      <c r="AE611" s="121">
        <v>-137</v>
      </c>
      <c r="AF611" s="121">
        <v>-137</v>
      </c>
      <c r="AG611" s="121">
        <v>-137</v>
      </c>
      <c r="AH611" s="121">
        <v>-137</v>
      </c>
      <c r="AI611" s="121">
        <v>-137</v>
      </c>
      <c r="AJ611" s="121">
        <v>-137</v>
      </c>
      <c r="AK611" s="121">
        <v>-137</v>
      </c>
      <c r="AL611" s="121">
        <v>-137</v>
      </c>
      <c r="AM611" s="121">
        <v>-137</v>
      </c>
      <c r="AN611" s="121">
        <v>-137</v>
      </c>
      <c r="AO611" s="121">
        <v>-137</v>
      </c>
      <c r="AP611" s="125" t="str">
        <f>CONCATENATE(A611,M611)</f>
        <v>Reg AssetR</v>
      </c>
      <c r="AQ611" s="125" t="str">
        <f>CONCATENATE(AP611,L611,H611)</f>
        <v>Reg AssetRR10Net Plant Reconciliation</v>
      </c>
      <c r="AS611" s="125" t="str">
        <f>CONCATENATE(L611,H611,J611)</f>
        <v>R10Net Plant Reconciliation</v>
      </c>
    </row>
    <row r="612" spans="1:45" s="125" customFormat="1" ht="25.5" customHeight="1">
      <c r="A612" s="216" t="s">
        <v>1442</v>
      </c>
      <c r="B612" s="217" t="str">
        <f t="shared" si="245"/>
        <v>Reg Asset254017800117BG030305</v>
      </c>
      <c r="C612" s="186">
        <v>254017</v>
      </c>
      <c r="D612" s="201">
        <v>800117</v>
      </c>
      <c r="E612" s="162" t="s">
        <v>3528</v>
      </c>
      <c r="F612" s="169" t="s">
        <v>2985</v>
      </c>
      <c r="G612" s="117" t="s">
        <v>2986</v>
      </c>
      <c r="H612" s="118" t="s">
        <v>2859</v>
      </c>
      <c r="I612" s="120"/>
      <c r="J612" s="120" t="s">
        <v>105</v>
      </c>
      <c r="K612" s="120" t="str">
        <f t="shared" si="244"/>
        <v/>
      </c>
      <c r="L612" s="170" t="s">
        <v>2821</v>
      </c>
      <c r="M612" s="122" t="str">
        <f t="shared" si="212"/>
        <v>N</v>
      </c>
      <c r="N612" s="116" t="str">
        <f>IF($L612&lt;&gt;"",VLOOKUP($L612,Categories!$E:$G,2,FALSE),IF($F612&lt;&gt;"","NO CAT",""))</f>
        <v>Not in Rate Base</v>
      </c>
      <c r="O612" s="116" t="str">
        <f>IF($L612&lt;&gt;"",VLOOKUP($L612,Categories!$E:$G,3,FALSE),IF($F612&lt;&gt;"","NO CAT",""))</f>
        <v>Deferrals Accruing Non-Cash Return   (other than ASGA)</v>
      </c>
      <c r="P612" s="170" t="s">
        <v>1186</v>
      </c>
      <c r="Q612" s="123" t="s">
        <v>1187</v>
      </c>
      <c r="R612" s="124">
        <v>0</v>
      </c>
      <c r="S612" s="124">
        <v>0</v>
      </c>
      <c r="T612" s="124">
        <v>1</v>
      </c>
      <c r="U612" s="121">
        <f t="shared" si="246"/>
        <v>0</v>
      </c>
      <c r="V612" s="121">
        <f t="shared" si="247"/>
        <v>0</v>
      </c>
      <c r="W612" s="121">
        <f t="shared" si="248"/>
        <v>-319.74969041666702</v>
      </c>
      <c r="X612" s="121">
        <f t="shared" si="252"/>
        <v>-319.74969041666702</v>
      </c>
      <c r="Y612" s="121">
        <f t="shared" si="249"/>
        <v>0</v>
      </c>
      <c r="Z612" s="121">
        <f t="shared" si="250"/>
        <v>0</v>
      </c>
      <c r="AA612" s="121">
        <f t="shared" si="251"/>
        <v>-329.80766999999997</v>
      </c>
      <c r="AB612" s="121">
        <f t="shared" si="253"/>
        <v>-329.80766999999986</v>
      </c>
      <c r="AC612" s="121">
        <v>-309.89689999999996</v>
      </c>
      <c r="AD612" s="121">
        <v>-311.50918999999993</v>
      </c>
      <c r="AE612" s="121">
        <v>-313.12985999999995</v>
      </c>
      <c r="AF612" s="121">
        <v>-314.75896999999992</v>
      </c>
      <c r="AG612" s="121">
        <v>-316.39654999999993</v>
      </c>
      <c r="AH612" s="121">
        <v>-318.04264999999992</v>
      </c>
      <c r="AI612" s="121">
        <v>-319.69731999999988</v>
      </c>
      <c r="AJ612" s="121">
        <v>-321.36058999999989</v>
      </c>
      <c r="AK612" s="121">
        <v>-323.03251999999992</v>
      </c>
      <c r="AL612" s="121">
        <v>-324.71314999999993</v>
      </c>
      <c r="AM612" s="121">
        <v>-326.40251999999992</v>
      </c>
      <c r="AN612" s="121">
        <v>-328.1006799999999</v>
      </c>
      <c r="AO612" s="121">
        <v>-329.80766999999986</v>
      </c>
      <c r="AP612" s="125" t="str">
        <f>CONCATENATE(A612,M612)</f>
        <v>Reg AssetN</v>
      </c>
      <c r="AQ612" s="125" t="str">
        <f>CONCATENATE(AP612,L612,H612)</f>
        <v xml:space="preserve">Reg AssetNN10Research &amp; Development </v>
      </c>
      <c r="AS612" s="125" t="str">
        <f>CONCATENATE(L612,H612,J612)</f>
        <v>N10Research &amp; Development NCR</v>
      </c>
    </row>
    <row r="613" spans="1:45" s="125" customFormat="1" ht="25.5" customHeight="1">
      <c r="A613" s="216" t="s">
        <v>1442</v>
      </c>
      <c r="B613" s="217" t="str">
        <f t="shared" si="245"/>
        <v>Reg Asset254017800166BG030310</v>
      </c>
      <c r="C613" s="186">
        <v>254017</v>
      </c>
      <c r="D613" s="201" t="s">
        <v>587</v>
      </c>
      <c r="E613" s="162" t="s">
        <v>3804</v>
      </c>
      <c r="F613" s="169" t="s">
        <v>2985</v>
      </c>
      <c r="G613" s="117" t="s">
        <v>588</v>
      </c>
      <c r="H613" s="118" t="s">
        <v>1943</v>
      </c>
      <c r="I613" s="120"/>
      <c r="J613" s="120"/>
      <c r="K613" s="120" t="str">
        <f t="shared" si="244"/>
        <v/>
      </c>
      <c r="L613" s="170" t="s">
        <v>1893</v>
      </c>
      <c r="M613" s="122" t="str">
        <f t="shared" si="212"/>
        <v>R</v>
      </c>
      <c r="N613" s="116" t="str">
        <f>IF($L613&lt;&gt;"",VLOOKUP($L613,Categories!$E:$G,2,FALSE),IF($F613&lt;&gt;"","NO CAT",""))</f>
        <v>Rate Base</v>
      </c>
      <c r="O613" s="116" t="str">
        <f>IF($L613&lt;&gt;"",VLOOKUP($L613,Categories!$E:$G,3,FALSE),IF($F613&lt;&gt;"","NO CAT",""))</f>
        <v>Deferred Debits &amp; Credits</v>
      </c>
      <c r="P613" s="170" t="s">
        <v>1184</v>
      </c>
      <c r="Q613" s="123" t="s">
        <v>1178</v>
      </c>
      <c r="R613" s="124">
        <v>0</v>
      </c>
      <c r="S613" s="124">
        <v>1</v>
      </c>
      <c r="T613" s="124">
        <v>0</v>
      </c>
      <c r="U613" s="121">
        <f t="shared" si="246"/>
        <v>0</v>
      </c>
      <c r="V613" s="121">
        <f t="shared" si="247"/>
        <v>-4.0000000000000003E-15</v>
      </c>
      <c r="W613" s="121">
        <f t="shared" si="248"/>
        <v>0</v>
      </c>
      <c r="X613" s="121">
        <f t="shared" si="252"/>
        <v>-4.0000000000000003E-15</v>
      </c>
      <c r="Y613" s="121" t="str">
        <f t="shared" si="249"/>
        <v/>
      </c>
      <c r="Z613" s="121" t="str">
        <f t="shared" si="250"/>
        <v/>
      </c>
      <c r="AA613" s="121" t="str">
        <f t="shared" si="251"/>
        <v/>
      </c>
      <c r="AB613" s="121">
        <f t="shared" si="253"/>
        <v>0</v>
      </c>
      <c r="AC613" s="121">
        <v>-9.640643838793039E-14</v>
      </c>
      <c r="AD613" s="121">
        <v>0</v>
      </c>
      <c r="AE613" s="121">
        <v>0</v>
      </c>
      <c r="AF613" s="121">
        <v>0</v>
      </c>
      <c r="AG613" s="121">
        <v>0</v>
      </c>
      <c r="AH613" s="121">
        <v>0</v>
      </c>
      <c r="AI613" s="121">
        <v>0</v>
      </c>
      <c r="AJ613" s="121">
        <v>0</v>
      </c>
      <c r="AK613" s="121">
        <v>0</v>
      </c>
      <c r="AL613" s="121">
        <v>0</v>
      </c>
      <c r="AM613" s="121">
        <v>0</v>
      </c>
      <c r="AN613" s="121">
        <v>0</v>
      </c>
      <c r="AO613" s="121">
        <v>0</v>
      </c>
      <c r="AP613" s="125" t="str">
        <f>CONCATENATE(A613,M613)</f>
        <v>Reg AssetR</v>
      </c>
      <c r="AQ613" s="125" t="str">
        <f>CONCATENATE(AP613,L613,H613)</f>
        <v>Reg AssetRR10Service Quality Performance Program</v>
      </c>
      <c r="AS613" s="125" t="str">
        <f>CONCATENATE(L613,H613,J613)</f>
        <v>R10Service Quality Performance Program</v>
      </c>
    </row>
    <row r="614" spans="1:45" s="125" customFormat="1" ht="25.5" customHeight="1">
      <c r="A614" s="216" t="s">
        <v>1442</v>
      </c>
      <c r="B614" s="217" t="str">
        <f t="shared" si="245"/>
        <v>Reg Asset254017807020BG030181</v>
      </c>
      <c r="C614" s="186">
        <v>254017</v>
      </c>
      <c r="D614" s="201">
        <v>807020</v>
      </c>
      <c r="E614" s="162" t="s">
        <v>527</v>
      </c>
      <c r="F614" s="169" t="s">
        <v>2985</v>
      </c>
      <c r="G614" s="117" t="s">
        <v>746</v>
      </c>
      <c r="H614" s="118" t="s">
        <v>1079</v>
      </c>
      <c r="I614" s="119"/>
      <c r="J614" s="120" t="s">
        <v>105</v>
      </c>
      <c r="K614" s="120" t="str">
        <f>IF(L614="N3","SFAS-109","")</f>
        <v/>
      </c>
      <c r="L614" s="170" t="s">
        <v>2821</v>
      </c>
      <c r="M614" s="122" t="str">
        <f>LEFT(L614,1)</f>
        <v>N</v>
      </c>
      <c r="N614" s="116" t="str">
        <f>IF($L614&lt;&gt;"",VLOOKUP($L614,Categories!$E:$G,2,FALSE),IF($F614&lt;&gt;"","NO CAT",""))</f>
        <v>Not in Rate Base</v>
      </c>
      <c r="O614" s="116" t="str">
        <f>IF($L614&lt;&gt;"",VLOOKUP($L614,Categories!$E:$G,3,FALSE),IF($F614&lt;&gt;"","NO CAT",""))</f>
        <v>Deferrals Accruing Non-Cash Return   (other than ASGA)</v>
      </c>
      <c r="P614" s="170" t="s">
        <v>1186</v>
      </c>
      <c r="Q614" s="123" t="s">
        <v>1187</v>
      </c>
      <c r="R614" s="124">
        <v>0</v>
      </c>
      <c r="S614" s="124">
        <v>0</v>
      </c>
      <c r="T614" s="124">
        <v>1</v>
      </c>
      <c r="U614" s="121" t="str">
        <f>IF(ABS(X614)=0,"",IF($R614="NO ALLOC","NO ALLOC",ROUND($R614*X614,15)))</f>
        <v/>
      </c>
      <c r="V614" s="121" t="str">
        <f>IF(ABS(X614)=0,"",IF($S614="NO ALLOC","NO ALLOC",ROUND($S614*X614,15)))</f>
        <v/>
      </c>
      <c r="W614" s="121" t="str">
        <f>IF(ABS(X614)=0,"",IF($T614="NO ALLOC","NO ALLOC",ROUND($T614*X614,15)))</f>
        <v/>
      </c>
      <c r="X614" s="121">
        <f t="shared" si="252"/>
        <v>0</v>
      </c>
      <c r="Y614" s="121" t="str">
        <f>IF(ABS(AB614)=0,"",IF($R614="NO ALLOC","NO ALLOC",ROUND($R614*AB614,15)))</f>
        <v/>
      </c>
      <c r="Z614" s="121" t="str">
        <f>IF(ABS(AB614)=0,"",IF($S614="NO ALLOC","NO ALLOC",ROUND($S614*AB614,15)))</f>
        <v/>
      </c>
      <c r="AA614" s="121" t="str">
        <f>IF(ABS(AB614)=0,"",IF($T614="NO ALLOC","NO ALLOC",ROUND($T614*AB614,15)))</f>
        <v/>
      </c>
      <c r="AB614" s="121">
        <f t="shared" si="253"/>
        <v>0</v>
      </c>
      <c r="AC614" s="161">
        <v>0</v>
      </c>
      <c r="AD614" s="121">
        <v>0</v>
      </c>
      <c r="AE614" s="121">
        <v>0</v>
      </c>
      <c r="AF614" s="121">
        <v>0</v>
      </c>
      <c r="AG614" s="121">
        <v>0</v>
      </c>
      <c r="AH614" s="121">
        <v>0</v>
      </c>
      <c r="AI614" s="121">
        <v>0</v>
      </c>
      <c r="AJ614" s="121">
        <v>0</v>
      </c>
      <c r="AK614" s="121">
        <v>0</v>
      </c>
      <c r="AL614" s="121">
        <v>0</v>
      </c>
      <c r="AM614" s="121">
        <v>0</v>
      </c>
      <c r="AN614" s="121">
        <v>0</v>
      </c>
      <c r="AO614" s="121">
        <v>0</v>
      </c>
      <c r="AP614" s="125" t="str">
        <f>CONCATENATE(A614,M614)</f>
        <v>Reg AssetN</v>
      </c>
      <c r="AQ614" s="125" t="str">
        <f>CONCATENATE(AP614,L614,H614)</f>
        <v>Reg AssetNN10Seneca Pipeline Integrity Initiative</v>
      </c>
      <c r="AS614" s="125" t="str">
        <f>CONCATENATE(L614,H614,J614)</f>
        <v>N10Seneca Pipeline Integrity InitiativeNCR</v>
      </c>
    </row>
    <row r="615" spans="1:45" s="125" customFormat="1" ht="25.5" customHeight="1">
      <c r="A615" s="216" t="s">
        <v>1442</v>
      </c>
      <c r="B615" s="217" t="str">
        <f t="shared" si="245"/>
        <v>Reg Asset254017807020BG030266</v>
      </c>
      <c r="C615" s="186">
        <v>254017</v>
      </c>
      <c r="D615" s="201">
        <v>807020</v>
      </c>
      <c r="E615" s="162" t="s">
        <v>3127</v>
      </c>
      <c r="F615" s="169" t="s">
        <v>2985</v>
      </c>
      <c r="G615" s="117" t="s">
        <v>746</v>
      </c>
      <c r="H615" s="118" t="s">
        <v>1079</v>
      </c>
      <c r="I615" s="119"/>
      <c r="J615" s="120" t="s">
        <v>105</v>
      </c>
      <c r="K615" s="120" t="str">
        <f>IF(L615="N3","SFAS-109","")</f>
        <v/>
      </c>
      <c r="L615" s="170" t="s">
        <v>2821</v>
      </c>
      <c r="M615" s="122" t="str">
        <f>LEFT(L615,1)</f>
        <v>N</v>
      </c>
      <c r="N615" s="116" t="str">
        <f>IF($L615&lt;&gt;"",VLOOKUP($L615,Categories!$E:$G,2,FALSE),IF($F615&lt;&gt;"","NO CAT",""))</f>
        <v>Not in Rate Base</v>
      </c>
      <c r="O615" s="116" t="str">
        <f>IF($L615&lt;&gt;"",VLOOKUP($L615,Categories!$E:$G,3,FALSE),IF($F615&lt;&gt;"","NO CAT",""))</f>
        <v>Deferrals Accruing Non-Cash Return   (other than ASGA)</v>
      </c>
      <c r="P615" s="170" t="s">
        <v>1186</v>
      </c>
      <c r="Q615" s="123" t="s">
        <v>1187</v>
      </c>
      <c r="R615" s="124">
        <v>0</v>
      </c>
      <c r="S615" s="124">
        <v>0</v>
      </c>
      <c r="T615" s="124">
        <v>1</v>
      </c>
      <c r="U615" s="121">
        <f>IF(ABS(X615)=0,"",IF($R615="NO ALLOC","NO ALLOC",ROUND($R615*X615,15)))</f>
        <v>0</v>
      </c>
      <c r="V615" s="121">
        <f>IF(ABS(X615)=0,"",IF($S615="NO ALLOC","NO ALLOC",ROUND($S615*X615,15)))</f>
        <v>0</v>
      </c>
      <c r="W615" s="121">
        <f>IF(ABS(X615)=0,"",IF($T615="NO ALLOC","NO ALLOC",ROUND($T615*X615,15)))</f>
        <v>-450.463107083333</v>
      </c>
      <c r="X615" s="121">
        <f t="shared" si="252"/>
        <v>-450.463107083333</v>
      </c>
      <c r="Y615" s="121">
        <f>IF(ABS(AB615)=0,"",IF($R615="NO ALLOC","NO ALLOC",ROUND($R615*AB615,15)))</f>
        <v>0</v>
      </c>
      <c r="Z615" s="121">
        <f>IF(ABS(AB615)=0,"",IF($S615="NO ALLOC","NO ALLOC",ROUND($S615*AB615,15)))</f>
        <v>0</v>
      </c>
      <c r="AA615" s="121">
        <f>IF(ABS(AB615)=0,"",IF($T615="NO ALLOC","NO ALLOC",ROUND($T615*AB615,15)))</f>
        <v>-415.10268000000002</v>
      </c>
      <c r="AB615" s="121">
        <f t="shared" si="253"/>
        <v>-415.10267999999991</v>
      </c>
      <c r="AC615" s="121">
        <v>-372.40165000000007</v>
      </c>
      <c r="AD615" s="121">
        <v>-388.49286999999993</v>
      </c>
      <c r="AE615" s="121">
        <v>-422.00678999999991</v>
      </c>
      <c r="AF615" s="121">
        <v>-446.04780999999991</v>
      </c>
      <c r="AG615" s="121">
        <v>-470.09900999999996</v>
      </c>
      <c r="AH615" s="121">
        <v>-489.49609999999996</v>
      </c>
      <c r="AI615" s="121">
        <v>-492.60702999999995</v>
      </c>
      <c r="AJ615" s="121">
        <v>-516.52443999999991</v>
      </c>
      <c r="AK615" s="121">
        <v>-538.8252</v>
      </c>
      <c r="AL615" s="121">
        <v>-406.68993999999992</v>
      </c>
      <c r="AM615" s="121">
        <v>-415.94736999999992</v>
      </c>
      <c r="AN615" s="121">
        <v>-425.06855999999993</v>
      </c>
      <c r="AO615" s="121">
        <v>-415.10267999999991</v>
      </c>
      <c r="AP615" s="125" t="str">
        <f>CONCATENATE(A615,M615)</f>
        <v>Reg AssetN</v>
      </c>
      <c r="AQ615" s="125" t="str">
        <f>CONCATENATE(AP615,L615,H615)</f>
        <v>Reg AssetNN10Seneca Pipeline Integrity Initiative</v>
      </c>
      <c r="AS615" s="125" t="str">
        <f>CONCATENATE(L615,H615,J615)</f>
        <v>N10Seneca Pipeline Integrity InitiativeNCR</v>
      </c>
    </row>
    <row r="616" spans="1:45" s="125" customFormat="1" ht="25.5" customHeight="1">
      <c r="A616" s="216" t="s">
        <v>1442</v>
      </c>
      <c r="B616" s="217" t="str">
        <f t="shared" si="245"/>
        <v>Reg Asset254017801226BG030907</v>
      </c>
      <c r="C616" s="186">
        <v>254017</v>
      </c>
      <c r="D616" s="201">
        <v>801226</v>
      </c>
      <c r="E616" s="162" t="s">
        <v>3805</v>
      </c>
      <c r="F616" s="169" t="s">
        <v>2985</v>
      </c>
      <c r="G616" s="117" t="s">
        <v>1234</v>
      </c>
      <c r="H616" s="118" t="s">
        <v>914</v>
      </c>
      <c r="I616" s="119"/>
      <c r="J616" s="120"/>
      <c r="K616" s="120" t="str">
        <f t="shared" si="244"/>
        <v/>
      </c>
      <c r="L616" s="170" t="s">
        <v>2821</v>
      </c>
      <c r="M616" s="122" t="str">
        <f t="shared" si="212"/>
        <v>N</v>
      </c>
      <c r="N616" s="116" t="str">
        <f>IF($L616&lt;&gt;"",VLOOKUP($L616,Categories!$E:$G,2,FALSE),IF($F616&lt;&gt;"","NO CAT",""))</f>
        <v>Not in Rate Base</v>
      </c>
      <c r="O616" s="116" t="str">
        <f>IF($L616&lt;&gt;"",VLOOKUP($L616,Categories!$E:$G,3,FALSE),IF($F616&lt;&gt;"","NO CAT",""))</f>
        <v>Deferrals Accruing Non-Cash Return   (other than ASGA)</v>
      </c>
      <c r="P616" s="170" t="s">
        <v>1186</v>
      </c>
      <c r="Q616" s="123" t="s">
        <v>1187</v>
      </c>
      <c r="R616" s="124">
        <v>0</v>
      </c>
      <c r="S616" s="124">
        <v>0</v>
      </c>
      <c r="T616" s="124">
        <v>1</v>
      </c>
      <c r="U616" s="121">
        <f t="shared" si="246"/>
        <v>0</v>
      </c>
      <c r="V616" s="121">
        <f t="shared" si="247"/>
        <v>0</v>
      </c>
      <c r="W616" s="121">
        <f t="shared" si="248"/>
        <v>-1563.8432129166699</v>
      </c>
      <c r="X616" s="121">
        <f t="shared" si="252"/>
        <v>-1563.8432129166699</v>
      </c>
      <c r="Y616" s="121">
        <f t="shared" si="249"/>
        <v>0</v>
      </c>
      <c r="Z616" s="121">
        <f t="shared" si="250"/>
        <v>0</v>
      </c>
      <c r="AA616" s="121">
        <f t="shared" si="251"/>
        <v>-1795.35733</v>
      </c>
      <c r="AB616" s="121">
        <f t="shared" si="253"/>
        <v>-1795.35733</v>
      </c>
      <c r="AC616" s="121">
        <v>-1337.0521999999999</v>
      </c>
      <c r="AD616" s="121">
        <v>-1374.16373</v>
      </c>
      <c r="AE616" s="121">
        <v>-1411.4683400000001</v>
      </c>
      <c r="AF616" s="121">
        <v>-1448.96703</v>
      </c>
      <c r="AG616" s="121">
        <v>-1486.6608100000001</v>
      </c>
      <c r="AH616" s="121">
        <v>-1524.5507</v>
      </c>
      <c r="AI616" s="121">
        <v>-1562.6377199999999</v>
      </c>
      <c r="AJ616" s="121">
        <v>-1600.9228899999998</v>
      </c>
      <c r="AK616" s="121">
        <v>-1639.40725</v>
      </c>
      <c r="AL616" s="121">
        <v>-1678.0918300000001</v>
      </c>
      <c r="AM616" s="121">
        <v>-1716.9776700000002</v>
      </c>
      <c r="AN616" s="121">
        <v>-1756.06582</v>
      </c>
      <c r="AO616" s="121">
        <v>-1795.35733</v>
      </c>
      <c r="AP616" s="125" t="str">
        <f>CONCATENATE(A616,M616)</f>
        <v>Reg AssetN</v>
      </c>
      <c r="AQ616" s="125" t="str">
        <f>CONCATENATE(AP616,L616,H616)</f>
        <v>Reg AssetNN10Medicare Subsidy</v>
      </c>
      <c r="AS616" s="125" t="str">
        <f>CONCATENATE(L616,H616,J616)</f>
        <v>N10Medicare Subsidy</v>
      </c>
    </row>
    <row r="617" spans="1:45" s="125" customFormat="1" ht="25.5" customHeight="1">
      <c r="A617" s="216" t="s">
        <v>1442</v>
      </c>
      <c r="B617" s="217" t="str">
        <f t="shared" si="245"/>
        <v>Reg Asset254017801221BG030304</v>
      </c>
      <c r="C617" s="186">
        <v>254017</v>
      </c>
      <c r="D617" s="201">
        <v>801221</v>
      </c>
      <c r="E617" s="162" t="s">
        <v>3527</v>
      </c>
      <c r="F617" s="169" t="s">
        <v>2985</v>
      </c>
      <c r="G617" s="117" t="s">
        <v>1235</v>
      </c>
      <c r="H617" s="118" t="s">
        <v>2219</v>
      </c>
      <c r="I617" s="119"/>
      <c r="J617" s="120" t="s">
        <v>105</v>
      </c>
      <c r="K617" s="120" t="str">
        <f t="shared" si="244"/>
        <v/>
      </c>
      <c r="L617" s="170" t="s">
        <v>2821</v>
      </c>
      <c r="M617" s="122" t="str">
        <f t="shared" si="212"/>
        <v>N</v>
      </c>
      <c r="N617" s="116" t="str">
        <f>IF($L617&lt;&gt;"",VLOOKUP($L617,Categories!$E:$G,2,FALSE),IF($F617&lt;&gt;"","NO CAT",""))</f>
        <v>Not in Rate Base</v>
      </c>
      <c r="O617" s="116" t="str">
        <f>IF($L617&lt;&gt;"",VLOOKUP($L617,Categories!$E:$G,3,FALSE),IF($F617&lt;&gt;"","NO CAT",""))</f>
        <v>Deferrals Accruing Non-Cash Return   (other than ASGA)</v>
      </c>
      <c r="P617" s="170" t="s">
        <v>1186</v>
      </c>
      <c r="Q617" s="123" t="s">
        <v>1187</v>
      </c>
      <c r="R617" s="124">
        <v>0</v>
      </c>
      <c r="S617" s="124">
        <v>0</v>
      </c>
      <c r="T617" s="124">
        <v>1</v>
      </c>
      <c r="U617" s="121" t="str">
        <f t="shared" si="246"/>
        <v/>
      </c>
      <c r="V617" s="121" t="str">
        <f t="shared" si="247"/>
        <v/>
      </c>
      <c r="W617" s="121" t="str">
        <f t="shared" si="248"/>
        <v/>
      </c>
      <c r="X617" s="121">
        <f t="shared" si="252"/>
        <v>0</v>
      </c>
      <c r="Y617" s="121" t="str">
        <f t="shared" si="249"/>
        <v/>
      </c>
      <c r="Z617" s="121" t="str">
        <f t="shared" si="250"/>
        <v/>
      </c>
      <c r="AA617" s="121" t="str">
        <f t="shared" si="251"/>
        <v/>
      </c>
      <c r="AB617" s="121">
        <f t="shared" si="253"/>
        <v>0</v>
      </c>
      <c r="AC617" s="161">
        <v>0</v>
      </c>
      <c r="AD617" s="121">
        <v>0</v>
      </c>
      <c r="AE617" s="121">
        <v>0</v>
      </c>
      <c r="AF617" s="121">
        <v>0</v>
      </c>
      <c r="AG617" s="121">
        <v>0</v>
      </c>
      <c r="AH617" s="121">
        <v>0</v>
      </c>
      <c r="AI617" s="121">
        <v>0</v>
      </c>
      <c r="AJ617" s="121">
        <v>0</v>
      </c>
      <c r="AK617" s="121">
        <v>0</v>
      </c>
      <c r="AL617" s="121">
        <v>0</v>
      </c>
      <c r="AM617" s="121">
        <v>0</v>
      </c>
      <c r="AN617" s="121">
        <v>0</v>
      </c>
      <c r="AO617" s="121">
        <v>0</v>
      </c>
      <c r="AP617" s="125" t="str">
        <f>CONCATENATE(A617,M617)</f>
        <v>Reg AssetN</v>
      </c>
      <c r="AQ617" s="125" t="str">
        <f>CONCATENATE(AP617,L617,H617)</f>
        <v>Reg AssetNN10Research &amp; Development</v>
      </c>
      <c r="AS617" s="125" t="str">
        <f>CONCATENATE(L617,H617,J617)</f>
        <v>N10Research &amp; DevelopmentNCR</v>
      </c>
    </row>
    <row r="618" spans="1:45" s="125" customFormat="1" ht="25.5" customHeight="1">
      <c r="A618" s="216" t="s">
        <v>1442</v>
      </c>
      <c r="B618" s="217" t="str">
        <f t="shared" si="245"/>
        <v>Reg Asset254017801221BG030911</v>
      </c>
      <c r="C618" s="186">
        <v>254017</v>
      </c>
      <c r="D618" s="201">
        <v>801221</v>
      </c>
      <c r="E618" s="162" t="s">
        <v>3128</v>
      </c>
      <c r="F618" s="169" t="s">
        <v>2985</v>
      </c>
      <c r="G618" s="117" t="s">
        <v>1235</v>
      </c>
      <c r="H618" s="118" t="s">
        <v>2219</v>
      </c>
      <c r="I618" s="119"/>
      <c r="J618" s="120" t="s">
        <v>105</v>
      </c>
      <c r="K618" s="120" t="str">
        <f>IF(L618="N3","SFAS-109","")</f>
        <v/>
      </c>
      <c r="L618" s="170" t="s">
        <v>2821</v>
      </c>
      <c r="M618" s="122" t="str">
        <f>LEFT(L618,1)</f>
        <v>N</v>
      </c>
      <c r="N618" s="116" t="str">
        <f>IF($L618&lt;&gt;"",VLOOKUP($L618,Categories!$E:$G,2,FALSE),IF($F618&lt;&gt;"","NO CAT",""))</f>
        <v>Not in Rate Base</v>
      </c>
      <c r="O618" s="116" t="str">
        <f>IF($L618&lt;&gt;"",VLOOKUP($L618,Categories!$E:$G,3,FALSE),IF($F618&lt;&gt;"","NO CAT",""))</f>
        <v>Deferrals Accruing Non-Cash Return   (other than ASGA)</v>
      </c>
      <c r="P618" s="170" t="s">
        <v>1186</v>
      </c>
      <c r="Q618" s="123" t="s">
        <v>1187</v>
      </c>
      <c r="R618" s="124">
        <v>0</v>
      </c>
      <c r="S618" s="124">
        <v>0</v>
      </c>
      <c r="T618" s="124">
        <v>1</v>
      </c>
      <c r="U618" s="121">
        <f>IF(ABS(X618)=0,"",IF($R618="NO ALLOC","NO ALLOC",ROUND($R618*X618,15)))</f>
        <v>0</v>
      </c>
      <c r="V618" s="121">
        <f>IF(ABS(X618)=0,"",IF($S618="NO ALLOC","NO ALLOC",ROUND($S618*X618,15)))</f>
        <v>0</v>
      </c>
      <c r="W618" s="121">
        <f>IF(ABS(X618)=0,"",IF($T618="NO ALLOC","NO ALLOC",ROUND($T618*X618,15)))</f>
        <v>-1803.0273016666699</v>
      </c>
      <c r="X618" s="121">
        <f t="shared" si="252"/>
        <v>-1803.0273016666699</v>
      </c>
      <c r="Y618" s="121">
        <f>IF(ABS(AB618)=0,"",IF($R618="NO ALLOC","NO ALLOC",ROUND($R618*AB618,15)))</f>
        <v>0</v>
      </c>
      <c r="Z618" s="121">
        <f>IF(ABS(AB618)=0,"",IF($S618="NO ALLOC","NO ALLOC",ROUND($S618*AB618,15)))</f>
        <v>0</v>
      </c>
      <c r="AA618" s="121">
        <f>IF(ABS(AB618)=0,"",IF($T618="NO ALLOC","NO ALLOC",ROUND($T618*AB618,15)))</f>
        <v>-1207.0380299999999</v>
      </c>
      <c r="AB618" s="121">
        <f t="shared" si="253"/>
        <v>-1207.0380300000002</v>
      </c>
      <c r="AC618" s="121">
        <v>-1494.3891299999998</v>
      </c>
      <c r="AD618" s="121">
        <v>-1626.91392</v>
      </c>
      <c r="AE618" s="121">
        <v>-1759.4791599999999</v>
      </c>
      <c r="AF618" s="121">
        <v>-1772.8398299999999</v>
      </c>
      <c r="AG618" s="121">
        <v>-1905.4866</v>
      </c>
      <c r="AH618" s="121">
        <v>-2038.17445</v>
      </c>
      <c r="AI618" s="121">
        <v>-1794.8720999999998</v>
      </c>
      <c r="AJ618" s="121">
        <v>-1927.6427599999997</v>
      </c>
      <c r="AK618" s="121">
        <v>-2060.4551499999998</v>
      </c>
      <c r="AL618" s="121">
        <v>-1667.0060600000002</v>
      </c>
      <c r="AM618" s="121">
        <v>-1799.90256</v>
      </c>
      <c r="AN618" s="121">
        <v>-1932.8414500000001</v>
      </c>
      <c r="AO618" s="121">
        <v>-1207.0380300000002</v>
      </c>
      <c r="AP618" s="125" t="str">
        <f>CONCATENATE(A618,M618)</f>
        <v>Reg AssetN</v>
      </c>
      <c r="AQ618" s="125" t="str">
        <f>CONCATENATE(AP618,L618,H618)</f>
        <v>Reg AssetNN10Research &amp; Development</v>
      </c>
      <c r="AS618" s="125" t="str">
        <f>CONCATENATE(L618,H618,J618)</f>
        <v>N10Research &amp; DevelopmentNCR</v>
      </c>
    </row>
    <row r="619" spans="1:45" s="125" customFormat="1" ht="25.5" customHeight="1">
      <c r="A619" s="216" t="s">
        <v>1442</v>
      </c>
      <c r="B619" s="217" t="str">
        <f t="shared" si="245"/>
        <v>Reg Asset254017801216BG030598</v>
      </c>
      <c r="C619" s="186">
        <v>254017</v>
      </c>
      <c r="D619" s="201">
        <v>801216</v>
      </c>
      <c r="E619" s="162" t="s">
        <v>741</v>
      </c>
      <c r="F619" s="169" t="s">
        <v>2985</v>
      </c>
      <c r="G619" s="117" t="s">
        <v>1236</v>
      </c>
      <c r="H619" s="118" t="s">
        <v>1075</v>
      </c>
      <c r="I619" s="119"/>
      <c r="J619" s="120" t="s">
        <v>105</v>
      </c>
      <c r="K619" s="120" t="str">
        <f t="shared" si="244"/>
        <v/>
      </c>
      <c r="L619" s="170" t="s">
        <v>2821</v>
      </c>
      <c r="M619" s="122" t="str">
        <f t="shared" si="212"/>
        <v>N</v>
      </c>
      <c r="N619" s="116" t="str">
        <f>IF($L619&lt;&gt;"",VLOOKUP($L619,Categories!$E:$G,2,FALSE),IF($F619&lt;&gt;"","NO CAT",""))</f>
        <v>Not in Rate Base</v>
      </c>
      <c r="O619" s="116" t="str">
        <f>IF($L619&lt;&gt;"",VLOOKUP($L619,Categories!$E:$G,3,FALSE),IF($F619&lt;&gt;"","NO CAT",""))</f>
        <v>Deferrals Accruing Non-Cash Return   (other than ASGA)</v>
      </c>
      <c r="P619" s="170" t="s">
        <v>1186</v>
      </c>
      <c r="Q619" s="123" t="s">
        <v>1187</v>
      </c>
      <c r="R619" s="124">
        <v>0</v>
      </c>
      <c r="S619" s="124">
        <v>0</v>
      </c>
      <c r="T619" s="124">
        <v>1</v>
      </c>
      <c r="U619" s="121">
        <f t="shared" si="246"/>
        <v>0</v>
      </c>
      <c r="V619" s="121">
        <f t="shared" si="247"/>
        <v>0</v>
      </c>
      <c r="W619" s="121">
        <f t="shared" si="248"/>
        <v>-550.77716499999997</v>
      </c>
      <c r="X619" s="121">
        <f t="shared" si="252"/>
        <v>-550.77716499999997</v>
      </c>
      <c r="Y619" s="121" t="str">
        <f t="shared" si="249"/>
        <v/>
      </c>
      <c r="Z619" s="121" t="str">
        <f t="shared" si="250"/>
        <v/>
      </c>
      <c r="AA619" s="121" t="str">
        <f t="shared" si="251"/>
        <v/>
      </c>
      <c r="AB619" s="121">
        <f t="shared" si="253"/>
        <v>0</v>
      </c>
      <c r="AC619" s="121">
        <v>-1449.3271200000004</v>
      </c>
      <c r="AD619" s="121">
        <v>-1873.57323</v>
      </c>
      <c r="AE619" s="121">
        <v>-1974.52557</v>
      </c>
      <c r="AF619" s="121">
        <v>-2036.5636200000001</v>
      </c>
      <c r="AG619" s="121">
        <v>0</v>
      </c>
      <c r="AH619" s="121">
        <v>0</v>
      </c>
      <c r="AI619" s="121">
        <v>0</v>
      </c>
      <c r="AJ619" s="121">
        <v>0</v>
      </c>
      <c r="AK619" s="121">
        <v>0</v>
      </c>
      <c r="AL619" s="121">
        <v>0</v>
      </c>
      <c r="AM619" s="121">
        <v>0</v>
      </c>
      <c r="AN619" s="121">
        <v>0</v>
      </c>
      <c r="AO619" s="121">
        <v>0</v>
      </c>
      <c r="AP619" s="125" t="str">
        <f>CONCATENATE(A619,M619)</f>
        <v>Reg AssetN</v>
      </c>
      <c r="AQ619" s="125" t="str">
        <f>CONCATENATE(AP619,L619,H619)</f>
        <v>Reg AssetNN10Variable Rate Debt</v>
      </c>
      <c r="AS619" s="125" t="str">
        <f>CONCATENATE(L619,H619,J619)</f>
        <v>N10Variable Rate DebtNCR</v>
      </c>
    </row>
    <row r="620" spans="1:45" s="125" customFormat="1" ht="25.5" customHeight="1">
      <c r="A620" s="216" t="s">
        <v>1442</v>
      </c>
      <c r="B620" s="217" t="str">
        <f t="shared" si="245"/>
        <v>Reg Asset254017801214BG030596</v>
      </c>
      <c r="C620" s="186">
        <v>254017</v>
      </c>
      <c r="D620" s="201">
        <v>801214</v>
      </c>
      <c r="E620" s="162" t="s">
        <v>742</v>
      </c>
      <c r="F620" s="169" t="s">
        <v>2985</v>
      </c>
      <c r="G620" s="117" t="s">
        <v>1237</v>
      </c>
      <c r="H620" s="118" t="s">
        <v>1076</v>
      </c>
      <c r="I620" s="119"/>
      <c r="J620" s="120" t="s">
        <v>105</v>
      </c>
      <c r="K620" s="120" t="str">
        <f t="shared" si="244"/>
        <v/>
      </c>
      <c r="L620" s="170" t="s">
        <v>2821</v>
      </c>
      <c r="M620" s="122" t="str">
        <f t="shared" si="212"/>
        <v>N</v>
      </c>
      <c r="N620" s="116" t="str">
        <f>IF($L620&lt;&gt;"",VLOOKUP($L620,Categories!$E:$G,2,FALSE),IF($F620&lt;&gt;"","NO CAT",""))</f>
        <v>Not in Rate Base</v>
      </c>
      <c r="O620" s="116" t="str">
        <f>IF($L620&lt;&gt;"",VLOOKUP($L620,Categories!$E:$G,3,FALSE),IF($F620&lt;&gt;"","NO CAT",""))</f>
        <v>Deferrals Accruing Non-Cash Return   (other than ASGA)</v>
      </c>
      <c r="P620" s="170" t="s">
        <v>1186</v>
      </c>
      <c r="Q620" s="123" t="s">
        <v>1187</v>
      </c>
      <c r="R620" s="124">
        <v>0</v>
      </c>
      <c r="S620" s="124">
        <v>0</v>
      </c>
      <c r="T620" s="124">
        <v>1</v>
      </c>
      <c r="U620" s="121">
        <f t="shared" si="246"/>
        <v>0</v>
      </c>
      <c r="V620" s="121">
        <f t="shared" si="247"/>
        <v>0</v>
      </c>
      <c r="W620" s="121">
        <f t="shared" si="248"/>
        <v>-89.419920000000005</v>
      </c>
      <c r="X620" s="121">
        <f t="shared" si="252"/>
        <v>-89.419920000000005</v>
      </c>
      <c r="Y620" s="121">
        <f t="shared" si="249"/>
        <v>0</v>
      </c>
      <c r="Z620" s="121">
        <f t="shared" si="250"/>
        <v>0</v>
      </c>
      <c r="AA620" s="121">
        <f t="shared" si="251"/>
        <v>-116.44633</v>
      </c>
      <c r="AB620" s="121">
        <f t="shared" si="253"/>
        <v>-116.44632999999999</v>
      </c>
      <c r="AC620" s="121">
        <v>-62.434849999999997</v>
      </c>
      <c r="AD620" s="121">
        <v>-66.926349999999985</v>
      </c>
      <c r="AE620" s="121">
        <v>-71.419539999999998</v>
      </c>
      <c r="AF620" s="121">
        <v>-75.914429999999996</v>
      </c>
      <c r="AG620" s="121">
        <v>-80.411019999999994</v>
      </c>
      <c r="AH620" s="121">
        <v>-84.909329999999983</v>
      </c>
      <c r="AI620" s="121">
        <v>-89.409369999999981</v>
      </c>
      <c r="AJ620" s="121">
        <v>-93.911139999999989</v>
      </c>
      <c r="AK620" s="121">
        <v>-98.41464999999998</v>
      </c>
      <c r="AL620" s="121">
        <v>-102.91991999999999</v>
      </c>
      <c r="AM620" s="121">
        <v>-107.42694999999998</v>
      </c>
      <c r="AN620" s="121">
        <v>-111.93574999999998</v>
      </c>
      <c r="AO620" s="121">
        <v>-116.44632999999999</v>
      </c>
      <c r="AP620" s="125" t="str">
        <f>CONCATENATE(A620,M620)</f>
        <v>Reg AssetN</v>
      </c>
      <c r="AQ620" s="125" t="str">
        <f>CONCATENATE(AP620,L620,H620)</f>
        <v>Reg AssetNN10Management Audit</v>
      </c>
      <c r="AS620" s="125" t="str">
        <f>CONCATENATE(L620,H620,J620)</f>
        <v>N10Management AuditNCR</v>
      </c>
    </row>
    <row r="621" spans="1:45" s="125" customFormat="1" ht="25.5" customHeight="1">
      <c r="A621" s="216" t="s">
        <v>1442</v>
      </c>
      <c r="B621" s="217" t="str">
        <f t="shared" si="245"/>
        <v>Reg Asset254017801208BG030182</v>
      </c>
      <c r="C621" s="186">
        <v>254017</v>
      </c>
      <c r="D621" s="201">
        <v>801208</v>
      </c>
      <c r="E621" s="162" t="s">
        <v>743</v>
      </c>
      <c r="F621" s="169" t="s">
        <v>2985</v>
      </c>
      <c r="G621" s="117" t="s">
        <v>1238</v>
      </c>
      <c r="H621" s="118" t="s">
        <v>1805</v>
      </c>
      <c r="I621" s="119"/>
      <c r="J621" s="120"/>
      <c r="K621" s="120" t="str">
        <f t="shared" si="244"/>
        <v/>
      </c>
      <c r="L621" s="170" t="s">
        <v>1893</v>
      </c>
      <c r="M621" s="122" t="str">
        <f t="shared" si="212"/>
        <v>R</v>
      </c>
      <c r="N621" s="116" t="str">
        <f>IF($L621&lt;&gt;"",VLOOKUP($L621,Categories!$E:$G,2,FALSE),IF($F621&lt;&gt;"","NO CAT",""))</f>
        <v>Rate Base</v>
      </c>
      <c r="O621" s="116" t="str">
        <f>IF($L621&lt;&gt;"",VLOOKUP($L621,Categories!$E:$G,3,FALSE),IF($F621&lt;&gt;"","NO CAT",""))</f>
        <v>Deferred Debits &amp; Credits</v>
      </c>
      <c r="P621" s="170" t="s">
        <v>1184</v>
      </c>
      <c r="Q621" s="123" t="s">
        <v>1178</v>
      </c>
      <c r="R621" s="124">
        <v>0</v>
      </c>
      <c r="S621" s="124">
        <v>1</v>
      </c>
      <c r="T621" s="124">
        <v>0</v>
      </c>
      <c r="U621" s="121">
        <f t="shared" si="246"/>
        <v>0</v>
      </c>
      <c r="V621" s="121">
        <f t="shared" si="247"/>
        <v>-8.9999999999999995E-15</v>
      </c>
      <c r="W621" s="121">
        <f t="shared" si="248"/>
        <v>0</v>
      </c>
      <c r="X621" s="121">
        <f t="shared" si="252"/>
        <v>-8.9999999999999995E-15</v>
      </c>
      <c r="Y621" s="121" t="str">
        <f t="shared" si="249"/>
        <v/>
      </c>
      <c r="Z621" s="121" t="str">
        <f t="shared" si="250"/>
        <v/>
      </c>
      <c r="AA621" s="121" t="str">
        <f t="shared" si="251"/>
        <v/>
      </c>
      <c r="AB621" s="121">
        <f t="shared" si="253"/>
        <v>0</v>
      </c>
      <c r="AC621" s="121">
        <v>-2.2191670723259449E-13</v>
      </c>
      <c r="AD621" s="121">
        <v>0</v>
      </c>
      <c r="AE621" s="121">
        <v>0</v>
      </c>
      <c r="AF621" s="121">
        <v>0</v>
      </c>
      <c r="AG621" s="121">
        <v>0</v>
      </c>
      <c r="AH621" s="121">
        <v>0</v>
      </c>
      <c r="AI621" s="121">
        <v>0</v>
      </c>
      <c r="AJ621" s="121">
        <v>0</v>
      </c>
      <c r="AK621" s="121">
        <v>0</v>
      </c>
      <c r="AL621" s="121">
        <v>0</v>
      </c>
      <c r="AM621" s="121">
        <v>0</v>
      </c>
      <c r="AN621" s="121">
        <v>0</v>
      </c>
      <c r="AO621" s="121">
        <v>0</v>
      </c>
      <c r="AP621" s="125" t="str">
        <f>CONCATENATE(A621,M621)</f>
        <v>Reg AssetR</v>
      </c>
      <c r="AQ621" s="125" t="str">
        <f>CONCATENATE(AP621,L621,H621)</f>
        <v>Reg AssetRR10Capitalized Installation Costs</v>
      </c>
      <c r="AS621" s="125" t="str">
        <f>CONCATENATE(L621,H621,J621)</f>
        <v>R10Capitalized Installation Costs</v>
      </c>
    </row>
    <row r="622" spans="1:45" s="125" customFormat="1" ht="25.5" customHeight="1">
      <c r="A622" s="216" t="s">
        <v>1442</v>
      </c>
      <c r="B622" s="217" t="str">
        <f t="shared" si="245"/>
        <v>Reg Asset254017801217BG030599</v>
      </c>
      <c r="C622" s="186">
        <v>254017</v>
      </c>
      <c r="D622" s="201">
        <v>801217</v>
      </c>
      <c r="E622" s="162" t="s">
        <v>744</v>
      </c>
      <c r="F622" s="169" t="s">
        <v>2985</v>
      </c>
      <c r="G622" s="117" t="s">
        <v>1239</v>
      </c>
      <c r="H622" s="118" t="s">
        <v>1078</v>
      </c>
      <c r="I622" s="119"/>
      <c r="J622" s="120" t="s">
        <v>105</v>
      </c>
      <c r="K622" s="120" t="str">
        <f t="shared" si="244"/>
        <v/>
      </c>
      <c r="L622" s="170" t="s">
        <v>2821</v>
      </c>
      <c r="M622" s="122" t="str">
        <f t="shared" si="212"/>
        <v>N</v>
      </c>
      <c r="N622" s="116" t="str">
        <f>IF($L622&lt;&gt;"",VLOOKUP($L622,Categories!$E:$G,2,FALSE),IF($F622&lt;&gt;"","NO CAT",""))</f>
        <v>Not in Rate Base</v>
      </c>
      <c r="O622" s="116" t="str">
        <f>IF($L622&lt;&gt;"",VLOOKUP($L622,Categories!$E:$G,3,FALSE),IF($F622&lt;&gt;"","NO CAT",""))</f>
        <v>Deferrals Accruing Non-Cash Return   (other than ASGA)</v>
      </c>
      <c r="P622" s="170" t="s">
        <v>1186</v>
      </c>
      <c r="Q622" s="123" t="s">
        <v>1187</v>
      </c>
      <c r="R622" s="124">
        <v>0</v>
      </c>
      <c r="S622" s="124">
        <v>0</v>
      </c>
      <c r="T622" s="124">
        <v>1</v>
      </c>
      <c r="U622" s="121">
        <f t="shared" si="246"/>
        <v>0</v>
      </c>
      <c r="V622" s="121">
        <f t="shared" si="247"/>
        <v>0</v>
      </c>
      <c r="W622" s="121">
        <f t="shared" si="248"/>
        <v>-72.434327083333301</v>
      </c>
      <c r="X622" s="121">
        <f t="shared" si="252"/>
        <v>-72.434327083333301</v>
      </c>
      <c r="Y622" s="121">
        <f t="shared" si="249"/>
        <v>0</v>
      </c>
      <c r="Z622" s="121">
        <f t="shared" si="250"/>
        <v>0</v>
      </c>
      <c r="AA622" s="121">
        <f t="shared" si="251"/>
        <v>-32.400950000000002</v>
      </c>
      <c r="AB622" s="121">
        <f t="shared" si="253"/>
        <v>-32.400949999999952</v>
      </c>
      <c r="AC622" s="121">
        <v>-32.090899999999955</v>
      </c>
      <c r="AD622" s="121">
        <v>-59.989009999999951</v>
      </c>
      <c r="AE622" s="121">
        <v>-63.598859999999952</v>
      </c>
      <c r="AF622" s="121">
        <v>-93.487509999999958</v>
      </c>
      <c r="AG622" s="121">
        <v>-116.15097999999995</v>
      </c>
      <c r="AH622" s="121">
        <v>-127.71213999999996</v>
      </c>
      <c r="AI622" s="121">
        <v>-199.89762999999994</v>
      </c>
      <c r="AJ622" s="121">
        <v>-45.72259999999995</v>
      </c>
      <c r="AK622" s="121">
        <v>-33.360039999999948</v>
      </c>
      <c r="AL622" s="121">
        <v>-32.323159999999952</v>
      </c>
      <c r="AM622" s="121">
        <v>-32.349069999999948</v>
      </c>
      <c r="AN622" s="121">
        <v>-32.37499999999995</v>
      </c>
      <c r="AO622" s="121">
        <v>-32.400949999999952</v>
      </c>
      <c r="AP622" s="125" t="str">
        <f>CONCATENATE(A622,M622)</f>
        <v>Reg AssetN</v>
      </c>
      <c r="AQ622" s="125" t="str">
        <f>CONCATENATE(AP622,L622,H622)</f>
        <v>Reg AssetNN10Incremental Maintenance</v>
      </c>
      <c r="AS622" s="125" t="str">
        <f>CONCATENATE(L622,H622,J622)</f>
        <v>N10Incremental MaintenanceNCR</v>
      </c>
    </row>
    <row r="623" spans="1:45" s="125" customFormat="1" ht="25.5" customHeight="1">
      <c r="A623" s="216" t="s">
        <v>1442</v>
      </c>
      <c r="B623" s="217" t="str">
        <f t="shared" si="245"/>
        <v>Reg Asset254017601140BE030588</v>
      </c>
      <c r="C623" s="186">
        <v>254017</v>
      </c>
      <c r="D623" s="201">
        <v>601140</v>
      </c>
      <c r="E623" s="162" t="s">
        <v>1162</v>
      </c>
      <c r="F623" s="169" t="s">
        <v>2985</v>
      </c>
      <c r="G623" s="117" t="s">
        <v>1163</v>
      </c>
      <c r="H623" s="118" t="s">
        <v>891</v>
      </c>
      <c r="I623" s="119"/>
      <c r="J623" s="120" t="s">
        <v>105</v>
      </c>
      <c r="K623" s="120" t="str">
        <f t="shared" si="244"/>
        <v/>
      </c>
      <c r="L623" s="170" t="s">
        <v>2821</v>
      </c>
      <c r="M623" s="122" t="str">
        <f t="shared" si="212"/>
        <v>N</v>
      </c>
      <c r="N623" s="116" t="str">
        <f>IF($L623&lt;&gt;"",VLOOKUP($L623,Categories!$E:$G,2,FALSE),IF($F623&lt;&gt;"","NO CAT",""))</f>
        <v>Not in Rate Base</v>
      </c>
      <c r="O623" s="116" t="str">
        <f>IF($L623&lt;&gt;"",VLOOKUP($L623,Categories!$E:$G,3,FALSE),IF($F623&lt;&gt;"","NO CAT",""))</f>
        <v>Deferrals Accruing Non-Cash Return   (other than ASGA)</v>
      </c>
      <c r="P623" s="170" t="s">
        <v>1186</v>
      </c>
      <c r="Q623" s="123" t="s">
        <v>1187</v>
      </c>
      <c r="R623" s="124">
        <v>0</v>
      </c>
      <c r="S623" s="124">
        <v>0</v>
      </c>
      <c r="T623" s="124">
        <v>1</v>
      </c>
      <c r="U623" s="121">
        <f t="shared" si="246"/>
        <v>0</v>
      </c>
      <c r="V623" s="121">
        <f t="shared" si="247"/>
        <v>0</v>
      </c>
      <c r="W623" s="121">
        <f t="shared" si="248"/>
        <v>-3011.7109479166702</v>
      </c>
      <c r="X623" s="121">
        <f t="shared" si="252"/>
        <v>-3011.7109479166702</v>
      </c>
      <c r="Y623" s="121" t="str">
        <f t="shared" si="249"/>
        <v/>
      </c>
      <c r="Z623" s="121" t="str">
        <f t="shared" si="250"/>
        <v/>
      </c>
      <c r="AA623" s="121" t="str">
        <f t="shared" si="251"/>
        <v/>
      </c>
      <c r="AB623" s="121">
        <f t="shared" si="253"/>
        <v>0</v>
      </c>
      <c r="AC623" s="121">
        <v>-4859.0232500000011</v>
      </c>
      <c r="AD623" s="121">
        <v>-5076.7577499999998</v>
      </c>
      <c r="AE623" s="121">
        <v>-5294.0504299999993</v>
      </c>
      <c r="AF623" s="121">
        <v>-5510.8990000000003</v>
      </c>
      <c r="AG623" s="121">
        <v>-5727.3011500000002</v>
      </c>
      <c r="AH623" s="121">
        <v>-5943.2545500000006</v>
      </c>
      <c r="AI623" s="121">
        <v>-6158.7568700000011</v>
      </c>
      <c r="AJ623" s="121">
        <v>0</v>
      </c>
      <c r="AK623" s="121">
        <v>0</v>
      </c>
      <c r="AL623" s="121">
        <v>0</v>
      </c>
      <c r="AM623" s="121">
        <v>0</v>
      </c>
      <c r="AN623" s="121">
        <v>0</v>
      </c>
      <c r="AO623" s="121">
        <v>0</v>
      </c>
      <c r="AP623" s="125" t="str">
        <f>CONCATENATE(A623,M623)</f>
        <v>Reg AssetN</v>
      </c>
      <c r="AQ623" s="125" t="str">
        <f>CONCATENATE(AP623,L623,H623)</f>
        <v>Reg AssetNN10Bonus Depreciation</v>
      </c>
      <c r="AS623" s="125" t="str">
        <f>CONCATENATE(L623,H623,J623)</f>
        <v>N10Bonus DepreciationNCR</v>
      </c>
    </row>
    <row r="624" spans="1:45" s="125" customFormat="1" ht="25.5" customHeight="1">
      <c r="A624" s="216" t="s">
        <v>1442</v>
      </c>
      <c r="B624" s="217" t="str">
        <f t="shared" si="245"/>
        <v>Reg Asset254017801236BG030595</v>
      </c>
      <c r="C624" s="186">
        <v>254017</v>
      </c>
      <c r="D624" s="201">
        <v>801236</v>
      </c>
      <c r="E624" s="162" t="s">
        <v>2520</v>
      </c>
      <c r="F624" s="169" t="s">
        <v>2985</v>
      </c>
      <c r="G624" s="117" t="s">
        <v>2515</v>
      </c>
      <c r="H624" s="118" t="s">
        <v>892</v>
      </c>
      <c r="I624" s="119"/>
      <c r="J624" s="120" t="s">
        <v>105</v>
      </c>
      <c r="K624" s="120" t="str">
        <f t="shared" si="244"/>
        <v/>
      </c>
      <c r="L624" s="170" t="s">
        <v>2821</v>
      </c>
      <c r="M624" s="122" t="str">
        <f t="shared" si="212"/>
        <v>N</v>
      </c>
      <c r="N624" s="116" t="str">
        <f>IF($L624&lt;&gt;"",VLOOKUP($L624,Categories!$E:$G,2,FALSE),IF($F624&lt;&gt;"","NO CAT",""))</f>
        <v>Not in Rate Base</v>
      </c>
      <c r="O624" s="116" t="str">
        <f>IF($L624&lt;&gt;"",VLOOKUP($L624,Categories!$E:$G,3,FALSE),IF($F624&lt;&gt;"","NO CAT",""))</f>
        <v>Deferrals Accruing Non-Cash Return   (other than ASGA)</v>
      </c>
      <c r="P624" s="170" t="s">
        <v>1186</v>
      </c>
      <c r="Q624" s="123" t="s">
        <v>1187</v>
      </c>
      <c r="R624" s="124">
        <v>0</v>
      </c>
      <c r="S624" s="124">
        <v>0</v>
      </c>
      <c r="T624" s="124">
        <v>1</v>
      </c>
      <c r="U624" s="121">
        <f t="shared" si="246"/>
        <v>0</v>
      </c>
      <c r="V624" s="121">
        <f t="shared" si="247"/>
        <v>0</v>
      </c>
      <c r="W624" s="121">
        <f t="shared" si="248"/>
        <v>-181.59533208333301</v>
      </c>
      <c r="X624" s="121">
        <f t="shared" si="252"/>
        <v>-181.59533208333301</v>
      </c>
      <c r="Y624" s="121">
        <f t="shared" si="249"/>
        <v>0</v>
      </c>
      <c r="Z624" s="121">
        <f t="shared" si="250"/>
        <v>0</v>
      </c>
      <c r="AA624" s="121">
        <f t="shared" si="251"/>
        <v>-96.537329999999997</v>
      </c>
      <c r="AB624" s="121">
        <f t="shared" si="253"/>
        <v>-96.53733000000004</v>
      </c>
      <c r="AC624" s="121">
        <v>-55.239360000000012</v>
      </c>
      <c r="AD624" s="121">
        <v>-65.860080000000011</v>
      </c>
      <c r="AE624" s="121">
        <v>-95.882560000000012</v>
      </c>
      <c r="AF624" s="121">
        <v>-114.64129000000001</v>
      </c>
      <c r="AG624" s="121">
        <v>-135.76652000000001</v>
      </c>
      <c r="AH624" s="121">
        <v>-185.61567000000002</v>
      </c>
      <c r="AI624" s="121">
        <v>-206.74396000000002</v>
      </c>
      <c r="AJ624" s="121">
        <v>-227.87377000000001</v>
      </c>
      <c r="AK624" s="121">
        <v>-249.00512000000003</v>
      </c>
      <c r="AL624" s="121">
        <v>-266.53802000000002</v>
      </c>
      <c r="AM624" s="121">
        <v>-277.06247000000002</v>
      </c>
      <c r="AN624" s="121">
        <v>-278.26618000000008</v>
      </c>
      <c r="AO624" s="121">
        <v>-96.53733000000004</v>
      </c>
      <c r="AP624" s="125" t="str">
        <f>CONCATENATE(A624,M624)</f>
        <v>Reg AssetN</v>
      </c>
      <c r="AQ624" s="125" t="str">
        <f>CONCATENATE(AP624,L624,H624)</f>
        <v>Reg AssetNN10Vegetation Management</v>
      </c>
      <c r="AS624" s="125" t="str">
        <f>CONCATENATE(L624,H624,J624)</f>
        <v>N10Vegetation ManagementNCR</v>
      </c>
    </row>
    <row r="625" spans="1:45" s="125" customFormat="1" ht="25.5" customHeight="1">
      <c r="A625" s="216" t="s">
        <v>1442</v>
      </c>
      <c r="B625" s="217" t="str">
        <f t="shared" si="245"/>
        <v>Reg Asset254017OPEB GasBG030248</v>
      </c>
      <c r="C625" s="186">
        <v>254017</v>
      </c>
      <c r="D625" s="201" t="s">
        <v>2579</v>
      </c>
      <c r="E625" s="162" t="s">
        <v>2578</v>
      </c>
      <c r="F625" s="169" t="s">
        <v>2985</v>
      </c>
      <c r="G625" s="117"/>
      <c r="H625" s="118" t="s">
        <v>170</v>
      </c>
      <c r="I625" s="119"/>
      <c r="J625" s="120" t="s">
        <v>105</v>
      </c>
      <c r="K625" s="120" t="str">
        <f t="shared" si="244"/>
        <v/>
      </c>
      <c r="L625" s="170" t="s">
        <v>2821</v>
      </c>
      <c r="M625" s="122" t="str">
        <f t="shared" si="212"/>
        <v>N</v>
      </c>
      <c r="N625" s="116" t="str">
        <f>IF($L625&lt;&gt;"",VLOOKUP($L625,Categories!$E:$G,2,FALSE),IF($F625&lt;&gt;"","NO CAT",""))</f>
        <v>Not in Rate Base</v>
      </c>
      <c r="O625" s="116" t="str">
        <f>IF($L625&lt;&gt;"",VLOOKUP($L625,Categories!$E:$G,3,FALSE),IF($F625&lt;&gt;"","NO CAT",""))</f>
        <v>Deferrals Accruing Non-Cash Return   (other than ASGA)</v>
      </c>
      <c r="P625" s="170" t="s">
        <v>1186</v>
      </c>
      <c r="Q625" s="123" t="s">
        <v>1187</v>
      </c>
      <c r="R625" s="124">
        <v>0</v>
      </c>
      <c r="S625" s="124">
        <v>0</v>
      </c>
      <c r="T625" s="124">
        <v>1</v>
      </c>
      <c r="U625" s="121">
        <f t="shared" si="246"/>
        <v>0</v>
      </c>
      <c r="V625" s="121">
        <f t="shared" si="247"/>
        <v>0</v>
      </c>
      <c r="W625" s="121">
        <f t="shared" si="248"/>
        <v>-1565.0045216666699</v>
      </c>
      <c r="X625" s="121">
        <f t="shared" si="252"/>
        <v>-1565.0045216666699</v>
      </c>
      <c r="Y625" s="121">
        <f t="shared" si="249"/>
        <v>0</v>
      </c>
      <c r="Z625" s="121">
        <f t="shared" si="250"/>
        <v>0</v>
      </c>
      <c r="AA625" s="121">
        <f t="shared" si="251"/>
        <v>-3090.4553299999998</v>
      </c>
      <c r="AB625" s="121">
        <f t="shared" si="253"/>
        <v>-3090.4553300000007</v>
      </c>
      <c r="AC625" s="121">
        <v>-955.93915000000004</v>
      </c>
      <c r="AD625" s="121">
        <v>-273.85362000000043</v>
      </c>
      <c r="AE625" s="121">
        <v>-452.73704000000049</v>
      </c>
      <c r="AF625" s="121">
        <v>-723.24139000000048</v>
      </c>
      <c r="AG625" s="121">
        <v>-993.86066000000051</v>
      </c>
      <c r="AH625" s="121">
        <v>-1264.2061400000007</v>
      </c>
      <c r="AI625" s="121">
        <v>-1512.0688900000007</v>
      </c>
      <c r="AJ625" s="121">
        <v>-1798.2477500000005</v>
      </c>
      <c r="AK625" s="121">
        <v>-2040.6641800000004</v>
      </c>
      <c r="AL625" s="121">
        <v>-2303.7770700000001</v>
      </c>
      <c r="AM625" s="121">
        <v>-2566.1807800000001</v>
      </c>
      <c r="AN625" s="121">
        <v>-2828.0195000000003</v>
      </c>
      <c r="AO625" s="121">
        <v>-3090.4553300000007</v>
      </c>
      <c r="AP625" s="125" t="str">
        <f>CONCATENATE(A625,M625)</f>
        <v>Reg AssetN</v>
      </c>
      <c r="AQ625" s="125" t="str">
        <f>CONCATENATE(AP625,L625,H625)</f>
        <v>Reg AssetNN10OPEBs</v>
      </c>
      <c r="AS625" s="125" t="str">
        <f>CONCATENATE(L625,H625,J625)</f>
        <v>N10OPEBsNCR</v>
      </c>
    </row>
    <row r="626" spans="1:45" s="125" customFormat="1" ht="25.5" customHeight="1">
      <c r="A626" s="216" t="s">
        <v>1442</v>
      </c>
      <c r="B626" s="217" t="str">
        <f t="shared" si="245"/>
        <v>Reg Asset254017801204BG030248</v>
      </c>
      <c r="C626" s="186">
        <v>254017</v>
      </c>
      <c r="D626" s="186">
        <v>801204</v>
      </c>
      <c r="E626" s="162" t="s">
        <v>2578</v>
      </c>
      <c r="F626" s="169" t="s">
        <v>2985</v>
      </c>
      <c r="G626" s="117" t="s">
        <v>3787</v>
      </c>
      <c r="H626" s="118" t="s">
        <v>170</v>
      </c>
      <c r="I626" s="119"/>
      <c r="J626" s="120" t="s">
        <v>105</v>
      </c>
      <c r="K626" s="120" t="str">
        <f>IF(L626="N3","SFAS-109","")</f>
        <v/>
      </c>
      <c r="L626" s="170" t="s">
        <v>2821</v>
      </c>
      <c r="M626" s="122" t="str">
        <f>LEFT(L626,1)</f>
        <v>N</v>
      </c>
      <c r="N626" s="116" t="s">
        <v>1417</v>
      </c>
      <c r="O626" s="116" t="s">
        <v>1889</v>
      </c>
      <c r="P626" s="170" t="s">
        <v>1186</v>
      </c>
      <c r="Q626" s="123" t="s">
        <v>1187</v>
      </c>
      <c r="R626" s="124">
        <v>0</v>
      </c>
      <c r="S626" s="124">
        <v>0</v>
      </c>
      <c r="T626" s="124">
        <v>1</v>
      </c>
      <c r="U626" s="121">
        <f>IF(ABS(X626)=0,"",IF($R626="NO ALLOC","NO ALLOC",ROUND($R626*X626,15)))</f>
        <v>0</v>
      </c>
      <c r="V626" s="121">
        <f>IF(ABS(X626)=0,"",IF($S626="NO ALLOC","NO ALLOC",ROUND($S626*X626,15)))</f>
        <v>0</v>
      </c>
      <c r="W626" s="121">
        <f>IF(ABS(X626)=0,"",IF($T626="NO ALLOC","NO ALLOC",ROUND($T626*X626,15)))</f>
        <v>-3841.6119041666698</v>
      </c>
      <c r="X626" s="121">
        <f t="shared" si="252"/>
        <v>-3841.6119041666698</v>
      </c>
      <c r="Y626" s="121">
        <f>IF(ABS(AB626)=0,"",IF($R626="NO ALLOC","NO ALLOC",ROUND($R626*AB626,15)))</f>
        <v>0</v>
      </c>
      <c r="Z626" s="121">
        <f>IF(ABS(AB626)=0,"",IF($S626="NO ALLOC","NO ALLOC",ROUND($S626*AB626,15)))</f>
        <v>0</v>
      </c>
      <c r="AA626" s="121">
        <f>IF(ABS(AB626)=0,"",IF($T626="NO ALLOC","NO ALLOC",ROUND($T626*AB626,15)))</f>
        <v>-4003.5365400000001</v>
      </c>
      <c r="AB626" s="121">
        <f t="shared" si="253"/>
        <v>-4003.5365400000005</v>
      </c>
      <c r="AC626" s="121">
        <v>-2805.9005399999996</v>
      </c>
      <c r="AD626" s="121">
        <v>-3781.4112400000004</v>
      </c>
      <c r="AE626" s="121">
        <v>-3801.0846100000003</v>
      </c>
      <c r="AF626" s="121">
        <v>-3820.8603300000004</v>
      </c>
      <c r="AG626" s="121">
        <v>-3840.7389400000002</v>
      </c>
      <c r="AH626" s="121">
        <v>-3860.7209700000003</v>
      </c>
      <c r="AI626" s="121">
        <v>-3880.8069600000003</v>
      </c>
      <c r="AJ626" s="121">
        <v>-3900.9974500000008</v>
      </c>
      <c r="AK626" s="121">
        <v>-3921.2929800000006</v>
      </c>
      <c r="AL626" s="121">
        <v>-3941.6941100000004</v>
      </c>
      <c r="AM626" s="121">
        <v>-3962.2013800000004</v>
      </c>
      <c r="AN626" s="121">
        <v>-3982.8153400000001</v>
      </c>
      <c r="AO626" s="121">
        <v>-4003.5365400000005</v>
      </c>
      <c r="AP626" s="125" t="str">
        <f>CONCATENATE(A626,M626)</f>
        <v>Reg AssetN</v>
      </c>
      <c r="AQ626" s="125" t="str">
        <f>CONCATENATE(AP626,L626,H626)</f>
        <v>Reg AssetNN10OPEBs</v>
      </c>
      <c r="AS626" s="125" t="str">
        <f>CONCATENATE(L626,H626,J626)</f>
        <v>N10OPEBsNCR</v>
      </c>
    </row>
    <row r="627" spans="1:45" s="125" customFormat="1" ht="25.5" customHeight="1">
      <c r="A627" s="216" t="s">
        <v>1442</v>
      </c>
      <c r="B627" s="217" t="str">
        <f t="shared" si="245"/>
        <v>Reg Asset254017801258BG030414</v>
      </c>
      <c r="C627" s="186">
        <v>254017</v>
      </c>
      <c r="D627" s="201">
        <v>801258</v>
      </c>
      <c r="E627" s="162" t="s">
        <v>4693</v>
      </c>
      <c r="F627" s="169" t="s">
        <v>2985</v>
      </c>
      <c r="G627" s="117" t="s">
        <v>3129</v>
      </c>
      <c r="H627" s="118" t="s">
        <v>341</v>
      </c>
      <c r="I627" s="119"/>
      <c r="J627" s="120" t="s">
        <v>105</v>
      </c>
      <c r="K627" s="120" t="str">
        <f t="shared" si="244"/>
        <v/>
      </c>
      <c r="L627" s="170" t="s">
        <v>2821</v>
      </c>
      <c r="M627" s="122" t="str">
        <f t="shared" si="212"/>
        <v>N</v>
      </c>
      <c r="N627" s="116" t="str">
        <f>IF($L627&lt;&gt;"",VLOOKUP($L627,Categories!$E:$G,2,FALSE),IF($F627&lt;&gt;"","NO CAT",""))</f>
        <v>Not in Rate Base</v>
      </c>
      <c r="O627" s="116" t="str">
        <f>IF($L627&lt;&gt;"",VLOOKUP($L627,Categories!$E:$G,3,FALSE),IF($F627&lt;&gt;"","NO CAT",""))</f>
        <v>Deferrals Accruing Non-Cash Return   (other than ASGA)</v>
      </c>
      <c r="P627" s="170" t="s">
        <v>1186</v>
      </c>
      <c r="Q627" s="123" t="s">
        <v>1187</v>
      </c>
      <c r="R627" s="124">
        <v>0</v>
      </c>
      <c r="S627" s="124">
        <v>0</v>
      </c>
      <c r="T627" s="124">
        <v>1</v>
      </c>
      <c r="U627" s="121">
        <f t="shared" si="246"/>
        <v>0</v>
      </c>
      <c r="V627" s="121">
        <f t="shared" si="247"/>
        <v>0</v>
      </c>
      <c r="W627" s="121">
        <f t="shared" si="248"/>
        <v>-476.55634833333301</v>
      </c>
      <c r="X627" s="121">
        <f t="shared" si="252"/>
        <v>-476.55634833333301</v>
      </c>
      <c r="Y627" s="121">
        <f t="shared" si="249"/>
        <v>0</v>
      </c>
      <c r="Z627" s="121">
        <f t="shared" si="250"/>
        <v>0</v>
      </c>
      <c r="AA627" s="121">
        <f t="shared" si="251"/>
        <v>-501.31393000000003</v>
      </c>
      <c r="AB627" s="121">
        <f t="shared" si="253"/>
        <v>-501.31393000000008</v>
      </c>
      <c r="AC627" s="121">
        <v>-459.39641000000006</v>
      </c>
      <c r="AD627" s="121">
        <v>-461.78649000000007</v>
      </c>
      <c r="AE627" s="121">
        <v>-464.18900000000008</v>
      </c>
      <c r="AF627" s="121">
        <v>-466.55388000000005</v>
      </c>
      <c r="AG627" s="121">
        <v>-468.98120000000006</v>
      </c>
      <c r="AH627" s="121">
        <v>-471.42115000000007</v>
      </c>
      <c r="AI627" s="121">
        <v>-473.8737900000001</v>
      </c>
      <c r="AJ627" s="121">
        <v>-476.33919000000014</v>
      </c>
      <c r="AK627" s="121">
        <v>-478.81742000000008</v>
      </c>
      <c r="AL627" s="121">
        <v>-481.30854000000011</v>
      </c>
      <c r="AM627" s="121">
        <v>-496.2666200000001</v>
      </c>
      <c r="AN627" s="121">
        <v>-498.78373000000011</v>
      </c>
      <c r="AO627" s="121">
        <v>-501.31393000000008</v>
      </c>
      <c r="AP627" s="125" t="str">
        <f>CONCATENATE(A627,M627)</f>
        <v>Reg AssetN</v>
      </c>
      <c r="AQ627" s="125" t="str">
        <f>CONCATENATE(AP627,L627,H627)</f>
        <v>Reg AssetNN10R&amp;D Tax Credit</v>
      </c>
      <c r="AS627" s="125" t="str">
        <f>CONCATENATE(L627,H627,J627)</f>
        <v>N10R&amp;D Tax CreditNCR</v>
      </c>
    </row>
    <row r="628" spans="1:45" s="125" customFormat="1" ht="25.5" customHeight="1">
      <c r="A628" s="216" t="s">
        <v>1442</v>
      </c>
      <c r="B628" s="217" t="str">
        <f t="shared" si="245"/>
        <v>Reg Asset254017810052BG030922</v>
      </c>
      <c r="C628" s="186">
        <v>254017</v>
      </c>
      <c r="D628" s="201">
        <v>810052</v>
      </c>
      <c r="E628" s="162" t="s">
        <v>3130</v>
      </c>
      <c r="F628" s="169" t="s">
        <v>2985</v>
      </c>
      <c r="G628" s="117" t="s">
        <v>3131</v>
      </c>
      <c r="H628" s="118" t="s">
        <v>2675</v>
      </c>
      <c r="I628" s="119"/>
      <c r="J628" s="120" t="s">
        <v>105</v>
      </c>
      <c r="K628" s="120" t="str">
        <f t="shared" si="244"/>
        <v/>
      </c>
      <c r="L628" s="170" t="s">
        <v>2821</v>
      </c>
      <c r="M628" s="122" t="str">
        <f t="shared" si="212"/>
        <v>N</v>
      </c>
      <c r="N628" s="116" t="str">
        <f>IF($L628&lt;&gt;"",VLOOKUP($L628,Categories!$E:$G,2,FALSE),IF($F628&lt;&gt;"","NO CAT",""))</f>
        <v>Not in Rate Base</v>
      </c>
      <c r="O628" s="116" t="str">
        <f>IF($L628&lt;&gt;"",VLOOKUP($L628,Categories!$E:$G,3,FALSE),IF($F628&lt;&gt;"","NO CAT",""))</f>
        <v>Deferrals Accruing Non-Cash Return   (other than ASGA)</v>
      </c>
      <c r="P628" s="170" t="s">
        <v>1186</v>
      </c>
      <c r="Q628" s="123" t="s">
        <v>1187</v>
      </c>
      <c r="R628" s="124">
        <v>0</v>
      </c>
      <c r="S628" s="124">
        <v>0</v>
      </c>
      <c r="T628" s="124">
        <v>1</v>
      </c>
      <c r="U628" s="121">
        <f t="shared" si="246"/>
        <v>0</v>
      </c>
      <c r="V628" s="121">
        <f t="shared" si="247"/>
        <v>0</v>
      </c>
      <c r="W628" s="121">
        <f t="shared" si="248"/>
        <v>-3665.13041833333</v>
      </c>
      <c r="X628" s="121">
        <f t="shared" si="252"/>
        <v>-3665.13041833333</v>
      </c>
      <c r="Y628" s="121">
        <f t="shared" si="249"/>
        <v>0</v>
      </c>
      <c r="Z628" s="121">
        <f t="shared" si="250"/>
        <v>0</v>
      </c>
      <c r="AA628" s="121">
        <f t="shared" si="251"/>
        <v>-4374.6575599999996</v>
      </c>
      <c r="AB628" s="121">
        <f t="shared" si="253"/>
        <v>-4374.6575600000006</v>
      </c>
      <c r="AC628" s="121">
        <v>-2948.6722600000003</v>
      </c>
      <c r="AD628" s="121">
        <v>-3072.1170000000002</v>
      </c>
      <c r="AE628" s="121">
        <v>-3185.3855400000002</v>
      </c>
      <c r="AF628" s="121">
        <v>-3304.4983299999999</v>
      </c>
      <c r="AG628" s="121">
        <v>-3424.1181000000001</v>
      </c>
      <c r="AH628" s="121">
        <v>-3544.2474900000002</v>
      </c>
      <c r="AI628" s="121">
        <v>-3664.8891400000002</v>
      </c>
      <c r="AJ628" s="121">
        <v>-3786.0457000000001</v>
      </c>
      <c r="AK628" s="121">
        <v>-3907.71985</v>
      </c>
      <c r="AL628" s="121">
        <v>-4027.2393500000003</v>
      </c>
      <c r="AM628" s="121">
        <v>-4143.9151600000005</v>
      </c>
      <c r="AN628" s="121">
        <v>-4259.7244500000006</v>
      </c>
      <c r="AO628" s="121">
        <v>-4374.6575600000006</v>
      </c>
      <c r="AP628" s="125" t="str">
        <f>CONCATENATE(A628,M628)</f>
        <v>Reg AssetN</v>
      </c>
      <c r="AQ628" s="125" t="str">
        <f>CONCATENATE(AP628,L628,H628)</f>
        <v>Reg AssetNN10Mixed Use 263(a)</v>
      </c>
      <c r="AS628" s="125" t="str">
        <f>CONCATENATE(L628,H628,J628)</f>
        <v>N10Mixed Use 263(a)NCR</v>
      </c>
    </row>
    <row r="629" spans="1:45" s="125" customFormat="1" ht="25.5" customHeight="1">
      <c r="A629" s="216" t="s">
        <v>1442</v>
      </c>
      <c r="B629" s="217" t="str">
        <f t="shared" si="245"/>
        <v>Reg Asset254017801225BG030904</v>
      </c>
      <c r="C629" s="186">
        <v>254017</v>
      </c>
      <c r="D629" s="201">
        <v>801225</v>
      </c>
      <c r="E629" s="162" t="s">
        <v>2453</v>
      </c>
      <c r="F629" s="169" t="s">
        <v>2985</v>
      </c>
      <c r="G629" s="117" t="s">
        <v>2452</v>
      </c>
      <c r="H629" s="118" t="s">
        <v>623</v>
      </c>
      <c r="I629" s="119"/>
      <c r="J629" s="120" t="s">
        <v>105</v>
      </c>
      <c r="K629" s="120" t="str">
        <f t="shared" si="244"/>
        <v/>
      </c>
      <c r="L629" s="170" t="s">
        <v>2821</v>
      </c>
      <c r="M629" s="122" t="str">
        <f t="shared" ref="M629:M640" si="270">LEFT(L629,1)</f>
        <v>N</v>
      </c>
      <c r="N629" s="116" t="str">
        <f>IF($L629&lt;&gt;"",VLOOKUP($L629,Categories!$E:$G,2,FALSE),IF($F629&lt;&gt;"","NO CAT",""))</f>
        <v>Not in Rate Base</v>
      </c>
      <c r="O629" s="116" t="str">
        <f>IF($L629&lt;&gt;"",VLOOKUP($L629,Categories!$E:$G,3,FALSE),IF($F629&lt;&gt;"","NO CAT",""))</f>
        <v>Deferrals Accruing Non-Cash Return   (other than ASGA)</v>
      </c>
      <c r="P629" s="170" t="s">
        <v>1186</v>
      </c>
      <c r="Q629" s="123" t="s">
        <v>1187</v>
      </c>
      <c r="R629" s="124">
        <v>0</v>
      </c>
      <c r="S629" s="124">
        <v>0</v>
      </c>
      <c r="T629" s="124">
        <v>1</v>
      </c>
      <c r="U629" s="121">
        <f t="shared" ref="U629:U640" si="271">IF(ABS(X629)=0,"",IF($R629="NO ALLOC","NO ALLOC",ROUND($R629*X629,15)))</f>
        <v>0</v>
      </c>
      <c r="V629" s="121">
        <f t="shared" ref="V629:V640" si="272">IF(ABS(X629)=0,"",IF($S629="NO ALLOC","NO ALLOC",ROUND($S629*X629,15)))</f>
        <v>0</v>
      </c>
      <c r="W629" s="121">
        <f t="shared" ref="W629:W640" si="273">IF(ABS(X629)=0,"",IF($T629="NO ALLOC","NO ALLOC",ROUND($T629*X629,15)))</f>
        <v>-4900.8883766666704</v>
      </c>
      <c r="X629" s="121">
        <f t="shared" si="252"/>
        <v>-4900.8883766666704</v>
      </c>
      <c r="Y629" s="121">
        <f t="shared" ref="Y629:Y640" si="274">IF(ABS(AB629)=0,"",IF($R629="NO ALLOC","NO ALLOC",ROUND($R629*AB629,15)))</f>
        <v>0</v>
      </c>
      <c r="Z629" s="121">
        <f t="shared" ref="Z629:Z640" si="275">IF(ABS(AB629)=0,"",IF($S629="NO ALLOC","NO ALLOC",ROUND($S629*AB629,15)))</f>
        <v>0</v>
      </c>
      <c r="AA629" s="121">
        <f t="shared" ref="AA629:AA640" si="276">IF(ABS(AB629)=0,"",IF($T629="NO ALLOC","NO ALLOC",ROUND($T629*AB629,15)))</f>
        <v>-6989.1964600000001</v>
      </c>
      <c r="AB629" s="121">
        <f t="shared" si="253"/>
        <v>-6989.196460000001</v>
      </c>
      <c r="AC629" s="121">
        <v>-8308.5943799999986</v>
      </c>
      <c r="AD629" s="121">
        <v>-8751.0592799999995</v>
      </c>
      <c r="AE629" s="121">
        <v>-7515.7360199999994</v>
      </c>
      <c r="AF629" s="121">
        <v>-6067.0160199999991</v>
      </c>
      <c r="AG629" s="121">
        <v>-4221.6955800000005</v>
      </c>
      <c r="AH629" s="121">
        <v>-4034.1343700000002</v>
      </c>
      <c r="AI629" s="121">
        <v>-3545.7246100000002</v>
      </c>
      <c r="AJ629" s="121">
        <v>-3122.6703300000004</v>
      </c>
      <c r="AK629" s="121">
        <v>-2850.2517400000006</v>
      </c>
      <c r="AL629" s="121">
        <v>-3140.4798300000007</v>
      </c>
      <c r="AM629" s="121">
        <v>-3412.4437000000007</v>
      </c>
      <c r="AN629" s="121">
        <v>-4500.5536200000006</v>
      </c>
      <c r="AO629" s="121">
        <v>-6989.196460000001</v>
      </c>
      <c r="AP629" s="125" t="str">
        <f>CONCATENATE(A629,M629)</f>
        <v>Reg AssetN</v>
      </c>
      <c r="AQ629" s="125" t="str">
        <f>CONCATENATE(AP629,L629,H629)</f>
        <v>Reg AssetNN10RDM</v>
      </c>
      <c r="AS629" s="125" t="str">
        <f>CONCATENATE(L629,H629,J629)</f>
        <v>N10RDMNCR</v>
      </c>
    </row>
    <row r="630" spans="1:45" s="125" customFormat="1" ht="25.5" customHeight="1">
      <c r="A630" s="216" t="s">
        <v>1442</v>
      </c>
      <c r="B630" s="217" t="str">
        <f>CONCATENATE(A630,C630,D630,E630)</f>
        <v>Reg Asset254017801225-UBBG030904</v>
      </c>
      <c r="C630" s="186">
        <v>254017</v>
      </c>
      <c r="D630" s="201" t="s">
        <v>4410</v>
      </c>
      <c r="E630" s="162" t="s">
        <v>2453</v>
      </c>
      <c r="F630" s="169" t="s">
        <v>2985</v>
      </c>
      <c r="G630" s="117" t="s">
        <v>4544</v>
      </c>
      <c r="H630" s="118" t="s">
        <v>4432</v>
      </c>
      <c r="I630" s="119"/>
      <c r="J630" s="120"/>
      <c r="K630" s="120" t="str">
        <f>IF(L630="N3","SFAS-109","")</f>
        <v/>
      </c>
      <c r="L630" s="170" t="s">
        <v>1419</v>
      </c>
      <c r="M630" s="122" t="str">
        <f t="shared" si="270"/>
        <v>A</v>
      </c>
      <c r="N630" s="116" t="str">
        <f>IF($L630&lt;&gt;"",VLOOKUP($L630,Categories!$E:$G,2,FALSE),IF($F630&lt;&gt;"","NO CAT",""))</f>
        <v>All Other</v>
      </c>
      <c r="O630" s="116" t="str">
        <f>IF($L630&lt;&gt;"",VLOOKUP($L630,Categories!$E:$G,3,FALSE),IF($F630&lt;&gt;"","NO CAT",""))</f>
        <v>EB-Cap</v>
      </c>
      <c r="P630" s="170" t="s">
        <v>1557</v>
      </c>
      <c r="Q630" s="123" t="s">
        <v>1891</v>
      </c>
      <c r="R630" s="124">
        <v>0.77544352505021785</v>
      </c>
      <c r="S630" s="124">
        <v>0.22455647494978223</v>
      </c>
      <c r="T630" s="124">
        <v>0</v>
      </c>
      <c r="U630" s="121">
        <f t="shared" si="271"/>
        <v>-1024.5265565302</v>
      </c>
      <c r="V630" s="121">
        <f t="shared" si="272"/>
        <v>-296.68707596979698</v>
      </c>
      <c r="W630" s="121">
        <f t="shared" si="273"/>
        <v>0</v>
      </c>
      <c r="X630" s="121">
        <f t="shared" si="252"/>
        <v>-1321.2136324999999</v>
      </c>
      <c r="Y630" s="121">
        <f t="shared" si="274"/>
        <v>-1161.4255335002599</v>
      </c>
      <c r="Z630" s="121">
        <f t="shared" si="275"/>
        <v>-336.33090649973502</v>
      </c>
      <c r="AA630" s="121">
        <f t="shared" si="276"/>
        <v>0</v>
      </c>
      <c r="AB630" s="121">
        <f t="shared" si="253"/>
        <v>-1497.756439999999</v>
      </c>
      <c r="AC630" s="121">
        <v>27.313479999999807</v>
      </c>
      <c r="AD630" s="121">
        <v>248.71777999999998</v>
      </c>
      <c r="AE630" s="121">
        <v>-736.11990999999989</v>
      </c>
      <c r="AF630" s="121">
        <v>-2272.9497099999999</v>
      </c>
      <c r="AG630" s="121">
        <v>-4973.1476099999991</v>
      </c>
      <c r="AH630" s="121">
        <v>-3864.4688499999997</v>
      </c>
      <c r="AI630" s="121">
        <v>-3061.5696099999996</v>
      </c>
      <c r="AJ630" s="121">
        <v>-1305.8706599999994</v>
      </c>
      <c r="AK630" s="121">
        <v>-1896.7263999999993</v>
      </c>
      <c r="AL630" s="121">
        <v>-221.44282999999939</v>
      </c>
      <c r="AM630" s="121">
        <v>2288.609460000001</v>
      </c>
      <c r="AN630" s="121">
        <v>675.62623000000087</v>
      </c>
      <c r="AO630" s="121">
        <v>-1497.756439999999</v>
      </c>
      <c r="AP630" s="125" t="str">
        <f>CONCATENATE(A630,M630)</f>
        <v>Reg AssetA</v>
      </c>
      <c r="AQ630" s="125" t="str">
        <f>CONCATENATE(AP630,L630,H630)</f>
        <v>Reg AssetAA2RDM Unbilled</v>
      </c>
      <c r="AS630" s="125" t="str">
        <f>CONCATENATE(L630,H630,J630)</f>
        <v>A2RDM Unbilled</v>
      </c>
    </row>
    <row r="631" spans="1:45" s="125" customFormat="1" ht="25.5" customHeight="1">
      <c r="A631" s="216" t="s">
        <v>1442</v>
      </c>
      <c r="B631" s="217" t="str">
        <f t="shared" si="245"/>
        <v>Reg Asset254017801225-11BG030904</v>
      </c>
      <c r="C631" s="186">
        <v>254017</v>
      </c>
      <c r="D631" s="201" t="s">
        <v>2323</v>
      </c>
      <c r="E631" s="162" t="s">
        <v>2453</v>
      </c>
      <c r="F631" s="169" t="s">
        <v>2985</v>
      </c>
      <c r="G631" s="117" t="s">
        <v>2452</v>
      </c>
      <c r="H631" s="118" t="s">
        <v>623</v>
      </c>
      <c r="I631" s="119"/>
      <c r="J631" s="120" t="s">
        <v>105</v>
      </c>
      <c r="K631" s="120" t="str">
        <f t="shared" si="244"/>
        <v/>
      </c>
      <c r="L631" s="170" t="s">
        <v>2821</v>
      </c>
      <c r="M631" s="122" t="str">
        <f t="shared" si="270"/>
        <v>N</v>
      </c>
      <c r="N631" s="116" t="str">
        <f>IF($L631&lt;&gt;"",VLOOKUP($L631,Categories!$E:$G,2,FALSE),IF($F631&lt;&gt;"","NO CAT",""))</f>
        <v>Not in Rate Base</v>
      </c>
      <c r="O631" s="116" t="str">
        <f>IF($L631&lt;&gt;"",VLOOKUP($L631,Categories!$E:$G,3,FALSE),IF($F631&lt;&gt;"","NO CAT",""))</f>
        <v>Deferrals Accruing Non-Cash Return   (other than ASGA)</v>
      </c>
      <c r="P631" s="170" t="s">
        <v>1186</v>
      </c>
      <c r="Q631" s="123" t="s">
        <v>1187</v>
      </c>
      <c r="R631" s="124">
        <v>0</v>
      </c>
      <c r="S631" s="124">
        <v>0</v>
      </c>
      <c r="T631" s="124">
        <v>1</v>
      </c>
      <c r="U631" s="121">
        <f t="shared" si="271"/>
        <v>0</v>
      </c>
      <c r="V631" s="121">
        <f t="shared" si="272"/>
        <v>0</v>
      </c>
      <c r="W631" s="121">
        <f t="shared" si="273"/>
        <v>-93.139822916666702</v>
      </c>
      <c r="X631" s="121">
        <f t="shared" si="252"/>
        <v>-93.139822916666702</v>
      </c>
      <c r="Y631" s="121">
        <f t="shared" si="274"/>
        <v>0</v>
      </c>
      <c r="Z631" s="121">
        <f t="shared" si="275"/>
        <v>0</v>
      </c>
      <c r="AA631" s="121">
        <f t="shared" si="276"/>
        <v>-99.445400000000006</v>
      </c>
      <c r="AB631" s="121">
        <f t="shared" si="253"/>
        <v>-99.445400000000006</v>
      </c>
      <c r="AC631" s="121">
        <v>-73.935069999999996</v>
      </c>
      <c r="AD631" s="121">
        <v>-80.427230000000009</v>
      </c>
      <c r="AE631" s="121">
        <v>-85.478060000000013</v>
      </c>
      <c r="AF631" s="121">
        <v>-89.250980000000013</v>
      </c>
      <c r="AG631" s="121">
        <v>-92.03813000000001</v>
      </c>
      <c r="AH631" s="121">
        <v>-94.172470000000004</v>
      </c>
      <c r="AI631" s="121">
        <v>-95.892399999999995</v>
      </c>
      <c r="AJ631" s="121">
        <v>-97.298860000000005</v>
      </c>
      <c r="AK631" s="121">
        <v>-98.389520000000005</v>
      </c>
      <c r="AL631" s="121">
        <v>-99.149190000000004</v>
      </c>
      <c r="AM631" s="121">
        <v>-99.445400000000006</v>
      </c>
      <c r="AN631" s="121">
        <v>-99.445400000000006</v>
      </c>
      <c r="AO631" s="121">
        <v>-99.445400000000006</v>
      </c>
      <c r="AP631" s="125" t="str">
        <f>CONCATENATE(A631,M631)</f>
        <v>Reg AssetN</v>
      </c>
      <c r="AQ631" s="125" t="str">
        <f>CONCATENATE(AP631,L631,H631)</f>
        <v>Reg AssetNN10RDM</v>
      </c>
      <c r="AS631" s="125" t="str">
        <f>CONCATENATE(L631,H631,J631)</f>
        <v>N10RDMNCR</v>
      </c>
    </row>
    <row r="632" spans="1:45" s="125" customFormat="1" ht="25.5" customHeight="1">
      <c r="A632" s="216" t="s">
        <v>1442</v>
      </c>
      <c r="B632" s="217" t="str">
        <f t="shared" ref="B632:B640" si="277">CONCATENATE(A632,C632,D632,E632)</f>
        <v>Reg Asset254017810000BG030936</v>
      </c>
      <c r="C632" s="186">
        <v>254017</v>
      </c>
      <c r="D632" s="201">
        <v>810000</v>
      </c>
      <c r="E632" s="162" t="s">
        <v>4691</v>
      </c>
      <c r="F632" s="169" t="s">
        <v>2985</v>
      </c>
      <c r="G632" s="117" t="s">
        <v>4692</v>
      </c>
      <c r="H632" s="118" t="s">
        <v>4673</v>
      </c>
      <c r="I632" s="119"/>
      <c r="J632" s="120"/>
      <c r="K632" s="120" t="str">
        <f t="shared" si="244"/>
        <v/>
      </c>
      <c r="L632" s="170" t="s">
        <v>1893</v>
      </c>
      <c r="M632" s="122" t="str">
        <f t="shared" si="270"/>
        <v>R</v>
      </c>
      <c r="N632" s="116" t="str">
        <f>IF($L632&lt;&gt;"",VLOOKUP($L632,Categories!$E:$G,2,FALSE),IF($F632&lt;&gt;"","NO CAT",""))</f>
        <v>Rate Base</v>
      </c>
      <c r="O632" s="116" t="str">
        <f>IF($L632&lt;&gt;"",VLOOKUP($L632,Categories!$E:$G,3,FALSE),IF($F632&lt;&gt;"","NO CAT",""))</f>
        <v>Deferred Debits &amp; Credits</v>
      </c>
      <c r="P632" s="170" t="s">
        <v>1184</v>
      </c>
      <c r="Q632" s="123" t="s">
        <v>1178</v>
      </c>
      <c r="R632" s="124">
        <v>0</v>
      </c>
      <c r="S632" s="124">
        <v>1</v>
      </c>
      <c r="T632" s="124">
        <v>0</v>
      </c>
      <c r="U632" s="121">
        <f t="shared" si="271"/>
        <v>0</v>
      </c>
      <c r="V632" s="121">
        <f t="shared" si="272"/>
        <v>-766.00001999999995</v>
      </c>
      <c r="W632" s="121">
        <f t="shared" si="273"/>
        <v>0</v>
      </c>
      <c r="X632" s="121">
        <f t="shared" si="252"/>
        <v>-766.00001999999995</v>
      </c>
      <c r="Y632" s="121">
        <f t="shared" si="274"/>
        <v>0</v>
      </c>
      <c r="Z632" s="121">
        <f t="shared" si="275"/>
        <v>-1532.0000399999999</v>
      </c>
      <c r="AA632" s="121">
        <f t="shared" si="276"/>
        <v>0</v>
      </c>
      <c r="AB632" s="121">
        <f t="shared" si="253"/>
        <v>-1532.0000399999999</v>
      </c>
      <c r="AC632" s="121"/>
      <c r="AD632" s="121">
        <v>-127.66667</v>
      </c>
      <c r="AE632" s="121">
        <v>-255.33333999999999</v>
      </c>
      <c r="AF632" s="121">
        <v>-383.00001000000003</v>
      </c>
      <c r="AG632" s="121">
        <v>-510.66667999999999</v>
      </c>
      <c r="AH632" s="121">
        <v>-638.33335</v>
      </c>
      <c r="AI632" s="121">
        <v>-766.00002000000006</v>
      </c>
      <c r="AJ632" s="121">
        <v>-893.66669000000002</v>
      </c>
      <c r="AK632" s="121">
        <v>-1021.3333600000001</v>
      </c>
      <c r="AL632" s="121">
        <v>-1149.0000299999999</v>
      </c>
      <c r="AM632" s="121">
        <v>-1276.6667</v>
      </c>
      <c r="AN632" s="121">
        <v>-1404.3333699999998</v>
      </c>
      <c r="AO632" s="121">
        <v>-1532.0000399999999</v>
      </c>
      <c r="AP632" s="125" t="str">
        <f>CONCATENATE(A632,M632)</f>
        <v>Reg AssetR</v>
      </c>
      <c r="AQ632" s="125" t="str">
        <f>CONCATENATE(AP632,L632,H632)</f>
        <v>Reg AssetRR10Continuation of Current Amorts Until New Rates Reset</v>
      </c>
      <c r="AS632" s="125" t="str">
        <f>CONCATENATE(L632,H632,J632)</f>
        <v>R10Continuation of Current Amorts Until New Rates Reset</v>
      </c>
    </row>
    <row r="633" spans="1:45" s="125" customFormat="1" ht="25.5" customHeight="1">
      <c r="A633" s="216" t="s">
        <v>1442</v>
      </c>
      <c r="B633" s="217" t="str">
        <f t="shared" si="277"/>
        <v>Reg Asset254017800184BG030937</v>
      </c>
      <c r="C633" s="186">
        <v>254017</v>
      </c>
      <c r="D633" s="201">
        <v>800184</v>
      </c>
      <c r="E633" s="162" t="s">
        <v>4762</v>
      </c>
      <c r="F633" s="169" t="s">
        <v>2985</v>
      </c>
      <c r="G633" s="117" t="s">
        <v>4760</v>
      </c>
      <c r="H633" s="118" t="s">
        <v>4761</v>
      </c>
      <c r="I633" s="120"/>
      <c r="J633" s="120"/>
      <c r="K633" s="120" t="str">
        <f t="shared" si="244"/>
        <v/>
      </c>
      <c r="L633" s="170" t="s">
        <v>1893</v>
      </c>
      <c r="M633" s="122" t="str">
        <f t="shared" si="270"/>
        <v>R</v>
      </c>
      <c r="N633" s="116" t="str">
        <f>IF($L633&lt;&gt;"",VLOOKUP($L633,Categories!$E:$G,2,FALSE),IF($F633&lt;&gt;"","NO CAT",""))</f>
        <v>Rate Base</v>
      </c>
      <c r="O633" s="116" t="str">
        <f>IF($L633&lt;&gt;"",VLOOKUP($L633,Categories!$E:$G,3,FALSE),IF($F633&lt;&gt;"","NO CAT",""))</f>
        <v>Deferred Debits &amp; Credits</v>
      </c>
      <c r="P633" s="170" t="s">
        <v>1184</v>
      </c>
      <c r="Q633" s="123" t="s">
        <v>1178</v>
      </c>
      <c r="R633" s="124">
        <v>0</v>
      </c>
      <c r="S633" s="124">
        <v>1</v>
      </c>
      <c r="T633" s="124">
        <v>0</v>
      </c>
      <c r="U633" s="121">
        <f t="shared" si="271"/>
        <v>0</v>
      </c>
      <c r="V633" s="121">
        <f t="shared" si="272"/>
        <v>-1304.0833333333301</v>
      </c>
      <c r="W633" s="121">
        <f t="shared" si="273"/>
        <v>0</v>
      </c>
      <c r="X633" s="121">
        <f t="shared" si="252"/>
        <v>-1304.0833333333301</v>
      </c>
      <c r="Y633" s="121">
        <f t="shared" si="274"/>
        <v>0</v>
      </c>
      <c r="Z633" s="121">
        <f t="shared" si="275"/>
        <v>-2656</v>
      </c>
      <c r="AA633" s="121">
        <f t="shared" si="276"/>
        <v>0</v>
      </c>
      <c r="AB633" s="121">
        <f t="shared" si="253"/>
        <v>-2656</v>
      </c>
      <c r="AC633" s="121"/>
      <c r="AD633" s="121"/>
      <c r="AE633" s="121"/>
      <c r="AF633" s="121"/>
      <c r="AG633" s="121"/>
      <c r="AH633" s="121"/>
      <c r="AI633" s="121">
        <v>-2333</v>
      </c>
      <c r="AJ633" s="121">
        <v>-2333</v>
      </c>
      <c r="AK633" s="121">
        <v>-2333</v>
      </c>
      <c r="AL633" s="121">
        <v>-2333</v>
      </c>
      <c r="AM633" s="121">
        <v>-2333</v>
      </c>
      <c r="AN633" s="121">
        <v>-2656</v>
      </c>
      <c r="AO633" s="121">
        <v>-2656</v>
      </c>
      <c r="AP633" s="125" t="str">
        <f>CONCATENATE(A633,M633)</f>
        <v>Reg AssetR</v>
      </c>
      <c r="AQ633" s="125" t="str">
        <f>CONCATENATE(AP633,L633,H633)</f>
        <v>Reg AssetRR10Excess DIT - New York State Tax Rate change</v>
      </c>
      <c r="AS633" s="125" t="str">
        <f>CONCATENATE(L633,H633,J633)</f>
        <v>R10Excess DIT - New York State Tax Rate change</v>
      </c>
    </row>
    <row r="634" spans="1:45" s="125" customFormat="1" ht="25.5" customHeight="1">
      <c r="A634" s="216" t="s">
        <v>1442</v>
      </c>
      <c r="B634" s="217" t="str">
        <f t="shared" si="277"/>
        <v>Reg Asset254017808021BG030938</v>
      </c>
      <c r="C634" s="186">
        <v>254017</v>
      </c>
      <c r="D634" s="201">
        <v>808021</v>
      </c>
      <c r="E634" s="162" t="s">
        <v>4799</v>
      </c>
      <c r="F634" s="169" t="s">
        <v>2985</v>
      </c>
      <c r="G634" s="117" t="s">
        <v>4800</v>
      </c>
      <c r="H634" s="118" t="s">
        <v>1718</v>
      </c>
      <c r="I634" s="120"/>
      <c r="J634" s="120"/>
      <c r="K634" s="120" t="str">
        <f t="shared" ref="K634:K640" si="278">IF(L634="N3","SFAS-109","")</f>
        <v/>
      </c>
      <c r="L634" s="170" t="s">
        <v>1893</v>
      </c>
      <c r="M634" s="122" t="str">
        <f t="shared" si="270"/>
        <v>R</v>
      </c>
      <c r="N634" s="116" t="str">
        <f>IF($L634&lt;&gt;"",VLOOKUP($L634,Categories!$E:$G,2,FALSE),IF($F634&lt;&gt;"","NO CAT",""))</f>
        <v>Rate Base</v>
      </c>
      <c r="O634" s="116" t="str">
        <f>IF($L634&lt;&gt;"",VLOOKUP($L634,Categories!$E:$G,3,FALSE),IF($F634&lt;&gt;"","NO CAT",""))</f>
        <v>Deferred Debits &amp; Credits</v>
      </c>
      <c r="P634" s="170" t="s">
        <v>1184</v>
      </c>
      <c r="Q634" s="123" t="s">
        <v>1178</v>
      </c>
      <c r="R634" s="124">
        <v>0</v>
      </c>
      <c r="S634" s="124">
        <v>1</v>
      </c>
      <c r="T634" s="124">
        <v>0</v>
      </c>
      <c r="U634" s="121">
        <f t="shared" si="271"/>
        <v>0</v>
      </c>
      <c r="V634" s="121">
        <f t="shared" si="272"/>
        <v>69.601404166666697</v>
      </c>
      <c r="W634" s="121">
        <f t="shared" si="273"/>
        <v>0</v>
      </c>
      <c r="X634" s="121">
        <f t="shared" si="252"/>
        <v>69.601404166666697</v>
      </c>
      <c r="Y634" s="121">
        <f t="shared" si="274"/>
        <v>0</v>
      </c>
      <c r="Z634" s="121">
        <f t="shared" si="275"/>
        <v>27.097660000000101</v>
      </c>
      <c r="AA634" s="121">
        <f t="shared" si="276"/>
        <v>0</v>
      </c>
      <c r="AB634" s="121">
        <f t="shared" si="253"/>
        <v>27.09766000000009</v>
      </c>
      <c r="AC634" s="121"/>
      <c r="AD634" s="121"/>
      <c r="AE634" s="121"/>
      <c r="AF634" s="121"/>
      <c r="AG634" s="121"/>
      <c r="AH634" s="121"/>
      <c r="AI634" s="121"/>
      <c r="AJ634" s="121"/>
      <c r="AK634" s="121">
        <v>-77.79640999999998</v>
      </c>
      <c r="AL634" s="121">
        <v>228.10413000000005</v>
      </c>
      <c r="AM634" s="121">
        <v>406.26512000000008</v>
      </c>
      <c r="AN634" s="121">
        <v>265.09518000000008</v>
      </c>
      <c r="AO634" s="121">
        <v>27.09766000000009</v>
      </c>
      <c r="AP634" s="125" t="str">
        <f>CONCATENATE(A634,M634)</f>
        <v>Reg AssetR</v>
      </c>
      <c r="AQ634" s="125" t="str">
        <f>CONCATENATE(AP634,L634,H634)</f>
        <v>Reg AssetRR10Energy Efficiency Portfolio Standard</v>
      </c>
      <c r="AS634" s="125" t="str">
        <f>CONCATENATE(L634,H634,J634)</f>
        <v>R10Energy Efficiency Portfolio Standard</v>
      </c>
    </row>
    <row r="635" spans="1:45" s="125" customFormat="1" ht="25.5" customHeight="1">
      <c r="A635" s="216" t="s">
        <v>1442</v>
      </c>
      <c r="B635" s="217" t="str">
        <f t="shared" si="277"/>
        <v>Reg Asset254017808221BG030938</v>
      </c>
      <c r="C635" s="186">
        <v>254017</v>
      </c>
      <c r="D635" s="201">
        <v>808221</v>
      </c>
      <c r="E635" s="162" t="s">
        <v>4799</v>
      </c>
      <c r="F635" s="169" t="s">
        <v>2985</v>
      </c>
      <c r="G635" s="117" t="s">
        <v>4801</v>
      </c>
      <c r="H635" s="118" t="s">
        <v>1718</v>
      </c>
      <c r="I635" s="120"/>
      <c r="J635" s="120" t="s">
        <v>105</v>
      </c>
      <c r="K635" s="120" t="str">
        <f t="shared" si="278"/>
        <v/>
      </c>
      <c r="L635" s="170" t="s">
        <v>2821</v>
      </c>
      <c r="M635" s="122" t="str">
        <f t="shared" si="270"/>
        <v>N</v>
      </c>
      <c r="N635" s="116" t="str">
        <f>IF($L635&lt;&gt;"",VLOOKUP($L635,Categories!$E:$G,2,FALSE),IF($F635&lt;&gt;"","NO CAT",""))</f>
        <v>Not in Rate Base</v>
      </c>
      <c r="O635" s="116" t="str">
        <f>IF($L635&lt;&gt;"",VLOOKUP($L635,Categories!$E:$G,3,FALSE),IF($F635&lt;&gt;"","NO CAT",""))</f>
        <v>Deferrals Accruing Non-Cash Return   (other than ASGA)</v>
      </c>
      <c r="P635" s="170" t="s">
        <v>1186</v>
      </c>
      <c r="Q635" s="123" t="s">
        <v>1187</v>
      </c>
      <c r="R635" s="124">
        <v>0</v>
      </c>
      <c r="S635" s="124">
        <v>0</v>
      </c>
      <c r="T635" s="124">
        <v>1</v>
      </c>
      <c r="U635" s="121">
        <f t="shared" si="271"/>
        <v>0</v>
      </c>
      <c r="V635" s="121">
        <f t="shared" si="272"/>
        <v>0</v>
      </c>
      <c r="W635" s="121">
        <f t="shared" si="273"/>
        <v>120.572145833333</v>
      </c>
      <c r="X635" s="121">
        <f t="shared" si="252"/>
        <v>120.572145833333</v>
      </c>
      <c r="Y635" s="121">
        <f t="shared" si="274"/>
        <v>0</v>
      </c>
      <c r="Z635" s="121">
        <f t="shared" si="275"/>
        <v>0</v>
      </c>
      <c r="AA635" s="121">
        <f t="shared" si="276"/>
        <v>281.68353999999999</v>
      </c>
      <c r="AB635" s="121">
        <f t="shared" si="253"/>
        <v>281.68354000000005</v>
      </c>
      <c r="AC635" s="121"/>
      <c r="AD635" s="121"/>
      <c r="AE635" s="121"/>
      <c r="AF635" s="121"/>
      <c r="AG635" s="121"/>
      <c r="AH635" s="121"/>
      <c r="AI635" s="121"/>
      <c r="AJ635" s="121"/>
      <c r="AK635" s="121">
        <v>364.41405000000003</v>
      </c>
      <c r="AL635" s="121">
        <v>342.81629000000004</v>
      </c>
      <c r="AM635" s="121">
        <v>307.86986000000002</v>
      </c>
      <c r="AN635" s="121">
        <v>290.92378000000002</v>
      </c>
      <c r="AO635" s="121">
        <v>281.68354000000005</v>
      </c>
      <c r="AP635" s="125" t="str">
        <f>CONCATENATE(A635,M635)</f>
        <v>Reg AssetN</v>
      </c>
      <c r="AQ635" s="125" t="str">
        <f>CONCATENATE(AP635,L635,H635)</f>
        <v>Reg AssetNN10Energy Efficiency Portfolio Standard</v>
      </c>
      <c r="AS635" s="125" t="str">
        <f>CONCATENATE(L635,H635,J635)</f>
        <v>N10Energy Efficiency Portfolio StandardNCR</v>
      </c>
    </row>
    <row r="636" spans="1:45" s="125" customFormat="1" ht="25.5" customHeight="1">
      <c r="A636" s="216" t="s">
        <v>1442</v>
      </c>
      <c r="B636" s="217" t="str">
        <f t="shared" si="277"/>
        <v>Reg Asset254017808321BG030938</v>
      </c>
      <c r="C636" s="186">
        <v>254017</v>
      </c>
      <c r="D636" s="201">
        <v>808321</v>
      </c>
      <c r="E636" s="162" t="s">
        <v>4799</v>
      </c>
      <c r="F636" s="169" t="s">
        <v>2985</v>
      </c>
      <c r="G636" s="117" t="s">
        <v>4802</v>
      </c>
      <c r="H636" s="118" t="s">
        <v>1718</v>
      </c>
      <c r="I636" s="120"/>
      <c r="J636" s="120" t="s">
        <v>105</v>
      </c>
      <c r="K636" s="120" t="str">
        <f t="shared" si="278"/>
        <v/>
      </c>
      <c r="L636" s="170" t="s">
        <v>2821</v>
      </c>
      <c r="M636" s="122" t="str">
        <f t="shared" si="270"/>
        <v>N</v>
      </c>
      <c r="N636" s="116" t="str">
        <f>IF($L636&lt;&gt;"",VLOOKUP($L636,Categories!$E:$G,2,FALSE),IF($F636&lt;&gt;"","NO CAT",""))</f>
        <v>Not in Rate Base</v>
      </c>
      <c r="O636" s="116" t="str">
        <f>IF($L636&lt;&gt;"",VLOOKUP($L636,Categories!$E:$G,3,FALSE),IF($F636&lt;&gt;"","NO CAT",""))</f>
        <v>Deferrals Accruing Non-Cash Return   (other than ASGA)</v>
      </c>
      <c r="P636" s="170" t="s">
        <v>1186</v>
      </c>
      <c r="Q636" s="123" t="s">
        <v>1187</v>
      </c>
      <c r="R636" s="124">
        <v>0</v>
      </c>
      <c r="S636" s="124">
        <v>0</v>
      </c>
      <c r="T636" s="124">
        <v>1</v>
      </c>
      <c r="U636" s="121">
        <f t="shared" si="271"/>
        <v>0</v>
      </c>
      <c r="V636" s="121">
        <f t="shared" si="272"/>
        <v>0</v>
      </c>
      <c r="W636" s="121">
        <f t="shared" si="273"/>
        <v>-1.66269166666667</v>
      </c>
      <c r="X636" s="121">
        <f t="shared" si="252"/>
        <v>-1.66269166666667</v>
      </c>
      <c r="Y636" s="121">
        <f t="shared" si="274"/>
        <v>0</v>
      </c>
      <c r="Z636" s="121">
        <f t="shared" si="275"/>
        <v>0</v>
      </c>
      <c r="AA636" s="121">
        <f t="shared" si="276"/>
        <v>-2.7889599999999999</v>
      </c>
      <c r="AB636" s="121">
        <f t="shared" si="253"/>
        <v>-2.7889599999999994</v>
      </c>
      <c r="AC636" s="121"/>
      <c r="AD636" s="121"/>
      <c r="AE636" s="121"/>
      <c r="AF636" s="121"/>
      <c r="AG636" s="121"/>
      <c r="AH636" s="121"/>
      <c r="AI636" s="121"/>
      <c r="AJ636" s="121"/>
      <c r="AK636" s="121">
        <v>-5.8580599999999992</v>
      </c>
      <c r="AL636" s="121">
        <v>-5.0015899999999993</v>
      </c>
      <c r="AM636" s="121">
        <v>-4.2125999999999992</v>
      </c>
      <c r="AN636" s="121">
        <v>-3.4855699999999996</v>
      </c>
      <c r="AO636" s="121">
        <v>-2.7889599999999994</v>
      </c>
      <c r="AP636" s="125" t="str">
        <f>CONCATENATE(A636,M636)</f>
        <v>Reg AssetN</v>
      </c>
      <c r="AQ636" s="125" t="str">
        <f>CONCATENATE(AP636,L636,H636)</f>
        <v>Reg AssetNN10Energy Efficiency Portfolio Standard</v>
      </c>
      <c r="AS636" s="125" t="str">
        <f>CONCATENATE(L636,H636,J636)</f>
        <v>N10Energy Efficiency Portfolio StandardNCR</v>
      </c>
    </row>
    <row r="637" spans="1:45" s="125" customFormat="1" ht="25.5" customHeight="1">
      <c r="A637" s="216" t="s">
        <v>1442</v>
      </c>
      <c r="B637" s="217" t="str">
        <f t="shared" si="277"/>
        <v>Reg Asset254021801216BE030598</v>
      </c>
      <c r="C637" s="186">
        <v>254021</v>
      </c>
      <c r="D637" s="201">
        <v>801216</v>
      </c>
      <c r="E637" s="162" t="s">
        <v>34</v>
      </c>
      <c r="F637" s="169" t="s">
        <v>4754</v>
      </c>
      <c r="G637" s="117" t="s">
        <v>4755</v>
      </c>
      <c r="H637" s="118" t="s">
        <v>1075</v>
      </c>
      <c r="I637" s="119"/>
      <c r="J637" s="120" t="s">
        <v>105</v>
      </c>
      <c r="K637" s="120" t="str">
        <f t="shared" si="278"/>
        <v/>
      </c>
      <c r="L637" s="170" t="s">
        <v>2821</v>
      </c>
      <c r="M637" s="122" t="str">
        <f t="shared" si="270"/>
        <v>N</v>
      </c>
      <c r="N637" s="116" t="str">
        <f>IF($L637&lt;&gt;"",VLOOKUP($L637,Categories!$E:$G,2,FALSE),IF($F637&lt;&gt;"","NO CAT",""))</f>
        <v>Not in Rate Base</v>
      </c>
      <c r="O637" s="116" t="str">
        <f>IF($L637&lt;&gt;"",VLOOKUP($L637,Categories!$E:$G,3,FALSE),IF($F637&lt;&gt;"","NO CAT",""))</f>
        <v>Deferrals Accruing Non-Cash Return   (other than ASGA)</v>
      </c>
      <c r="P637" s="170" t="s">
        <v>1186</v>
      </c>
      <c r="Q637" s="123" t="s">
        <v>1187</v>
      </c>
      <c r="R637" s="124">
        <v>0</v>
      </c>
      <c r="S637" s="124">
        <v>0</v>
      </c>
      <c r="T637" s="124">
        <v>1</v>
      </c>
      <c r="U637" s="121">
        <f t="shared" si="271"/>
        <v>0</v>
      </c>
      <c r="V637" s="121">
        <f t="shared" si="272"/>
        <v>0</v>
      </c>
      <c r="W637" s="121">
        <f t="shared" si="273"/>
        <v>-6106.0437362499997</v>
      </c>
      <c r="X637" s="121">
        <f t="shared" si="252"/>
        <v>-6106.0437362499997</v>
      </c>
      <c r="Y637" s="121">
        <f t="shared" si="274"/>
        <v>0</v>
      </c>
      <c r="Z637" s="121">
        <f t="shared" si="275"/>
        <v>0</v>
      </c>
      <c r="AA637" s="121">
        <f t="shared" si="276"/>
        <v>-10122.37017</v>
      </c>
      <c r="AB637" s="121">
        <f t="shared" si="253"/>
        <v>-10122.37017</v>
      </c>
      <c r="AC637" s="121"/>
      <c r="AD637" s="121"/>
      <c r="AE637" s="121"/>
      <c r="AF637" s="121"/>
      <c r="AG637" s="121">
        <v>-7271.7688399999997</v>
      </c>
      <c r="AH637" s="121">
        <v>-7630.7546600000005</v>
      </c>
      <c r="AI637" s="121">
        <v>-7989.4681900000005</v>
      </c>
      <c r="AJ637" s="121">
        <v>-8349.8758200000011</v>
      </c>
      <c r="AK637" s="121">
        <v>-8708.0057100000013</v>
      </c>
      <c r="AL637" s="121">
        <v>-9062.7107600000018</v>
      </c>
      <c r="AM637" s="121">
        <v>-9419.8221300000005</v>
      </c>
      <c r="AN637" s="121">
        <v>-9778.9336400000011</v>
      </c>
      <c r="AO637" s="121">
        <v>-10122.37017</v>
      </c>
      <c r="AP637" s="125" t="str">
        <f>CONCATENATE(A637,M637)</f>
        <v>Reg AssetN</v>
      </c>
      <c r="AQ637" s="125" t="str">
        <f>CONCATENATE(AP637,L637,H637)</f>
        <v>Reg AssetNN10Variable Rate Debt</v>
      </c>
      <c r="AS637" s="125" t="str">
        <f>CONCATENATE(L637,H637,J637)</f>
        <v>N10Variable Rate DebtNCR</v>
      </c>
    </row>
    <row r="638" spans="1:45" s="125" customFormat="1" ht="25.5" customHeight="1">
      <c r="A638" s="216" t="s">
        <v>1442</v>
      </c>
      <c r="B638" s="217" t="str">
        <f t="shared" si="277"/>
        <v>Reg Asset254021801216BG030598</v>
      </c>
      <c r="C638" s="186">
        <v>254021</v>
      </c>
      <c r="D638" s="201" t="s">
        <v>4753</v>
      </c>
      <c r="E638" s="162" t="s">
        <v>741</v>
      </c>
      <c r="F638" s="169" t="s">
        <v>4754</v>
      </c>
      <c r="G638" s="117" t="s">
        <v>4756</v>
      </c>
      <c r="H638" s="118" t="s">
        <v>1075</v>
      </c>
      <c r="I638" s="119"/>
      <c r="J638" s="120" t="s">
        <v>105</v>
      </c>
      <c r="K638" s="120" t="str">
        <f t="shared" si="278"/>
        <v/>
      </c>
      <c r="L638" s="170" t="s">
        <v>2821</v>
      </c>
      <c r="M638" s="122" t="str">
        <f t="shared" si="270"/>
        <v>N</v>
      </c>
      <c r="N638" s="116" t="str">
        <f>IF($L638&lt;&gt;"",VLOOKUP($L638,Categories!$E:$G,2,FALSE),IF($F638&lt;&gt;"","NO CAT",""))</f>
        <v>Not in Rate Base</v>
      </c>
      <c r="O638" s="116" t="str">
        <f>IF($L638&lt;&gt;"",VLOOKUP($L638,Categories!$E:$G,3,FALSE),IF($F638&lt;&gt;"","NO CAT",""))</f>
        <v>Deferrals Accruing Non-Cash Return   (other than ASGA)</v>
      </c>
      <c r="P638" s="170" t="s">
        <v>1186</v>
      </c>
      <c r="Q638" s="123" t="s">
        <v>1187</v>
      </c>
      <c r="R638" s="124">
        <v>0</v>
      </c>
      <c r="S638" s="124">
        <v>0</v>
      </c>
      <c r="T638" s="124">
        <v>1</v>
      </c>
      <c r="U638" s="121">
        <f t="shared" si="271"/>
        <v>0</v>
      </c>
      <c r="V638" s="121">
        <f t="shared" si="272"/>
        <v>0</v>
      </c>
      <c r="W638" s="121">
        <f t="shared" si="273"/>
        <v>-1785.2444412499999</v>
      </c>
      <c r="X638" s="121">
        <f t="shared" si="252"/>
        <v>-1785.2444412499999</v>
      </c>
      <c r="Y638" s="121">
        <f t="shared" si="274"/>
        <v>0</v>
      </c>
      <c r="Z638" s="121">
        <f t="shared" si="275"/>
        <v>0</v>
      </c>
      <c r="AA638" s="121">
        <f t="shared" si="276"/>
        <v>-2947.1605300000001</v>
      </c>
      <c r="AB638" s="121">
        <f t="shared" si="253"/>
        <v>-2947.1605300000001</v>
      </c>
      <c r="AC638" s="121"/>
      <c r="AD638" s="121"/>
      <c r="AE638" s="121"/>
      <c r="AF638" s="121"/>
      <c r="AG638" s="121">
        <v>-2136.9282199999998</v>
      </c>
      <c r="AH638" s="121">
        <v>-2238.8917299999994</v>
      </c>
      <c r="AI638" s="121">
        <v>-2341.2644499999997</v>
      </c>
      <c r="AJ638" s="121">
        <v>-2443.6344899999999</v>
      </c>
      <c r="AK638" s="121">
        <v>-2545.3624</v>
      </c>
      <c r="AL638" s="121">
        <v>-2646.1237099999998</v>
      </c>
      <c r="AM638" s="121">
        <v>-2747.5679100000002</v>
      </c>
      <c r="AN638" s="121">
        <v>-2849.5801200000001</v>
      </c>
      <c r="AO638" s="121">
        <v>-2947.1605300000001</v>
      </c>
      <c r="AP638" s="125" t="str">
        <f>CONCATENATE(A638,M638)</f>
        <v>Reg AssetN</v>
      </c>
      <c r="AQ638" s="125" t="str">
        <f>CONCATENATE(AP638,L638,H638)</f>
        <v>Reg AssetNN10Variable Rate Debt</v>
      </c>
      <c r="AS638" s="125" t="str">
        <f>CONCATENATE(L638,H638,J638)</f>
        <v>N10Variable Rate DebtNCR</v>
      </c>
    </row>
    <row r="639" spans="1:45" s="125" customFormat="1" ht="25.5" customHeight="1">
      <c r="A639" s="216" t="s">
        <v>1442</v>
      </c>
      <c r="B639" s="217" t="str">
        <f t="shared" si="277"/>
        <v>Reg Asset254022601139BE030192</v>
      </c>
      <c r="C639" s="186">
        <v>254022</v>
      </c>
      <c r="D639" s="201">
        <v>601139</v>
      </c>
      <c r="E639" s="162" t="s">
        <v>1156</v>
      </c>
      <c r="F639" s="169" t="s">
        <v>1936</v>
      </c>
      <c r="G639" s="117" t="s">
        <v>4780</v>
      </c>
      <c r="H639" s="118" t="s">
        <v>891</v>
      </c>
      <c r="I639" s="119"/>
      <c r="J639" s="120" t="s">
        <v>105</v>
      </c>
      <c r="K639" s="120" t="str">
        <f t="shared" si="278"/>
        <v/>
      </c>
      <c r="L639" s="170" t="s">
        <v>2821</v>
      </c>
      <c r="M639" s="122" t="str">
        <f t="shared" si="270"/>
        <v>N</v>
      </c>
      <c r="N639" s="116" t="str">
        <f>IF($L639&lt;&gt;"",VLOOKUP($L639,Categories!$E:$G,2,FALSE),IF($F639&lt;&gt;"","NO CAT",""))</f>
        <v>Not in Rate Base</v>
      </c>
      <c r="O639" s="116" t="str">
        <f>IF($L639&lt;&gt;"",VLOOKUP($L639,Categories!$E:$G,3,FALSE),IF($F639&lt;&gt;"","NO CAT",""))</f>
        <v>Deferrals Accruing Non-Cash Return   (other than ASGA)</v>
      </c>
      <c r="P639" s="170" t="s">
        <v>1186</v>
      </c>
      <c r="Q639" s="123" t="s">
        <v>1187</v>
      </c>
      <c r="R639" s="124">
        <v>0</v>
      </c>
      <c r="S639" s="124">
        <v>0</v>
      </c>
      <c r="T639" s="124">
        <v>1</v>
      </c>
      <c r="U639" s="121">
        <f t="shared" si="271"/>
        <v>0</v>
      </c>
      <c r="V639" s="121">
        <f t="shared" si="272"/>
        <v>0</v>
      </c>
      <c r="W639" s="121">
        <f t="shared" si="273"/>
        <v>-15097.70795625</v>
      </c>
      <c r="X639" s="121">
        <f t="shared" si="252"/>
        <v>-15097.70795625</v>
      </c>
      <c r="Y639" s="121">
        <f t="shared" si="274"/>
        <v>0</v>
      </c>
      <c r="Z639" s="121">
        <f t="shared" si="275"/>
        <v>0</v>
      </c>
      <c r="AA639" s="121">
        <f t="shared" si="276"/>
        <v>-35137.827369999999</v>
      </c>
      <c r="AB639" s="121">
        <f t="shared" si="253"/>
        <v>-35137.827369999999</v>
      </c>
      <c r="AC639" s="121"/>
      <c r="AD639" s="121"/>
      <c r="AE639" s="121"/>
      <c r="AF639" s="121"/>
      <c r="AG639" s="121"/>
      <c r="AH639" s="121"/>
      <c r="AI639" s="121"/>
      <c r="AJ639" s="121">
        <v>-31535.370309999998</v>
      </c>
      <c r="AK639" s="121">
        <v>-32541.217139999997</v>
      </c>
      <c r="AL639" s="121">
        <v>-32262.456149999998</v>
      </c>
      <c r="AM639" s="121">
        <v>-33176.564939999997</v>
      </c>
      <c r="AN639" s="121">
        <v>-34087.973250000003</v>
      </c>
      <c r="AO639" s="121">
        <v>-35137.827369999999</v>
      </c>
      <c r="AP639" s="125" t="str">
        <f>CONCATENATE(A639,M639)</f>
        <v>Reg AssetN</v>
      </c>
      <c r="AQ639" s="125" t="str">
        <f>CONCATENATE(AP639,L639,H639)</f>
        <v>Reg AssetNN10Bonus Depreciation</v>
      </c>
      <c r="AS639" s="125" t="str">
        <f>CONCATENATE(L639,H639,J639)</f>
        <v>N10Bonus DepreciationNCR</v>
      </c>
    </row>
    <row r="640" spans="1:45" s="125" customFormat="1" ht="25.5" customHeight="1">
      <c r="A640" s="216" t="s">
        <v>1442</v>
      </c>
      <c r="B640" s="217" t="str">
        <f t="shared" si="277"/>
        <v>Reg Asset254022601140BG030588</v>
      </c>
      <c r="C640" s="186">
        <v>254022</v>
      </c>
      <c r="D640" s="201" t="s">
        <v>4778</v>
      </c>
      <c r="E640" s="162" t="s">
        <v>4779</v>
      </c>
      <c r="F640" s="169" t="s">
        <v>1936</v>
      </c>
      <c r="G640" s="117" t="s">
        <v>4781</v>
      </c>
      <c r="H640" s="118" t="s">
        <v>891</v>
      </c>
      <c r="I640" s="119"/>
      <c r="J640" s="120" t="s">
        <v>105</v>
      </c>
      <c r="K640" s="120" t="str">
        <f t="shared" si="278"/>
        <v/>
      </c>
      <c r="L640" s="170" t="s">
        <v>2821</v>
      </c>
      <c r="M640" s="122" t="str">
        <f t="shared" si="270"/>
        <v>N</v>
      </c>
      <c r="N640" s="116" t="str">
        <f>IF($L640&lt;&gt;"",VLOOKUP($L640,Categories!$E:$G,2,FALSE),IF($F640&lt;&gt;"","NO CAT",""))</f>
        <v>Not in Rate Base</v>
      </c>
      <c r="O640" s="116" t="str">
        <f>IF($L640&lt;&gt;"",VLOOKUP($L640,Categories!$E:$G,3,FALSE),IF($F640&lt;&gt;"","NO CAT",""))</f>
        <v>Deferrals Accruing Non-Cash Return   (other than ASGA)</v>
      </c>
      <c r="P640" s="170" t="s">
        <v>1186</v>
      </c>
      <c r="Q640" s="123" t="s">
        <v>1187</v>
      </c>
      <c r="R640" s="124">
        <v>0</v>
      </c>
      <c r="S640" s="124">
        <v>0</v>
      </c>
      <c r="T640" s="124">
        <v>1</v>
      </c>
      <c r="U640" s="121">
        <f t="shared" si="271"/>
        <v>0</v>
      </c>
      <c r="V640" s="121">
        <f t="shared" si="272"/>
        <v>0</v>
      </c>
      <c r="W640" s="121">
        <f t="shared" si="273"/>
        <v>-3140.5095820833299</v>
      </c>
      <c r="X640" s="121">
        <f t="shared" si="252"/>
        <v>-3140.5095820833299</v>
      </c>
      <c r="Y640" s="121">
        <f t="shared" si="274"/>
        <v>0</v>
      </c>
      <c r="Z640" s="121">
        <f t="shared" si="275"/>
        <v>0</v>
      </c>
      <c r="AA640" s="121">
        <f t="shared" si="276"/>
        <v>-7463.2151299999996</v>
      </c>
      <c r="AB640" s="121">
        <f t="shared" si="253"/>
        <v>-7463.2151299999996</v>
      </c>
      <c r="AC640" s="121"/>
      <c r="AD640" s="121"/>
      <c r="AE640" s="121"/>
      <c r="AF640" s="121"/>
      <c r="AG640" s="121"/>
      <c r="AH640" s="121"/>
      <c r="AI640" s="121"/>
      <c r="AJ640" s="121">
        <v>-6373.8057600000002</v>
      </c>
      <c r="AK640" s="121">
        <v>-6588.39887</v>
      </c>
      <c r="AL640" s="121">
        <v>-6785.2356300000001</v>
      </c>
      <c r="AM640" s="121">
        <v>-6997.5963999999994</v>
      </c>
      <c r="AN640" s="121">
        <v>-7209.4707600000002</v>
      </c>
      <c r="AO640" s="121">
        <v>-7463.2151299999996</v>
      </c>
      <c r="AP640" s="125" t="str">
        <f>CONCATENATE(A640,M640)</f>
        <v>Reg AssetN</v>
      </c>
      <c r="AQ640" s="125" t="str">
        <f>CONCATENATE(AP640,L640,H640)</f>
        <v>Reg AssetNN10Bonus Depreciation</v>
      </c>
      <c r="AS640" s="125" t="str">
        <f>CONCATENATE(L640,H640,J640)</f>
        <v>N10Bonus DepreciationNCR</v>
      </c>
    </row>
    <row r="641" spans="1:45" s="125" customFormat="1" ht="25.5" customHeight="1">
      <c r="A641" s="216" t="s">
        <v>1442</v>
      </c>
      <c r="B641" s="217" t="str">
        <f t="shared" si="245"/>
        <v>Reg Asset254025800127BE030196</v>
      </c>
      <c r="C641" s="186">
        <v>254025</v>
      </c>
      <c r="D641" s="201">
        <v>800127</v>
      </c>
      <c r="E641" s="162" t="s">
        <v>3194</v>
      </c>
      <c r="F641" s="169" t="s">
        <v>1812</v>
      </c>
      <c r="G641" s="117" t="s">
        <v>2229</v>
      </c>
      <c r="H641" s="118" t="s">
        <v>310</v>
      </c>
      <c r="I641" s="120"/>
      <c r="J641" s="120"/>
      <c r="K641" s="120" t="str">
        <f t="shared" si="244"/>
        <v/>
      </c>
      <c r="L641" s="170" t="s">
        <v>2821</v>
      </c>
      <c r="M641" s="122" t="str">
        <f t="shared" si="212"/>
        <v>N</v>
      </c>
      <c r="N641" s="116" t="str">
        <f>IF($L641&lt;&gt;"",VLOOKUP($L641,Categories!$E:$G,2,FALSE),IF($F641&lt;&gt;"","NO CAT",""))</f>
        <v>Not in Rate Base</v>
      </c>
      <c r="O641" s="116" t="str">
        <f>IF($L641&lt;&gt;"",VLOOKUP($L641,Categories!$E:$G,3,FALSE),IF($F641&lt;&gt;"","NO CAT",""))</f>
        <v>Deferrals Accruing Non-Cash Return   (other than ASGA)</v>
      </c>
      <c r="P641" s="170" t="s">
        <v>1186</v>
      </c>
      <c r="Q641" s="123" t="s">
        <v>1187</v>
      </c>
      <c r="R641" s="124">
        <v>0</v>
      </c>
      <c r="S641" s="124">
        <v>0</v>
      </c>
      <c r="T641" s="124">
        <v>1</v>
      </c>
      <c r="U641" s="121">
        <f t="shared" si="246"/>
        <v>0</v>
      </c>
      <c r="V641" s="121">
        <f t="shared" si="247"/>
        <v>0</v>
      </c>
      <c r="W641" s="121">
        <f t="shared" si="248"/>
        <v>-2102.9870000000001</v>
      </c>
      <c r="X641" s="121">
        <f t="shared" si="252"/>
        <v>-2102.9870000000001</v>
      </c>
      <c r="Y641" s="121">
        <f t="shared" si="249"/>
        <v>0</v>
      </c>
      <c r="Z641" s="121">
        <f t="shared" si="250"/>
        <v>0</v>
      </c>
      <c r="AA641" s="121">
        <f t="shared" si="251"/>
        <v>-2102.9870000000001</v>
      </c>
      <c r="AB641" s="121">
        <f t="shared" si="253"/>
        <v>-2102.9870000000001</v>
      </c>
      <c r="AC641" s="121">
        <v>-2102.9870000000001</v>
      </c>
      <c r="AD641" s="121">
        <v>-2102.9870000000001</v>
      </c>
      <c r="AE641" s="121">
        <v>-2102.9870000000001</v>
      </c>
      <c r="AF641" s="121">
        <v>-2102.9870000000001</v>
      </c>
      <c r="AG641" s="121">
        <v>-2102.9870000000001</v>
      </c>
      <c r="AH641" s="121">
        <v>-2102.9870000000001</v>
      </c>
      <c r="AI641" s="121">
        <v>-2102.9870000000001</v>
      </c>
      <c r="AJ641" s="121">
        <v>-2102.9870000000001</v>
      </c>
      <c r="AK641" s="121">
        <v>-2102.9870000000001</v>
      </c>
      <c r="AL641" s="121">
        <v>-2102.9870000000001</v>
      </c>
      <c r="AM641" s="121">
        <v>-2102.9870000000001</v>
      </c>
      <c r="AN641" s="121">
        <v>-2102.9870000000001</v>
      </c>
      <c r="AO641" s="121">
        <v>-2102.9870000000001</v>
      </c>
      <c r="AP641" s="125" t="str">
        <f>CONCATENATE(A641,M641)</f>
        <v>Reg AssetN</v>
      </c>
      <c r="AQ641" s="125" t="str">
        <f>CONCATENATE(AP641,L641,H641)</f>
        <v>Reg AssetNN10Economic Development</v>
      </c>
      <c r="AS641" s="125" t="str">
        <f>CONCATENATE(L641,H641,J641)</f>
        <v>N10Economic Development</v>
      </c>
    </row>
    <row r="642" spans="1:45" s="125" customFormat="1" ht="25.5" customHeight="1">
      <c r="A642" s="216" t="s">
        <v>1442</v>
      </c>
      <c r="B642" s="217" t="str">
        <f t="shared" si="245"/>
        <v>Reg Asset254025800128BE030196</v>
      </c>
      <c r="C642" s="186">
        <v>254025</v>
      </c>
      <c r="D642" s="201">
        <v>800128</v>
      </c>
      <c r="E642" s="162" t="s">
        <v>3194</v>
      </c>
      <c r="F642" s="169" t="s">
        <v>1812</v>
      </c>
      <c r="G642" s="117" t="s">
        <v>1297</v>
      </c>
      <c r="H642" s="118" t="s">
        <v>310</v>
      </c>
      <c r="I642" s="120"/>
      <c r="J642" s="120"/>
      <c r="K642" s="120" t="str">
        <f t="shared" si="244"/>
        <v/>
      </c>
      <c r="L642" s="170" t="s">
        <v>2821</v>
      </c>
      <c r="M642" s="122" t="str">
        <f t="shared" si="212"/>
        <v>N</v>
      </c>
      <c r="N642" s="116" t="str">
        <f>IF($L642&lt;&gt;"",VLOOKUP($L642,Categories!$E:$G,2,FALSE),IF($F642&lt;&gt;"","NO CAT",""))</f>
        <v>Not in Rate Base</v>
      </c>
      <c r="O642" s="116" t="str">
        <f>IF($L642&lt;&gt;"",VLOOKUP($L642,Categories!$E:$G,3,FALSE),IF($F642&lt;&gt;"","NO CAT",""))</f>
        <v>Deferrals Accruing Non-Cash Return   (other than ASGA)</v>
      </c>
      <c r="P642" s="170" t="s">
        <v>1186</v>
      </c>
      <c r="Q642" s="123" t="s">
        <v>1187</v>
      </c>
      <c r="R642" s="124">
        <v>0</v>
      </c>
      <c r="S642" s="124">
        <v>0</v>
      </c>
      <c r="T642" s="124">
        <v>1</v>
      </c>
      <c r="U642" s="121">
        <f t="shared" si="246"/>
        <v>0</v>
      </c>
      <c r="V642" s="121">
        <f t="shared" si="247"/>
        <v>0</v>
      </c>
      <c r="W642" s="121">
        <f t="shared" si="248"/>
        <v>-828.91777999999999</v>
      </c>
      <c r="X642" s="121">
        <f t="shared" si="252"/>
        <v>-828.91777999999999</v>
      </c>
      <c r="Y642" s="121">
        <f t="shared" si="249"/>
        <v>0</v>
      </c>
      <c r="Z642" s="121">
        <f t="shared" si="250"/>
        <v>0</v>
      </c>
      <c r="AA642" s="121">
        <f t="shared" si="251"/>
        <v>-828.91777999999999</v>
      </c>
      <c r="AB642" s="121">
        <f t="shared" si="253"/>
        <v>-828.91777999999999</v>
      </c>
      <c r="AC642" s="121">
        <v>-828.91777999999999</v>
      </c>
      <c r="AD642" s="121">
        <v>-828.91777999999999</v>
      </c>
      <c r="AE642" s="121">
        <v>-828.91777999999999</v>
      </c>
      <c r="AF642" s="121">
        <v>-828.91777999999999</v>
      </c>
      <c r="AG642" s="121">
        <v>-828.91777999999999</v>
      </c>
      <c r="AH642" s="121">
        <v>-828.91777999999999</v>
      </c>
      <c r="AI642" s="121">
        <v>-828.91777999999999</v>
      </c>
      <c r="AJ642" s="121">
        <v>-828.91777999999999</v>
      </c>
      <c r="AK642" s="121">
        <v>-828.91777999999999</v>
      </c>
      <c r="AL642" s="121">
        <v>-828.91777999999999</v>
      </c>
      <c r="AM642" s="121">
        <v>-828.91777999999999</v>
      </c>
      <c r="AN642" s="121">
        <v>-828.91777999999999</v>
      </c>
      <c r="AO642" s="121">
        <v>-828.91777999999999</v>
      </c>
      <c r="AP642" s="125" t="str">
        <f>CONCATENATE(A642,M642)</f>
        <v>Reg AssetN</v>
      </c>
      <c r="AQ642" s="125" t="str">
        <f>CONCATENATE(AP642,L642,H642)</f>
        <v>Reg AssetNN10Economic Development</v>
      </c>
      <c r="AS642" s="125" t="str">
        <f>CONCATENATE(L642,H642,J642)</f>
        <v>N10Economic Development</v>
      </c>
    </row>
    <row r="643" spans="1:45" s="125" customFormat="1" ht="25.5" customHeight="1">
      <c r="A643" s="216" t="s">
        <v>1442</v>
      </c>
      <c r="B643" s="217" t="str">
        <f t="shared" si="245"/>
        <v>Reg Asset254025800129BE030196</v>
      </c>
      <c r="C643" s="186">
        <v>254025</v>
      </c>
      <c r="D643" s="201">
        <v>800129</v>
      </c>
      <c r="E643" s="162" t="s">
        <v>3194</v>
      </c>
      <c r="F643" s="169" t="s">
        <v>1812</v>
      </c>
      <c r="G643" s="117" t="s">
        <v>2194</v>
      </c>
      <c r="H643" s="118" t="s">
        <v>310</v>
      </c>
      <c r="I643" s="120"/>
      <c r="J643" s="120"/>
      <c r="K643" s="120" t="str">
        <f t="shared" si="244"/>
        <v/>
      </c>
      <c r="L643" s="170" t="s">
        <v>2821</v>
      </c>
      <c r="M643" s="122" t="str">
        <f t="shared" si="212"/>
        <v>N</v>
      </c>
      <c r="N643" s="116" t="str">
        <f>IF($L643&lt;&gt;"",VLOOKUP($L643,Categories!$E:$G,2,FALSE),IF($F643&lt;&gt;"","NO CAT",""))</f>
        <v>Not in Rate Base</v>
      </c>
      <c r="O643" s="116" t="str">
        <f>IF($L643&lt;&gt;"",VLOOKUP($L643,Categories!$E:$G,3,FALSE),IF($F643&lt;&gt;"","NO CAT",""))</f>
        <v>Deferrals Accruing Non-Cash Return   (other than ASGA)</v>
      </c>
      <c r="P643" s="170" t="s">
        <v>1186</v>
      </c>
      <c r="Q643" s="123" t="s">
        <v>1187</v>
      </c>
      <c r="R643" s="124">
        <v>0</v>
      </c>
      <c r="S643" s="124">
        <v>0</v>
      </c>
      <c r="T643" s="124">
        <v>1</v>
      </c>
      <c r="U643" s="121">
        <f t="shared" si="246"/>
        <v>0</v>
      </c>
      <c r="V643" s="121">
        <f t="shared" si="247"/>
        <v>0</v>
      </c>
      <c r="W643" s="121">
        <f t="shared" si="248"/>
        <v>-1280.6543899999999</v>
      </c>
      <c r="X643" s="121">
        <f t="shared" si="252"/>
        <v>-1280.6543899999999</v>
      </c>
      <c r="Y643" s="121">
        <f t="shared" si="249"/>
        <v>0</v>
      </c>
      <c r="Z643" s="121">
        <f t="shared" si="250"/>
        <v>0</v>
      </c>
      <c r="AA643" s="121">
        <f t="shared" si="251"/>
        <v>-1280.6543899999999</v>
      </c>
      <c r="AB643" s="121">
        <f t="shared" si="253"/>
        <v>-1280.6543899999999</v>
      </c>
      <c r="AC643" s="121">
        <v>-1280.6543899999999</v>
      </c>
      <c r="AD643" s="121">
        <v>-1280.6543899999999</v>
      </c>
      <c r="AE643" s="121">
        <v>-1280.6543899999999</v>
      </c>
      <c r="AF643" s="121">
        <v>-1280.6543899999999</v>
      </c>
      <c r="AG643" s="121">
        <v>-1280.6543899999999</v>
      </c>
      <c r="AH643" s="121">
        <v>-1280.6543899999999</v>
      </c>
      <c r="AI643" s="121">
        <v>-1280.6543899999999</v>
      </c>
      <c r="AJ643" s="121">
        <v>-1280.6543899999999</v>
      </c>
      <c r="AK643" s="121">
        <v>-1280.6543899999999</v>
      </c>
      <c r="AL643" s="121">
        <v>-1280.6543899999999</v>
      </c>
      <c r="AM643" s="121">
        <v>-1280.6543899999999</v>
      </c>
      <c r="AN643" s="121">
        <v>-1280.6543899999999</v>
      </c>
      <c r="AO643" s="121">
        <v>-1280.6543899999999</v>
      </c>
      <c r="AP643" s="125" t="str">
        <f>CONCATENATE(A643,M643)</f>
        <v>Reg AssetN</v>
      </c>
      <c r="AQ643" s="125" t="str">
        <f>CONCATENATE(AP643,L643,H643)</f>
        <v>Reg AssetNN10Economic Development</v>
      </c>
      <c r="AS643" s="125" t="str">
        <f>CONCATENATE(L643,H643,J643)</f>
        <v>N10Economic Development</v>
      </c>
    </row>
    <row r="644" spans="1:45" s="125" customFormat="1" ht="25.5" customHeight="1">
      <c r="A644" s="216" t="s">
        <v>1442</v>
      </c>
      <c r="B644" s="217" t="str">
        <f t="shared" si="245"/>
        <v>Reg Asset254025800160BE030196</v>
      </c>
      <c r="C644" s="186">
        <v>254025</v>
      </c>
      <c r="D644" s="201">
        <v>800160</v>
      </c>
      <c r="E644" s="162" t="s">
        <v>3194</v>
      </c>
      <c r="F644" s="169" t="s">
        <v>1812</v>
      </c>
      <c r="G644" s="117" t="s">
        <v>2195</v>
      </c>
      <c r="H644" s="118" t="s">
        <v>310</v>
      </c>
      <c r="I644" s="120"/>
      <c r="J644" s="120"/>
      <c r="K644" s="120" t="str">
        <f t="shared" si="244"/>
        <v/>
      </c>
      <c r="L644" s="170" t="s">
        <v>2821</v>
      </c>
      <c r="M644" s="122" t="str">
        <f t="shared" si="212"/>
        <v>N</v>
      </c>
      <c r="N644" s="116" t="str">
        <f>IF($L644&lt;&gt;"",VLOOKUP($L644,Categories!$E:$G,2,FALSE),IF($F644&lt;&gt;"","NO CAT",""))</f>
        <v>Not in Rate Base</v>
      </c>
      <c r="O644" s="116" t="str">
        <f>IF($L644&lt;&gt;"",VLOOKUP($L644,Categories!$E:$G,3,FALSE),IF($F644&lt;&gt;"","NO CAT",""))</f>
        <v>Deferrals Accruing Non-Cash Return   (other than ASGA)</v>
      </c>
      <c r="P644" s="170" t="s">
        <v>1186</v>
      </c>
      <c r="Q644" s="123" t="s">
        <v>1187</v>
      </c>
      <c r="R644" s="124">
        <v>0</v>
      </c>
      <c r="S644" s="124">
        <v>0</v>
      </c>
      <c r="T644" s="124">
        <v>1</v>
      </c>
      <c r="U644" s="121">
        <f t="shared" si="246"/>
        <v>0</v>
      </c>
      <c r="V644" s="121">
        <f t="shared" si="247"/>
        <v>0</v>
      </c>
      <c r="W644" s="121">
        <f t="shared" si="248"/>
        <v>-2721.17</v>
      </c>
      <c r="X644" s="121">
        <f t="shared" si="252"/>
        <v>-2721.17</v>
      </c>
      <c r="Y644" s="121">
        <f t="shared" si="249"/>
        <v>0</v>
      </c>
      <c r="Z644" s="121">
        <f t="shared" si="250"/>
        <v>0</v>
      </c>
      <c r="AA644" s="121">
        <f t="shared" si="251"/>
        <v>-2721.17</v>
      </c>
      <c r="AB644" s="121">
        <f t="shared" si="253"/>
        <v>-2721.17</v>
      </c>
      <c r="AC644" s="121">
        <v>-2721.17</v>
      </c>
      <c r="AD644" s="121">
        <v>-2721.17</v>
      </c>
      <c r="AE644" s="121">
        <v>-2721.17</v>
      </c>
      <c r="AF644" s="121">
        <v>-2721.17</v>
      </c>
      <c r="AG644" s="121">
        <v>-2721.17</v>
      </c>
      <c r="AH644" s="121">
        <v>-2721.17</v>
      </c>
      <c r="AI644" s="121">
        <v>-2721.17</v>
      </c>
      <c r="AJ644" s="121">
        <v>-2721.17</v>
      </c>
      <c r="AK644" s="121">
        <v>-2721.17</v>
      </c>
      <c r="AL644" s="121">
        <v>-2721.17</v>
      </c>
      <c r="AM644" s="121">
        <v>-2721.17</v>
      </c>
      <c r="AN644" s="121">
        <v>-2721.17</v>
      </c>
      <c r="AO644" s="121">
        <v>-2721.17</v>
      </c>
      <c r="AP644" s="125" t="str">
        <f>CONCATENATE(A644,M644)</f>
        <v>Reg AssetN</v>
      </c>
      <c r="AQ644" s="125" t="str">
        <f>CONCATENATE(AP644,L644,H644)</f>
        <v>Reg AssetNN10Economic Development</v>
      </c>
      <c r="AS644" s="125" t="str">
        <f>CONCATENATE(L644,H644,J644)</f>
        <v>N10Economic Development</v>
      </c>
    </row>
    <row r="645" spans="1:45" s="125" customFormat="1" ht="25.5" customHeight="1">
      <c r="A645" s="216" t="s">
        <v>1442</v>
      </c>
      <c r="B645" s="217" t="str">
        <f t="shared" si="245"/>
        <v>Reg Asset254025807015BE030196</v>
      </c>
      <c r="C645" s="186">
        <v>254025</v>
      </c>
      <c r="D645" s="201" t="s">
        <v>2307</v>
      </c>
      <c r="E645" s="162" t="s">
        <v>3194</v>
      </c>
      <c r="F645" s="169" t="s">
        <v>1812</v>
      </c>
      <c r="G645" s="117" t="s">
        <v>2196</v>
      </c>
      <c r="H645" s="118" t="s">
        <v>310</v>
      </c>
      <c r="I645" s="120"/>
      <c r="J645" s="120"/>
      <c r="K645" s="120" t="str">
        <f t="shared" si="244"/>
        <v/>
      </c>
      <c r="L645" s="170" t="s">
        <v>2821</v>
      </c>
      <c r="M645" s="122" t="str">
        <f t="shared" si="212"/>
        <v>N</v>
      </c>
      <c r="N645" s="116" t="str">
        <f>IF($L645&lt;&gt;"",VLOOKUP($L645,Categories!$E:$G,2,FALSE),IF($F645&lt;&gt;"","NO CAT",""))</f>
        <v>Not in Rate Base</v>
      </c>
      <c r="O645" s="116" t="str">
        <f>IF($L645&lt;&gt;"",VLOOKUP($L645,Categories!$E:$G,3,FALSE),IF($F645&lt;&gt;"","NO CAT",""))</f>
        <v>Deferrals Accruing Non-Cash Return   (other than ASGA)</v>
      </c>
      <c r="P645" s="170" t="s">
        <v>1186</v>
      </c>
      <c r="Q645" s="123" t="s">
        <v>1187</v>
      </c>
      <c r="R645" s="124">
        <v>0</v>
      </c>
      <c r="S645" s="124">
        <v>0</v>
      </c>
      <c r="T645" s="124">
        <v>1</v>
      </c>
      <c r="U645" s="121">
        <f t="shared" si="246"/>
        <v>0</v>
      </c>
      <c r="V645" s="121">
        <f t="shared" si="247"/>
        <v>0</v>
      </c>
      <c r="W645" s="121">
        <f t="shared" si="248"/>
        <v>5689.25785</v>
      </c>
      <c r="X645" s="121">
        <f t="shared" si="252"/>
        <v>5689.25785</v>
      </c>
      <c r="Y645" s="121">
        <f t="shared" si="249"/>
        <v>0</v>
      </c>
      <c r="Z645" s="121">
        <f t="shared" si="250"/>
        <v>0</v>
      </c>
      <c r="AA645" s="121">
        <f t="shared" si="251"/>
        <v>5689.25785</v>
      </c>
      <c r="AB645" s="121">
        <f t="shared" si="253"/>
        <v>5689.25785</v>
      </c>
      <c r="AC645" s="121">
        <v>5689.25785</v>
      </c>
      <c r="AD645" s="121">
        <v>5689.25785</v>
      </c>
      <c r="AE645" s="121">
        <v>5689.25785</v>
      </c>
      <c r="AF645" s="121">
        <v>5689.25785</v>
      </c>
      <c r="AG645" s="121">
        <v>5689.25785</v>
      </c>
      <c r="AH645" s="121">
        <v>5689.25785</v>
      </c>
      <c r="AI645" s="121">
        <v>5689.25785</v>
      </c>
      <c r="AJ645" s="121">
        <v>5689.25785</v>
      </c>
      <c r="AK645" s="121">
        <v>5689.25785</v>
      </c>
      <c r="AL645" s="121">
        <v>5689.25785</v>
      </c>
      <c r="AM645" s="121">
        <v>5689.25785</v>
      </c>
      <c r="AN645" s="121">
        <v>5689.25785</v>
      </c>
      <c r="AO645" s="121">
        <v>5689.25785</v>
      </c>
      <c r="AP645" s="125" t="str">
        <f>CONCATENATE(A645,M645)</f>
        <v>Reg AssetN</v>
      </c>
      <c r="AQ645" s="125" t="str">
        <f>CONCATENATE(AP645,L645,H645)</f>
        <v>Reg AssetNN10Economic Development</v>
      </c>
      <c r="AS645" s="125" t="str">
        <f>CONCATENATE(L645,H645,J645)</f>
        <v>N10Economic Development</v>
      </c>
    </row>
    <row r="646" spans="1:45" s="125" customFormat="1" ht="25.5" customHeight="1">
      <c r="A646" s="216" t="s">
        <v>1442</v>
      </c>
      <c r="B646" s="217" t="str">
        <f t="shared" si="245"/>
        <v>Reg Asset254025809002BE030196</v>
      </c>
      <c r="C646" s="186">
        <v>254025</v>
      </c>
      <c r="D646" s="201" t="s">
        <v>436</v>
      </c>
      <c r="E646" s="162" t="s">
        <v>3194</v>
      </c>
      <c r="F646" s="169" t="s">
        <v>1812</v>
      </c>
      <c r="G646" s="117" t="s">
        <v>2461</v>
      </c>
      <c r="H646" s="118" t="s">
        <v>310</v>
      </c>
      <c r="I646" s="120"/>
      <c r="J646" s="120"/>
      <c r="K646" s="120" t="str">
        <f t="shared" si="244"/>
        <v/>
      </c>
      <c r="L646" s="170" t="s">
        <v>2821</v>
      </c>
      <c r="M646" s="122" t="str">
        <f t="shared" si="212"/>
        <v>N</v>
      </c>
      <c r="N646" s="116" t="str">
        <f>IF($L646&lt;&gt;"",VLOOKUP($L646,Categories!$E:$G,2,FALSE),IF($F646&lt;&gt;"","NO CAT",""))</f>
        <v>Not in Rate Base</v>
      </c>
      <c r="O646" s="116" t="str">
        <f>IF($L646&lt;&gt;"",VLOOKUP($L646,Categories!$E:$G,3,FALSE),IF($F646&lt;&gt;"","NO CAT",""))</f>
        <v>Deferrals Accruing Non-Cash Return   (other than ASGA)</v>
      </c>
      <c r="P646" s="170" t="s">
        <v>1186</v>
      </c>
      <c r="Q646" s="123" t="s">
        <v>1187</v>
      </c>
      <c r="R646" s="124">
        <v>0</v>
      </c>
      <c r="S646" s="124">
        <v>0</v>
      </c>
      <c r="T646" s="124">
        <v>1</v>
      </c>
      <c r="U646" s="121">
        <f t="shared" si="246"/>
        <v>0</v>
      </c>
      <c r="V646" s="121">
        <f t="shared" si="247"/>
        <v>0</v>
      </c>
      <c r="W646" s="121">
        <f t="shared" si="248"/>
        <v>-9195.8144900000007</v>
      </c>
      <c r="X646" s="121">
        <f t="shared" si="252"/>
        <v>-9195.8144900000007</v>
      </c>
      <c r="Y646" s="121">
        <f t="shared" si="249"/>
        <v>0</v>
      </c>
      <c r="Z646" s="121">
        <f t="shared" si="250"/>
        <v>0</v>
      </c>
      <c r="AA646" s="121">
        <f t="shared" si="251"/>
        <v>-9195.8144900000007</v>
      </c>
      <c r="AB646" s="121">
        <f t="shared" si="253"/>
        <v>-9195.8144899999988</v>
      </c>
      <c r="AC646" s="121">
        <v>-9195.8144899999988</v>
      </c>
      <c r="AD646" s="121">
        <v>-9195.8144899999988</v>
      </c>
      <c r="AE646" s="121">
        <v>-9195.8144899999988</v>
      </c>
      <c r="AF646" s="121">
        <v>-9195.8144899999988</v>
      </c>
      <c r="AG646" s="121">
        <v>-9195.8144899999988</v>
      </c>
      <c r="AH646" s="121">
        <v>-9195.8144899999988</v>
      </c>
      <c r="AI646" s="121">
        <v>-9195.8144899999988</v>
      </c>
      <c r="AJ646" s="121">
        <v>-9195.8144899999988</v>
      </c>
      <c r="AK646" s="121">
        <v>-9195.8144899999988</v>
      </c>
      <c r="AL646" s="121">
        <v>-9195.8144899999988</v>
      </c>
      <c r="AM646" s="121">
        <v>-9195.8144899999988</v>
      </c>
      <c r="AN646" s="121">
        <v>-9195.8144899999988</v>
      </c>
      <c r="AO646" s="121">
        <v>-9195.8144899999988</v>
      </c>
      <c r="AP646" s="125" t="str">
        <f>CONCATENATE(A646,M646)</f>
        <v>Reg AssetN</v>
      </c>
      <c r="AQ646" s="125" t="str">
        <f>CONCATENATE(AP646,L646,H646)</f>
        <v>Reg AssetNN10Economic Development</v>
      </c>
      <c r="AS646" s="125" t="str">
        <f>CONCATENATE(L646,H646,J646)</f>
        <v>N10Economic Development</v>
      </c>
    </row>
    <row r="647" spans="1:45" s="125" customFormat="1" ht="25.5" customHeight="1">
      <c r="A647" s="216" t="s">
        <v>1442</v>
      </c>
      <c r="B647" s="217" t="str">
        <f t="shared" si="245"/>
        <v>Reg Asset254025808014BE030196</v>
      </c>
      <c r="C647" s="186">
        <v>254025</v>
      </c>
      <c r="D647" s="201" t="s">
        <v>1475</v>
      </c>
      <c r="E647" s="162" t="s">
        <v>3194</v>
      </c>
      <c r="F647" s="169" t="s">
        <v>1812</v>
      </c>
      <c r="G647" s="117" t="s">
        <v>1476</v>
      </c>
      <c r="H647" s="118" t="s">
        <v>310</v>
      </c>
      <c r="I647" s="120"/>
      <c r="J647" s="120"/>
      <c r="K647" s="120" t="str">
        <f t="shared" si="244"/>
        <v/>
      </c>
      <c r="L647" s="170" t="s">
        <v>2821</v>
      </c>
      <c r="M647" s="122" t="str">
        <f t="shared" si="212"/>
        <v>N</v>
      </c>
      <c r="N647" s="116" t="str">
        <f>IF($L647&lt;&gt;"",VLOOKUP($L647,Categories!$E:$G,2,FALSE),IF($F647&lt;&gt;"","NO CAT",""))</f>
        <v>Not in Rate Base</v>
      </c>
      <c r="O647" s="116" t="str">
        <f>IF($L647&lt;&gt;"",VLOOKUP($L647,Categories!$E:$G,3,FALSE),IF($F647&lt;&gt;"","NO CAT",""))</f>
        <v>Deferrals Accruing Non-Cash Return   (other than ASGA)</v>
      </c>
      <c r="P647" s="170" t="s">
        <v>1186</v>
      </c>
      <c r="Q647" s="123" t="s">
        <v>1187</v>
      </c>
      <c r="R647" s="124">
        <v>0</v>
      </c>
      <c r="S647" s="124">
        <v>0</v>
      </c>
      <c r="T647" s="124">
        <v>1</v>
      </c>
      <c r="U647" s="121">
        <f t="shared" si="246"/>
        <v>0</v>
      </c>
      <c r="V647" s="121">
        <f t="shared" si="247"/>
        <v>0</v>
      </c>
      <c r="W647" s="121">
        <f t="shared" si="248"/>
        <v>2162.0169799999999</v>
      </c>
      <c r="X647" s="121">
        <f t="shared" si="252"/>
        <v>2162.0169799999999</v>
      </c>
      <c r="Y647" s="121">
        <f t="shared" si="249"/>
        <v>0</v>
      </c>
      <c r="Z647" s="121">
        <f t="shared" si="250"/>
        <v>0</v>
      </c>
      <c r="AA647" s="121">
        <f t="shared" si="251"/>
        <v>2162.0169799999999</v>
      </c>
      <c r="AB647" s="121">
        <f t="shared" si="253"/>
        <v>2162.0169799999999</v>
      </c>
      <c r="AC647" s="121">
        <v>2162.0169799999999</v>
      </c>
      <c r="AD647" s="121">
        <v>2162.0169799999999</v>
      </c>
      <c r="AE647" s="121">
        <v>2162.0169799999999</v>
      </c>
      <c r="AF647" s="121">
        <v>2162.0169799999999</v>
      </c>
      <c r="AG647" s="121">
        <v>2162.0169799999999</v>
      </c>
      <c r="AH647" s="121">
        <v>2162.0169799999999</v>
      </c>
      <c r="AI647" s="121">
        <v>2162.0169799999999</v>
      </c>
      <c r="AJ647" s="121">
        <v>2162.0169799999999</v>
      </c>
      <c r="AK647" s="121">
        <v>2162.0169799999999</v>
      </c>
      <c r="AL647" s="121">
        <v>2162.0169799999999</v>
      </c>
      <c r="AM647" s="121">
        <v>2162.0169799999999</v>
      </c>
      <c r="AN647" s="121">
        <v>2162.0169799999999</v>
      </c>
      <c r="AO647" s="121">
        <v>2162.0169799999999</v>
      </c>
      <c r="AP647" s="125" t="str">
        <f>CONCATENATE(A647,M647)</f>
        <v>Reg AssetN</v>
      </c>
      <c r="AQ647" s="125" t="str">
        <f>CONCATENATE(AP647,L647,H647)</f>
        <v>Reg AssetNN10Economic Development</v>
      </c>
      <c r="AS647" s="125" t="str">
        <f>CONCATENATE(L647,H647,J647)</f>
        <v>N10Economic Development</v>
      </c>
    </row>
    <row r="648" spans="1:45" s="125" customFormat="1" ht="25.5" customHeight="1">
      <c r="A648" s="216" t="s">
        <v>1442</v>
      </c>
      <c r="B648" s="217" t="str">
        <f t="shared" si="245"/>
        <v>Reg Asset254025809002-10BE030196</v>
      </c>
      <c r="C648" s="186">
        <v>254025</v>
      </c>
      <c r="D648" s="201" t="s">
        <v>2459</v>
      </c>
      <c r="E648" s="162" t="s">
        <v>3194</v>
      </c>
      <c r="F648" s="169" t="s">
        <v>1812</v>
      </c>
      <c r="G648" s="117" t="s">
        <v>2460</v>
      </c>
      <c r="H648" s="118" t="s">
        <v>310</v>
      </c>
      <c r="I648" s="120"/>
      <c r="J648" s="120"/>
      <c r="K648" s="120" t="str">
        <f t="shared" si="244"/>
        <v/>
      </c>
      <c r="L648" s="170" t="s">
        <v>2821</v>
      </c>
      <c r="M648" s="122" t="str">
        <f t="shared" si="212"/>
        <v>N</v>
      </c>
      <c r="N648" s="116" t="str">
        <f>IF($L648&lt;&gt;"",VLOOKUP($L648,Categories!$E:$G,2,FALSE),IF($F648&lt;&gt;"","NO CAT",""))</f>
        <v>Not in Rate Base</v>
      </c>
      <c r="O648" s="116" t="str">
        <f>IF($L648&lt;&gt;"",VLOOKUP($L648,Categories!$E:$G,3,FALSE),IF($F648&lt;&gt;"","NO CAT",""))</f>
        <v>Deferrals Accruing Non-Cash Return   (other than ASGA)</v>
      </c>
      <c r="P648" s="170" t="s">
        <v>1186</v>
      </c>
      <c r="Q648" s="123" t="s">
        <v>1187</v>
      </c>
      <c r="R648" s="124">
        <v>0</v>
      </c>
      <c r="S648" s="124">
        <v>0</v>
      </c>
      <c r="T648" s="124">
        <v>1</v>
      </c>
      <c r="U648" s="121">
        <f t="shared" si="246"/>
        <v>0</v>
      </c>
      <c r="V648" s="121">
        <f t="shared" si="247"/>
        <v>0</v>
      </c>
      <c r="W648" s="121">
        <f t="shared" si="248"/>
        <v>-10634.741180000001</v>
      </c>
      <c r="X648" s="121">
        <f t="shared" ref="X648:X679" si="279">IF(ISERROR(ROUND((SUM(AC648:AO648)-((AC648+AO648))/2)/12,15)),"",ROUND((SUM(AC648:AO648)-((AC648+AO648))/2)/12,15))</f>
        <v>-10634.741180000001</v>
      </c>
      <c r="Y648" s="121">
        <f t="shared" si="249"/>
        <v>0</v>
      </c>
      <c r="Z648" s="121">
        <f t="shared" si="250"/>
        <v>0</v>
      </c>
      <c r="AA648" s="121">
        <f t="shared" si="251"/>
        <v>-10634.741180000001</v>
      </c>
      <c r="AB648" s="121">
        <f t="shared" ref="AB648:AB679" si="280">IF(AO648="",0,+AO648)</f>
        <v>-10634.741179999999</v>
      </c>
      <c r="AC648" s="121">
        <v>-10634.741179999999</v>
      </c>
      <c r="AD648" s="121">
        <v>-10634.741179999999</v>
      </c>
      <c r="AE648" s="121">
        <v>-10634.741179999999</v>
      </c>
      <c r="AF648" s="121">
        <v>-10634.741179999999</v>
      </c>
      <c r="AG648" s="121">
        <v>-10634.741179999999</v>
      </c>
      <c r="AH648" s="121">
        <v>-10634.741179999999</v>
      </c>
      <c r="AI648" s="121">
        <v>-10634.741179999999</v>
      </c>
      <c r="AJ648" s="121">
        <v>-10634.741179999999</v>
      </c>
      <c r="AK648" s="121">
        <v>-10634.741179999999</v>
      </c>
      <c r="AL648" s="121">
        <v>-10634.741179999999</v>
      </c>
      <c r="AM648" s="121">
        <v>-10634.741179999999</v>
      </c>
      <c r="AN648" s="121">
        <v>-10634.741179999999</v>
      </c>
      <c r="AO648" s="121">
        <v>-10634.741179999999</v>
      </c>
      <c r="AP648" s="125" t="str">
        <f>CONCATENATE(A648,M648)</f>
        <v>Reg AssetN</v>
      </c>
      <c r="AQ648" s="125" t="str">
        <f>CONCATENATE(AP648,L648,H648)</f>
        <v>Reg AssetNN10Economic Development</v>
      </c>
      <c r="AS648" s="125" t="str">
        <f>CONCATENATE(L648,H648,J648)</f>
        <v>N10Economic Development</v>
      </c>
    </row>
    <row r="649" spans="1:45" s="125" customFormat="1" ht="25.5" customHeight="1">
      <c r="A649" s="216" t="s">
        <v>1442</v>
      </c>
      <c r="B649" s="217" t="str">
        <f t="shared" si="245"/>
        <v>Reg Asset254025801220BE030196</v>
      </c>
      <c r="C649" s="186">
        <v>254025</v>
      </c>
      <c r="D649" s="201">
        <v>801220</v>
      </c>
      <c r="E649" s="162" t="s">
        <v>3194</v>
      </c>
      <c r="F649" s="169" t="s">
        <v>1812</v>
      </c>
      <c r="G649" s="117" t="s">
        <v>1240</v>
      </c>
      <c r="H649" s="118" t="s">
        <v>310</v>
      </c>
      <c r="I649" s="120"/>
      <c r="J649" s="120" t="s">
        <v>105</v>
      </c>
      <c r="K649" s="120" t="str">
        <f t="shared" si="244"/>
        <v/>
      </c>
      <c r="L649" s="170" t="s">
        <v>2821</v>
      </c>
      <c r="M649" s="122" t="str">
        <f t="shared" si="212"/>
        <v>N</v>
      </c>
      <c r="N649" s="116" t="str">
        <f>IF($L649&lt;&gt;"",VLOOKUP($L649,Categories!$E:$G,2,FALSE),IF($F649&lt;&gt;"","NO CAT",""))</f>
        <v>Not in Rate Base</v>
      </c>
      <c r="O649" s="116" t="str">
        <f>IF($L649&lt;&gt;"",VLOOKUP($L649,Categories!$E:$G,3,FALSE),IF($F649&lt;&gt;"","NO CAT",""))</f>
        <v>Deferrals Accruing Non-Cash Return   (other than ASGA)</v>
      </c>
      <c r="P649" s="170" t="s">
        <v>1186</v>
      </c>
      <c r="Q649" s="123" t="s">
        <v>1187</v>
      </c>
      <c r="R649" s="124">
        <v>0</v>
      </c>
      <c r="S649" s="124">
        <v>0</v>
      </c>
      <c r="T649" s="124">
        <v>1</v>
      </c>
      <c r="U649" s="121">
        <f t="shared" si="246"/>
        <v>0</v>
      </c>
      <c r="V649" s="121">
        <f t="shared" si="247"/>
        <v>0</v>
      </c>
      <c r="W649" s="121">
        <f t="shared" si="248"/>
        <v>-2935.0077312499998</v>
      </c>
      <c r="X649" s="121">
        <f t="shared" si="279"/>
        <v>-2935.0077312499998</v>
      </c>
      <c r="Y649" s="121">
        <f t="shared" si="249"/>
        <v>0</v>
      </c>
      <c r="Z649" s="121">
        <f t="shared" si="250"/>
        <v>0</v>
      </c>
      <c r="AA649" s="121">
        <f t="shared" si="251"/>
        <v>-4147.66914</v>
      </c>
      <c r="AB649" s="121">
        <f t="shared" si="280"/>
        <v>-4147.6691400000009</v>
      </c>
      <c r="AC649" s="121">
        <v>-1353.4270300000003</v>
      </c>
      <c r="AD649" s="121">
        <v>-1513.2242200000007</v>
      </c>
      <c r="AE649" s="121">
        <v>-2014.0025900000007</v>
      </c>
      <c r="AF649" s="121">
        <v>-2342.0103100000006</v>
      </c>
      <c r="AG649" s="121">
        <v>-2287.1289000000002</v>
      </c>
      <c r="AH649" s="121">
        <v>-2793.1669400000005</v>
      </c>
      <c r="AI649" s="121">
        <v>-2592.8547200000003</v>
      </c>
      <c r="AJ649" s="121">
        <v>-3001.6198800000002</v>
      </c>
      <c r="AK649" s="121">
        <v>-3430.2522700000004</v>
      </c>
      <c r="AL649" s="121">
        <v>-3938.2164300000009</v>
      </c>
      <c r="AM649" s="121">
        <v>-4298.9730000000009</v>
      </c>
      <c r="AN649" s="121">
        <v>-4258.0954300000003</v>
      </c>
      <c r="AO649" s="121">
        <v>-4147.6691400000009</v>
      </c>
      <c r="AP649" s="125" t="str">
        <f>CONCATENATE(A649,M649)</f>
        <v>Reg AssetN</v>
      </c>
      <c r="AQ649" s="125" t="str">
        <f>CONCATENATE(AP649,L649,H649)</f>
        <v>Reg AssetNN10Economic Development</v>
      </c>
      <c r="AS649" s="125" t="str">
        <f>CONCATENATE(L649,H649,J649)</f>
        <v>N10Economic DevelopmentNCR</v>
      </c>
    </row>
    <row r="650" spans="1:45" s="125" customFormat="1" ht="25.5" customHeight="1">
      <c r="A650" s="216" t="s">
        <v>1442</v>
      </c>
      <c r="B650" s="217" t="str">
        <f t="shared" si="245"/>
        <v>Reg Asset254025801262BE030196</v>
      </c>
      <c r="C650" s="186">
        <v>254025</v>
      </c>
      <c r="D650" s="201">
        <v>801262</v>
      </c>
      <c r="E650" s="162" t="s">
        <v>3194</v>
      </c>
      <c r="F650" s="169" t="s">
        <v>1812</v>
      </c>
      <c r="G650" s="117" t="s">
        <v>3788</v>
      </c>
      <c r="H650" s="118" t="s">
        <v>310</v>
      </c>
      <c r="I650" s="120"/>
      <c r="J650" s="120" t="s">
        <v>105</v>
      </c>
      <c r="K650" s="120" t="str">
        <f>IF(L650="N3","SFAS-109","")</f>
        <v/>
      </c>
      <c r="L650" s="170" t="s">
        <v>2821</v>
      </c>
      <c r="M650" s="122" t="str">
        <f>LEFT(L650,1)</f>
        <v>N</v>
      </c>
      <c r="N650" s="116" t="str">
        <f>IF($L650&lt;&gt;"",VLOOKUP($L650,Categories!$E:$G,2,FALSE),IF($F650&lt;&gt;"","NO CAT",""))</f>
        <v>Not in Rate Base</v>
      </c>
      <c r="O650" s="116" t="str">
        <f>IF($L650&lt;&gt;"",VLOOKUP($L650,Categories!$E:$G,3,FALSE),IF($F650&lt;&gt;"","NO CAT",""))</f>
        <v>Deferrals Accruing Non-Cash Return   (other than ASGA)</v>
      </c>
      <c r="P650" s="170" t="s">
        <v>1186</v>
      </c>
      <c r="Q650" s="123" t="s">
        <v>1187</v>
      </c>
      <c r="R650" s="124">
        <v>0</v>
      </c>
      <c r="S650" s="124">
        <v>0</v>
      </c>
      <c r="T650" s="124">
        <v>1</v>
      </c>
      <c r="U650" s="121">
        <f>IF(ABS(X650)=0,"",IF($R650="NO ALLOC","NO ALLOC",ROUND($R650*X650,15)))</f>
        <v>0</v>
      </c>
      <c r="V650" s="121">
        <f>IF(ABS(X650)=0,"",IF($S650="NO ALLOC","NO ALLOC",ROUND($S650*X650,15)))</f>
        <v>0</v>
      </c>
      <c r="W650" s="121">
        <f>IF(ABS(X650)=0,"",IF($T650="NO ALLOC","NO ALLOC",ROUND($T650*X650,15)))</f>
        <v>4999.9999799999996</v>
      </c>
      <c r="X650" s="121">
        <f t="shared" si="279"/>
        <v>4999.9999799999996</v>
      </c>
      <c r="Y650" s="121">
        <f>IF(ABS(AB650)=0,"",IF($R650="NO ALLOC","NO ALLOC",ROUND($R650*AB650,15)))</f>
        <v>0</v>
      </c>
      <c r="Z650" s="121">
        <f>IF(ABS(AB650)=0,"",IF($S650="NO ALLOC","NO ALLOC",ROUND($S650*AB650,15)))</f>
        <v>0</v>
      </c>
      <c r="AA650" s="121">
        <f>IF(ABS(AB650)=0,"",IF($T650="NO ALLOC","NO ALLOC",ROUND($T650*AB650,15)))</f>
        <v>4999.9999799999996</v>
      </c>
      <c r="AB650" s="121">
        <f t="shared" si="280"/>
        <v>4999.9999799999996</v>
      </c>
      <c r="AC650" s="121">
        <v>4999.9999799999996</v>
      </c>
      <c r="AD650" s="121">
        <v>4999.9999799999996</v>
      </c>
      <c r="AE650" s="121">
        <v>4999.9999799999996</v>
      </c>
      <c r="AF650" s="121">
        <v>4999.9999799999996</v>
      </c>
      <c r="AG650" s="121">
        <v>4999.9999799999996</v>
      </c>
      <c r="AH650" s="121">
        <v>4999.9999799999996</v>
      </c>
      <c r="AI650" s="121">
        <v>4999.9999799999996</v>
      </c>
      <c r="AJ650" s="121">
        <v>4999.9999799999996</v>
      </c>
      <c r="AK650" s="121">
        <v>4999.9999799999996</v>
      </c>
      <c r="AL650" s="121">
        <v>4999.9999799999996</v>
      </c>
      <c r="AM650" s="121">
        <v>4999.9999799999996</v>
      </c>
      <c r="AN650" s="121">
        <v>4999.9999799999996</v>
      </c>
      <c r="AO650" s="121">
        <v>4999.9999799999996</v>
      </c>
      <c r="AP650" s="125" t="str">
        <f>CONCATENATE(A650,M650)</f>
        <v>Reg AssetN</v>
      </c>
      <c r="AQ650" s="125" t="str">
        <f>CONCATENATE(AP650,L650,H650)</f>
        <v>Reg AssetNN10Economic Development</v>
      </c>
      <c r="AS650" s="125" t="str">
        <f>CONCATENATE(L650,H650,J650)</f>
        <v>N10Economic DevelopmentNCR</v>
      </c>
    </row>
    <row r="651" spans="1:45" s="125" customFormat="1" ht="25.5" customHeight="1">
      <c r="A651" s="216" t="s">
        <v>1442</v>
      </c>
      <c r="B651" s="217" t="str">
        <f t="shared" si="245"/>
        <v>Reg Asset254025801263BE030196</v>
      </c>
      <c r="C651" s="186">
        <v>254025</v>
      </c>
      <c r="D651" s="201">
        <v>801263</v>
      </c>
      <c r="E651" s="162" t="s">
        <v>3194</v>
      </c>
      <c r="F651" s="169" t="s">
        <v>1812</v>
      </c>
      <c r="G651" s="117" t="s">
        <v>3789</v>
      </c>
      <c r="H651" s="118" t="s">
        <v>310</v>
      </c>
      <c r="I651" s="120"/>
      <c r="J651" s="120" t="s">
        <v>105</v>
      </c>
      <c r="K651" s="120" t="str">
        <f>IF(L651="N3","SFAS-109","")</f>
        <v/>
      </c>
      <c r="L651" s="170" t="s">
        <v>2821</v>
      </c>
      <c r="M651" s="122" t="str">
        <f>LEFT(L651,1)</f>
        <v>N</v>
      </c>
      <c r="N651" s="116" t="str">
        <f>IF($L651&lt;&gt;"",VLOOKUP($L651,Categories!$E:$G,2,FALSE),IF($F651&lt;&gt;"","NO CAT",""))</f>
        <v>Not in Rate Base</v>
      </c>
      <c r="O651" s="116" t="str">
        <f>IF($L651&lt;&gt;"",VLOOKUP($L651,Categories!$E:$G,3,FALSE),IF($F651&lt;&gt;"","NO CAT",""))</f>
        <v>Deferrals Accruing Non-Cash Return   (other than ASGA)</v>
      </c>
      <c r="P651" s="170" t="s">
        <v>1186</v>
      </c>
      <c r="Q651" s="123" t="s">
        <v>1187</v>
      </c>
      <c r="R651" s="124">
        <v>0</v>
      </c>
      <c r="S651" s="124">
        <v>0</v>
      </c>
      <c r="T651" s="124">
        <v>1</v>
      </c>
      <c r="U651" s="121">
        <f>IF(ABS(X651)=0,"",IF($R651="NO ALLOC","NO ALLOC",ROUND($R651*X651,15)))</f>
        <v>0</v>
      </c>
      <c r="V651" s="121">
        <f>IF(ABS(X651)=0,"",IF($S651="NO ALLOC","NO ALLOC",ROUND($S651*X651,15)))</f>
        <v>0</v>
      </c>
      <c r="W651" s="121">
        <f>IF(ABS(X651)=0,"",IF($T651="NO ALLOC","NO ALLOC",ROUND($T651*X651,15)))</f>
        <v>5176.9248545833298</v>
      </c>
      <c r="X651" s="121">
        <f t="shared" si="279"/>
        <v>5176.9248545833298</v>
      </c>
      <c r="Y651" s="121">
        <f>IF(ABS(AB651)=0,"",IF($R651="NO ALLOC","NO ALLOC",ROUND($R651*AB651,15)))</f>
        <v>0</v>
      </c>
      <c r="Z651" s="121">
        <f>IF(ABS(AB651)=0,"",IF($S651="NO ALLOC","NO ALLOC",ROUND($S651*AB651,15)))</f>
        <v>0</v>
      </c>
      <c r="AA651" s="121">
        <f>IF(ABS(AB651)=0,"",IF($T651="NO ALLOC","NO ALLOC",ROUND($T651*AB651,15)))</f>
        <v>5469.7655699999996</v>
      </c>
      <c r="AB651" s="121">
        <f t="shared" si="280"/>
        <v>5469.7655699999987</v>
      </c>
      <c r="AC651" s="121">
        <v>4465.7402599999978</v>
      </c>
      <c r="AD651" s="121">
        <v>4465.7402599999987</v>
      </c>
      <c r="AE651" s="121">
        <v>4465.7402599999987</v>
      </c>
      <c r="AF651" s="121">
        <v>4465.7402599999987</v>
      </c>
      <c r="AG651" s="121">
        <v>5469.7655699999987</v>
      </c>
      <c r="AH651" s="121">
        <v>5469.7655699999987</v>
      </c>
      <c r="AI651" s="121">
        <v>5469.7655699999987</v>
      </c>
      <c r="AJ651" s="121">
        <v>5469.7655699999987</v>
      </c>
      <c r="AK651" s="121">
        <v>5469.7655699999987</v>
      </c>
      <c r="AL651" s="121">
        <v>5469.7655699999987</v>
      </c>
      <c r="AM651" s="121">
        <v>5469.7655699999987</v>
      </c>
      <c r="AN651" s="121">
        <v>5469.7655699999987</v>
      </c>
      <c r="AO651" s="121">
        <v>5469.7655699999987</v>
      </c>
      <c r="AP651" s="125" t="str">
        <f>CONCATENATE(A651,M651)</f>
        <v>Reg AssetN</v>
      </c>
      <c r="AQ651" s="125" t="str">
        <f>CONCATENATE(AP651,L651,H651)</f>
        <v>Reg AssetNN10Economic Development</v>
      </c>
      <c r="AS651" s="125" t="str">
        <f>CONCATENATE(L651,H651,J651)</f>
        <v>N10Economic DevelopmentNCR</v>
      </c>
    </row>
    <row r="652" spans="1:45" s="125" customFormat="1" ht="25.5" customHeight="1">
      <c r="A652" s="216" t="s">
        <v>1442</v>
      </c>
      <c r="B652" s="217" t="str">
        <f>CONCATENATE(A652,C652,D652,E652)</f>
        <v>Reg Asset254025801269BE030196</v>
      </c>
      <c r="C652" s="186">
        <v>254025</v>
      </c>
      <c r="D652" s="201">
        <v>801269</v>
      </c>
      <c r="E652" s="162" t="s">
        <v>3194</v>
      </c>
      <c r="F652" s="169" t="s">
        <v>1812</v>
      </c>
      <c r="G652" s="117" t="s">
        <v>4655</v>
      </c>
      <c r="H652" s="118" t="s">
        <v>310</v>
      </c>
      <c r="I652" s="120"/>
      <c r="J652" s="120" t="s">
        <v>105</v>
      </c>
      <c r="K652" s="120" t="str">
        <f>IF(L652="N3","SFAS-109","")</f>
        <v/>
      </c>
      <c r="L652" s="170" t="s">
        <v>2821</v>
      </c>
      <c r="M652" s="122" t="str">
        <f>LEFT(L652,1)</f>
        <v>N</v>
      </c>
      <c r="N652" s="116" t="str">
        <f>IF($L652&lt;&gt;"",VLOOKUP($L652,Categories!$E:$G,2,FALSE),IF($F652&lt;&gt;"","NO CAT",""))</f>
        <v>Not in Rate Base</v>
      </c>
      <c r="O652" s="116" t="str">
        <f>IF($L652&lt;&gt;"",VLOOKUP($L652,Categories!$E:$G,3,FALSE),IF($F652&lt;&gt;"","NO CAT",""))</f>
        <v>Deferrals Accruing Non-Cash Return   (other than ASGA)</v>
      </c>
      <c r="P652" s="170" t="s">
        <v>1186</v>
      </c>
      <c r="Q652" s="123" t="s">
        <v>1187</v>
      </c>
      <c r="R652" s="124">
        <v>0</v>
      </c>
      <c r="S652" s="124">
        <v>0</v>
      </c>
      <c r="T652" s="124">
        <v>1</v>
      </c>
      <c r="U652" s="121">
        <f>IF(ABS(X652)=0,"",IF($R652="NO ALLOC","NO ALLOC",ROUND($R652*X652,15)))</f>
        <v>0</v>
      </c>
      <c r="V652" s="121">
        <f>IF(ABS(X652)=0,"",IF($S652="NO ALLOC","NO ALLOC",ROUND($S652*X652,15)))</f>
        <v>0</v>
      </c>
      <c r="W652" s="121">
        <f>IF(ABS(X652)=0,"",IF($T652="NO ALLOC","NO ALLOC",ROUND($T652*X652,15)))</f>
        <v>242.288920416667</v>
      </c>
      <c r="X652" s="121">
        <f t="shared" si="279"/>
        <v>242.288920416667</v>
      </c>
      <c r="Y652" s="121">
        <f>IF(ABS(AB652)=0,"",IF($R652="NO ALLOC","NO ALLOC",ROUND($R652*AB652,15)))</f>
        <v>0</v>
      </c>
      <c r="Z652" s="121">
        <f>IF(ABS(AB652)=0,"",IF($S652="NO ALLOC","NO ALLOC",ROUND($S652*AB652,15)))</f>
        <v>0</v>
      </c>
      <c r="AA652" s="121">
        <f>IF(ABS(AB652)=0,"",IF($T652="NO ALLOC","NO ALLOC",ROUND($T652*AB652,15)))</f>
        <v>239.11376999999999</v>
      </c>
      <c r="AB652" s="121">
        <f t="shared" si="280"/>
        <v>239.11376999999999</v>
      </c>
      <c r="AC652" s="121">
        <v>250</v>
      </c>
      <c r="AD652" s="121">
        <v>250</v>
      </c>
      <c r="AE652" s="121">
        <v>250</v>
      </c>
      <c r="AF652" s="121">
        <v>250</v>
      </c>
      <c r="AG652" s="121">
        <v>239.11376999999999</v>
      </c>
      <c r="AH652" s="121">
        <v>239.11376999999999</v>
      </c>
      <c r="AI652" s="121">
        <v>239.11376999999999</v>
      </c>
      <c r="AJ652" s="121">
        <v>239.11376999999999</v>
      </c>
      <c r="AK652" s="121">
        <v>239.11376999999999</v>
      </c>
      <c r="AL652" s="121">
        <v>239.11376999999999</v>
      </c>
      <c r="AM652" s="121">
        <v>239.11376999999999</v>
      </c>
      <c r="AN652" s="121">
        <v>239.11376999999999</v>
      </c>
      <c r="AO652" s="121">
        <v>239.11376999999999</v>
      </c>
      <c r="AP652" s="125" t="str">
        <f>CONCATENATE(A652,M652)</f>
        <v>Reg AssetN</v>
      </c>
      <c r="AQ652" s="125" t="str">
        <f>CONCATENATE(AP652,L652,H652)</f>
        <v>Reg AssetNN10Economic Development</v>
      </c>
      <c r="AS652" s="125" t="str">
        <f>CONCATENATE(L652,H652,J652)</f>
        <v>N10Economic DevelopmentNCR</v>
      </c>
    </row>
    <row r="653" spans="1:45" s="125" customFormat="1" ht="25.5" customHeight="1">
      <c r="A653" s="216" t="s">
        <v>1442</v>
      </c>
      <c r="B653" s="217" t="str">
        <f t="shared" si="245"/>
        <v>Reg Asset254025801247BE030196</v>
      </c>
      <c r="C653" s="186">
        <v>254025</v>
      </c>
      <c r="D653" s="201">
        <v>801247</v>
      </c>
      <c r="E653" s="162" t="s">
        <v>3194</v>
      </c>
      <c r="F653" s="169" t="s">
        <v>1812</v>
      </c>
      <c r="G653" s="117" t="s">
        <v>828</v>
      </c>
      <c r="H653" s="118" t="s">
        <v>310</v>
      </c>
      <c r="I653" s="120"/>
      <c r="J653" s="120" t="s">
        <v>105</v>
      </c>
      <c r="K653" s="120" t="str">
        <f t="shared" si="244"/>
        <v/>
      </c>
      <c r="L653" s="170" t="s">
        <v>2821</v>
      </c>
      <c r="M653" s="122" t="str">
        <f t="shared" si="212"/>
        <v>N</v>
      </c>
      <c r="N653" s="116" t="str">
        <f>IF($L653&lt;&gt;"",VLOOKUP($L653,Categories!$E:$G,2,FALSE),IF($F653&lt;&gt;"","NO CAT",""))</f>
        <v>Not in Rate Base</v>
      </c>
      <c r="O653" s="116" t="str">
        <f>IF($L653&lt;&gt;"",VLOOKUP($L653,Categories!$E:$G,3,FALSE),IF($F653&lt;&gt;"","NO CAT",""))</f>
        <v>Deferrals Accruing Non-Cash Return   (other than ASGA)</v>
      </c>
      <c r="P653" s="170" t="s">
        <v>1186</v>
      </c>
      <c r="Q653" s="123" t="s">
        <v>1187</v>
      </c>
      <c r="R653" s="124">
        <v>0</v>
      </c>
      <c r="S653" s="124">
        <v>0</v>
      </c>
      <c r="T653" s="124">
        <v>1</v>
      </c>
      <c r="U653" s="121">
        <f t="shared" si="246"/>
        <v>0</v>
      </c>
      <c r="V653" s="121">
        <f t="shared" si="247"/>
        <v>0</v>
      </c>
      <c r="W653" s="121">
        <f t="shared" si="248"/>
        <v>-3817.6811308333299</v>
      </c>
      <c r="X653" s="121">
        <f t="shared" si="279"/>
        <v>-3817.6811308333299</v>
      </c>
      <c r="Y653" s="121">
        <f t="shared" si="249"/>
        <v>0</v>
      </c>
      <c r="Z653" s="121">
        <f t="shared" si="250"/>
        <v>0</v>
      </c>
      <c r="AA653" s="121">
        <f t="shared" si="251"/>
        <v>-4160.1502799999998</v>
      </c>
      <c r="AB653" s="121">
        <f t="shared" si="280"/>
        <v>-4160.1502799999989</v>
      </c>
      <c r="AC653" s="121">
        <v>-3496.0470799999998</v>
      </c>
      <c r="AD653" s="121">
        <v>-3562.0701300000001</v>
      </c>
      <c r="AE653" s="121">
        <v>-3628.4685099999997</v>
      </c>
      <c r="AF653" s="121">
        <v>-3692.7099499999999</v>
      </c>
      <c r="AG653" s="121">
        <v>-3669.5965399999995</v>
      </c>
      <c r="AH653" s="121">
        <v>-3731.3714199999995</v>
      </c>
      <c r="AI653" s="121">
        <v>-3793.4676899999995</v>
      </c>
      <c r="AJ653" s="121">
        <v>-3855.8870299999994</v>
      </c>
      <c r="AK653" s="121">
        <v>-3918.6311099999994</v>
      </c>
      <c r="AL653" s="121">
        <v>-3981.7016299999996</v>
      </c>
      <c r="AM653" s="121">
        <v>-4045.1002799999992</v>
      </c>
      <c r="AN653" s="121">
        <v>-4105.0705999999991</v>
      </c>
      <c r="AO653" s="121">
        <v>-4160.1502799999989</v>
      </c>
      <c r="AP653" s="125" t="str">
        <f>CONCATENATE(A653,M653)</f>
        <v>Reg AssetN</v>
      </c>
      <c r="AQ653" s="125" t="str">
        <f>CONCATENATE(AP653,L653,H653)</f>
        <v>Reg AssetNN10Economic Development</v>
      </c>
      <c r="AS653" s="125" t="str">
        <f>CONCATENATE(L653,H653,J653)</f>
        <v>N10Economic DevelopmentNCR</v>
      </c>
    </row>
    <row r="654" spans="1:45" s="125" customFormat="1" ht="25.5" customHeight="1">
      <c r="A654" s="216" t="s">
        <v>1442</v>
      </c>
      <c r="B654" s="217" t="str">
        <f t="shared" ref="B654" si="281">CONCATENATE(A654,C654,D654,E654)</f>
        <v>Reg Asset254025CorningBE030196</v>
      </c>
      <c r="C654" s="186">
        <v>254025</v>
      </c>
      <c r="D654" s="201" t="s">
        <v>4851</v>
      </c>
      <c r="E654" s="162" t="s">
        <v>3194</v>
      </c>
      <c r="F654" s="169" t="s">
        <v>1812</v>
      </c>
      <c r="G654" s="117" t="s">
        <v>4852</v>
      </c>
      <c r="H654" s="118" t="s">
        <v>310</v>
      </c>
      <c r="I654" s="120"/>
      <c r="J654" s="120" t="s">
        <v>105</v>
      </c>
      <c r="K654" s="120"/>
      <c r="L654" s="170" t="s">
        <v>2821</v>
      </c>
      <c r="M654" s="122" t="str">
        <f t="shared" ref="M654" si="282">LEFT(L654,1)</f>
        <v>N</v>
      </c>
      <c r="N654" s="116" t="str">
        <f>IF($L654&lt;&gt;"",VLOOKUP($L654,Categories!$E:$G,2,FALSE),IF($F654&lt;&gt;"","NO CAT",""))</f>
        <v>Not in Rate Base</v>
      </c>
      <c r="O654" s="116" t="str">
        <f>IF($L654&lt;&gt;"",VLOOKUP($L654,Categories!$E:$G,3,FALSE),IF($F654&lt;&gt;"","NO CAT",""))</f>
        <v>Deferrals Accruing Non-Cash Return   (other than ASGA)</v>
      </c>
      <c r="P654" s="170" t="s">
        <v>1186</v>
      </c>
      <c r="Q654" s="123" t="s">
        <v>1187</v>
      </c>
      <c r="R654" s="124">
        <v>0</v>
      </c>
      <c r="S654" s="124">
        <v>0</v>
      </c>
      <c r="T654" s="124">
        <v>1</v>
      </c>
      <c r="U654" s="121">
        <f t="shared" ref="U654" si="283">IF(ABS(X654)=0,"",IF($R654="NO ALLOC","NO ALLOC",ROUND($R654*X654,15)))</f>
        <v>0</v>
      </c>
      <c r="V654" s="121">
        <f t="shared" ref="V654" si="284">IF(ABS(X654)=0,"",IF($S654="NO ALLOC","NO ALLOC",ROUND($S654*X654,15)))</f>
        <v>0</v>
      </c>
      <c r="W654" s="121">
        <f t="shared" ref="W654" si="285">IF(ABS(X654)=0,"",IF($T654="NO ALLOC","NO ALLOC",ROUND($T654*X654,15)))</f>
        <v>203.72609083333299</v>
      </c>
      <c r="X654" s="121">
        <f t="shared" si="279"/>
        <v>203.72609083333299</v>
      </c>
      <c r="Y654" s="121">
        <f t="shared" ref="Y654" si="286">IF(ABS(AB654)=0,"",IF($R654="NO ALLOC","NO ALLOC",ROUND($R654*AB654,15)))</f>
        <v>0</v>
      </c>
      <c r="Z654" s="121">
        <f t="shared" ref="Z654" si="287">IF(ABS(AB654)=0,"",IF($S654="NO ALLOC","NO ALLOC",ROUND($S654*AB654,15)))</f>
        <v>0</v>
      </c>
      <c r="AA654" s="121">
        <f t="shared" ref="AA654" si="288">IF(ABS(AB654)=0,"",IF($T654="NO ALLOC","NO ALLOC",ROUND($T654*AB654,15)))</f>
        <v>2000</v>
      </c>
      <c r="AB654" s="121">
        <f t="shared" si="280"/>
        <v>2000</v>
      </c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>
        <v>1444.7130900000002</v>
      </c>
      <c r="AO654" s="121">
        <v>2000</v>
      </c>
      <c r="AP654" s="125" t="str">
        <f>CONCATENATE(A654,M654)</f>
        <v>Reg AssetN</v>
      </c>
      <c r="AQ654" s="125" t="str">
        <f>CONCATENATE(AP654,L654,H654)</f>
        <v>Reg AssetNN10Economic Development</v>
      </c>
      <c r="AS654" s="125" t="str">
        <f>CONCATENATE(L654,H654,J654)</f>
        <v>N10Economic DevelopmentNCR</v>
      </c>
    </row>
    <row r="655" spans="1:45" s="125" customFormat="1" ht="25.5" customHeight="1">
      <c r="A655" s="216" t="s">
        <v>1442</v>
      </c>
      <c r="B655" s="217" t="str">
        <f t="shared" si="245"/>
        <v>Reg Asset254026801232BG030312</v>
      </c>
      <c r="C655" s="186">
        <v>254026</v>
      </c>
      <c r="D655" s="201" t="s">
        <v>811</v>
      </c>
      <c r="E655" s="162" t="s">
        <v>2227</v>
      </c>
      <c r="F655" s="169" t="s">
        <v>812</v>
      </c>
      <c r="G655" s="117" t="s">
        <v>812</v>
      </c>
      <c r="H655" s="118" t="s">
        <v>793</v>
      </c>
      <c r="I655" s="120"/>
      <c r="J655" s="120" t="s">
        <v>105</v>
      </c>
      <c r="K655" s="120" t="str">
        <f t="shared" si="244"/>
        <v/>
      </c>
      <c r="L655" s="170" t="s">
        <v>2821</v>
      </c>
      <c r="M655" s="122" t="str">
        <f t="shared" si="212"/>
        <v>N</v>
      </c>
      <c r="N655" s="116" t="str">
        <f>IF($L655&lt;&gt;"",VLOOKUP($L655,Categories!$E:$G,2,FALSE),IF($F655&lt;&gt;"","NO CAT",""))</f>
        <v>Not in Rate Base</v>
      </c>
      <c r="O655" s="116" t="str">
        <f>IF($L655&lt;&gt;"",VLOOKUP($L655,Categories!$E:$G,3,FALSE),IF($F655&lt;&gt;"","NO CAT",""))</f>
        <v>Deferrals Accruing Non-Cash Return   (other than ASGA)</v>
      </c>
      <c r="P655" s="170" t="s">
        <v>1186</v>
      </c>
      <c r="Q655" s="123" t="s">
        <v>1187</v>
      </c>
      <c r="R655" s="124">
        <v>0</v>
      </c>
      <c r="S655" s="124">
        <v>0</v>
      </c>
      <c r="T655" s="124">
        <v>1</v>
      </c>
      <c r="U655" s="121">
        <f t="shared" si="246"/>
        <v>0</v>
      </c>
      <c r="V655" s="121">
        <f t="shared" si="247"/>
        <v>0</v>
      </c>
      <c r="W655" s="121">
        <f t="shared" si="248"/>
        <v>-1264.6729154166701</v>
      </c>
      <c r="X655" s="121">
        <f t="shared" si="279"/>
        <v>-1264.6729154166701</v>
      </c>
      <c r="Y655" s="121">
        <f t="shared" si="249"/>
        <v>0</v>
      </c>
      <c r="Z655" s="121">
        <f t="shared" si="250"/>
        <v>0</v>
      </c>
      <c r="AA655" s="121">
        <f t="shared" si="251"/>
        <v>-1908.538</v>
      </c>
      <c r="AB655" s="121">
        <f t="shared" si="280"/>
        <v>-1908.538</v>
      </c>
      <c r="AC655" s="121">
        <v>-229.42501000000013</v>
      </c>
      <c r="AD655" s="121">
        <v>-269.74889000000013</v>
      </c>
      <c r="AE655" s="121">
        <v>-310.30970000000013</v>
      </c>
      <c r="AF655" s="121">
        <v>-351.65431000000012</v>
      </c>
      <c r="AG655" s="121">
        <v>-1448.9028399999997</v>
      </c>
      <c r="AH655" s="121">
        <v>-1504.8263599999998</v>
      </c>
      <c r="AI655" s="121">
        <v>-1563.78171</v>
      </c>
      <c r="AJ655" s="121">
        <v>-1621.83393</v>
      </c>
      <c r="AK655" s="121">
        <v>-1682.5253299999999</v>
      </c>
      <c r="AL655" s="121">
        <v>-1741.1896899999999</v>
      </c>
      <c r="AM655" s="121">
        <v>-1773.9039599999999</v>
      </c>
      <c r="AN655" s="121">
        <v>-1838.4167600000001</v>
      </c>
      <c r="AO655" s="121">
        <v>-1908.538</v>
      </c>
      <c r="AP655" s="125" t="str">
        <f>CONCATENATE(A655,M655)</f>
        <v>Reg AssetN</v>
      </c>
      <c r="AQ655" s="125" t="str">
        <f>CONCATENATE(AP655,L655,H655)</f>
        <v>Reg AssetNN10Economic Development-Gas</v>
      </c>
      <c r="AS655" s="125" t="str">
        <f>CONCATENATE(L655,H655,J655)</f>
        <v>N10Economic Development-GasNCR</v>
      </c>
    </row>
    <row r="656" spans="1:45" s="125" customFormat="1" ht="25.5" customHeight="1">
      <c r="A656" s="216" t="s">
        <v>1442</v>
      </c>
      <c r="B656" s="217" t="str">
        <f t="shared" si="245"/>
        <v>Reg Asset254026801233BG030312</v>
      </c>
      <c r="C656" s="186">
        <v>254026</v>
      </c>
      <c r="D656" s="201" t="s">
        <v>2480</v>
      </c>
      <c r="E656" s="162" t="s">
        <v>2227</v>
      </c>
      <c r="F656" s="169" t="s">
        <v>812</v>
      </c>
      <c r="G656" s="117" t="s">
        <v>812</v>
      </c>
      <c r="H656" s="118" t="s">
        <v>793</v>
      </c>
      <c r="I656" s="120"/>
      <c r="J656" s="120" t="s">
        <v>105</v>
      </c>
      <c r="K656" s="120" t="str">
        <f t="shared" si="244"/>
        <v/>
      </c>
      <c r="L656" s="170" t="s">
        <v>2821</v>
      </c>
      <c r="M656" s="122" t="str">
        <f>LEFT(L656,1)</f>
        <v>N</v>
      </c>
      <c r="N656" s="116" t="str">
        <f>IF($L656&lt;&gt;"",VLOOKUP($L656,Categories!$E:$G,2,FALSE),IF($F656&lt;&gt;"","NO CAT",""))</f>
        <v>Not in Rate Base</v>
      </c>
      <c r="O656" s="116" t="str">
        <f>IF($L656&lt;&gt;"",VLOOKUP($L656,Categories!$E:$G,3,FALSE),IF($F656&lt;&gt;"","NO CAT",""))</f>
        <v>Deferrals Accruing Non-Cash Return   (other than ASGA)</v>
      </c>
      <c r="P656" s="170" t="s">
        <v>1186</v>
      </c>
      <c r="Q656" s="123" t="s">
        <v>1187</v>
      </c>
      <c r="R656" s="124">
        <v>0</v>
      </c>
      <c r="S656" s="124">
        <v>0</v>
      </c>
      <c r="T656" s="124">
        <v>1</v>
      </c>
      <c r="U656" s="121">
        <f>IF(ABS(X656)=0,"",IF($R656="NO ALLOC","NO ALLOC",ROUND($R656*X656,15)))</f>
        <v>0</v>
      </c>
      <c r="V656" s="121">
        <f>IF(ABS(X656)=0,"",IF($S656="NO ALLOC","NO ALLOC",ROUND($S656*X656,15)))</f>
        <v>0</v>
      </c>
      <c r="W656" s="121">
        <f>IF(ABS(X656)=0,"",IF($T656="NO ALLOC","NO ALLOC",ROUND($T656*X656,15)))</f>
        <v>64.101944166666698</v>
      </c>
      <c r="X656" s="121">
        <f t="shared" si="279"/>
        <v>64.101944166666698</v>
      </c>
      <c r="Y656" s="121" t="str">
        <f>IF(ABS(AB656)=0,"",IF($R656="NO ALLOC","NO ALLOC",ROUND($R656*AB656,15)))</f>
        <v/>
      </c>
      <c r="Z656" s="121" t="str">
        <f>IF(ABS(AB656)=0,"",IF($S656="NO ALLOC","NO ALLOC",ROUND($S656*AB656,15)))</f>
        <v/>
      </c>
      <c r="AA656" s="121" t="str">
        <f>IF(ABS(AB656)=0,"",IF($T656="NO ALLOC","NO ALLOC",ROUND($T656*AB656,15)))</f>
        <v/>
      </c>
      <c r="AB656" s="121">
        <f t="shared" si="280"/>
        <v>0</v>
      </c>
      <c r="AC656" s="121">
        <v>205.11329999999995</v>
      </c>
      <c r="AD656" s="121">
        <v>333.33334000000002</v>
      </c>
      <c r="AE656" s="121">
        <v>333.33334000000002</v>
      </c>
      <c r="AF656" s="121">
        <v>0</v>
      </c>
      <c r="AG656" s="121">
        <v>0</v>
      </c>
      <c r="AH656" s="121">
        <v>0</v>
      </c>
      <c r="AI656" s="121">
        <v>0</v>
      </c>
      <c r="AJ656" s="121">
        <v>0</v>
      </c>
      <c r="AK656" s="121">
        <v>0</v>
      </c>
      <c r="AL656" s="121">
        <v>0</v>
      </c>
      <c r="AM656" s="121">
        <v>0</v>
      </c>
      <c r="AN656" s="121">
        <v>0</v>
      </c>
      <c r="AO656" s="121">
        <v>0</v>
      </c>
      <c r="AP656" s="125" t="str">
        <f>CONCATENATE(A656,M656)</f>
        <v>Reg AssetN</v>
      </c>
      <c r="AQ656" s="125" t="str">
        <f>CONCATENATE(AP656,L656,H656)</f>
        <v>Reg AssetNN10Economic Development-Gas</v>
      </c>
      <c r="AS656" s="125" t="str">
        <f>CONCATENATE(L656,H656,J656)</f>
        <v>N10Economic Development-GasNCR</v>
      </c>
    </row>
    <row r="657" spans="1:45" s="125" customFormat="1" ht="25.5" customHeight="1">
      <c r="A657" s="216" t="s">
        <v>1442</v>
      </c>
      <c r="B657" s="217" t="str">
        <f>CONCATENATE(A657,C657,D657,E657)</f>
        <v>Reg Asset254026801232-LBG030312</v>
      </c>
      <c r="C657" s="186">
        <v>254026</v>
      </c>
      <c r="D657" s="201" t="s">
        <v>4697</v>
      </c>
      <c r="E657" s="162" t="s">
        <v>2227</v>
      </c>
      <c r="F657" s="169" t="s">
        <v>812</v>
      </c>
      <c r="G657" s="117" t="s">
        <v>4698</v>
      </c>
      <c r="H657" s="118" t="s">
        <v>793</v>
      </c>
      <c r="I657" s="120"/>
      <c r="J657" s="120" t="s">
        <v>105</v>
      </c>
      <c r="K657" s="120" t="str">
        <f>IF(L657="N3","SFAS-109","")</f>
        <v/>
      </c>
      <c r="L657" s="170" t="s">
        <v>2821</v>
      </c>
      <c r="M657" s="122" t="str">
        <f>LEFT(L657,1)</f>
        <v>N</v>
      </c>
      <c r="N657" s="116" t="str">
        <f>IF($L657&lt;&gt;"",VLOOKUP($L657,Categories!$E:$G,2,FALSE),IF($F657&lt;&gt;"","NO CAT",""))</f>
        <v>Not in Rate Base</v>
      </c>
      <c r="O657" s="116" t="str">
        <f>IF($L657&lt;&gt;"",VLOOKUP($L657,Categories!$E:$G,3,FALSE),IF($F657&lt;&gt;"","NO CAT",""))</f>
        <v>Deferrals Accruing Non-Cash Return   (other than ASGA)</v>
      </c>
      <c r="P657" s="170" t="s">
        <v>1186</v>
      </c>
      <c r="Q657" s="123" t="s">
        <v>1187</v>
      </c>
      <c r="R657" s="124">
        <v>0</v>
      </c>
      <c r="S657" s="124">
        <v>0</v>
      </c>
      <c r="T657" s="124">
        <v>1</v>
      </c>
      <c r="U657" s="121">
        <f>IF(ABS(X657)=0,"",IF($R657="NO ALLOC","NO ALLOC",ROUND($R657*X657,15)))</f>
        <v>0</v>
      </c>
      <c r="V657" s="121">
        <f>IF(ABS(X657)=0,"",IF($S657="NO ALLOC","NO ALLOC",ROUND($S657*X657,15)))</f>
        <v>0</v>
      </c>
      <c r="W657" s="121">
        <f>IF(ABS(X657)=0,"",IF($T657="NO ALLOC","NO ALLOC",ROUND($T657*X657,15)))</f>
        <v>147.53268083333299</v>
      </c>
      <c r="X657" s="121">
        <f t="shared" si="279"/>
        <v>147.53268083333299</v>
      </c>
      <c r="Y657" s="121">
        <f>IF(ABS(AB657)=0,"",IF($R657="NO ALLOC","NO ALLOC",ROUND($R657*AB657,15)))</f>
        <v>0</v>
      </c>
      <c r="Z657" s="121">
        <f>IF(ABS(AB657)=0,"",IF($S657="NO ALLOC","NO ALLOC",ROUND($S657*AB657,15)))</f>
        <v>0</v>
      </c>
      <c r="AA657" s="121">
        <f>IF(ABS(AB657)=0,"",IF($T657="NO ALLOC","NO ALLOC",ROUND($T657*AB657,15)))</f>
        <v>218.29176000000001</v>
      </c>
      <c r="AB657" s="121">
        <f t="shared" si="280"/>
        <v>218.29176000000001</v>
      </c>
      <c r="AC657" s="121"/>
      <c r="AD657" s="121">
        <v>-127.15291000000001</v>
      </c>
      <c r="AE657" s="121">
        <v>-126.08022</v>
      </c>
      <c r="AF657" s="121">
        <v>208.33139000000003</v>
      </c>
      <c r="AG657" s="121">
        <v>209.41527000000002</v>
      </c>
      <c r="AH657" s="121">
        <v>210.50478000000004</v>
      </c>
      <c r="AI657" s="121">
        <v>211.59996000000001</v>
      </c>
      <c r="AJ657" s="121">
        <v>212.70084000000003</v>
      </c>
      <c r="AK657" s="121">
        <v>213.80745000000002</v>
      </c>
      <c r="AL657" s="121">
        <v>214.91982000000002</v>
      </c>
      <c r="AM657" s="121">
        <v>216.03797</v>
      </c>
      <c r="AN657" s="121">
        <v>217.16194000000002</v>
      </c>
      <c r="AO657" s="121">
        <v>218.29176000000001</v>
      </c>
      <c r="AP657" s="125" t="str">
        <f>CONCATENATE(A657,M657)</f>
        <v>Reg AssetN</v>
      </c>
      <c r="AQ657" s="125" t="str">
        <f>CONCATENATE(AP657,L657,H657)</f>
        <v>Reg AssetNN10Economic Development-Gas</v>
      </c>
      <c r="AS657" s="125" t="str">
        <f>CONCATENATE(L657,H657,J657)</f>
        <v>N10Economic Development-GasNCR</v>
      </c>
    </row>
    <row r="658" spans="1:45" s="125" customFormat="1" ht="25.5" customHeight="1">
      <c r="A658" s="216" t="s">
        <v>1442</v>
      </c>
      <c r="B658" s="217" t="str">
        <f>CONCATENATE(A658,C658,D658,E658)</f>
        <v>Reg Asset254085GAS</v>
      </c>
      <c r="C658" s="186">
        <v>254085</v>
      </c>
      <c r="D658" s="201" t="s">
        <v>1797</v>
      </c>
      <c r="E658" s="162"/>
      <c r="F658" s="169" t="s">
        <v>853</v>
      </c>
      <c r="G658" s="117" t="s">
        <v>4545</v>
      </c>
      <c r="H658" s="118" t="s">
        <v>2860</v>
      </c>
      <c r="I658" s="120"/>
      <c r="J658" s="120"/>
      <c r="K658" s="120" t="str">
        <f>IF(L658="N3","SFAS-109","")</f>
        <v/>
      </c>
      <c r="L658" s="170" t="s">
        <v>2811</v>
      </c>
      <c r="M658" s="122" t="str">
        <f>LEFT(L658,1)</f>
        <v>N</v>
      </c>
      <c r="N658" s="116" t="str">
        <f>IF($L658&lt;&gt;"",VLOOKUP($L658,Categories!$E:$G,2,FALSE),IF($F658&lt;&gt;"","NO CAT",""))</f>
        <v>Not in Rate Base</v>
      </c>
      <c r="O658" s="116" t="str">
        <f>IF($L658&lt;&gt;"",VLOOKUP($L658,Categories!$E:$G,3,FALSE),IF($F658&lt;&gt;"","NO CAT",""))</f>
        <v>Hedges &amp; OCI</v>
      </c>
      <c r="P658" s="170" t="s">
        <v>1186</v>
      </c>
      <c r="Q658" s="123" t="s">
        <v>1187</v>
      </c>
      <c r="R658" s="124">
        <v>0</v>
      </c>
      <c r="S658" s="124">
        <v>0</v>
      </c>
      <c r="T658" s="124">
        <v>1</v>
      </c>
      <c r="U658" s="121">
        <f>IF(ABS(X658)=0,"",IF($R658="NO ALLOC","NO ALLOC",ROUND($R658*X658,15)))</f>
        <v>0</v>
      </c>
      <c r="V658" s="121">
        <f>IF(ABS(X658)=0,"",IF($S658="NO ALLOC","NO ALLOC",ROUND($S658*X658,15)))</f>
        <v>0</v>
      </c>
      <c r="W658" s="121">
        <f>IF(ABS(X658)=0,"",IF($T658="NO ALLOC","NO ALLOC",ROUND($T658*X658,15)))</f>
        <v>-368.39666666666699</v>
      </c>
      <c r="X658" s="121">
        <f t="shared" si="279"/>
        <v>-368.39666666666699</v>
      </c>
      <c r="Y658" s="121" t="str">
        <f>IF(ABS(AB658)=0,"",IF($R658="NO ALLOC","NO ALLOC",ROUND($R658*AB658,15)))</f>
        <v/>
      </c>
      <c r="Z658" s="121" t="str">
        <f>IF(ABS(AB658)=0,"",IF($S658="NO ALLOC","NO ALLOC",ROUND($S658*AB658,15)))</f>
        <v/>
      </c>
      <c r="AA658" s="121" t="str">
        <f>IF(ABS(AB658)=0,"",IF($T658="NO ALLOC","NO ALLOC",ROUND($T658*AB658,15)))</f>
        <v/>
      </c>
      <c r="AB658" s="121">
        <f t="shared" si="280"/>
        <v>0</v>
      </c>
      <c r="AC658" s="121">
        <v>-303.89999999999998</v>
      </c>
      <c r="AD658" s="121">
        <v>-1216.5999999999999</v>
      </c>
      <c r="AE658" s="121">
        <v>-820.99</v>
      </c>
      <c r="AF658" s="121">
        <v>-425.35</v>
      </c>
      <c r="AG658" s="121">
        <v>-1046.48</v>
      </c>
      <c r="AH658" s="121">
        <v>-440.81</v>
      </c>
      <c r="AI658" s="121">
        <v>-309.55</v>
      </c>
      <c r="AJ658" s="121">
        <v>0</v>
      </c>
      <c r="AK658" s="121">
        <v>0</v>
      </c>
      <c r="AL658" s="121">
        <v>-9.0299999999999994</v>
      </c>
      <c r="AM658" s="121">
        <v>0</v>
      </c>
      <c r="AN658" s="121">
        <v>0</v>
      </c>
      <c r="AO658" s="121">
        <v>0</v>
      </c>
      <c r="AP658" s="125" t="str">
        <f>CONCATENATE(A658,M658)</f>
        <v>Reg AssetN</v>
      </c>
      <c r="AQ658" s="125" t="str">
        <f>CONCATENATE(AP658,L658,H658)</f>
        <v>Reg AssetNN5Hedges &amp; OCI</v>
      </c>
      <c r="AS658" s="125" t="str">
        <f>CONCATENATE(L658,H658,J658)</f>
        <v>N5Hedges &amp; OCI</v>
      </c>
    </row>
    <row r="659" spans="1:45" s="125" customFormat="1" ht="25.5" customHeight="1">
      <c r="A659" s="216" t="s">
        <v>1442</v>
      </c>
      <c r="B659" s="217" t="str">
        <f t="shared" si="245"/>
        <v>Reg Asset254115801233BE030423</v>
      </c>
      <c r="C659" s="186">
        <v>254115</v>
      </c>
      <c r="D659" s="201" t="s">
        <v>2480</v>
      </c>
      <c r="E659" s="162" t="s">
        <v>2482</v>
      </c>
      <c r="F659" s="169" t="s">
        <v>728</v>
      </c>
      <c r="G659" s="117" t="s">
        <v>2481</v>
      </c>
      <c r="H659" s="118" t="s">
        <v>2858</v>
      </c>
      <c r="I659" s="120"/>
      <c r="J659" s="120"/>
      <c r="K659" s="120" t="str">
        <f t="shared" ref="K659:K670" si="289">IF(L659="N3","SFAS-109","")</f>
        <v/>
      </c>
      <c r="L659" s="170" t="s">
        <v>1893</v>
      </c>
      <c r="M659" s="122" t="str">
        <f t="shared" si="212"/>
        <v>R</v>
      </c>
      <c r="N659" s="116" t="str">
        <f>IF($L659&lt;&gt;"",VLOOKUP($L659,Categories!$E:$G,2,FALSE),IF($F659&lt;&gt;"","NO CAT",""))</f>
        <v>Rate Base</v>
      </c>
      <c r="O659" s="116" t="str">
        <f>IF($L659&lt;&gt;"",VLOOKUP($L659,Categories!$E:$G,3,FALSE),IF($F659&lt;&gt;"","NO CAT",""))</f>
        <v>Deferred Debits &amp; Credits</v>
      </c>
      <c r="P659" s="170" t="s">
        <v>1183</v>
      </c>
      <c r="Q659" s="123" t="s">
        <v>1177</v>
      </c>
      <c r="R659" s="124">
        <v>1</v>
      </c>
      <c r="S659" s="124">
        <v>0</v>
      </c>
      <c r="T659" s="124">
        <v>0</v>
      </c>
      <c r="U659" s="121">
        <f t="shared" si="246"/>
        <v>0.68865999999992</v>
      </c>
      <c r="V659" s="121">
        <f t="shared" si="247"/>
        <v>0</v>
      </c>
      <c r="W659" s="121">
        <f t="shared" si="248"/>
        <v>0</v>
      </c>
      <c r="X659" s="121">
        <f t="shared" si="279"/>
        <v>0.68865999999992</v>
      </c>
      <c r="Y659" s="121">
        <f t="shared" si="249"/>
        <v>0.68865999999991601</v>
      </c>
      <c r="Z659" s="121">
        <f t="shared" si="250"/>
        <v>0</v>
      </c>
      <c r="AA659" s="121">
        <f t="shared" si="251"/>
        <v>0</v>
      </c>
      <c r="AB659" s="121">
        <f t="shared" si="280"/>
        <v>0.68865999999991623</v>
      </c>
      <c r="AC659" s="121">
        <v>0.68865999999999528</v>
      </c>
      <c r="AD659" s="121">
        <v>0.68865999999991623</v>
      </c>
      <c r="AE659" s="121">
        <v>0.68865999999991623</v>
      </c>
      <c r="AF659" s="121">
        <v>0.68865999999991623</v>
      </c>
      <c r="AG659" s="121">
        <v>0.68865999999991623</v>
      </c>
      <c r="AH659" s="121">
        <v>0.68865999999991623</v>
      </c>
      <c r="AI659" s="121">
        <v>0.68865999999991623</v>
      </c>
      <c r="AJ659" s="121">
        <v>0.68865999999991623</v>
      </c>
      <c r="AK659" s="121">
        <v>0.68865999999991623</v>
      </c>
      <c r="AL659" s="121">
        <v>0.68865999999991623</v>
      </c>
      <c r="AM659" s="121">
        <v>0.68865999999991623</v>
      </c>
      <c r="AN659" s="121">
        <v>0.68865999999991623</v>
      </c>
      <c r="AO659" s="121">
        <v>0.68865999999991623</v>
      </c>
      <c r="AP659" s="125" t="str">
        <f>CONCATENATE(A659,M659)</f>
        <v>Reg AssetR</v>
      </c>
      <c r="AQ659" s="125" t="str">
        <f>CONCATENATE(AP659,L659,H659)</f>
        <v>Reg AssetRR10Purchase of Receivables</v>
      </c>
      <c r="AS659" s="125" t="str">
        <f>CONCATENATE(L659,H659,J659)</f>
        <v>R10Purchase of Receivables</v>
      </c>
    </row>
    <row r="660" spans="1:45" s="125" customFormat="1" ht="25.5" customHeight="1">
      <c r="A660" s="216" t="s">
        <v>1442</v>
      </c>
      <c r="B660" s="217" t="str">
        <f t="shared" si="245"/>
        <v>Reg Asset254115801233-11BE030423</v>
      </c>
      <c r="C660" s="186">
        <v>254115</v>
      </c>
      <c r="D660" s="201" t="s">
        <v>3132</v>
      </c>
      <c r="E660" s="162" t="s">
        <v>2482</v>
      </c>
      <c r="F660" s="169" t="s">
        <v>728</v>
      </c>
      <c r="G660" s="117" t="s">
        <v>2481</v>
      </c>
      <c r="H660" s="118" t="s">
        <v>2858</v>
      </c>
      <c r="I660" s="120"/>
      <c r="J660" s="120"/>
      <c r="K660" s="120" t="str">
        <f t="shared" si="289"/>
        <v/>
      </c>
      <c r="L660" s="170" t="s">
        <v>1893</v>
      </c>
      <c r="M660" s="122" t="str">
        <f>LEFT(L660,1)</f>
        <v>R</v>
      </c>
      <c r="N660" s="116" t="str">
        <f>IF($L660&lt;&gt;"",VLOOKUP($L660,Categories!$E:$G,2,FALSE),IF($F660&lt;&gt;"","NO CAT",""))</f>
        <v>Rate Base</v>
      </c>
      <c r="O660" s="116" t="str">
        <f>IF($L660&lt;&gt;"",VLOOKUP($L660,Categories!$E:$G,3,FALSE),IF($F660&lt;&gt;"","NO CAT",""))</f>
        <v>Deferred Debits &amp; Credits</v>
      </c>
      <c r="P660" s="170" t="s">
        <v>1183</v>
      </c>
      <c r="Q660" s="123" t="s">
        <v>1177</v>
      </c>
      <c r="R660" s="124">
        <v>1</v>
      </c>
      <c r="S660" s="124">
        <v>0</v>
      </c>
      <c r="T660" s="124">
        <v>0</v>
      </c>
      <c r="U660" s="121">
        <f>IF(ABS(X660)=0,"",IF($R660="NO ALLOC","NO ALLOC",ROUND($R660*X660,15)))</f>
        <v>-3.25019833333335</v>
      </c>
      <c r="V660" s="121">
        <f>IF(ABS(X660)=0,"",IF($S660="NO ALLOC","NO ALLOC",ROUND($S660*X660,15)))</f>
        <v>0</v>
      </c>
      <c r="W660" s="121">
        <f>IF(ABS(X660)=0,"",IF($T660="NO ALLOC","NO ALLOC",ROUND($T660*X660,15)))</f>
        <v>0</v>
      </c>
      <c r="X660" s="121">
        <f t="shared" si="279"/>
        <v>-3.25019833333335</v>
      </c>
      <c r="Y660" s="121">
        <f>IF(ABS(AB660)=0,"",IF($R660="NO ALLOC","NO ALLOC",ROUND($R660*AB660,15)))</f>
        <v>-4.6220700000000097</v>
      </c>
      <c r="Z660" s="121">
        <f>IF(ABS(AB660)=0,"",IF($S660="NO ALLOC","NO ALLOC",ROUND($S660*AB660,15)))</f>
        <v>0</v>
      </c>
      <c r="AA660" s="121">
        <f>IF(ABS(AB660)=0,"",IF($T660="NO ALLOC","NO ALLOC",ROUND($T660*AB660,15)))</f>
        <v>0</v>
      </c>
      <c r="AB660" s="121">
        <f t="shared" si="280"/>
        <v>-4.6220700000000141</v>
      </c>
      <c r="AC660" s="121">
        <v>-4.6220700000000141</v>
      </c>
      <c r="AD660" s="121">
        <v>-4.6220700000000141</v>
      </c>
      <c r="AE660" s="121">
        <v>-4.6220700000000141</v>
      </c>
      <c r="AF660" s="121">
        <v>-4.6220700000000141</v>
      </c>
      <c r="AG660" s="121">
        <v>-4.6220700000000141</v>
      </c>
      <c r="AH660" s="121">
        <v>11.840389999999985</v>
      </c>
      <c r="AI660" s="121">
        <v>-4.6220700000000141</v>
      </c>
      <c r="AJ660" s="121">
        <v>-4.6220700000000141</v>
      </c>
      <c r="AK660" s="121">
        <v>-4.6220700000000141</v>
      </c>
      <c r="AL660" s="121">
        <v>-4.6220700000000141</v>
      </c>
      <c r="AM660" s="121">
        <v>-4.6220700000000141</v>
      </c>
      <c r="AN660" s="121">
        <v>-4.6220700000000141</v>
      </c>
      <c r="AO660" s="121">
        <v>-4.6220700000000141</v>
      </c>
      <c r="AP660" s="125" t="str">
        <f>CONCATENATE(A660,M660)</f>
        <v>Reg AssetR</v>
      </c>
      <c r="AQ660" s="125" t="str">
        <f>CONCATENATE(AP660,L660,H660)</f>
        <v>Reg AssetRR10Purchase of Receivables</v>
      </c>
      <c r="AS660" s="125" t="str">
        <f>CONCATENATE(L660,H660,J660)</f>
        <v>R10Purchase of Receivables</v>
      </c>
    </row>
    <row r="661" spans="1:45" s="125" customFormat="1" ht="25.5" customHeight="1">
      <c r="A661" s="216" t="s">
        <v>1442</v>
      </c>
      <c r="B661" s="217" t="str">
        <f>CONCATENATE(A661,C661,D661,E661)</f>
        <v>Reg Asset254115801233-13BE030423</v>
      </c>
      <c r="C661" s="186">
        <v>254115</v>
      </c>
      <c r="D661" s="201" t="s">
        <v>4622</v>
      </c>
      <c r="E661" s="162" t="s">
        <v>2482</v>
      </c>
      <c r="F661" s="169" t="s">
        <v>728</v>
      </c>
      <c r="G661" s="117" t="s">
        <v>4634</v>
      </c>
      <c r="H661" s="118" t="s">
        <v>2858</v>
      </c>
      <c r="I661" s="120"/>
      <c r="J661" s="120"/>
      <c r="K661" s="120" t="str">
        <f t="shared" si="289"/>
        <v/>
      </c>
      <c r="L661" s="170" t="s">
        <v>1893</v>
      </c>
      <c r="M661" s="122" t="str">
        <f>LEFT(L661,1)</f>
        <v>R</v>
      </c>
      <c r="N661" s="116" t="str">
        <f>IF($L661&lt;&gt;"",VLOOKUP($L661,Categories!$E:$G,2,FALSE),IF($F661&lt;&gt;"","NO CAT",""))</f>
        <v>Rate Base</v>
      </c>
      <c r="O661" s="116" t="str">
        <f>IF($L661&lt;&gt;"",VLOOKUP($L661,Categories!$E:$G,3,FALSE),IF($F661&lt;&gt;"","NO CAT",""))</f>
        <v>Deferred Debits &amp; Credits</v>
      </c>
      <c r="P661" s="170" t="s">
        <v>1183</v>
      </c>
      <c r="Q661" s="123" t="s">
        <v>1177</v>
      </c>
      <c r="R661" s="124">
        <v>1</v>
      </c>
      <c r="S661" s="124">
        <v>0</v>
      </c>
      <c r="T661" s="124">
        <v>0</v>
      </c>
      <c r="U661" s="121">
        <f>IF(ABS(X661)=0,"",IF($R661="NO ALLOC","NO ALLOC",ROUND($R661*X661,15)))</f>
        <v>-27.4620695833333</v>
      </c>
      <c r="V661" s="121">
        <f>IF(ABS(X661)=0,"",IF($S661="NO ALLOC","NO ALLOC",ROUND($S661*X661,15)))</f>
        <v>0</v>
      </c>
      <c r="W661" s="121">
        <f>IF(ABS(X661)=0,"",IF($T661="NO ALLOC","NO ALLOC",ROUND($T661*X661,15)))</f>
        <v>0</v>
      </c>
      <c r="X661" s="121">
        <f t="shared" si="279"/>
        <v>-27.4620695833333</v>
      </c>
      <c r="Y661" s="121">
        <f>IF(ABS(AB661)=0,"",IF($R661="NO ALLOC","NO ALLOC",ROUND($R661*AB661,15)))</f>
        <v>52.726750000000003</v>
      </c>
      <c r="Z661" s="121">
        <f>IF(ABS(AB661)=0,"",IF($S661="NO ALLOC","NO ALLOC",ROUND($S661*AB661,15)))</f>
        <v>0</v>
      </c>
      <c r="AA661" s="121">
        <f>IF(ABS(AB661)=0,"",IF($T661="NO ALLOC","NO ALLOC",ROUND($T661*AB661,15)))</f>
        <v>0</v>
      </c>
      <c r="AB661" s="121">
        <f t="shared" si="280"/>
        <v>52.726749999999996</v>
      </c>
      <c r="AC661" s="121">
        <v>-103.83009999999997</v>
      </c>
      <c r="AD661" s="121">
        <v>-265.50599999999997</v>
      </c>
      <c r="AE661" s="121">
        <v>-242.05136999999999</v>
      </c>
      <c r="AF661" s="121">
        <v>-31.609580000000005</v>
      </c>
      <c r="AG661" s="121">
        <v>-14.696720000000004</v>
      </c>
      <c r="AH661" s="121">
        <v>-14.696720000000004</v>
      </c>
      <c r="AI661" s="121">
        <v>17.992379999999994</v>
      </c>
      <c r="AJ661" s="121">
        <v>35.667849999999994</v>
      </c>
      <c r="AK661" s="121">
        <v>52.726749999999996</v>
      </c>
      <c r="AL661" s="121">
        <v>52.726749999999996</v>
      </c>
      <c r="AM661" s="121">
        <v>52.726749999999996</v>
      </c>
      <c r="AN661" s="121">
        <v>52.726749999999996</v>
      </c>
      <c r="AO661" s="121">
        <v>52.726749999999996</v>
      </c>
      <c r="AP661" s="125" t="str">
        <f>CONCATENATE(A661,M661)</f>
        <v>Reg AssetR</v>
      </c>
      <c r="AQ661" s="125" t="str">
        <f>CONCATENATE(AP661,L661,H661)</f>
        <v>Reg AssetRR10Purchase of Receivables</v>
      </c>
      <c r="AS661" s="125" t="str">
        <f>CONCATENATE(L661,H661,J661)</f>
        <v>R10Purchase of Receivables</v>
      </c>
    </row>
    <row r="662" spans="1:45" s="125" customFormat="1" ht="25.5" customHeight="1">
      <c r="A662" s="216" t="s">
        <v>1442</v>
      </c>
      <c r="B662" s="217" t="str">
        <f>CONCATENATE(A662,C662,D662,E662)</f>
        <v>Reg Asset254115801233-14BE030423</v>
      </c>
      <c r="C662" s="186">
        <v>254115</v>
      </c>
      <c r="D662" s="201" t="s">
        <v>4623</v>
      </c>
      <c r="E662" s="162" t="s">
        <v>2482</v>
      </c>
      <c r="F662" s="169" t="s">
        <v>728</v>
      </c>
      <c r="G662" s="117" t="s">
        <v>4635</v>
      </c>
      <c r="H662" s="118" t="s">
        <v>2858</v>
      </c>
      <c r="I662" s="120"/>
      <c r="J662" s="120"/>
      <c r="K662" s="120" t="str">
        <f t="shared" si="289"/>
        <v/>
      </c>
      <c r="L662" s="170" t="s">
        <v>1893</v>
      </c>
      <c r="M662" s="122" t="str">
        <f>LEFT(L662,1)</f>
        <v>R</v>
      </c>
      <c r="N662" s="116" t="str">
        <f>IF($L662&lt;&gt;"",VLOOKUP($L662,Categories!$E:$G,2,FALSE),IF($F662&lt;&gt;"","NO CAT",""))</f>
        <v>Rate Base</v>
      </c>
      <c r="O662" s="116" t="str">
        <f>IF($L662&lt;&gt;"",VLOOKUP($L662,Categories!$E:$G,3,FALSE),IF($F662&lt;&gt;"","NO CAT",""))</f>
        <v>Deferred Debits &amp; Credits</v>
      </c>
      <c r="P662" s="170" t="s">
        <v>1183</v>
      </c>
      <c r="Q662" s="123" t="s">
        <v>1177</v>
      </c>
      <c r="R662" s="124">
        <v>1</v>
      </c>
      <c r="S662" s="124">
        <v>0</v>
      </c>
      <c r="T662" s="124">
        <v>0</v>
      </c>
      <c r="U662" s="121">
        <f>IF(ABS(X662)=0,"",IF($R662="NO ALLOC","NO ALLOC",ROUND($R662*X662,15)))</f>
        <v>-771.97330041666703</v>
      </c>
      <c r="V662" s="121">
        <f>IF(ABS(X662)=0,"",IF($S662="NO ALLOC","NO ALLOC",ROUND($S662*X662,15)))</f>
        <v>0</v>
      </c>
      <c r="W662" s="121">
        <f>IF(ABS(X662)=0,"",IF($T662="NO ALLOC","NO ALLOC",ROUND($T662*X662,15)))</f>
        <v>0</v>
      </c>
      <c r="X662" s="121">
        <f t="shared" si="279"/>
        <v>-771.97330041666703</v>
      </c>
      <c r="Y662" s="121">
        <f>IF(ABS(AB662)=0,"",IF($R662="NO ALLOC","NO ALLOC",ROUND($R662*AB662,15)))</f>
        <v>-896.70492999999999</v>
      </c>
      <c r="Z662" s="121">
        <f>IF(ABS(AB662)=0,"",IF($S662="NO ALLOC","NO ALLOC",ROUND($S662*AB662,15)))</f>
        <v>0</v>
      </c>
      <c r="AA662" s="121">
        <f>IF(ABS(AB662)=0,"",IF($T662="NO ALLOC","NO ALLOC",ROUND($T662*AB662,15)))</f>
        <v>0</v>
      </c>
      <c r="AB662" s="121">
        <f t="shared" si="280"/>
        <v>-896.70492999999999</v>
      </c>
      <c r="AC662" s="121">
        <v>-86.125699999999995</v>
      </c>
      <c r="AD662" s="121">
        <v>-86.125699999999995</v>
      </c>
      <c r="AE662" s="121">
        <v>-290.11884000000003</v>
      </c>
      <c r="AF662" s="121">
        <v>-736.81868999999995</v>
      </c>
      <c r="AG662" s="121">
        <v>-806.77551000000005</v>
      </c>
      <c r="AH662" s="121">
        <v>-867.48581000000001</v>
      </c>
      <c r="AI662" s="121">
        <v>-923.35500000000002</v>
      </c>
      <c r="AJ662" s="121">
        <v>-1008.96768</v>
      </c>
      <c r="AK662" s="121">
        <v>-1081.9226999999998</v>
      </c>
      <c r="AL662" s="121">
        <v>-1032.7860499999999</v>
      </c>
      <c r="AM662" s="121">
        <v>-987.34089999999992</v>
      </c>
      <c r="AN662" s="121">
        <v>-950.56740999999988</v>
      </c>
      <c r="AO662" s="121">
        <v>-896.70492999999999</v>
      </c>
      <c r="AP662" s="125" t="str">
        <f>CONCATENATE(A662,M662)</f>
        <v>Reg AssetR</v>
      </c>
      <c r="AQ662" s="125" t="str">
        <f>CONCATENATE(AP662,L662,H662)</f>
        <v>Reg AssetRR10Purchase of Receivables</v>
      </c>
      <c r="AS662" s="125" t="str">
        <f>CONCATENATE(L662,H662,J662)</f>
        <v>R10Purchase of Receivables</v>
      </c>
    </row>
    <row r="663" spans="1:45" s="125" customFormat="1" ht="25.5" customHeight="1">
      <c r="A663" s="216" t="s">
        <v>1442</v>
      </c>
      <c r="B663" s="217" t="str">
        <f t="shared" si="245"/>
        <v>Reg Asset254115801233-12BE030423</v>
      </c>
      <c r="C663" s="186">
        <v>254115</v>
      </c>
      <c r="D663" s="201" t="s">
        <v>3133</v>
      </c>
      <c r="E663" s="162" t="s">
        <v>2482</v>
      </c>
      <c r="F663" s="169" t="s">
        <v>728</v>
      </c>
      <c r="G663" s="117" t="s">
        <v>3134</v>
      </c>
      <c r="H663" s="118" t="s">
        <v>2858</v>
      </c>
      <c r="I663" s="120"/>
      <c r="J663" s="120"/>
      <c r="K663" s="120" t="str">
        <f t="shared" si="289"/>
        <v/>
      </c>
      <c r="L663" s="170" t="s">
        <v>1893</v>
      </c>
      <c r="M663" s="122" t="str">
        <f t="shared" si="212"/>
        <v>R</v>
      </c>
      <c r="N663" s="116" t="str">
        <f>IF($L663&lt;&gt;"",VLOOKUP($L663,Categories!$E:$G,2,FALSE),IF($F663&lt;&gt;"","NO CAT",""))</f>
        <v>Rate Base</v>
      </c>
      <c r="O663" s="116" t="str">
        <f>IF($L663&lt;&gt;"",VLOOKUP($L663,Categories!$E:$G,3,FALSE),IF($F663&lt;&gt;"","NO CAT",""))</f>
        <v>Deferred Debits &amp; Credits</v>
      </c>
      <c r="P663" s="170" t="s">
        <v>1183</v>
      </c>
      <c r="Q663" s="123" t="s">
        <v>1177</v>
      </c>
      <c r="R663" s="124">
        <v>1</v>
      </c>
      <c r="S663" s="124">
        <v>0</v>
      </c>
      <c r="T663" s="124">
        <v>0</v>
      </c>
      <c r="U663" s="121">
        <f t="shared" si="246"/>
        <v>-35.168930000000003</v>
      </c>
      <c r="V663" s="121">
        <f t="shared" si="247"/>
        <v>0</v>
      </c>
      <c r="W663" s="121">
        <f t="shared" si="248"/>
        <v>0</v>
      </c>
      <c r="X663" s="121">
        <f t="shared" si="279"/>
        <v>-35.168930000000003</v>
      </c>
      <c r="Y663" s="121">
        <f t="shared" si="249"/>
        <v>-35.168930000000003</v>
      </c>
      <c r="Z663" s="121">
        <f t="shared" si="250"/>
        <v>0</v>
      </c>
      <c r="AA663" s="121">
        <f t="shared" si="251"/>
        <v>0</v>
      </c>
      <c r="AB663" s="121">
        <f t="shared" si="280"/>
        <v>-35.168929999999996</v>
      </c>
      <c r="AC663" s="121">
        <v>-35.168929999999932</v>
      </c>
      <c r="AD663" s="121">
        <v>-35.168929999999996</v>
      </c>
      <c r="AE663" s="121">
        <v>-35.168929999999996</v>
      </c>
      <c r="AF663" s="121">
        <v>-35.168929999999996</v>
      </c>
      <c r="AG663" s="121">
        <v>-35.168929999999996</v>
      </c>
      <c r="AH663" s="121">
        <v>-35.168929999999996</v>
      </c>
      <c r="AI663" s="121">
        <v>-35.168929999999996</v>
      </c>
      <c r="AJ663" s="121">
        <v>-35.168929999999996</v>
      </c>
      <c r="AK663" s="121">
        <v>-35.168929999999996</v>
      </c>
      <c r="AL663" s="121">
        <v>-35.168929999999996</v>
      </c>
      <c r="AM663" s="121">
        <v>-35.168929999999996</v>
      </c>
      <c r="AN663" s="121">
        <v>-35.168929999999996</v>
      </c>
      <c r="AO663" s="121">
        <v>-35.168929999999996</v>
      </c>
      <c r="AP663" s="125" t="str">
        <f>CONCATENATE(A663,M663)</f>
        <v>Reg AssetR</v>
      </c>
      <c r="AQ663" s="125" t="str">
        <f>CONCATENATE(AP663,L663,H663)</f>
        <v>Reg AssetRR10Purchase of Receivables</v>
      </c>
      <c r="AS663" s="125" t="str">
        <f>CONCATENATE(L663,H663,J663)</f>
        <v>R10Purchase of Receivables</v>
      </c>
    </row>
    <row r="664" spans="1:45" s="125" customFormat="1" ht="25.5" customHeight="1">
      <c r="A664" s="216" t="s">
        <v>1442</v>
      </c>
      <c r="B664" s="217" t="str">
        <f>CONCATENATE(A664,C664,D664,E664)</f>
        <v>Reg Asset254115801233-15BE030423</v>
      </c>
      <c r="C664" s="186">
        <v>254115</v>
      </c>
      <c r="D664" s="201" t="s">
        <v>4826</v>
      </c>
      <c r="E664" s="162" t="s">
        <v>2482</v>
      </c>
      <c r="F664" s="169" t="s">
        <v>728</v>
      </c>
      <c r="G664" s="117" t="s">
        <v>4827</v>
      </c>
      <c r="H664" s="118" t="s">
        <v>2858</v>
      </c>
      <c r="I664" s="120"/>
      <c r="J664" s="120"/>
      <c r="K664" s="120" t="str">
        <f t="shared" si="289"/>
        <v/>
      </c>
      <c r="L664" s="170" t="s">
        <v>1893</v>
      </c>
      <c r="M664" s="122" t="str">
        <f>LEFT(L664,1)</f>
        <v>R</v>
      </c>
      <c r="N664" s="116" t="str">
        <f>IF($L664&lt;&gt;"",VLOOKUP($L664,Categories!$E:$G,2,FALSE),IF($F664&lt;&gt;"","NO CAT",""))</f>
        <v>Rate Base</v>
      </c>
      <c r="O664" s="116" t="str">
        <f>IF($L664&lt;&gt;"",VLOOKUP($L664,Categories!$E:$G,3,FALSE),IF($F664&lt;&gt;"","NO CAT",""))</f>
        <v>Deferred Debits &amp; Credits</v>
      </c>
      <c r="P664" s="170" t="s">
        <v>1183</v>
      </c>
      <c r="Q664" s="123" t="s">
        <v>1177</v>
      </c>
      <c r="R664" s="124">
        <v>1</v>
      </c>
      <c r="S664" s="124">
        <v>0</v>
      </c>
      <c r="T664" s="124">
        <v>0</v>
      </c>
      <c r="U664" s="121">
        <f>IF(ABS(X664)=0,"",IF($R664="NO ALLOC","NO ALLOC",ROUND($R664*X664,15)))</f>
        <v>26.543602083333301</v>
      </c>
      <c r="V664" s="121">
        <f>IF(ABS(X664)=0,"",IF($S664="NO ALLOC","NO ALLOC",ROUND($S664*X664,15)))</f>
        <v>0</v>
      </c>
      <c r="W664" s="121">
        <f>IF(ABS(X664)=0,"",IF($T664="NO ALLOC","NO ALLOC",ROUND($T664*X664,15)))</f>
        <v>0</v>
      </c>
      <c r="X664" s="121">
        <f t="shared" si="279"/>
        <v>26.543602083333301</v>
      </c>
      <c r="Y664" s="121">
        <f>IF(ABS(AB664)=0,"",IF($R664="NO ALLOC","NO ALLOC",ROUND($R664*AB664,15)))</f>
        <v>152.18862999999999</v>
      </c>
      <c r="Z664" s="121">
        <f>IF(ABS(AB664)=0,"",IF($S664="NO ALLOC","NO ALLOC",ROUND($S664*AB664,15)))</f>
        <v>0</v>
      </c>
      <c r="AA664" s="121">
        <f>IF(ABS(AB664)=0,"",IF($T664="NO ALLOC","NO ALLOC",ROUND($T664*AB664,15)))</f>
        <v>0</v>
      </c>
      <c r="AB664" s="121">
        <f t="shared" si="280"/>
        <v>152.18863000000002</v>
      </c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>
        <v>23.49381</v>
      </c>
      <c r="AM664" s="121">
        <v>65.956460000000007</v>
      </c>
      <c r="AN664" s="121">
        <v>152.97864000000001</v>
      </c>
      <c r="AO664" s="121">
        <v>152.18863000000002</v>
      </c>
      <c r="AP664" s="125" t="str">
        <f>CONCATENATE(A664,M664)</f>
        <v>Reg AssetR</v>
      </c>
      <c r="AQ664" s="125" t="str">
        <f>CONCATENATE(AP664,L664,H664)</f>
        <v>Reg AssetRR10Purchase of Receivables</v>
      </c>
      <c r="AS664" s="125" t="str">
        <f>CONCATENATE(L664,H664,J664)</f>
        <v>R10Purchase of Receivables</v>
      </c>
    </row>
    <row r="665" spans="1:45" s="125" customFormat="1" ht="25.5" customHeight="1">
      <c r="A665" s="216" t="s">
        <v>1442</v>
      </c>
      <c r="B665" s="217" t="str">
        <f t="shared" si="245"/>
        <v>Reg Asset254116801233BG030424</v>
      </c>
      <c r="C665" s="186">
        <v>254116</v>
      </c>
      <c r="D665" s="201" t="s">
        <v>2480</v>
      </c>
      <c r="E665" s="162" t="s">
        <v>4317</v>
      </c>
      <c r="F665" s="169" t="s">
        <v>729</v>
      </c>
      <c r="G665" s="117" t="s">
        <v>2483</v>
      </c>
      <c r="H665" s="118" t="s">
        <v>2858</v>
      </c>
      <c r="I665" s="120"/>
      <c r="J665" s="120"/>
      <c r="K665" s="120" t="str">
        <f t="shared" si="289"/>
        <v/>
      </c>
      <c r="L665" s="170" t="s">
        <v>1893</v>
      </c>
      <c r="M665" s="122" t="str">
        <f>LEFT(L665,1)</f>
        <v>R</v>
      </c>
      <c r="N665" s="116" t="str">
        <f>IF($L665&lt;&gt;"",VLOOKUP($L665,Categories!$E:$G,2,FALSE),IF($F665&lt;&gt;"","NO CAT",""))</f>
        <v>Rate Base</v>
      </c>
      <c r="O665" s="116" t="str">
        <f>IF($L665&lt;&gt;"",VLOOKUP($L665,Categories!$E:$G,3,FALSE),IF($F665&lt;&gt;"","NO CAT",""))</f>
        <v>Deferred Debits &amp; Credits</v>
      </c>
      <c r="P665" s="170" t="s">
        <v>1184</v>
      </c>
      <c r="Q665" s="123" t="s">
        <v>1178</v>
      </c>
      <c r="R665" s="124">
        <v>0</v>
      </c>
      <c r="S665" s="124">
        <v>1</v>
      </c>
      <c r="T665" s="124">
        <v>0</v>
      </c>
      <c r="U665" s="121" t="str">
        <f t="shared" si="246"/>
        <v/>
      </c>
      <c r="V665" s="121" t="str">
        <f t="shared" si="247"/>
        <v/>
      </c>
      <c r="W665" s="121" t="str">
        <f t="shared" si="248"/>
        <v/>
      </c>
      <c r="X665" s="121">
        <f t="shared" si="279"/>
        <v>0</v>
      </c>
      <c r="Y665" s="121" t="str">
        <f t="shared" si="249"/>
        <v/>
      </c>
      <c r="Z665" s="121" t="str">
        <f t="shared" si="250"/>
        <v/>
      </c>
      <c r="AA665" s="121" t="str">
        <f t="shared" si="251"/>
        <v/>
      </c>
      <c r="AB665" s="121">
        <f t="shared" si="280"/>
        <v>0</v>
      </c>
      <c r="AC665" s="121">
        <v>0</v>
      </c>
      <c r="AD665" s="121">
        <v>0</v>
      </c>
      <c r="AE665" s="121">
        <v>0</v>
      </c>
      <c r="AF665" s="121">
        <v>0</v>
      </c>
      <c r="AG665" s="121">
        <v>0</v>
      </c>
      <c r="AH665" s="121">
        <v>0</v>
      </c>
      <c r="AI665" s="121">
        <v>0</v>
      </c>
      <c r="AJ665" s="121">
        <v>0</v>
      </c>
      <c r="AK665" s="121">
        <v>0</v>
      </c>
      <c r="AL665" s="121">
        <v>0</v>
      </c>
      <c r="AM665" s="121">
        <v>0</v>
      </c>
      <c r="AN665" s="121">
        <v>0</v>
      </c>
      <c r="AO665" s="121">
        <v>0</v>
      </c>
      <c r="AP665" s="125" t="str">
        <f>CONCATENATE(A665,M665)</f>
        <v>Reg AssetR</v>
      </c>
      <c r="AQ665" s="125" t="str">
        <f>CONCATENATE(AP665,L665,H665)</f>
        <v>Reg AssetRR10Purchase of Receivables</v>
      </c>
      <c r="AS665" s="125" t="str">
        <f>CONCATENATE(L665,H665,J665)</f>
        <v>R10Purchase of Receivables</v>
      </c>
    </row>
    <row r="666" spans="1:45" s="125" customFormat="1" ht="25.5" customHeight="1">
      <c r="A666" s="216" t="s">
        <v>1442</v>
      </c>
      <c r="B666" s="217" t="str">
        <f>CONCATENATE(A666,C666,D666,E666)</f>
        <v>Reg Asset254116801233-13BG030424</v>
      </c>
      <c r="C666" s="186">
        <v>254116</v>
      </c>
      <c r="D666" s="201" t="s">
        <v>4622</v>
      </c>
      <c r="E666" s="162" t="s">
        <v>4317</v>
      </c>
      <c r="F666" s="169" t="s">
        <v>729</v>
      </c>
      <c r="G666" s="117" t="s">
        <v>4624</v>
      </c>
      <c r="H666" s="118" t="s">
        <v>2858</v>
      </c>
      <c r="I666" s="120"/>
      <c r="J666" s="120"/>
      <c r="K666" s="120" t="str">
        <f t="shared" si="289"/>
        <v/>
      </c>
      <c r="L666" s="170" t="s">
        <v>1893</v>
      </c>
      <c r="M666" s="122" t="str">
        <f>LEFT(L666,1)</f>
        <v>R</v>
      </c>
      <c r="N666" s="116" t="str">
        <f>IF($L666&lt;&gt;"",VLOOKUP($L666,Categories!$E:$G,2,FALSE),IF($F666&lt;&gt;"","NO CAT",""))</f>
        <v>Rate Base</v>
      </c>
      <c r="O666" s="116" t="str">
        <f>IF($L666&lt;&gt;"",VLOOKUP($L666,Categories!$E:$G,3,FALSE),IF($F666&lt;&gt;"","NO CAT",""))</f>
        <v>Deferred Debits &amp; Credits</v>
      </c>
      <c r="P666" s="170" t="s">
        <v>1184</v>
      </c>
      <c r="Q666" s="123" t="s">
        <v>1178</v>
      </c>
      <c r="R666" s="124">
        <v>0</v>
      </c>
      <c r="S666" s="124">
        <v>1</v>
      </c>
      <c r="T666" s="124">
        <v>0</v>
      </c>
      <c r="U666" s="121">
        <f>IF(ABS(X666)=0,"",IF($R666="NO ALLOC","NO ALLOC",ROUND($R666*X666,15)))</f>
        <v>0</v>
      </c>
      <c r="V666" s="121">
        <f>IF(ABS(X666)=0,"",IF($S666="NO ALLOC","NO ALLOC",ROUND($S666*X666,15)))</f>
        <v>-8.2873275</v>
      </c>
      <c r="W666" s="121">
        <f>IF(ABS(X666)=0,"",IF($T666="NO ALLOC","NO ALLOC",ROUND($T666*X666,15)))</f>
        <v>0</v>
      </c>
      <c r="X666" s="121">
        <f t="shared" si="279"/>
        <v>-8.2873275</v>
      </c>
      <c r="Y666" s="121">
        <f>IF(ABS(AB666)=0,"",IF($R666="NO ALLOC","NO ALLOC",ROUND($R666*AB666,15)))</f>
        <v>0</v>
      </c>
      <c r="Z666" s="121">
        <f>IF(ABS(AB666)=0,"",IF($S666="NO ALLOC","NO ALLOC",ROUND($S666*AB666,15)))</f>
        <v>3.7134999999999998</v>
      </c>
      <c r="AA666" s="121">
        <f>IF(ABS(AB666)=0,"",IF($T666="NO ALLOC","NO ALLOC",ROUND($T666*AB666,15)))</f>
        <v>0</v>
      </c>
      <c r="AB666" s="121">
        <f t="shared" si="280"/>
        <v>3.7134999999999989</v>
      </c>
      <c r="AC666" s="121">
        <v>-10.20152</v>
      </c>
      <c r="AD666" s="121">
        <v>-60.311489999999992</v>
      </c>
      <c r="AE666" s="121">
        <v>-57.560839999999992</v>
      </c>
      <c r="AF666" s="121">
        <v>-1.4695300000000011</v>
      </c>
      <c r="AG666" s="121">
        <v>0.56768999999999892</v>
      </c>
      <c r="AH666" s="121">
        <v>1.87744</v>
      </c>
      <c r="AI666" s="121">
        <v>2.6238099999999989</v>
      </c>
      <c r="AJ666" s="121">
        <v>3.2149999999999999</v>
      </c>
      <c r="AK666" s="121">
        <v>3.7134999999999998</v>
      </c>
      <c r="AL666" s="121">
        <v>3.7134999999999989</v>
      </c>
      <c r="AM666" s="121">
        <v>3.7134999999999989</v>
      </c>
      <c r="AN666" s="121">
        <v>3.7134999999999989</v>
      </c>
      <c r="AO666" s="121">
        <v>3.7134999999999989</v>
      </c>
      <c r="AP666" s="125" t="str">
        <f>CONCATENATE(A666,M666)</f>
        <v>Reg AssetR</v>
      </c>
      <c r="AQ666" s="125" t="str">
        <f>CONCATENATE(AP666,L666,H666)</f>
        <v>Reg AssetRR10Purchase of Receivables</v>
      </c>
      <c r="AS666" s="125" t="str">
        <f>CONCATENATE(L666,H666,J666)</f>
        <v>R10Purchase of Receivables</v>
      </c>
    </row>
    <row r="667" spans="1:45" s="125" customFormat="1" ht="25.5" customHeight="1">
      <c r="A667" s="216" t="s">
        <v>1442</v>
      </c>
      <c r="B667" s="217" t="str">
        <f>CONCATENATE(A667,C667,D667,E667)</f>
        <v>Reg Asset254116801233-14BG030424</v>
      </c>
      <c r="C667" s="186">
        <v>254116</v>
      </c>
      <c r="D667" s="201" t="s">
        <v>4623</v>
      </c>
      <c r="E667" s="162" t="s">
        <v>4317</v>
      </c>
      <c r="F667" s="169" t="s">
        <v>729</v>
      </c>
      <c r="G667" s="117" t="s">
        <v>4625</v>
      </c>
      <c r="H667" s="118" t="s">
        <v>2858</v>
      </c>
      <c r="I667" s="120"/>
      <c r="J667" s="120"/>
      <c r="K667" s="120" t="str">
        <f t="shared" si="289"/>
        <v/>
      </c>
      <c r="L667" s="170" t="s">
        <v>1893</v>
      </c>
      <c r="M667" s="122" t="str">
        <f>LEFT(L667,1)</f>
        <v>R</v>
      </c>
      <c r="N667" s="116" t="str">
        <f>IF($L667&lt;&gt;"",VLOOKUP($L667,Categories!$E:$G,2,FALSE),IF($F667&lt;&gt;"","NO CAT",""))</f>
        <v>Rate Base</v>
      </c>
      <c r="O667" s="116" t="str">
        <f>IF($L667&lt;&gt;"",VLOOKUP($L667,Categories!$E:$G,3,FALSE),IF($F667&lt;&gt;"","NO CAT",""))</f>
        <v>Deferred Debits &amp; Credits</v>
      </c>
      <c r="P667" s="170" t="s">
        <v>1184</v>
      </c>
      <c r="Q667" s="123" t="s">
        <v>1178</v>
      </c>
      <c r="R667" s="124">
        <v>0</v>
      </c>
      <c r="S667" s="124">
        <v>1</v>
      </c>
      <c r="T667" s="124">
        <v>0</v>
      </c>
      <c r="U667" s="121">
        <f>IF(ABS(X667)=0,"",IF($R667="NO ALLOC","NO ALLOC",ROUND($R667*X667,15)))</f>
        <v>0</v>
      </c>
      <c r="V667" s="121">
        <f>IF(ABS(X667)=0,"",IF($S667="NO ALLOC","NO ALLOC",ROUND($S667*X667,15)))</f>
        <v>-108.24161416666701</v>
      </c>
      <c r="W667" s="121">
        <f>IF(ABS(X667)=0,"",IF($T667="NO ALLOC","NO ALLOC",ROUND($T667*X667,15)))</f>
        <v>0</v>
      </c>
      <c r="X667" s="121">
        <f t="shared" si="279"/>
        <v>-108.24161416666701</v>
      </c>
      <c r="Y667" s="121">
        <f>IF(ABS(AB667)=0,"",IF($R667="NO ALLOC","NO ALLOC",ROUND($R667*AB667,15)))</f>
        <v>0</v>
      </c>
      <c r="Z667" s="121">
        <f>IF(ABS(AB667)=0,"",IF($S667="NO ALLOC","NO ALLOC",ROUND($S667*AB667,15)))</f>
        <v>-96.537329999999997</v>
      </c>
      <c r="AA667" s="121">
        <f>IF(ABS(AB667)=0,"",IF($T667="NO ALLOC","NO ALLOC",ROUND($T667*AB667,15)))</f>
        <v>0</v>
      </c>
      <c r="AB667" s="121">
        <f t="shared" si="280"/>
        <v>-96.537329999999997</v>
      </c>
      <c r="AC667" s="121">
        <v>23.044070000000008</v>
      </c>
      <c r="AD667" s="121">
        <v>23.044070000000008</v>
      </c>
      <c r="AE667" s="121">
        <v>-27.879479999999997</v>
      </c>
      <c r="AF667" s="121">
        <v>-144.71384</v>
      </c>
      <c r="AG667" s="121">
        <v>-172.30956</v>
      </c>
      <c r="AH667" s="121">
        <v>-176.35269</v>
      </c>
      <c r="AI667" s="121">
        <v>-162.15589000000003</v>
      </c>
      <c r="AJ667" s="121">
        <v>-142.93475000000001</v>
      </c>
      <c r="AK667" s="121">
        <v>-120.71298</v>
      </c>
      <c r="AL667" s="121">
        <v>-117.29983</v>
      </c>
      <c r="AM667" s="121">
        <v>-113.34831</v>
      </c>
      <c r="AN667" s="121">
        <v>-107.48948</v>
      </c>
      <c r="AO667" s="121">
        <v>-96.537329999999997</v>
      </c>
      <c r="AP667" s="125" t="str">
        <f>CONCATENATE(A667,M667)</f>
        <v>Reg AssetR</v>
      </c>
      <c r="AQ667" s="125" t="str">
        <f>CONCATENATE(AP667,L667,H667)</f>
        <v>Reg AssetRR10Purchase of Receivables</v>
      </c>
      <c r="AS667" s="125" t="str">
        <f>CONCATENATE(L667,H667,J667)</f>
        <v>R10Purchase of Receivables</v>
      </c>
    </row>
    <row r="668" spans="1:45" s="125" customFormat="1" ht="25.5" customHeight="1">
      <c r="A668" s="216" t="s">
        <v>1442</v>
      </c>
      <c r="B668" s="217" t="str">
        <f>CONCATENATE(A668,C668,D668,E668)</f>
        <v>Reg Asset254116801233-11BG030424</v>
      </c>
      <c r="C668" s="186">
        <v>254116</v>
      </c>
      <c r="D668" s="201" t="s">
        <v>3132</v>
      </c>
      <c r="E668" s="162" t="s">
        <v>4317</v>
      </c>
      <c r="F668" s="169" t="s">
        <v>729</v>
      </c>
      <c r="G668" s="117" t="s">
        <v>4659</v>
      </c>
      <c r="H668" s="118" t="s">
        <v>2858</v>
      </c>
      <c r="I668" s="120"/>
      <c r="J668" s="120"/>
      <c r="K668" s="120" t="str">
        <f t="shared" si="289"/>
        <v/>
      </c>
      <c r="L668" s="170" t="s">
        <v>1893</v>
      </c>
      <c r="M668" s="122" t="str">
        <f>LEFT(L668,1)</f>
        <v>R</v>
      </c>
      <c r="N668" s="116" t="str">
        <f>IF($L668&lt;&gt;"",VLOOKUP($L668,Categories!$E:$G,2,FALSE),IF($F668&lt;&gt;"","NO CAT",""))</f>
        <v>Rate Base</v>
      </c>
      <c r="O668" s="116" t="str">
        <f>IF($L668&lt;&gt;"",VLOOKUP($L668,Categories!$E:$G,3,FALSE),IF($F668&lt;&gt;"","NO CAT",""))</f>
        <v>Deferred Debits &amp; Credits</v>
      </c>
      <c r="P668" s="170" t="s">
        <v>1184</v>
      </c>
      <c r="Q668" s="123" t="s">
        <v>1178</v>
      </c>
      <c r="R668" s="124">
        <v>0</v>
      </c>
      <c r="S668" s="124">
        <v>1</v>
      </c>
      <c r="T668" s="124">
        <v>0</v>
      </c>
      <c r="U668" s="121">
        <f>IF(ABS(X668)=0,"",IF($R668="NO ALLOC","NO ALLOC",ROUND($R668*X668,15)))</f>
        <v>0</v>
      </c>
      <c r="V668" s="121">
        <f>IF(ABS(X668)=0,"",IF($S668="NO ALLOC","NO ALLOC",ROUND($S668*X668,15)))</f>
        <v>-2.1002900000000002</v>
      </c>
      <c r="W668" s="121">
        <f>IF(ABS(X668)=0,"",IF($T668="NO ALLOC","NO ALLOC",ROUND($T668*X668,15)))</f>
        <v>0</v>
      </c>
      <c r="X668" s="121">
        <f t="shared" si="279"/>
        <v>-2.1002900000000002</v>
      </c>
      <c r="Y668" s="121">
        <f>IF(ABS(AB668)=0,"",IF($R668="NO ALLOC","NO ALLOC",ROUND($R668*AB668,15)))</f>
        <v>0</v>
      </c>
      <c r="Z668" s="121">
        <f>IF(ABS(AB668)=0,"",IF($S668="NO ALLOC","NO ALLOC",ROUND($S668*AB668,15)))</f>
        <v>-2.1002900000000002</v>
      </c>
      <c r="AA668" s="121">
        <f>IF(ABS(AB668)=0,"",IF($T668="NO ALLOC","NO ALLOC",ROUND($T668*AB668,15)))</f>
        <v>0</v>
      </c>
      <c r="AB668" s="121">
        <f t="shared" si="280"/>
        <v>-2.1002899999999989</v>
      </c>
      <c r="AC668" s="121">
        <v>-2.1002899999999989</v>
      </c>
      <c r="AD668" s="121">
        <v>-2.1002899999999989</v>
      </c>
      <c r="AE668" s="121">
        <v>-2.1002899999999989</v>
      </c>
      <c r="AF668" s="121">
        <v>-2.1002899999999989</v>
      </c>
      <c r="AG668" s="121">
        <v>-2.1002899999999989</v>
      </c>
      <c r="AH668" s="121">
        <v>-2.1002899999999989</v>
      </c>
      <c r="AI668" s="121">
        <v>-2.1002899999999989</v>
      </c>
      <c r="AJ668" s="121">
        <v>-2.1002899999999989</v>
      </c>
      <c r="AK668" s="121">
        <v>-2.1002899999999989</v>
      </c>
      <c r="AL668" s="121">
        <v>-2.1002899999999989</v>
      </c>
      <c r="AM668" s="121">
        <v>-2.1002899999999989</v>
      </c>
      <c r="AN668" s="121">
        <v>-2.1002899999999989</v>
      </c>
      <c r="AO668" s="121">
        <v>-2.1002899999999989</v>
      </c>
      <c r="AP668" s="125" t="str">
        <f>CONCATENATE(A668,M668)</f>
        <v>Reg AssetR</v>
      </c>
      <c r="AQ668" s="125" t="str">
        <f>CONCATENATE(AP668,L668,H668)</f>
        <v>Reg AssetRR10Purchase of Receivables</v>
      </c>
      <c r="AS668" s="125" t="str">
        <f>CONCATENATE(L668,H668,J668)</f>
        <v>R10Purchase of Receivables</v>
      </c>
    </row>
    <row r="669" spans="1:45" s="125" customFormat="1" ht="25.5" customHeight="1">
      <c r="A669" s="216" t="s">
        <v>1442</v>
      </c>
      <c r="B669" s="217" t="str">
        <f t="shared" si="245"/>
        <v>Reg Asset254116801233-12BG030424</v>
      </c>
      <c r="C669" s="186">
        <v>254116</v>
      </c>
      <c r="D669" s="201" t="s">
        <v>3133</v>
      </c>
      <c r="E669" s="162" t="s">
        <v>4317</v>
      </c>
      <c r="F669" s="169" t="s">
        <v>729</v>
      </c>
      <c r="G669" s="117" t="s">
        <v>3135</v>
      </c>
      <c r="H669" s="118" t="s">
        <v>2858</v>
      </c>
      <c r="I669" s="120"/>
      <c r="J669" s="120"/>
      <c r="K669" s="120" t="str">
        <f t="shared" si="289"/>
        <v/>
      </c>
      <c r="L669" s="170" t="s">
        <v>1893</v>
      </c>
      <c r="M669" s="122" t="str">
        <f t="shared" si="212"/>
        <v>R</v>
      </c>
      <c r="N669" s="116" t="str">
        <f>IF($L669&lt;&gt;"",VLOOKUP($L669,Categories!$E:$G,2,FALSE),IF($F669&lt;&gt;"","NO CAT",""))</f>
        <v>Rate Base</v>
      </c>
      <c r="O669" s="116" t="str">
        <f>IF($L669&lt;&gt;"",VLOOKUP($L669,Categories!$E:$G,3,FALSE),IF($F669&lt;&gt;"","NO CAT",""))</f>
        <v>Deferred Debits &amp; Credits</v>
      </c>
      <c r="P669" s="170" t="s">
        <v>1184</v>
      </c>
      <c r="Q669" s="123" t="s">
        <v>1178</v>
      </c>
      <c r="R669" s="124">
        <v>0</v>
      </c>
      <c r="S669" s="124">
        <v>1</v>
      </c>
      <c r="T669" s="124">
        <v>0</v>
      </c>
      <c r="U669" s="121">
        <f t="shared" si="246"/>
        <v>0</v>
      </c>
      <c r="V669" s="121">
        <f t="shared" si="247"/>
        <v>-1.64593999999999</v>
      </c>
      <c r="W669" s="121">
        <f t="shared" si="248"/>
        <v>0</v>
      </c>
      <c r="X669" s="121">
        <f t="shared" si="279"/>
        <v>-1.64593999999999</v>
      </c>
      <c r="Y669" s="121">
        <f t="shared" si="249"/>
        <v>0</v>
      </c>
      <c r="Z669" s="121">
        <f t="shared" si="250"/>
        <v>-1.64593999999999</v>
      </c>
      <c r="AA669" s="121">
        <f t="shared" si="251"/>
        <v>0</v>
      </c>
      <c r="AB669" s="121">
        <f t="shared" si="280"/>
        <v>-1.6459399999999877</v>
      </c>
      <c r="AC669" s="121">
        <v>-1.6459400000000024</v>
      </c>
      <c r="AD669" s="121">
        <v>-1.6459399999999877</v>
      </c>
      <c r="AE669" s="121">
        <v>-1.6459399999999877</v>
      </c>
      <c r="AF669" s="121">
        <v>-1.6459399999999877</v>
      </c>
      <c r="AG669" s="121">
        <v>-1.6459399999999877</v>
      </c>
      <c r="AH669" s="121">
        <v>-1.6459399999999877</v>
      </c>
      <c r="AI669" s="121">
        <v>-1.6459399999999877</v>
      </c>
      <c r="AJ669" s="121">
        <v>-1.6459399999999877</v>
      </c>
      <c r="AK669" s="121">
        <v>-1.6459399999999877</v>
      </c>
      <c r="AL669" s="121">
        <v>-1.6459399999999877</v>
      </c>
      <c r="AM669" s="121">
        <v>-1.6459399999999877</v>
      </c>
      <c r="AN669" s="121">
        <v>-1.6459399999999877</v>
      </c>
      <c r="AO669" s="121">
        <v>-1.6459399999999877</v>
      </c>
      <c r="AP669" s="125" t="str">
        <f>CONCATENATE(A669,M669)</f>
        <v>Reg AssetR</v>
      </c>
      <c r="AQ669" s="125" t="str">
        <f>CONCATENATE(AP669,L669,H669)</f>
        <v>Reg AssetRR10Purchase of Receivables</v>
      </c>
      <c r="AS669" s="125" t="str">
        <f>CONCATENATE(L669,H669,J669)</f>
        <v>R10Purchase of Receivables</v>
      </c>
    </row>
    <row r="670" spans="1:45" s="125" customFormat="1" ht="25.5" customHeight="1">
      <c r="A670" s="216" t="s">
        <v>1442</v>
      </c>
      <c r="B670" s="217" t="str">
        <f>CONCATENATE(A670,C670,D670,E670)</f>
        <v>Reg Asset254116801233-15BG030424</v>
      </c>
      <c r="C670" s="186">
        <v>254116</v>
      </c>
      <c r="D670" s="201" t="s">
        <v>4826</v>
      </c>
      <c r="E670" s="162" t="s">
        <v>4317</v>
      </c>
      <c r="F670" s="169" t="s">
        <v>729</v>
      </c>
      <c r="G670" s="117" t="s">
        <v>4828</v>
      </c>
      <c r="H670" s="118" t="s">
        <v>2858</v>
      </c>
      <c r="I670" s="120"/>
      <c r="J670" s="120"/>
      <c r="K670" s="120" t="str">
        <f t="shared" si="289"/>
        <v/>
      </c>
      <c r="L670" s="170" t="s">
        <v>1893</v>
      </c>
      <c r="M670" s="122" t="str">
        <f t="shared" si="212"/>
        <v>R</v>
      </c>
      <c r="N670" s="116" t="str">
        <f>IF($L670&lt;&gt;"",VLOOKUP($L670,Categories!$E:$G,2,FALSE),IF($F670&lt;&gt;"","NO CAT",""))</f>
        <v>Rate Base</v>
      </c>
      <c r="O670" s="116" t="str">
        <f>IF($L670&lt;&gt;"",VLOOKUP($L670,Categories!$E:$G,3,FALSE),IF($F670&lt;&gt;"","NO CAT",""))</f>
        <v>Deferred Debits &amp; Credits</v>
      </c>
      <c r="P670" s="170" t="s">
        <v>1184</v>
      </c>
      <c r="Q670" s="123" t="s">
        <v>1178</v>
      </c>
      <c r="R670" s="124">
        <v>0</v>
      </c>
      <c r="S670" s="124">
        <v>1</v>
      </c>
      <c r="T670" s="124">
        <v>0</v>
      </c>
      <c r="U670" s="121">
        <f>IF(ABS(X670)=0,"",IF($R670="NO ALLOC","NO ALLOC",ROUND($R670*X670,15)))</f>
        <v>0</v>
      </c>
      <c r="V670" s="121">
        <f>IF(ABS(X670)=0,"",IF($S670="NO ALLOC","NO ALLOC",ROUND($S670*X670,15)))</f>
        <v>13.998529583333299</v>
      </c>
      <c r="W670" s="121">
        <f>IF(ABS(X670)=0,"",IF($T670="NO ALLOC","NO ALLOC",ROUND($T670*X670,15)))</f>
        <v>0</v>
      </c>
      <c r="X670" s="121">
        <f t="shared" si="279"/>
        <v>13.998529583333299</v>
      </c>
      <c r="Y670" s="121">
        <f>IF(ABS(AB670)=0,"",IF($R670="NO ALLOC","NO ALLOC",ROUND($R670*AB670,15)))</f>
        <v>0</v>
      </c>
      <c r="Z670" s="121">
        <f>IF(ABS(AB670)=0,"",IF($S670="NO ALLOC","NO ALLOC",ROUND($S670*AB670,15)))</f>
        <v>54.950009999999999</v>
      </c>
      <c r="AA670" s="121">
        <f>IF(ABS(AB670)=0,"",IF($T670="NO ALLOC","NO ALLOC",ROUND($T670*AB670,15)))</f>
        <v>0</v>
      </c>
      <c r="AB670" s="121">
        <f t="shared" si="280"/>
        <v>54.950009999999999</v>
      </c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>
        <v>26.19867</v>
      </c>
      <c r="AM670" s="121">
        <v>49.847239999999999</v>
      </c>
      <c r="AN670" s="121">
        <v>64.461439999999996</v>
      </c>
      <c r="AO670" s="121">
        <v>54.950009999999999</v>
      </c>
      <c r="AP670" s="125" t="str">
        <f>CONCATENATE(A670,M670)</f>
        <v>Reg AssetR</v>
      </c>
      <c r="AQ670" s="125" t="str">
        <f>CONCATENATE(AP670,L670,H670)</f>
        <v>Reg AssetRR10Purchase of Receivables</v>
      </c>
      <c r="AS670" s="125" t="str">
        <f>CONCATENATE(L670,H670,J670)</f>
        <v>R10Purchase of Receivables</v>
      </c>
    </row>
    <row r="671" spans="1:45" s="125" customFormat="1" ht="25.5" customHeight="1">
      <c r="A671" s="216" t="s">
        <v>1442</v>
      </c>
      <c r="B671" s="217" t="str">
        <f t="shared" ref="B671:B704" si="290">CONCATENATE(A671,C671,D671,E671)</f>
        <v>Reg Asset254172807041BE030186</v>
      </c>
      <c r="C671" s="186">
        <v>254172</v>
      </c>
      <c r="D671" s="201">
        <v>807041</v>
      </c>
      <c r="E671" s="162" t="s">
        <v>1610</v>
      </c>
      <c r="F671" s="169" t="s">
        <v>1609</v>
      </c>
      <c r="G671" s="117" t="s">
        <v>2681</v>
      </c>
      <c r="H671" s="118" t="s">
        <v>2857</v>
      </c>
      <c r="I671" s="119"/>
      <c r="J671" s="120"/>
      <c r="K671" s="120" t="str">
        <f t="shared" ref="K671:K674" si="291">IF(L671="N3","SFAS-109","")</f>
        <v/>
      </c>
      <c r="L671" s="170" t="s">
        <v>1893</v>
      </c>
      <c r="M671" s="122" t="str">
        <f t="shared" si="212"/>
        <v>R</v>
      </c>
      <c r="N671" s="116" t="str">
        <f>IF($L671&lt;&gt;"",VLOOKUP($L671,Categories!$E:$G,2,FALSE),IF($F671&lt;&gt;"","NO CAT",""))</f>
        <v>Rate Base</v>
      </c>
      <c r="O671" s="116" t="str">
        <f>IF($L671&lt;&gt;"",VLOOKUP($L671,Categories!$E:$G,3,FALSE),IF($F671&lt;&gt;"","NO CAT",""))</f>
        <v>Deferred Debits &amp; Credits</v>
      </c>
      <c r="P671" s="170" t="s">
        <v>1183</v>
      </c>
      <c r="Q671" s="123" t="s">
        <v>1177</v>
      </c>
      <c r="R671" s="124">
        <v>1</v>
      </c>
      <c r="S671" s="124">
        <v>0</v>
      </c>
      <c r="T671" s="124">
        <v>0</v>
      </c>
      <c r="U671" s="121" t="str">
        <f t="shared" ref="U671:U704" si="292">IF(ABS(X671)=0,"",IF($R671="NO ALLOC","NO ALLOC",ROUND($R671*X671,15)))</f>
        <v/>
      </c>
      <c r="V671" s="121" t="str">
        <f t="shared" ref="V671:V704" si="293">IF(ABS(X671)=0,"",IF($S671="NO ALLOC","NO ALLOC",ROUND($S671*X671,15)))</f>
        <v/>
      </c>
      <c r="W671" s="121" t="str">
        <f t="shared" ref="W671:W704" si="294">IF(ABS(X671)=0,"",IF($T671="NO ALLOC","NO ALLOC",ROUND($T671*X671,15)))</f>
        <v/>
      </c>
      <c r="X671" s="121">
        <f t="shared" si="279"/>
        <v>0</v>
      </c>
      <c r="Y671" s="121" t="str">
        <f t="shared" ref="Y671:Y704" si="295">IF(ABS(AB671)=0,"",IF($R671="NO ALLOC","NO ALLOC",ROUND($R671*AB671,15)))</f>
        <v/>
      </c>
      <c r="Z671" s="121" t="str">
        <f t="shared" ref="Z671:Z704" si="296">IF(ABS(AB671)=0,"",IF($S671="NO ALLOC","NO ALLOC",ROUND($S671*AB671,15)))</f>
        <v/>
      </c>
      <c r="AA671" s="121" t="str">
        <f t="shared" ref="AA671:AA704" si="297">IF(ABS(AB671)=0,"",IF($T671="NO ALLOC","NO ALLOC",ROUND($T671*AB671,15)))</f>
        <v/>
      </c>
      <c r="AB671" s="121">
        <f t="shared" si="280"/>
        <v>0</v>
      </c>
      <c r="AC671" s="121">
        <v>0</v>
      </c>
      <c r="AD671" s="121">
        <v>0</v>
      </c>
      <c r="AE671" s="121">
        <v>0</v>
      </c>
      <c r="AF671" s="121">
        <v>0</v>
      </c>
      <c r="AG671" s="121">
        <v>0</v>
      </c>
      <c r="AH671" s="121">
        <v>0</v>
      </c>
      <c r="AI671" s="121">
        <v>0</v>
      </c>
      <c r="AJ671" s="121">
        <v>0</v>
      </c>
      <c r="AK671" s="121">
        <v>0</v>
      </c>
      <c r="AL671" s="121">
        <v>0</v>
      </c>
      <c r="AM671" s="121">
        <v>0</v>
      </c>
      <c r="AN671" s="121">
        <v>0</v>
      </c>
      <c r="AO671" s="121">
        <v>0</v>
      </c>
      <c r="AP671" s="125" t="str">
        <f>CONCATENATE(A671,M671)</f>
        <v>Reg AssetR</v>
      </c>
      <c r="AQ671" s="125" t="str">
        <f>CONCATENATE(AP671,L671,H671)</f>
        <v>Reg AssetRR10Stray Voltage</v>
      </c>
      <c r="AS671" s="125" t="str">
        <f>CONCATENATE(L671,H671,J671)</f>
        <v>R10Stray Voltage</v>
      </c>
    </row>
    <row r="672" spans="1:45" s="125" customFormat="1" ht="25.5" customHeight="1">
      <c r="A672" s="216" t="s">
        <v>1442</v>
      </c>
      <c r="B672" s="217" t="str">
        <f t="shared" si="290"/>
        <v>Reg Asset254172807042BE030186</v>
      </c>
      <c r="C672" s="186">
        <v>254172</v>
      </c>
      <c r="D672" s="201">
        <v>807042</v>
      </c>
      <c r="E672" s="162" t="s">
        <v>1610</v>
      </c>
      <c r="F672" s="169" t="s">
        <v>1609</v>
      </c>
      <c r="G672" s="117" t="s">
        <v>2682</v>
      </c>
      <c r="H672" s="118" t="s">
        <v>2857</v>
      </c>
      <c r="I672" s="119"/>
      <c r="J672" s="120"/>
      <c r="K672" s="120" t="str">
        <f t="shared" si="291"/>
        <v/>
      </c>
      <c r="L672" s="170" t="s">
        <v>1893</v>
      </c>
      <c r="M672" s="122" t="str">
        <f t="shared" si="212"/>
        <v>R</v>
      </c>
      <c r="N672" s="116" t="str">
        <f>IF($L672&lt;&gt;"",VLOOKUP($L672,Categories!$E:$G,2,FALSE),IF($F672&lt;&gt;"","NO CAT",""))</f>
        <v>Rate Base</v>
      </c>
      <c r="O672" s="116" t="str">
        <f>IF($L672&lt;&gt;"",VLOOKUP($L672,Categories!$E:$G,3,FALSE),IF($F672&lt;&gt;"","NO CAT",""))</f>
        <v>Deferred Debits &amp; Credits</v>
      </c>
      <c r="P672" s="170" t="s">
        <v>1183</v>
      </c>
      <c r="Q672" s="123" t="s">
        <v>1177</v>
      </c>
      <c r="R672" s="124">
        <v>1</v>
      </c>
      <c r="S672" s="124">
        <v>0</v>
      </c>
      <c r="T672" s="124">
        <v>0</v>
      </c>
      <c r="U672" s="121">
        <f t="shared" si="292"/>
        <v>32.084780000004898</v>
      </c>
      <c r="V672" s="121">
        <f t="shared" si="293"/>
        <v>0</v>
      </c>
      <c r="W672" s="121">
        <f t="shared" si="294"/>
        <v>0</v>
      </c>
      <c r="X672" s="121">
        <f t="shared" si="279"/>
        <v>32.084780000004898</v>
      </c>
      <c r="Y672" s="121">
        <f t="shared" si="295"/>
        <v>32.084780000004898</v>
      </c>
      <c r="Z672" s="121">
        <f t="shared" si="296"/>
        <v>0</v>
      </c>
      <c r="AA672" s="121">
        <f t="shared" si="297"/>
        <v>0</v>
      </c>
      <c r="AB672" s="121">
        <f t="shared" si="280"/>
        <v>32.084780000004919</v>
      </c>
      <c r="AC672" s="121">
        <v>32.084780000004919</v>
      </c>
      <c r="AD672" s="121">
        <v>32.084780000004919</v>
      </c>
      <c r="AE672" s="121">
        <v>32.084780000004919</v>
      </c>
      <c r="AF672" s="121">
        <v>32.084780000004919</v>
      </c>
      <c r="AG672" s="121">
        <v>32.084780000004919</v>
      </c>
      <c r="AH672" s="121">
        <v>32.084780000004919</v>
      </c>
      <c r="AI672" s="121">
        <v>32.084780000004919</v>
      </c>
      <c r="AJ672" s="121">
        <v>32.084780000004919</v>
      </c>
      <c r="AK672" s="121">
        <v>32.084780000004919</v>
      </c>
      <c r="AL672" s="121">
        <v>32.084780000004919</v>
      </c>
      <c r="AM672" s="121">
        <v>32.084780000004919</v>
      </c>
      <c r="AN672" s="121">
        <v>32.084780000004919</v>
      </c>
      <c r="AO672" s="121">
        <v>32.084780000004919</v>
      </c>
      <c r="AP672" s="125" t="str">
        <f>CONCATENATE(A672,M672)</f>
        <v>Reg AssetR</v>
      </c>
      <c r="AQ672" s="125" t="str">
        <f>CONCATENATE(AP672,L672,H672)</f>
        <v>Reg AssetRR10Stray Voltage</v>
      </c>
      <c r="AS672" s="125" t="str">
        <f>CONCATENATE(L672,H672,J672)</f>
        <v>R10Stray Voltage</v>
      </c>
    </row>
    <row r="673" spans="1:45" s="125" customFormat="1" ht="25.5" customHeight="1">
      <c r="A673" s="216" t="s">
        <v>1442</v>
      </c>
      <c r="B673" s="217" t="str">
        <f>CONCATENATE(A673,C673,D673,E673)</f>
        <v>Reg Asset254172801270BE030255</v>
      </c>
      <c r="C673" s="186">
        <v>254172</v>
      </c>
      <c r="D673" s="201">
        <v>801270</v>
      </c>
      <c r="E673" s="162" t="s">
        <v>4589</v>
      </c>
      <c r="F673" s="169" t="s">
        <v>1609</v>
      </c>
      <c r="G673" s="117" t="s">
        <v>4588</v>
      </c>
      <c r="H673" s="118" t="s">
        <v>2857</v>
      </c>
      <c r="I673" s="119"/>
      <c r="J673" s="120"/>
      <c r="K673" s="120" t="str">
        <f>IF(L673="N3","SFAS-109","")</f>
        <v/>
      </c>
      <c r="L673" s="170" t="s">
        <v>2821</v>
      </c>
      <c r="M673" s="122" t="str">
        <f>LEFT(L673,1)</f>
        <v>N</v>
      </c>
      <c r="N673" s="116" t="str">
        <f>IF($L673&lt;&gt;"",VLOOKUP($L673,Categories!$E:$G,2,FALSE),IF($F673&lt;&gt;"","NO CAT",""))</f>
        <v>Not in Rate Base</v>
      </c>
      <c r="O673" s="116" t="str">
        <f>IF($L673&lt;&gt;"",VLOOKUP($L673,Categories!$E:$G,3,FALSE),IF($F673&lt;&gt;"","NO CAT",""))</f>
        <v>Deferrals Accruing Non-Cash Return   (other than ASGA)</v>
      </c>
      <c r="P673" s="170" t="s">
        <v>1186</v>
      </c>
      <c r="Q673" s="123" t="s">
        <v>1187</v>
      </c>
      <c r="R673" s="124">
        <v>0</v>
      </c>
      <c r="S673" s="124">
        <v>0</v>
      </c>
      <c r="T673" s="124">
        <v>1</v>
      </c>
      <c r="U673" s="121">
        <f>IF(ABS(X673)=0,"",IF($R673="NO ALLOC","NO ALLOC",ROUND($R673*X673,15)))</f>
        <v>0</v>
      </c>
      <c r="V673" s="121">
        <f>IF(ABS(X673)=0,"",IF($S673="NO ALLOC","NO ALLOC",ROUND($S673*X673,15)))</f>
        <v>0</v>
      </c>
      <c r="W673" s="121">
        <f>IF(ABS(X673)=0,"",IF($T673="NO ALLOC","NO ALLOC",ROUND($T673*X673,15)))</f>
        <v>-3174.9121104166702</v>
      </c>
      <c r="X673" s="121">
        <f t="shared" si="279"/>
        <v>-3174.9121104166702</v>
      </c>
      <c r="Y673" s="121">
        <f>IF(ABS(AB673)=0,"",IF($R673="NO ALLOC","NO ALLOC",ROUND($R673*AB673,15)))</f>
        <v>0</v>
      </c>
      <c r="Z673" s="121">
        <f>IF(ABS(AB673)=0,"",IF($S673="NO ALLOC","NO ALLOC",ROUND($S673*AB673,15)))</f>
        <v>0</v>
      </c>
      <c r="AA673" s="121">
        <f>IF(ABS(AB673)=0,"",IF($T673="NO ALLOC","NO ALLOC",ROUND($T673*AB673,15)))</f>
        <v>-4648.0351000000001</v>
      </c>
      <c r="AB673" s="121">
        <f t="shared" si="280"/>
        <v>-4648.035100000001</v>
      </c>
      <c r="AC673" s="121">
        <v>-1695.7257499999996</v>
      </c>
      <c r="AD673" s="121">
        <v>-1965.0151900000001</v>
      </c>
      <c r="AE673" s="121">
        <v>-2228.1909500000002</v>
      </c>
      <c r="AF673" s="121">
        <v>-2468.0320000000002</v>
      </c>
      <c r="AG673" s="121">
        <v>-2663.9520200000002</v>
      </c>
      <c r="AH673" s="121">
        <v>-2955.11895</v>
      </c>
      <c r="AI673" s="121">
        <v>-3206.5422200000003</v>
      </c>
      <c r="AJ673" s="121">
        <v>-3439.82708</v>
      </c>
      <c r="AK673" s="121">
        <v>-3639.12554</v>
      </c>
      <c r="AL673" s="121">
        <v>-3871.4408699999999</v>
      </c>
      <c r="AM673" s="121">
        <v>-4111.34501</v>
      </c>
      <c r="AN673" s="121">
        <v>-4378.4750700000004</v>
      </c>
      <c r="AO673" s="121">
        <v>-4648.035100000001</v>
      </c>
      <c r="AP673" s="125" t="str">
        <f>CONCATENATE(A673,M673)</f>
        <v>Reg AssetN</v>
      </c>
      <c r="AQ673" s="125" t="str">
        <f>CONCATENATE(AP673,L673,H673)</f>
        <v>Reg AssetNN10Stray Voltage</v>
      </c>
      <c r="AS673" s="125" t="str">
        <f>CONCATENATE(L673,H673,J673)</f>
        <v>N10Stray Voltage</v>
      </c>
    </row>
    <row r="674" spans="1:45" s="125" customFormat="1" ht="25.5" customHeight="1">
      <c r="A674" s="216" t="s">
        <v>1442</v>
      </c>
      <c r="B674" s="217" t="str">
        <f t="shared" si="290"/>
        <v>Reg Asset254172807043BE030186</v>
      </c>
      <c r="C674" s="186">
        <v>254172</v>
      </c>
      <c r="D674" s="201">
        <v>807043</v>
      </c>
      <c r="E674" s="162" t="s">
        <v>1610</v>
      </c>
      <c r="F674" s="169" t="s">
        <v>1609</v>
      </c>
      <c r="G674" s="117" t="s">
        <v>2683</v>
      </c>
      <c r="H674" s="118" t="s">
        <v>2857</v>
      </c>
      <c r="I674" s="119"/>
      <c r="J674" s="120"/>
      <c r="K674" s="120" t="str">
        <f t="shared" si="291"/>
        <v/>
      </c>
      <c r="L674" s="170" t="s">
        <v>1893</v>
      </c>
      <c r="M674" s="122" t="str">
        <f t="shared" si="212"/>
        <v>R</v>
      </c>
      <c r="N674" s="116" t="str">
        <f>IF($L674&lt;&gt;"",VLOOKUP($L674,Categories!$E:$G,2,FALSE),IF($F674&lt;&gt;"","NO CAT",""))</f>
        <v>Rate Base</v>
      </c>
      <c r="O674" s="116" t="str">
        <f>IF($L674&lt;&gt;"",VLOOKUP($L674,Categories!$E:$G,3,FALSE),IF($F674&lt;&gt;"","NO CAT",""))</f>
        <v>Deferred Debits &amp; Credits</v>
      </c>
      <c r="P674" s="170" t="s">
        <v>1183</v>
      </c>
      <c r="Q674" s="123" t="s">
        <v>1177</v>
      </c>
      <c r="R674" s="124">
        <v>1</v>
      </c>
      <c r="S674" s="124">
        <v>0</v>
      </c>
      <c r="T674" s="124">
        <v>0</v>
      </c>
      <c r="U674" s="121" t="str">
        <f t="shared" si="292"/>
        <v/>
      </c>
      <c r="V674" s="121" t="str">
        <f t="shared" si="293"/>
        <v/>
      </c>
      <c r="W674" s="121" t="str">
        <f t="shared" si="294"/>
        <v/>
      </c>
      <c r="X674" s="121">
        <f t="shared" si="279"/>
        <v>0</v>
      </c>
      <c r="Y674" s="121" t="str">
        <f t="shared" si="295"/>
        <v/>
      </c>
      <c r="Z674" s="121" t="str">
        <f t="shared" si="296"/>
        <v/>
      </c>
      <c r="AA674" s="121" t="str">
        <f t="shared" si="297"/>
        <v/>
      </c>
      <c r="AB674" s="121">
        <f t="shared" si="280"/>
        <v>0</v>
      </c>
      <c r="AC674" s="121">
        <v>0</v>
      </c>
      <c r="AD674" s="121">
        <v>0</v>
      </c>
      <c r="AE674" s="121">
        <v>0</v>
      </c>
      <c r="AF674" s="121">
        <v>0</v>
      </c>
      <c r="AG674" s="121">
        <v>0</v>
      </c>
      <c r="AH674" s="121">
        <v>0</v>
      </c>
      <c r="AI674" s="121">
        <v>0</v>
      </c>
      <c r="AJ674" s="121">
        <v>0</v>
      </c>
      <c r="AK674" s="121">
        <v>0</v>
      </c>
      <c r="AL674" s="121">
        <v>0</v>
      </c>
      <c r="AM674" s="121">
        <v>0</v>
      </c>
      <c r="AN674" s="121">
        <v>0</v>
      </c>
      <c r="AO674" s="121">
        <v>0</v>
      </c>
      <c r="AP674" s="125" t="str">
        <f>CONCATENATE(A674,M674)</f>
        <v>Reg AssetR</v>
      </c>
      <c r="AQ674" s="125" t="str">
        <f>CONCATENATE(AP674,L674,H674)</f>
        <v>Reg AssetRR10Stray Voltage</v>
      </c>
      <c r="AS674" s="125" t="str">
        <f>CONCATENATE(L674,H674,J674)</f>
        <v>R10Stray Voltage</v>
      </c>
    </row>
    <row r="675" spans="1:45" s="125" customFormat="1" ht="25.5" customHeight="1">
      <c r="A675" s="216" t="s">
        <v>1442</v>
      </c>
      <c r="B675" s="217" t="str">
        <f t="shared" si="290"/>
        <v>Reg Asset2542100-242.58.15BG030302</v>
      </c>
      <c r="C675" s="186">
        <v>254210</v>
      </c>
      <c r="D675" s="201" t="s">
        <v>807</v>
      </c>
      <c r="E675" s="162" t="s">
        <v>2684</v>
      </c>
      <c r="F675" s="169" t="s">
        <v>2871</v>
      </c>
      <c r="G675" s="117" t="s">
        <v>808</v>
      </c>
      <c r="H675" s="118" t="s">
        <v>2714</v>
      </c>
      <c r="I675" s="120"/>
      <c r="J675" s="120"/>
      <c r="K675" s="120" t="str">
        <f t="shared" ref="K675:K743" si="298">IF(L675="N3","SFAS-109","")</f>
        <v/>
      </c>
      <c r="L675" s="170" t="s">
        <v>1893</v>
      </c>
      <c r="M675" s="122" t="str">
        <f t="shared" si="212"/>
        <v>R</v>
      </c>
      <c r="N675" s="116" t="str">
        <f>IF($L675&lt;&gt;"",VLOOKUP($L675,Categories!$E:$G,2,FALSE),IF($F675&lt;&gt;"","NO CAT",""))</f>
        <v>Rate Base</v>
      </c>
      <c r="O675" s="116" t="str">
        <f>IF($L675&lt;&gt;"",VLOOKUP($L675,Categories!$E:$G,3,FALSE),IF($F675&lt;&gt;"","NO CAT",""))</f>
        <v>Deferred Debits &amp; Credits</v>
      </c>
      <c r="P675" s="170" t="s">
        <v>1184</v>
      </c>
      <c r="Q675" s="123" t="s">
        <v>1178</v>
      </c>
      <c r="R675" s="124">
        <v>0</v>
      </c>
      <c r="S675" s="124">
        <v>1</v>
      </c>
      <c r="T675" s="124">
        <v>0</v>
      </c>
      <c r="U675" s="121">
        <f t="shared" si="292"/>
        <v>0</v>
      </c>
      <c r="V675" s="121">
        <f t="shared" si="293"/>
        <v>-664.41141000000096</v>
      </c>
      <c r="W675" s="121">
        <f t="shared" si="294"/>
        <v>0</v>
      </c>
      <c r="X675" s="121">
        <f t="shared" si="279"/>
        <v>-664.41141000000096</v>
      </c>
      <c r="Y675" s="121">
        <f t="shared" si="295"/>
        <v>0</v>
      </c>
      <c r="Z675" s="121">
        <f t="shared" si="296"/>
        <v>-664.41141000000096</v>
      </c>
      <c r="AA675" s="121">
        <f t="shared" si="297"/>
        <v>0</v>
      </c>
      <c r="AB675" s="121">
        <f t="shared" si="280"/>
        <v>-664.41141000000084</v>
      </c>
      <c r="AC675" s="121">
        <v>-664.41141000000084</v>
      </c>
      <c r="AD675" s="121">
        <v>-664.41141000000084</v>
      </c>
      <c r="AE675" s="121">
        <v>-664.41141000000084</v>
      </c>
      <c r="AF675" s="121">
        <v>-664.41141000000084</v>
      </c>
      <c r="AG675" s="121">
        <v>-664.41141000000084</v>
      </c>
      <c r="AH675" s="121">
        <v>-664.41141000000084</v>
      </c>
      <c r="AI675" s="121">
        <v>-664.41141000000084</v>
      </c>
      <c r="AJ675" s="121">
        <v>-664.41141000000084</v>
      </c>
      <c r="AK675" s="121">
        <v>-664.41141000000084</v>
      </c>
      <c r="AL675" s="121">
        <v>-664.41141000000084</v>
      </c>
      <c r="AM675" s="121">
        <v>-664.41141000000084</v>
      </c>
      <c r="AN675" s="121">
        <v>-664.41141000000084</v>
      </c>
      <c r="AO675" s="121">
        <v>-664.41141000000084</v>
      </c>
      <c r="AP675" s="125" t="str">
        <f>CONCATENATE(A675,M675)</f>
        <v>Reg AssetR</v>
      </c>
      <c r="AQ675" s="125" t="str">
        <f>CONCATENATE(AP675,L675,H675)</f>
        <v>Reg AssetRR10Seneca Storage</v>
      </c>
      <c r="AS675" s="125" t="str">
        <f>CONCATENATE(L675,H675,J675)</f>
        <v>R10Seneca Storage</v>
      </c>
    </row>
    <row r="676" spans="1:45" s="125" customFormat="1" ht="25.5" customHeight="1">
      <c r="A676" s="216" t="s">
        <v>1442</v>
      </c>
      <c r="B676" s="217" t="str">
        <f t="shared" si="290"/>
        <v>Reg Asset254210800148BG030302</v>
      </c>
      <c r="C676" s="186">
        <v>254210</v>
      </c>
      <c r="D676" s="201">
        <v>800148</v>
      </c>
      <c r="E676" s="162" t="s">
        <v>2684</v>
      </c>
      <c r="F676" s="169" t="s">
        <v>2871</v>
      </c>
      <c r="G676" s="117" t="s">
        <v>2898</v>
      </c>
      <c r="H676" s="118" t="s">
        <v>2714</v>
      </c>
      <c r="I676" s="120"/>
      <c r="J676" s="120"/>
      <c r="K676" s="120" t="str">
        <f t="shared" si="298"/>
        <v/>
      </c>
      <c r="L676" s="170" t="s">
        <v>1893</v>
      </c>
      <c r="M676" s="122" t="str">
        <f t="shared" si="212"/>
        <v>R</v>
      </c>
      <c r="N676" s="116" t="str">
        <f>IF($L676&lt;&gt;"",VLOOKUP($L676,Categories!$E:$G,2,FALSE),IF($F676&lt;&gt;"","NO CAT",""))</f>
        <v>Rate Base</v>
      </c>
      <c r="O676" s="116" t="str">
        <f>IF($L676&lt;&gt;"",VLOOKUP($L676,Categories!$E:$G,3,FALSE),IF($F676&lt;&gt;"","NO CAT",""))</f>
        <v>Deferred Debits &amp; Credits</v>
      </c>
      <c r="P676" s="170" t="s">
        <v>1184</v>
      </c>
      <c r="Q676" s="123" t="s">
        <v>1178</v>
      </c>
      <c r="R676" s="124">
        <v>0</v>
      </c>
      <c r="S676" s="124">
        <v>1</v>
      </c>
      <c r="T676" s="124">
        <v>0</v>
      </c>
      <c r="U676" s="121">
        <f t="shared" si="292"/>
        <v>0</v>
      </c>
      <c r="V676" s="121">
        <f t="shared" si="293"/>
        <v>452.24605000000003</v>
      </c>
      <c r="W676" s="121">
        <f t="shared" si="294"/>
        <v>0</v>
      </c>
      <c r="X676" s="121">
        <f t="shared" si="279"/>
        <v>452.24605000000003</v>
      </c>
      <c r="Y676" s="121">
        <f t="shared" si="295"/>
        <v>0</v>
      </c>
      <c r="Z676" s="121">
        <f t="shared" si="296"/>
        <v>452.24605000000003</v>
      </c>
      <c r="AA676" s="121">
        <f t="shared" si="297"/>
        <v>0</v>
      </c>
      <c r="AB676" s="121">
        <f t="shared" si="280"/>
        <v>452.24604999999997</v>
      </c>
      <c r="AC676" s="121">
        <v>452.24604999999997</v>
      </c>
      <c r="AD676" s="121">
        <v>452.24604999999997</v>
      </c>
      <c r="AE676" s="121">
        <v>452.24604999999997</v>
      </c>
      <c r="AF676" s="121">
        <v>452.24604999999997</v>
      </c>
      <c r="AG676" s="121">
        <v>452.24604999999997</v>
      </c>
      <c r="AH676" s="121">
        <v>452.24604999999997</v>
      </c>
      <c r="AI676" s="121">
        <v>452.24604999999997</v>
      </c>
      <c r="AJ676" s="121">
        <v>452.24604999999997</v>
      </c>
      <c r="AK676" s="121">
        <v>452.24604999999997</v>
      </c>
      <c r="AL676" s="121">
        <v>452.24604999999997</v>
      </c>
      <c r="AM676" s="121">
        <v>452.24604999999997</v>
      </c>
      <c r="AN676" s="121">
        <v>452.24604999999997</v>
      </c>
      <c r="AO676" s="121">
        <v>452.24604999999997</v>
      </c>
      <c r="AP676" s="125" t="str">
        <f>CONCATENATE(A676,M676)</f>
        <v>Reg AssetR</v>
      </c>
      <c r="AQ676" s="125" t="str">
        <f>CONCATENATE(AP676,L676,H676)</f>
        <v>Reg AssetRR10Seneca Storage</v>
      </c>
      <c r="AS676" s="125" t="str">
        <f>CONCATENATE(L676,H676,J676)</f>
        <v>R10Seneca Storage</v>
      </c>
    </row>
    <row r="677" spans="1:45" s="125" customFormat="1" ht="25.5" customHeight="1">
      <c r="A677" s="216" t="s">
        <v>1442</v>
      </c>
      <c r="B677" s="217" t="str">
        <f t="shared" si="290"/>
        <v>Reg Asset2542200-242.40.00BC030314</v>
      </c>
      <c r="C677" s="186">
        <v>254220</v>
      </c>
      <c r="D677" s="201" t="s">
        <v>1622</v>
      </c>
      <c r="E677" s="162" t="s">
        <v>3547</v>
      </c>
      <c r="F677" s="169" t="s">
        <v>1623</v>
      </c>
      <c r="G677" s="117" t="s">
        <v>1624</v>
      </c>
      <c r="H677" s="118" t="s">
        <v>1149</v>
      </c>
      <c r="I677" s="120"/>
      <c r="J677" s="120"/>
      <c r="K677" s="120" t="str">
        <f t="shared" si="298"/>
        <v>SFAS-109</v>
      </c>
      <c r="L677" s="170" t="s">
        <v>930</v>
      </c>
      <c r="M677" s="122" t="str">
        <f t="shared" si="212"/>
        <v>N</v>
      </c>
      <c r="N677" s="116" t="str">
        <f>IF($L677&lt;&gt;"",VLOOKUP($L677,Categories!$E:$G,2,FALSE),IF($F677&lt;&gt;"","NO CAT",""))</f>
        <v>Not in Rate Base</v>
      </c>
      <c r="O677" s="116" t="str">
        <f>IF($L677&lt;&gt;"",VLOOKUP($L677,Categories!$E:$G,3,FALSE),IF($F677&lt;&gt;"","NO CAT",""))</f>
        <v>SFAS-109   (offsetting)</v>
      </c>
      <c r="P677" s="170" t="s">
        <v>1186</v>
      </c>
      <c r="Q677" s="123" t="s">
        <v>1187</v>
      </c>
      <c r="R677" s="124">
        <v>0</v>
      </c>
      <c r="S677" s="124">
        <v>0</v>
      </c>
      <c r="T677" s="124">
        <v>1</v>
      </c>
      <c r="U677" s="121">
        <f t="shared" si="292"/>
        <v>0</v>
      </c>
      <c r="V677" s="121">
        <f t="shared" si="293"/>
        <v>0</v>
      </c>
      <c r="W677" s="121">
        <f t="shared" si="294"/>
        <v>-7326.9309999999996</v>
      </c>
      <c r="X677" s="121">
        <f t="shared" si="279"/>
        <v>-7326.9309999999996</v>
      </c>
      <c r="Y677" s="121">
        <f t="shared" si="295"/>
        <v>0</v>
      </c>
      <c r="Z677" s="121">
        <f t="shared" si="296"/>
        <v>0</v>
      </c>
      <c r="AA677" s="121">
        <f t="shared" si="297"/>
        <v>-7326.9309999999996</v>
      </c>
      <c r="AB677" s="121">
        <f t="shared" si="280"/>
        <v>-7326.9309999999996</v>
      </c>
      <c r="AC677" s="121">
        <v>-7326.9309999999996</v>
      </c>
      <c r="AD677" s="121">
        <v>-7326.9309999999996</v>
      </c>
      <c r="AE677" s="121">
        <v>-7326.9309999999996</v>
      </c>
      <c r="AF677" s="121">
        <v>-7326.9309999999996</v>
      </c>
      <c r="AG677" s="121">
        <v>-7326.9309999999996</v>
      </c>
      <c r="AH677" s="121">
        <v>-7326.9309999999996</v>
      </c>
      <c r="AI677" s="121">
        <v>-7326.9309999999996</v>
      </c>
      <c r="AJ677" s="121">
        <v>-7326.9309999999996</v>
      </c>
      <c r="AK677" s="121">
        <v>-7326.9309999999996</v>
      </c>
      <c r="AL677" s="121">
        <v>-7326.9309999999996</v>
      </c>
      <c r="AM677" s="121">
        <v>-7326.9309999999996</v>
      </c>
      <c r="AN677" s="121">
        <v>-7326.9309999999996</v>
      </c>
      <c r="AO677" s="121">
        <v>-7326.9309999999996</v>
      </c>
      <c r="AP677" s="125" t="str">
        <f>CONCATENATE(A677,M677)</f>
        <v>Reg AssetN</v>
      </c>
      <c r="AQ677" s="125" t="str">
        <f>CONCATENATE(AP677,L677,H677)</f>
        <v>Reg AssetNN3SFAS-109</v>
      </c>
      <c r="AS677" s="125" t="str">
        <f>CONCATENATE(L677,H677,J677)</f>
        <v>N3SFAS-109</v>
      </c>
    </row>
    <row r="678" spans="1:45" s="125" customFormat="1" ht="25.5" customHeight="1">
      <c r="A678" s="216" t="s">
        <v>1442</v>
      </c>
      <c r="B678" s="217" t="str">
        <f t="shared" si="290"/>
        <v>Reg Asset2542300-242.40.00BC030314</v>
      </c>
      <c r="C678" s="186">
        <v>254230</v>
      </c>
      <c r="D678" s="201" t="s">
        <v>1622</v>
      </c>
      <c r="E678" s="162" t="s">
        <v>3547</v>
      </c>
      <c r="F678" s="169" t="s">
        <v>236</v>
      </c>
      <c r="G678" s="117" t="s">
        <v>237</v>
      </c>
      <c r="H678" s="118" t="s">
        <v>1149</v>
      </c>
      <c r="I678" s="120"/>
      <c r="J678" s="120"/>
      <c r="K678" s="120" t="str">
        <f t="shared" si="298"/>
        <v>SFAS-109</v>
      </c>
      <c r="L678" s="170" t="s">
        <v>930</v>
      </c>
      <c r="M678" s="122" t="str">
        <f t="shared" si="212"/>
        <v>N</v>
      </c>
      <c r="N678" s="116" t="str">
        <f>IF($L678&lt;&gt;"",VLOOKUP($L678,Categories!$E:$G,2,FALSE),IF($F678&lt;&gt;"","NO CAT",""))</f>
        <v>Not in Rate Base</v>
      </c>
      <c r="O678" s="116" t="str">
        <f>IF($L678&lt;&gt;"",VLOOKUP($L678,Categories!$E:$G,3,FALSE),IF($F678&lt;&gt;"","NO CAT",""))</f>
        <v>SFAS-109   (offsetting)</v>
      </c>
      <c r="P678" s="170" t="s">
        <v>1186</v>
      </c>
      <c r="Q678" s="123" t="s">
        <v>1187</v>
      </c>
      <c r="R678" s="124">
        <v>0</v>
      </c>
      <c r="S678" s="124">
        <v>0</v>
      </c>
      <c r="T678" s="124">
        <v>1</v>
      </c>
      <c r="U678" s="121">
        <f t="shared" si="292"/>
        <v>0</v>
      </c>
      <c r="V678" s="121">
        <f t="shared" si="293"/>
        <v>0</v>
      </c>
      <c r="W678" s="121">
        <f t="shared" si="294"/>
        <v>-8301.0429999999997</v>
      </c>
      <c r="X678" s="121">
        <f t="shared" si="279"/>
        <v>-8301.0429999999997</v>
      </c>
      <c r="Y678" s="121">
        <f t="shared" si="295"/>
        <v>0</v>
      </c>
      <c r="Z678" s="121">
        <f t="shared" si="296"/>
        <v>0</v>
      </c>
      <c r="AA678" s="121">
        <f t="shared" si="297"/>
        <v>-8301.0429999999997</v>
      </c>
      <c r="AB678" s="121">
        <f t="shared" si="280"/>
        <v>-8301.0429999999997</v>
      </c>
      <c r="AC678" s="121">
        <v>-8301.0429999999997</v>
      </c>
      <c r="AD678" s="121">
        <v>-8301.0429999999997</v>
      </c>
      <c r="AE678" s="121">
        <v>-8301.0429999999997</v>
      </c>
      <c r="AF678" s="121">
        <v>-8301.0429999999997</v>
      </c>
      <c r="AG678" s="121">
        <v>-8301.0429999999997</v>
      </c>
      <c r="AH678" s="121">
        <v>-8301.0429999999997</v>
      </c>
      <c r="AI678" s="121">
        <v>-8301.0429999999997</v>
      </c>
      <c r="AJ678" s="121">
        <v>-8301.0429999999997</v>
      </c>
      <c r="AK678" s="121">
        <v>-8301.0429999999997</v>
      </c>
      <c r="AL678" s="121">
        <v>-8301.0429999999997</v>
      </c>
      <c r="AM678" s="121">
        <v>-8301.0429999999997</v>
      </c>
      <c r="AN678" s="121">
        <v>-8301.0429999999997</v>
      </c>
      <c r="AO678" s="121">
        <v>-8301.0429999999997</v>
      </c>
      <c r="AP678" s="125" t="str">
        <f>CONCATENATE(A678,M678)</f>
        <v>Reg AssetN</v>
      </c>
      <c r="AQ678" s="125" t="str">
        <f>CONCATENATE(AP678,L678,H678)</f>
        <v>Reg AssetNN3SFAS-109</v>
      </c>
      <c r="AS678" s="125" t="str">
        <f>CONCATENATE(L678,H678,J678)</f>
        <v>N3SFAS-109</v>
      </c>
    </row>
    <row r="679" spans="1:45" s="125" customFormat="1" ht="25.5" customHeight="1">
      <c r="A679" s="216" t="s">
        <v>1442</v>
      </c>
      <c r="B679" s="217" t="str">
        <f t="shared" si="290"/>
        <v>Reg Asset2542300-242.40.99BC030111</v>
      </c>
      <c r="C679" s="186">
        <v>254230</v>
      </c>
      <c r="D679" s="201" t="s">
        <v>1191</v>
      </c>
      <c r="E679" s="162" t="s">
        <v>3548</v>
      </c>
      <c r="F679" s="169" t="s">
        <v>236</v>
      </c>
      <c r="G679" s="117" t="s">
        <v>2749</v>
      </c>
      <c r="H679" s="118" t="s">
        <v>1149</v>
      </c>
      <c r="I679" s="120"/>
      <c r="J679" s="120"/>
      <c r="K679" s="120" t="str">
        <f t="shared" si="298"/>
        <v>SFAS-109</v>
      </c>
      <c r="L679" s="170" t="s">
        <v>930</v>
      </c>
      <c r="M679" s="122" t="str">
        <f t="shared" si="212"/>
        <v>N</v>
      </c>
      <c r="N679" s="116" t="str">
        <f>IF($L679&lt;&gt;"",VLOOKUP($L679,Categories!$E:$G,2,FALSE),IF($F679&lt;&gt;"","NO CAT",""))</f>
        <v>Not in Rate Base</v>
      </c>
      <c r="O679" s="116" t="str">
        <f>IF($L679&lt;&gt;"",VLOOKUP($L679,Categories!$E:$G,3,FALSE),IF($F679&lt;&gt;"","NO CAT",""))</f>
        <v>SFAS-109   (offsetting)</v>
      </c>
      <c r="P679" s="170" t="s">
        <v>1186</v>
      </c>
      <c r="Q679" s="123" t="s">
        <v>1187</v>
      </c>
      <c r="R679" s="124">
        <v>0</v>
      </c>
      <c r="S679" s="124">
        <v>0</v>
      </c>
      <c r="T679" s="124">
        <v>1</v>
      </c>
      <c r="U679" s="121">
        <f t="shared" si="292"/>
        <v>0</v>
      </c>
      <c r="V679" s="121">
        <f t="shared" si="293"/>
        <v>0</v>
      </c>
      <c r="W679" s="121">
        <f t="shared" si="294"/>
        <v>8301.0429999999997</v>
      </c>
      <c r="X679" s="121">
        <f t="shared" si="279"/>
        <v>8301.0429999999997</v>
      </c>
      <c r="Y679" s="121">
        <f t="shared" si="295"/>
        <v>0</v>
      </c>
      <c r="Z679" s="121">
        <f t="shared" si="296"/>
        <v>0</v>
      </c>
      <c r="AA679" s="121">
        <f t="shared" si="297"/>
        <v>8301.0429999999997</v>
      </c>
      <c r="AB679" s="121">
        <f t="shared" si="280"/>
        <v>8301.0429999999997</v>
      </c>
      <c r="AC679" s="121">
        <v>8301.0429999999997</v>
      </c>
      <c r="AD679" s="121">
        <v>8301.0429999999997</v>
      </c>
      <c r="AE679" s="121">
        <v>8301.0429999999997</v>
      </c>
      <c r="AF679" s="121">
        <v>8301.0429999999997</v>
      </c>
      <c r="AG679" s="121">
        <v>8301.0429999999997</v>
      </c>
      <c r="AH679" s="121">
        <v>8301.0429999999997</v>
      </c>
      <c r="AI679" s="121">
        <v>8301.0429999999997</v>
      </c>
      <c r="AJ679" s="121">
        <v>8301.0429999999997</v>
      </c>
      <c r="AK679" s="121">
        <v>8301.0429999999997</v>
      </c>
      <c r="AL679" s="121">
        <v>8301.0429999999997</v>
      </c>
      <c r="AM679" s="121">
        <v>8301.0429999999997</v>
      </c>
      <c r="AN679" s="121">
        <v>8301.0429999999997</v>
      </c>
      <c r="AO679" s="121">
        <v>8301.0429999999997</v>
      </c>
      <c r="AP679" s="125" t="str">
        <f>CONCATENATE(A679,M679)</f>
        <v>Reg AssetN</v>
      </c>
      <c r="AQ679" s="125" t="str">
        <f>CONCATENATE(AP679,L679,H679)</f>
        <v>Reg AssetNN3SFAS-109</v>
      </c>
      <c r="AS679" s="125" t="str">
        <f>CONCATENATE(L679,H679,J679)</f>
        <v>N3SFAS-109</v>
      </c>
    </row>
    <row r="680" spans="1:45" s="125" customFormat="1" ht="25.5" customHeight="1">
      <c r="A680" s="216" t="s">
        <v>1442</v>
      </c>
      <c r="B680" s="217" t="str">
        <f t="shared" si="290"/>
        <v>Reg Asset254266DSOBE030307</v>
      </c>
      <c r="C680" s="186">
        <v>254266</v>
      </c>
      <c r="D680" s="201" t="s">
        <v>592</v>
      </c>
      <c r="E680" s="162" t="s">
        <v>966</v>
      </c>
      <c r="F680" s="169" t="s">
        <v>591</v>
      </c>
      <c r="G680" s="117" t="s">
        <v>1674</v>
      </c>
      <c r="H680" s="118" t="s">
        <v>2860</v>
      </c>
      <c r="I680" s="120"/>
      <c r="J680" s="120"/>
      <c r="K680" s="120" t="str">
        <f>IF(L680="N3","SFAS-109","")</f>
        <v/>
      </c>
      <c r="L680" s="170" t="s">
        <v>2811</v>
      </c>
      <c r="M680" s="122" t="str">
        <f t="shared" si="212"/>
        <v>N</v>
      </c>
      <c r="N680" s="116" t="str">
        <f>IF($L680&lt;&gt;"",VLOOKUP($L680,Categories!$E:$G,2,FALSE),IF($F680&lt;&gt;"","NO CAT",""))</f>
        <v>Not in Rate Base</v>
      </c>
      <c r="O680" s="116" t="str">
        <f>IF($L680&lt;&gt;"",VLOOKUP($L680,Categories!$E:$G,3,FALSE),IF($F680&lt;&gt;"","NO CAT",""))</f>
        <v>Hedges &amp; OCI</v>
      </c>
      <c r="P680" s="170" t="s">
        <v>1186</v>
      </c>
      <c r="Q680" s="123" t="s">
        <v>1187</v>
      </c>
      <c r="R680" s="124">
        <v>0</v>
      </c>
      <c r="S680" s="124">
        <v>0</v>
      </c>
      <c r="T680" s="124">
        <v>1</v>
      </c>
      <c r="U680" s="121">
        <f t="shared" si="292"/>
        <v>0</v>
      </c>
      <c r="V680" s="121">
        <f t="shared" si="293"/>
        <v>0</v>
      </c>
      <c r="W680" s="121">
        <f t="shared" si="294"/>
        <v>-16470.964729166699</v>
      </c>
      <c r="X680" s="121">
        <f t="shared" ref="X680:X741" si="299">IF(ISERROR(ROUND((SUM(AC680:AO680)-((AC680+AO680))/2)/12,15)),"",ROUND((SUM(AC680:AO680)-((AC680+AO680))/2)/12,15))</f>
        <v>-16470.964729166699</v>
      </c>
      <c r="Y680" s="121" t="str">
        <f t="shared" si="295"/>
        <v/>
      </c>
      <c r="Z680" s="121" t="str">
        <f t="shared" si="296"/>
        <v/>
      </c>
      <c r="AA680" s="121" t="str">
        <f t="shared" si="297"/>
        <v/>
      </c>
      <c r="AB680" s="121">
        <f t="shared" ref="AB680:AB741" si="300">IF(AO680="",0,+AO680)</f>
        <v>0</v>
      </c>
      <c r="AC680" s="121">
        <v>-6149.3074999999999</v>
      </c>
      <c r="AD680" s="121">
        <v>-19594.622500000001</v>
      </c>
      <c r="AE680" s="121">
        <v>-22803.126499999998</v>
      </c>
      <c r="AF680" s="121">
        <v>-21000.290499999999</v>
      </c>
      <c r="AG680" s="121">
        <v>-33082.917500000003</v>
      </c>
      <c r="AH680" s="121">
        <v>-26710.633999999998</v>
      </c>
      <c r="AI680" s="121">
        <v>-16412.9365</v>
      </c>
      <c r="AJ680" s="121">
        <v>0</v>
      </c>
      <c r="AK680" s="121">
        <v>-6054.2039999999997</v>
      </c>
      <c r="AL680" s="121">
        <v>-17171.799500000001</v>
      </c>
      <c r="AM680" s="121">
        <v>-14717.4385</v>
      </c>
      <c r="AN680" s="121">
        <v>-17028.9535</v>
      </c>
      <c r="AO680" s="121">
        <v>0</v>
      </c>
      <c r="AP680" s="125" t="str">
        <f>CONCATENATE(A680,M680)</f>
        <v>Reg AssetN</v>
      </c>
      <c r="AQ680" s="125" t="str">
        <f>CONCATENATE(AP680,L680,H680)</f>
        <v>Reg AssetNN5Hedges &amp; OCI</v>
      </c>
      <c r="AS680" s="125" t="str">
        <f>CONCATENATE(L680,H680,J680)</f>
        <v>N5Hedges &amp; OCI</v>
      </c>
    </row>
    <row r="681" spans="1:45" s="125" customFormat="1" ht="25.5" customHeight="1">
      <c r="A681" s="216" t="s">
        <v>1442</v>
      </c>
      <c r="B681" s="217" t="str">
        <f t="shared" si="290"/>
        <v>Reg Asset2542700-149.49.12BE030328</v>
      </c>
      <c r="C681" s="186">
        <v>254270</v>
      </c>
      <c r="D681" s="201" t="s">
        <v>1245</v>
      </c>
      <c r="E681" s="162" t="s">
        <v>3245</v>
      </c>
      <c r="F681" s="169" t="s">
        <v>334</v>
      </c>
      <c r="G681" s="117" t="s">
        <v>335</v>
      </c>
      <c r="H681" s="118" t="s">
        <v>521</v>
      </c>
      <c r="I681" s="120"/>
      <c r="J681" s="120" t="s">
        <v>105</v>
      </c>
      <c r="K681" s="120" t="str">
        <f t="shared" si="298"/>
        <v/>
      </c>
      <c r="L681" s="170" t="s">
        <v>2817</v>
      </c>
      <c r="M681" s="122" t="str">
        <f t="shared" si="212"/>
        <v>N</v>
      </c>
      <c r="N681" s="116" t="str">
        <f>IF($L681&lt;&gt;"",VLOOKUP($L681,Categories!$E:$G,2,FALSE),IF($F681&lt;&gt;"","NO CAT",""))</f>
        <v>Not in Rate Base</v>
      </c>
      <c r="O681" s="116" t="str">
        <f>IF($L681&lt;&gt;"",VLOOKUP($L681,Categories!$E:$G,3,FALSE),IF($F681&lt;&gt;"","NO CAT",""))</f>
        <v>NM-2 ASGA</v>
      </c>
      <c r="P681" s="170" t="s">
        <v>1186</v>
      </c>
      <c r="Q681" s="123" t="s">
        <v>1187</v>
      </c>
      <c r="R681" s="124">
        <v>0</v>
      </c>
      <c r="S681" s="124">
        <v>0</v>
      </c>
      <c r="T681" s="124">
        <v>1</v>
      </c>
      <c r="U681" s="121">
        <f t="shared" si="292"/>
        <v>0</v>
      </c>
      <c r="V681" s="121">
        <f t="shared" si="293"/>
        <v>0</v>
      </c>
      <c r="W681" s="121">
        <f t="shared" si="294"/>
        <v>805.75924999999995</v>
      </c>
      <c r="X681" s="121">
        <f t="shared" si="299"/>
        <v>805.75924999999995</v>
      </c>
      <c r="Y681" s="121">
        <f t="shared" si="295"/>
        <v>0</v>
      </c>
      <c r="Z681" s="121">
        <f t="shared" si="296"/>
        <v>0</v>
      </c>
      <c r="AA681" s="121">
        <f t="shared" si="297"/>
        <v>805.75924999999995</v>
      </c>
      <c r="AB681" s="121">
        <f t="shared" si="300"/>
        <v>805.75924999999995</v>
      </c>
      <c r="AC681" s="121">
        <v>805.75924999999995</v>
      </c>
      <c r="AD681" s="121">
        <v>805.75924999999995</v>
      </c>
      <c r="AE681" s="121">
        <v>805.75924999999995</v>
      </c>
      <c r="AF681" s="121">
        <v>805.75924999999995</v>
      </c>
      <c r="AG681" s="121">
        <v>805.75924999999995</v>
      </c>
      <c r="AH681" s="121">
        <v>805.75924999999995</v>
      </c>
      <c r="AI681" s="121">
        <v>805.75924999999995</v>
      </c>
      <c r="AJ681" s="121">
        <v>805.75924999999995</v>
      </c>
      <c r="AK681" s="121">
        <v>805.75924999999995</v>
      </c>
      <c r="AL681" s="121">
        <v>805.75924999999995</v>
      </c>
      <c r="AM681" s="121">
        <v>805.75924999999995</v>
      </c>
      <c r="AN681" s="121">
        <v>805.75924999999995</v>
      </c>
      <c r="AO681" s="121">
        <v>805.75924999999995</v>
      </c>
      <c r="AP681" s="125" t="str">
        <f>CONCATENATE(A681,M681)</f>
        <v>Reg AssetN</v>
      </c>
      <c r="AQ681" s="125" t="str">
        <f>CONCATENATE(AP681,L681,H681)</f>
        <v>Reg AssetNN8ASGA</v>
      </c>
      <c r="AS681" s="125" t="str">
        <f>CONCATENATE(L681,H681,J681)</f>
        <v>N8ASGANCR</v>
      </c>
    </row>
    <row r="682" spans="1:45" s="125" customFormat="1" ht="25.5" customHeight="1">
      <c r="A682" s="216" t="s">
        <v>1442</v>
      </c>
      <c r="B682" s="217" t="str">
        <f t="shared" si="290"/>
        <v>Reg Asset2542700-149.49.17BE030328</v>
      </c>
      <c r="C682" s="186">
        <v>254270</v>
      </c>
      <c r="D682" s="201" t="s">
        <v>2382</v>
      </c>
      <c r="E682" s="162" t="s">
        <v>3245</v>
      </c>
      <c r="F682" s="169" t="s">
        <v>334</v>
      </c>
      <c r="G682" s="117" t="s">
        <v>854</v>
      </c>
      <c r="H682" s="118" t="s">
        <v>521</v>
      </c>
      <c r="I682" s="120"/>
      <c r="J682" s="120" t="s">
        <v>105</v>
      </c>
      <c r="K682" s="120" t="str">
        <f t="shared" si="298"/>
        <v/>
      </c>
      <c r="L682" s="170" t="s">
        <v>2817</v>
      </c>
      <c r="M682" s="122" t="str">
        <f t="shared" si="212"/>
        <v>N</v>
      </c>
      <c r="N682" s="116" t="str">
        <f>IF($L682&lt;&gt;"",VLOOKUP($L682,Categories!$E:$G,2,FALSE),IF($F682&lt;&gt;"","NO CAT",""))</f>
        <v>Not in Rate Base</v>
      </c>
      <c r="O682" s="116" t="str">
        <f>IF($L682&lt;&gt;"",VLOOKUP($L682,Categories!$E:$G,3,FALSE),IF($F682&lt;&gt;"","NO CAT",""))</f>
        <v>NM-2 ASGA</v>
      </c>
      <c r="P682" s="170" t="s">
        <v>1186</v>
      </c>
      <c r="Q682" s="123" t="s">
        <v>1187</v>
      </c>
      <c r="R682" s="124">
        <v>0</v>
      </c>
      <c r="S682" s="124">
        <v>0</v>
      </c>
      <c r="T682" s="124">
        <v>1</v>
      </c>
      <c r="U682" s="121">
        <f t="shared" si="292"/>
        <v>0</v>
      </c>
      <c r="V682" s="121">
        <f t="shared" si="293"/>
        <v>0</v>
      </c>
      <c r="W682" s="121">
        <f t="shared" si="294"/>
        <v>4592.3349500000004</v>
      </c>
      <c r="X682" s="121">
        <f t="shared" si="299"/>
        <v>4592.3349500000004</v>
      </c>
      <c r="Y682" s="121">
        <f t="shared" si="295"/>
        <v>0</v>
      </c>
      <c r="Z682" s="121">
        <f t="shared" si="296"/>
        <v>0</v>
      </c>
      <c r="AA682" s="121">
        <f t="shared" si="297"/>
        <v>4592.3349500000004</v>
      </c>
      <c r="AB682" s="121">
        <f t="shared" si="300"/>
        <v>4592.3349500000004</v>
      </c>
      <c r="AC682" s="121">
        <v>4592.3349500000004</v>
      </c>
      <c r="AD682" s="121">
        <v>4592.3349500000004</v>
      </c>
      <c r="AE682" s="121">
        <v>4592.3349500000004</v>
      </c>
      <c r="AF682" s="121">
        <v>4592.3349500000004</v>
      </c>
      <c r="AG682" s="121">
        <v>4592.3349500000004</v>
      </c>
      <c r="AH682" s="121">
        <v>4592.3349500000004</v>
      </c>
      <c r="AI682" s="121">
        <v>4592.3349500000004</v>
      </c>
      <c r="AJ682" s="121">
        <v>4592.3349500000004</v>
      </c>
      <c r="AK682" s="121">
        <v>4592.3349500000004</v>
      </c>
      <c r="AL682" s="121">
        <v>4592.3349500000004</v>
      </c>
      <c r="AM682" s="121">
        <v>4592.3349500000004</v>
      </c>
      <c r="AN682" s="121">
        <v>4592.3349500000004</v>
      </c>
      <c r="AO682" s="121">
        <v>4592.3349500000004</v>
      </c>
      <c r="AP682" s="125" t="str">
        <f>CONCATENATE(A682,M682)</f>
        <v>Reg AssetN</v>
      </c>
      <c r="AQ682" s="125" t="str">
        <f>CONCATENATE(AP682,L682,H682)</f>
        <v>Reg AssetNN8ASGA</v>
      </c>
      <c r="AS682" s="125" t="str">
        <f>CONCATENATE(L682,H682,J682)</f>
        <v>N8ASGANCR</v>
      </c>
    </row>
    <row r="683" spans="1:45" s="125" customFormat="1" ht="25.5" customHeight="1">
      <c r="A683" s="216" t="s">
        <v>1442</v>
      </c>
      <c r="B683" s="217" t="str">
        <f t="shared" si="290"/>
        <v>Reg Asset2542700-149.49.19BE030339</v>
      </c>
      <c r="C683" s="186">
        <v>254270</v>
      </c>
      <c r="D683" s="201" t="s">
        <v>2831</v>
      </c>
      <c r="E683" s="162" t="s">
        <v>3246</v>
      </c>
      <c r="F683" s="169" t="s">
        <v>334</v>
      </c>
      <c r="G683" s="117" t="s">
        <v>855</v>
      </c>
      <c r="H683" s="118" t="s">
        <v>521</v>
      </c>
      <c r="I683" s="120"/>
      <c r="J683" s="120" t="s">
        <v>105</v>
      </c>
      <c r="K683" s="120" t="str">
        <f t="shared" si="298"/>
        <v/>
      </c>
      <c r="L683" s="170" t="s">
        <v>2817</v>
      </c>
      <c r="M683" s="122" t="str">
        <f t="shared" si="212"/>
        <v>N</v>
      </c>
      <c r="N683" s="116" t="str">
        <f>IF($L683&lt;&gt;"",VLOOKUP($L683,Categories!$E:$G,2,FALSE),IF($F683&lt;&gt;"","NO CAT",""))</f>
        <v>Not in Rate Base</v>
      </c>
      <c r="O683" s="116" t="str">
        <f>IF($L683&lt;&gt;"",VLOOKUP($L683,Categories!$E:$G,3,FALSE),IF($F683&lt;&gt;"","NO CAT",""))</f>
        <v>NM-2 ASGA</v>
      </c>
      <c r="P683" s="170" t="s">
        <v>1186</v>
      </c>
      <c r="Q683" s="123" t="s">
        <v>1187</v>
      </c>
      <c r="R683" s="124">
        <v>0</v>
      </c>
      <c r="S683" s="124">
        <v>0</v>
      </c>
      <c r="T683" s="124">
        <v>1</v>
      </c>
      <c r="U683" s="121">
        <f t="shared" si="292"/>
        <v>0</v>
      </c>
      <c r="V683" s="121">
        <f t="shared" si="293"/>
        <v>0</v>
      </c>
      <c r="W683" s="121">
        <f t="shared" si="294"/>
        <v>101.79339</v>
      </c>
      <c r="X683" s="121">
        <f t="shared" si="299"/>
        <v>101.79339</v>
      </c>
      <c r="Y683" s="121">
        <f t="shared" si="295"/>
        <v>0</v>
      </c>
      <c r="Z683" s="121">
        <f t="shared" si="296"/>
        <v>0</v>
      </c>
      <c r="AA683" s="121">
        <f t="shared" si="297"/>
        <v>101.79339</v>
      </c>
      <c r="AB683" s="121">
        <f t="shared" si="300"/>
        <v>101.79339</v>
      </c>
      <c r="AC683" s="121">
        <v>101.79339</v>
      </c>
      <c r="AD683" s="121">
        <v>101.79339</v>
      </c>
      <c r="AE683" s="121">
        <v>101.79339</v>
      </c>
      <c r="AF683" s="121">
        <v>101.79339</v>
      </c>
      <c r="AG683" s="121">
        <v>101.79339</v>
      </c>
      <c r="AH683" s="121">
        <v>101.79339</v>
      </c>
      <c r="AI683" s="121">
        <v>101.79339</v>
      </c>
      <c r="AJ683" s="121">
        <v>101.79339</v>
      </c>
      <c r="AK683" s="121">
        <v>101.79339</v>
      </c>
      <c r="AL683" s="121">
        <v>101.79339</v>
      </c>
      <c r="AM683" s="121">
        <v>101.79339</v>
      </c>
      <c r="AN683" s="121">
        <v>101.79339</v>
      </c>
      <c r="AO683" s="121">
        <v>101.79339</v>
      </c>
      <c r="AP683" s="125" t="str">
        <f>CONCATENATE(A683,M683)</f>
        <v>Reg AssetN</v>
      </c>
      <c r="AQ683" s="125" t="str">
        <f>CONCATENATE(AP683,L683,H683)</f>
        <v>Reg AssetNN8ASGA</v>
      </c>
      <c r="AS683" s="125" t="str">
        <f>CONCATENATE(L683,H683,J683)</f>
        <v>N8ASGANCR</v>
      </c>
    </row>
    <row r="684" spans="1:45" s="125" customFormat="1" ht="25.5" customHeight="1">
      <c r="A684" s="216" t="s">
        <v>1442</v>
      </c>
      <c r="B684" s="217" t="str">
        <f t="shared" si="290"/>
        <v>Reg Asset2542700-149.49.20BE030339</v>
      </c>
      <c r="C684" s="186">
        <v>254270</v>
      </c>
      <c r="D684" s="201" t="s">
        <v>1298</v>
      </c>
      <c r="E684" s="162" t="s">
        <v>3246</v>
      </c>
      <c r="F684" s="169" t="s">
        <v>334</v>
      </c>
      <c r="G684" s="117" t="s">
        <v>855</v>
      </c>
      <c r="H684" s="118" t="s">
        <v>521</v>
      </c>
      <c r="I684" s="120"/>
      <c r="J684" s="120" t="s">
        <v>105</v>
      </c>
      <c r="K684" s="120" t="str">
        <f t="shared" si="298"/>
        <v/>
      </c>
      <c r="L684" s="170" t="s">
        <v>2817</v>
      </c>
      <c r="M684" s="122" t="str">
        <f t="shared" si="212"/>
        <v>N</v>
      </c>
      <c r="N684" s="116" t="str">
        <f>IF($L684&lt;&gt;"",VLOOKUP($L684,Categories!$E:$G,2,FALSE),IF($F684&lt;&gt;"","NO CAT",""))</f>
        <v>Not in Rate Base</v>
      </c>
      <c r="O684" s="116" t="str">
        <f>IF($L684&lt;&gt;"",VLOOKUP($L684,Categories!$E:$G,3,FALSE),IF($F684&lt;&gt;"","NO CAT",""))</f>
        <v>NM-2 ASGA</v>
      </c>
      <c r="P684" s="170" t="s">
        <v>1186</v>
      </c>
      <c r="Q684" s="123" t="s">
        <v>1187</v>
      </c>
      <c r="R684" s="124">
        <v>0</v>
      </c>
      <c r="S684" s="124">
        <v>0</v>
      </c>
      <c r="T684" s="124">
        <v>1</v>
      </c>
      <c r="U684" s="121">
        <f t="shared" si="292"/>
        <v>0</v>
      </c>
      <c r="V684" s="121">
        <f t="shared" si="293"/>
        <v>0</v>
      </c>
      <c r="W684" s="121">
        <f t="shared" si="294"/>
        <v>2597.7181799999998</v>
      </c>
      <c r="X684" s="121">
        <f t="shared" si="299"/>
        <v>2597.7181799999998</v>
      </c>
      <c r="Y684" s="121">
        <f t="shared" si="295"/>
        <v>0</v>
      </c>
      <c r="Z684" s="121">
        <f t="shared" si="296"/>
        <v>0</v>
      </c>
      <c r="AA684" s="121">
        <f t="shared" si="297"/>
        <v>2597.7181799999998</v>
      </c>
      <c r="AB684" s="121">
        <f t="shared" si="300"/>
        <v>2597.7181800000003</v>
      </c>
      <c r="AC684" s="121">
        <v>2597.7181800000003</v>
      </c>
      <c r="AD684" s="121">
        <v>2597.7181800000003</v>
      </c>
      <c r="AE684" s="121">
        <v>2597.7181800000003</v>
      </c>
      <c r="AF684" s="121">
        <v>2597.7181800000003</v>
      </c>
      <c r="AG684" s="121">
        <v>2597.7181800000003</v>
      </c>
      <c r="AH684" s="121">
        <v>2597.7181800000003</v>
      </c>
      <c r="AI684" s="121">
        <v>2597.7181800000003</v>
      </c>
      <c r="AJ684" s="121">
        <v>2597.7181800000003</v>
      </c>
      <c r="AK684" s="121">
        <v>2597.7181800000003</v>
      </c>
      <c r="AL684" s="121">
        <v>2597.7181800000003</v>
      </c>
      <c r="AM684" s="121">
        <v>2597.7181800000003</v>
      </c>
      <c r="AN684" s="121">
        <v>2597.7181800000003</v>
      </c>
      <c r="AO684" s="121">
        <v>2597.7181800000003</v>
      </c>
      <c r="AP684" s="125" t="str">
        <f>CONCATENATE(A684,M684)</f>
        <v>Reg AssetN</v>
      </c>
      <c r="AQ684" s="125" t="str">
        <f>CONCATENATE(AP684,L684,H684)</f>
        <v>Reg AssetNN8ASGA</v>
      </c>
      <c r="AS684" s="125" t="str">
        <f>CONCATENATE(L684,H684,J684)</f>
        <v>N8ASGANCR</v>
      </c>
    </row>
    <row r="685" spans="1:45" s="125" customFormat="1" ht="25.5" customHeight="1">
      <c r="A685" s="216" t="s">
        <v>1442</v>
      </c>
      <c r="B685" s="217" t="str">
        <f t="shared" si="290"/>
        <v>Reg Asset2542700-149.49.26BE030328</v>
      </c>
      <c r="C685" s="186">
        <v>254270</v>
      </c>
      <c r="D685" s="201" t="s">
        <v>1008</v>
      </c>
      <c r="E685" s="162" t="s">
        <v>3245</v>
      </c>
      <c r="F685" s="169" t="s">
        <v>334</v>
      </c>
      <c r="G685" s="117" t="s">
        <v>856</v>
      </c>
      <c r="H685" s="118" t="s">
        <v>521</v>
      </c>
      <c r="I685" s="120"/>
      <c r="J685" s="120" t="s">
        <v>105</v>
      </c>
      <c r="K685" s="120" t="str">
        <f t="shared" si="298"/>
        <v/>
      </c>
      <c r="L685" s="170" t="s">
        <v>2817</v>
      </c>
      <c r="M685" s="122" t="str">
        <f t="shared" si="212"/>
        <v>N</v>
      </c>
      <c r="N685" s="116" t="str">
        <f>IF($L685&lt;&gt;"",VLOOKUP($L685,Categories!$E:$G,2,FALSE),IF($F685&lt;&gt;"","NO CAT",""))</f>
        <v>Not in Rate Base</v>
      </c>
      <c r="O685" s="116" t="str">
        <f>IF($L685&lt;&gt;"",VLOOKUP($L685,Categories!$E:$G,3,FALSE),IF($F685&lt;&gt;"","NO CAT",""))</f>
        <v>NM-2 ASGA</v>
      </c>
      <c r="P685" s="170" t="s">
        <v>1186</v>
      </c>
      <c r="Q685" s="123" t="s">
        <v>1187</v>
      </c>
      <c r="R685" s="124">
        <v>0</v>
      </c>
      <c r="S685" s="124">
        <v>0</v>
      </c>
      <c r="T685" s="124">
        <v>1</v>
      </c>
      <c r="U685" s="121">
        <f t="shared" si="292"/>
        <v>0</v>
      </c>
      <c r="V685" s="121">
        <f t="shared" si="293"/>
        <v>0</v>
      </c>
      <c r="W685" s="121">
        <f t="shared" si="294"/>
        <v>375.35788000000002</v>
      </c>
      <c r="X685" s="121">
        <f t="shared" si="299"/>
        <v>375.35788000000002</v>
      </c>
      <c r="Y685" s="121">
        <f t="shared" si="295"/>
        <v>0</v>
      </c>
      <c r="Z685" s="121">
        <f t="shared" si="296"/>
        <v>0</v>
      </c>
      <c r="AA685" s="121">
        <f t="shared" si="297"/>
        <v>375.35788000000002</v>
      </c>
      <c r="AB685" s="121">
        <f t="shared" si="300"/>
        <v>375.35788000000002</v>
      </c>
      <c r="AC685" s="121">
        <v>375.35788000000002</v>
      </c>
      <c r="AD685" s="121">
        <v>375.35788000000002</v>
      </c>
      <c r="AE685" s="121">
        <v>375.35788000000002</v>
      </c>
      <c r="AF685" s="121">
        <v>375.35788000000002</v>
      </c>
      <c r="AG685" s="121">
        <v>375.35788000000002</v>
      </c>
      <c r="AH685" s="121">
        <v>375.35788000000002</v>
      </c>
      <c r="AI685" s="121">
        <v>375.35788000000002</v>
      </c>
      <c r="AJ685" s="121">
        <v>375.35788000000002</v>
      </c>
      <c r="AK685" s="121">
        <v>375.35788000000002</v>
      </c>
      <c r="AL685" s="121">
        <v>375.35788000000002</v>
      </c>
      <c r="AM685" s="121">
        <v>375.35788000000002</v>
      </c>
      <c r="AN685" s="121">
        <v>375.35788000000002</v>
      </c>
      <c r="AO685" s="121">
        <v>375.35788000000002</v>
      </c>
      <c r="AP685" s="125" t="str">
        <f>CONCATENATE(A685,M685)</f>
        <v>Reg AssetN</v>
      </c>
      <c r="AQ685" s="125" t="str">
        <f>CONCATENATE(AP685,L685,H685)</f>
        <v>Reg AssetNN8ASGA</v>
      </c>
      <c r="AS685" s="125" t="str">
        <f>CONCATENATE(L685,H685,J685)</f>
        <v>N8ASGANCR</v>
      </c>
    </row>
    <row r="686" spans="1:45" s="125" customFormat="1" ht="25.5" customHeight="1">
      <c r="A686" s="216" t="s">
        <v>1442</v>
      </c>
      <c r="B686" s="217" t="str">
        <f t="shared" si="290"/>
        <v>Reg Asset2542700-149.49.28BE030355</v>
      </c>
      <c r="C686" s="186">
        <v>254270</v>
      </c>
      <c r="D686" s="201" t="s">
        <v>2828</v>
      </c>
      <c r="E686" s="162" t="s">
        <v>3247</v>
      </c>
      <c r="F686" s="169" t="s">
        <v>334</v>
      </c>
      <c r="G686" s="117" t="s">
        <v>1135</v>
      </c>
      <c r="H686" s="118" t="s">
        <v>521</v>
      </c>
      <c r="I686" s="120"/>
      <c r="J686" s="120" t="s">
        <v>105</v>
      </c>
      <c r="K686" s="120" t="str">
        <f>IF(L686="N3","SFAS-109","")</f>
        <v/>
      </c>
      <c r="L686" s="170" t="s">
        <v>2817</v>
      </c>
      <c r="M686" s="122" t="str">
        <f t="shared" si="212"/>
        <v>N</v>
      </c>
      <c r="N686" s="116" t="str">
        <f>IF($L686&lt;&gt;"",VLOOKUP($L686,Categories!$E:$G,2,FALSE),IF($F686&lt;&gt;"","NO CAT",""))</f>
        <v>Not in Rate Base</v>
      </c>
      <c r="O686" s="116" t="str">
        <f>IF($L686&lt;&gt;"",VLOOKUP($L686,Categories!$E:$G,3,FALSE),IF($F686&lt;&gt;"","NO CAT",""))</f>
        <v>NM-2 ASGA</v>
      </c>
      <c r="P686" s="170" t="s">
        <v>1186</v>
      </c>
      <c r="Q686" s="123" t="s">
        <v>1187</v>
      </c>
      <c r="R686" s="124">
        <v>0</v>
      </c>
      <c r="S686" s="124">
        <v>0</v>
      </c>
      <c r="T686" s="124">
        <v>1</v>
      </c>
      <c r="U686" s="121">
        <f t="shared" si="292"/>
        <v>0</v>
      </c>
      <c r="V686" s="121">
        <f t="shared" si="293"/>
        <v>0</v>
      </c>
      <c r="W686" s="121">
        <f t="shared" si="294"/>
        <v>151.79003</v>
      </c>
      <c r="X686" s="121">
        <f t="shared" si="299"/>
        <v>151.79003</v>
      </c>
      <c r="Y686" s="121">
        <f t="shared" si="295"/>
        <v>0</v>
      </c>
      <c r="Z686" s="121">
        <f t="shared" si="296"/>
        <v>0</v>
      </c>
      <c r="AA686" s="121">
        <f t="shared" si="297"/>
        <v>151.79003</v>
      </c>
      <c r="AB686" s="121">
        <f t="shared" si="300"/>
        <v>151.79003</v>
      </c>
      <c r="AC686" s="121">
        <v>151.79003</v>
      </c>
      <c r="AD686" s="121">
        <v>151.79003</v>
      </c>
      <c r="AE686" s="121">
        <v>151.79003</v>
      </c>
      <c r="AF686" s="121">
        <v>151.79003</v>
      </c>
      <c r="AG686" s="121">
        <v>151.79003</v>
      </c>
      <c r="AH686" s="121">
        <v>151.79003</v>
      </c>
      <c r="AI686" s="121">
        <v>151.79003</v>
      </c>
      <c r="AJ686" s="121">
        <v>151.79003</v>
      </c>
      <c r="AK686" s="121">
        <v>151.79003</v>
      </c>
      <c r="AL686" s="121">
        <v>151.79003</v>
      </c>
      <c r="AM686" s="121">
        <v>151.79003</v>
      </c>
      <c r="AN686" s="121">
        <v>151.79003</v>
      </c>
      <c r="AO686" s="121">
        <v>151.79003</v>
      </c>
      <c r="AP686" s="125" t="str">
        <f>CONCATENATE(A686,M686)</f>
        <v>Reg AssetN</v>
      </c>
      <c r="AQ686" s="125" t="str">
        <f>CONCATENATE(AP686,L686,H686)</f>
        <v>Reg AssetNN8ASGA</v>
      </c>
      <c r="AS686" s="125" t="str">
        <f>CONCATENATE(L686,H686,J686)</f>
        <v>N8ASGANCR</v>
      </c>
    </row>
    <row r="687" spans="1:45" s="125" customFormat="1" ht="25.5" customHeight="1">
      <c r="A687" s="216" t="s">
        <v>1442</v>
      </c>
      <c r="B687" s="217" t="str">
        <f t="shared" si="290"/>
        <v>Reg Asset2542700-242.98.02BE030291</v>
      </c>
      <c r="C687" s="186">
        <v>254270</v>
      </c>
      <c r="D687" s="201" t="s">
        <v>1572</v>
      </c>
      <c r="E687" s="162" t="s">
        <v>3248</v>
      </c>
      <c r="F687" s="169" t="s">
        <v>334</v>
      </c>
      <c r="G687" s="117" t="s">
        <v>624</v>
      </c>
      <c r="H687" s="118" t="s">
        <v>521</v>
      </c>
      <c r="I687" s="120"/>
      <c r="J687" s="120" t="s">
        <v>105</v>
      </c>
      <c r="K687" s="120" t="str">
        <f t="shared" si="298"/>
        <v/>
      </c>
      <c r="L687" s="170" t="s">
        <v>2817</v>
      </c>
      <c r="M687" s="122" t="str">
        <f t="shared" si="212"/>
        <v>N</v>
      </c>
      <c r="N687" s="116" t="str">
        <f>IF($L687&lt;&gt;"",VLOOKUP($L687,Categories!$E:$G,2,FALSE),IF($F687&lt;&gt;"","NO CAT",""))</f>
        <v>Not in Rate Base</v>
      </c>
      <c r="O687" s="116" t="str">
        <f>IF($L687&lt;&gt;"",VLOOKUP($L687,Categories!$E:$G,3,FALSE),IF($F687&lt;&gt;"","NO CAT",""))</f>
        <v>NM-2 ASGA</v>
      </c>
      <c r="P687" s="170" t="s">
        <v>1186</v>
      </c>
      <c r="Q687" s="123" t="s">
        <v>1187</v>
      </c>
      <c r="R687" s="124">
        <v>0</v>
      </c>
      <c r="S687" s="124">
        <v>0</v>
      </c>
      <c r="T687" s="124">
        <v>1</v>
      </c>
      <c r="U687" s="121">
        <f t="shared" si="292"/>
        <v>0</v>
      </c>
      <c r="V687" s="121">
        <f t="shared" si="293"/>
        <v>0</v>
      </c>
      <c r="W687" s="121">
        <f t="shared" si="294"/>
        <v>-5632</v>
      </c>
      <c r="X687" s="121">
        <f t="shared" si="299"/>
        <v>-5632</v>
      </c>
      <c r="Y687" s="121">
        <f t="shared" si="295"/>
        <v>0</v>
      </c>
      <c r="Z687" s="121">
        <f t="shared" si="296"/>
        <v>0</v>
      </c>
      <c r="AA687" s="121">
        <f t="shared" si="297"/>
        <v>-5632</v>
      </c>
      <c r="AB687" s="121">
        <f t="shared" si="300"/>
        <v>-5632</v>
      </c>
      <c r="AC687" s="121">
        <v>-5632</v>
      </c>
      <c r="AD687" s="121">
        <v>-5632</v>
      </c>
      <c r="AE687" s="121">
        <v>-5632</v>
      </c>
      <c r="AF687" s="121">
        <v>-5632</v>
      </c>
      <c r="AG687" s="121">
        <v>-5632</v>
      </c>
      <c r="AH687" s="121">
        <v>-5632</v>
      </c>
      <c r="AI687" s="121">
        <v>-5632</v>
      </c>
      <c r="AJ687" s="121">
        <v>-5632</v>
      </c>
      <c r="AK687" s="121">
        <v>-5632</v>
      </c>
      <c r="AL687" s="121">
        <v>-5632</v>
      </c>
      <c r="AM687" s="121">
        <v>-5632</v>
      </c>
      <c r="AN687" s="121">
        <v>-5632</v>
      </c>
      <c r="AO687" s="121">
        <v>-5632</v>
      </c>
      <c r="AP687" s="125" t="str">
        <f>CONCATENATE(A687,M687)</f>
        <v>Reg AssetN</v>
      </c>
      <c r="AQ687" s="125" t="str">
        <f>CONCATENATE(AP687,L687,H687)</f>
        <v>Reg AssetNN8ASGA</v>
      </c>
      <c r="AS687" s="125" t="str">
        <f>CONCATENATE(L687,H687,J687)</f>
        <v>N8ASGANCR</v>
      </c>
    </row>
    <row r="688" spans="1:45" s="125" customFormat="1" ht="25.5" customHeight="1">
      <c r="A688" s="216" t="s">
        <v>1442</v>
      </c>
      <c r="B688" s="217" t="str">
        <f t="shared" si="290"/>
        <v>Reg Asset2542700-242.98.03BE030291</v>
      </c>
      <c r="C688" s="186">
        <v>254270</v>
      </c>
      <c r="D688" s="201" t="s">
        <v>1574</v>
      </c>
      <c r="E688" s="162" t="s">
        <v>3248</v>
      </c>
      <c r="F688" s="169" t="s">
        <v>334</v>
      </c>
      <c r="G688" s="117" t="s">
        <v>624</v>
      </c>
      <c r="H688" s="118" t="s">
        <v>521</v>
      </c>
      <c r="I688" s="120"/>
      <c r="J688" s="120" t="s">
        <v>105</v>
      </c>
      <c r="K688" s="120" t="str">
        <f t="shared" si="298"/>
        <v/>
      </c>
      <c r="L688" s="170" t="s">
        <v>2817</v>
      </c>
      <c r="M688" s="122" t="str">
        <f t="shared" si="212"/>
        <v>N</v>
      </c>
      <c r="N688" s="116" t="str">
        <f>IF($L688&lt;&gt;"",VLOOKUP($L688,Categories!$E:$G,2,FALSE),IF($F688&lt;&gt;"","NO CAT",""))</f>
        <v>Not in Rate Base</v>
      </c>
      <c r="O688" s="116" t="str">
        <f>IF($L688&lt;&gt;"",VLOOKUP($L688,Categories!$E:$G,3,FALSE),IF($F688&lt;&gt;"","NO CAT",""))</f>
        <v>NM-2 ASGA</v>
      </c>
      <c r="P688" s="170" t="s">
        <v>1186</v>
      </c>
      <c r="Q688" s="123" t="s">
        <v>1187</v>
      </c>
      <c r="R688" s="124">
        <v>0</v>
      </c>
      <c r="S688" s="124">
        <v>0</v>
      </c>
      <c r="T688" s="124">
        <v>1</v>
      </c>
      <c r="U688" s="121">
        <f t="shared" si="292"/>
        <v>0</v>
      </c>
      <c r="V688" s="121">
        <f t="shared" si="293"/>
        <v>0</v>
      </c>
      <c r="W688" s="121">
        <f t="shared" si="294"/>
        <v>-6090.2788099999998</v>
      </c>
      <c r="X688" s="121">
        <f t="shared" si="299"/>
        <v>-6090.2788099999998</v>
      </c>
      <c r="Y688" s="121">
        <f t="shared" si="295"/>
        <v>0</v>
      </c>
      <c r="Z688" s="121">
        <f t="shared" si="296"/>
        <v>0</v>
      </c>
      <c r="AA688" s="121">
        <f t="shared" si="297"/>
        <v>-6090.2788099999998</v>
      </c>
      <c r="AB688" s="121">
        <f t="shared" si="300"/>
        <v>-6090.2788099999998</v>
      </c>
      <c r="AC688" s="121">
        <v>-6090.2788099999998</v>
      </c>
      <c r="AD688" s="121">
        <v>-6090.2788099999998</v>
      </c>
      <c r="AE688" s="121">
        <v>-6090.2788099999998</v>
      </c>
      <c r="AF688" s="121">
        <v>-6090.2788099999998</v>
      </c>
      <c r="AG688" s="121">
        <v>-6090.2788099999998</v>
      </c>
      <c r="AH688" s="121">
        <v>-6090.2788099999998</v>
      </c>
      <c r="AI688" s="121">
        <v>-6090.2788099999998</v>
      </c>
      <c r="AJ688" s="121">
        <v>-6090.2788099999998</v>
      </c>
      <c r="AK688" s="121">
        <v>-6090.2788099999998</v>
      </c>
      <c r="AL688" s="121">
        <v>-6090.2788099999998</v>
      </c>
      <c r="AM688" s="121">
        <v>-6090.2788099999998</v>
      </c>
      <c r="AN688" s="121">
        <v>-6090.2788099999998</v>
      </c>
      <c r="AO688" s="121">
        <v>-6090.2788099999998</v>
      </c>
      <c r="AP688" s="125" t="str">
        <f>CONCATENATE(A688,M688)</f>
        <v>Reg AssetN</v>
      </c>
      <c r="AQ688" s="125" t="str">
        <f>CONCATENATE(AP688,L688,H688)</f>
        <v>Reg AssetNN8ASGA</v>
      </c>
      <c r="AS688" s="125" t="str">
        <f>CONCATENATE(L688,H688,J688)</f>
        <v>N8ASGANCR</v>
      </c>
    </row>
    <row r="689" spans="1:45" s="125" customFormat="1" ht="25.5" customHeight="1">
      <c r="A689" s="216" t="s">
        <v>1442</v>
      </c>
      <c r="B689" s="217" t="str">
        <f t="shared" si="290"/>
        <v>Reg Asset2542700-242.98.04BE030291</v>
      </c>
      <c r="C689" s="186">
        <v>254270</v>
      </c>
      <c r="D689" s="201" t="s">
        <v>550</v>
      </c>
      <c r="E689" s="162" t="s">
        <v>3248</v>
      </c>
      <c r="F689" s="169" t="s">
        <v>334</v>
      </c>
      <c r="G689" s="117" t="s">
        <v>624</v>
      </c>
      <c r="H689" s="118" t="s">
        <v>521</v>
      </c>
      <c r="I689" s="120"/>
      <c r="J689" s="120" t="s">
        <v>105</v>
      </c>
      <c r="K689" s="120" t="str">
        <f t="shared" si="298"/>
        <v/>
      </c>
      <c r="L689" s="170" t="s">
        <v>2817</v>
      </c>
      <c r="M689" s="122" t="str">
        <f t="shared" ref="M689:M799" si="301">LEFT(L689,1)</f>
        <v>N</v>
      </c>
      <c r="N689" s="116" t="str">
        <f>IF($L689&lt;&gt;"",VLOOKUP($L689,Categories!$E:$G,2,FALSE),IF($F689&lt;&gt;"","NO CAT",""))</f>
        <v>Not in Rate Base</v>
      </c>
      <c r="O689" s="116" t="str">
        <f>IF($L689&lt;&gt;"",VLOOKUP($L689,Categories!$E:$G,3,FALSE),IF($F689&lt;&gt;"","NO CAT",""))</f>
        <v>NM-2 ASGA</v>
      </c>
      <c r="P689" s="170" t="s">
        <v>1186</v>
      </c>
      <c r="Q689" s="123" t="s">
        <v>1187</v>
      </c>
      <c r="R689" s="124">
        <v>0</v>
      </c>
      <c r="S689" s="124">
        <v>0</v>
      </c>
      <c r="T689" s="124">
        <v>1</v>
      </c>
      <c r="U689" s="121">
        <f t="shared" si="292"/>
        <v>0</v>
      </c>
      <c r="V689" s="121">
        <f t="shared" si="293"/>
        <v>0</v>
      </c>
      <c r="W689" s="121">
        <f t="shared" si="294"/>
        <v>-8076</v>
      </c>
      <c r="X689" s="121">
        <f t="shared" si="299"/>
        <v>-8076</v>
      </c>
      <c r="Y689" s="121">
        <f t="shared" si="295"/>
        <v>0</v>
      </c>
      <c r="Z689" s="121">
        <f t="shared" si="296"/>
        <v>0</v>
      </c>
      <c r="AA689" s="121">
        <f t="shared" si="297"/>
        <v>-8076</v>
      </c>
      <c r="AB689" s="121">
        <f t="shared" si="300"/>
        <v>-8076</v>
      </c>
      <c r="AC689" s="121">
        <v>-8076</v>
      </c>
      <c r="AD689" s="121">
        <v>-8076</v>
      </c>
      <c r="AE689" s="121">
        <v>-8076</v>
      </c>
      <c r="AF689" s="121">
        <v>-8076</v>
      </c>
      <c r="AG689" s="121">
        <v>-8076</v>
      </c>
      <c r="AH689" s="121">
        <v>-8076</v>
      </c>
      <c r="AI689" s="121">
        <v>-8076</v>
      </c>
      <c r="AJ689" s="121">
        <v>-8076</v>
      </c>
      <c r="AK689" s="121">
        <v>-8076</v>
      </c>
      <c r="AL689" s="121">
        <v>-8076</v>
      </c>
      <c r="AM689" s="121">
        <v>-8076</v>
      </c>
      <c r="AN689" s="121">
        <v>-8076</v>
      </c>
      <c r="AO689" s="121">
        <v>-8076</v>
      </c>
      <c r="AP689" s="125" t="str">
        <f>CONCATENATE(A689,M689)</f>
        <v>Reg AssetN</v>
      </c>
      <c r="AQ689" s="125" t="str">
        <f>CONCATENATE(AP689,L689,H689)</f>
        <v>Reg AssetNN8ASGA</v>
      </c>
      <c r="AS689" s="125" t="str">
        <f>CONCATENATE(L689,H689,J689)</f>
        <v>N8ASGANCR</v>
      </c>
    </row>
    <row r="690" spans="1:45" s="125" customFormat="1" ht="25.5" customHeight="1">
      <c r="A690" s="216" t="s">
        <v>1442</v>
      </c>
      <c r="B690" s="217" t="str">
        <f t="shared" si="290"/>
        <v>Reg Asset2542700-242.98.05BE030291</v>
      </c>
      <c r="C690" s="186">
        <v>254270</v>
      </c>
      <c r="D690" s="201" t="s">
        <v>313</v>
      </c>
      <c r="E690" s="162" t="s">
        <v>3248</v>
      </c>
      <c r="F690" s="169" t="s">
        <v>334</v>
      </c>
      <c r="G690" s="117" t="s">
        <v>510</v>
      </c>
      <c r="H690" s="118" t="s">
        <v>521</v>
      </c>
      <c r="I690" s="120"/>
      <c r="J690" s="120" t="s">
        <v>105</v>
      </c>
      <c r="K690" s="120" t="str">
        <f>IF(L690="N3","SFAS-109","")</f>
        <v/>
      </c>
      <c r="L690" s="170" t="s">
        <v>2817</v>
      </c>
      <c r="M690" s="122" t="str">
        <f t="shared" si="301"/>
        <v>N</v>
      </c>
      <c r="N690" s="116" t="str">
        <f>IF($L690&lt;&gt;"",VLOOKUP($L690,Categories!$E:$G,2,FALSE),IF($F690&lt;&gt;"","NO CAT",""))</f>
        <v>Not in Rate Base</v>
      </c>
      <c r="O690" s="116" t="str">
        <f>IF($L690&lt;&gt;"",VLOOKUP($L690,Categories!$E:$G,3,FALSE),IF($F690&lt;&gt;"","NO CAT",""))</f>
        <v>NM-2 ASGA</v>
      </c>
      <c r="P690" s="170" t="s">
        <v>1186</v>
      </c>
      <c r="Q690" s="123" t="s">
        <v>1187</v>
      </c>
      <c r="R690" s="124">
        <v>0</v>
      </c>
      <c r="S690" s="124">
        <v>0</v>
      </c>
      <c r="T690" s="124">
        <v>1</v>
      </c>
      <c r="U690" s="121">
        <f t="shared" si="292"/>
        <v>0</v>
      </c>
      <c r="V690" s="121">
        <f t="shared" si="293"/>
        <v>0</v>
      </c>
      <c r="W690" s="121">
        <f t="shared" si="294"/>
        <v>-29160</v>
      </c>
      <c r="X690" s="121">
        <f t="shared" si="299"/>
        <v>-29160</v>
      </c>
      <c r="Y690" s="121">
        <f t="shared" si="295"/>
        <v>0</v>
      </c>
      <c r="Z690" s="121">
        <f t="shared" si="296"/>
        <v>0</v>
      </c>
      <c r="AA690" s="121">
        <f t="shared" si="297"/>
        <v>-29160</v>
      </c>
      <c r="AB690" s="121">
        <f t="shared" si="300"/>
        <v>-29160</v>
      </c>
      <c r="AC690" s="121">
        <v>-29160</v>
      </c>
      <c r="AD690" s="121">
        <v>-29160</v>
      </c>
      <c r="AE690" s="121">
        <v>-29160</v>
      </c>
      <c r="AF690" s="121">
        <v>-29160</v>
      </c>
      <c r="AG690" s="121">
        <v>-29160</v>
      </c>
      <c r="AH690" s="121">
        <v>-29160</v>
      </c>
      <c r="AI690" s="121">
        <v>-29160</v>
      </c>
      <c r="AJ690" s="121">
        <v>-29160</v>
      </c>
      <c r="AK690" s="121">
        <v>-29160</v>
      </c>
      <c r="AL690" s="121">
        <v>-29160</v>
      </c>
      <c r="AM690" s="121">
        <v>-29160</v>
      </c>
      <c r="AN690" s="121">
        <v>-29160</v>
      </c>
      <c r="AO690" s="121">
        <v>-29160</v>
      </c>
      <c r="AP690" s="125" t="str">
        <f>CONCATENATE(A690,M690)</f>
        <v>Reg AssetN</v>
      </c>
      <c r="AQ690" s="125" t="str">
        <f>CONCATENATE(AP690,L690,H690)</f>
        <v>Reg AssetNN8ASGA</v>
      </c>
      <c r="AS690" s="125" t="str">
        <f>CONCATENATE(L690,H690,J690)</f>
        <v>N8ASGANCR</v>
      </c>
    </row>
    <row r="691" spans="1:45" s="125" customFormat="1" ht="25.5" customHeight="1">
      <c r="A691" s="216" t="s">
        <v>1442</v>
      </c>
      <c r="B691" s="217" t="str">
        <f t="shared" si="290"/>
        <v>Reg Asset2542700-242.99.08BE030364</v>
      </c>
      <c r="C691" s="186">
        <v>254270</v>
      </c>
      <c r="D691" s="201" t="s">
        <v>1716</v>
      </c>
      <c r="E691" s="162" t="s">
        <v>3249</v>
      </c>
      <c r="F691" s="169" t="s">
        <v>334</v>
      </c>
      <c r="G691" s="117" t="s">
        <v>5</v>
      </c>
      <c r="H691" s="118" t="s">
        <v>521</v>
      </c>
      <c r="I691" s="120"/>
      <c r="J691" s="120" t="s">
        <v>105</v>
      </c>
      <c r="K691" s="120" t="str">
        <f>IF(L691="N3","SFAS-109","")</f>
        <v/>
      </c>
      <c r="L691" s="170" t="s">
        <v>2817</v>
      </c>
      <c r="M691" s="122" t="str">
        <f t="shared" si="301"/>
        <v>N</v>
      </c>
      <c r="N691" s="116" t="str">
        <f>IF($L691&lt;&gt;"",VLOOKUP($L691,Categories!$E:$G,2,FALSE),IF($F691&lt;&gt;"","NO CAT",""))</f>
        <v>Not in Rate Base</v>
      </c>
      <c r="O691" s="116" t="str">
        <f>IF($L691&lt;&gt;"",VLOOKUP($L691,Categories!$E:$G,3,FALSE),IF($F691&lt;&gt;"","NO CAT",""))</f>
        <v>NM-2 ASGA</v>
      </c>
      <c r="P691" s="170" t="s">
        <v>1186</v>
      </c>
      <c r="Q691" s="123" t="s">
        <v>1187</v>
      </c>
      <c r="R691" s="124">
        <v>0</v>
      </c>
      <c r="S691" s="124">
        <v>0</v>
      </c>
      <c r="T691" s="124">
        <v>1</v>
      </c>
      <c r="U691" s="121">
        <f t="shared" si="292"/>
        <v>0</v>
      </c>
      <c r="V691" s="121">
        <f t="shared" si="293"/>
        <v>0</v>
      </c>
      <c r="W691" s="121">
        <f t="shared" si="294"/>
        <v>-4829.9305599999998</v>
      </c>
      <c r="X691" s="121">
        <f t="shared" si="299"/>
        <v>-4829.9305599999998</v>
      </c>
      <c r="Y691" s="121">
        <f t="shared" si="295"/>
        <v>0</v>
      </c>
      <c r="Z691" s="121">
        <f t="shared" si="296"/>
        <v>0</v>
      </c>
      <c r="AA691" s="121">
        <f t="shared" si="297"/>
        <v>-4829.9305599999998</v>
      </c>
      <c r="AB691" s="121">
        <f t="shared" si="300"/>
        <v>-4829.9305599999998</v>
      </c>
      <c r="AC691" s="121">
        <v>-4829.9305599999998</v>
      </c>
      <c r="AD691" s="121">
        <v>-4829.9305599999998</v>
      </c>
      <c r="AE691" s="121">
        <v>-4829.9305599999998</v>
      </c>
      <c r="AF691" s="121">
        <v>-4829.9305599999998</v>
      </c>
      <c r="AG691" s="121">
        <v>-4829.9305599999998</v>
      </c>
      <c r="AH691" s="121">
        <v>-4829.9305599999998</v>
      </c>
      <c r="AI691" s="121">
        <v>-4829.9305599999998</v>
      </c>
      <c r="AJ691" s="121">
        <v>-4829.9305599999998</v>
      </c>
      <c r="AK691" s="121">
        <v>-4829.9305599999998</v>
      </c>
      <c r="AL691" s="121">
        <v>-4829.9305599999998</v>
      </c>
      <c r="AM691" s="121">
        <v>-4829.9305599999998</v>
      </c>
      <c r="AN691" s="121">
        <v>-4829.9305599999998</v>
      </c>
      <c r="AO691" s="121">
        <v>-4829.9305599999998</v>
      </c>
      <c r="AP691" s="125" t="str">
        <f>CONCATENATE(A691,M691)</f>
        <v>Reg AssetN</v>
      </c>
      <c r="AQ691" s="125" t="str">
        <f>CONCATENATE(AP691,L691,H691)</f>
        <v>Reg AssetNN8ASGA</v>
      </c>
      <c r="AS691" s="125" t="str">
        <f>CONCATENATE(L691,H691,J691)</f>
        <v>N8ASGANCR</v>
      </c>
    </row>
    <row r="692" spans="1:45" s="125" customFormat="1" ht="25.5" customHeight="1">
      <c r="A692" s="216" t="s">
        <v>1442</v>
      </c>
      <c r="B692" s="217" t="str">
        <f t="shared" si="290"/>
        <v>Reg Asset2542700-242.99.09BE030364</v>
      </c>
      <c r="C692" s="186">
        <v>254270</v>
      </c>
      <c r="D692" s="201" t="s">
        <v>3033</v>
      </c>
      <c r="E692" s="162" t="s">
        <v>3249</v>
      </c>
      <c r="F692" s="169" t="s">
        <v>334</v>
      </c>
      <c r="G692" s="117" t="s">
        <v>511</v>
      </c>
      <c r="H692" s="118" t="s">
        <v>521</v>
      </c>
      <c r="I692" s="120"/>
      <c r="J692" s="120" t="s">
        <v>105</v>
      </c>
      <c r="K692" s="120" t="str">
        <f>IF(L692="N3","SFAS-109","")</f>
        <v/>
      </c>
      <c r="L692" s="170" t="s">
        <v>2817</v>
      </c>
      <c r="M692" s="122" t="str">
        <f t="shared" si="301"/>
        <v>N</v>
      </c>
      <c r="N692" s="116" t="str">
        <f>IF($L692&lt;&gt;"",VLOOKUP($L692,Categories!$E:$G,2,FALSE),IF($F692&lt;&gt;"","NO CAT",""))</f>
        <v>Not in Rate Base</v>
      </c>
      <c r="O692" s="116" t="str">
        <f>IF($L692&lt;&gt;"",VLOOKUP($L692,Categories!$E:$G,3,FALSE),IF($F692&lt;&gt;"","NO CAT",""))</f>
        <v>NM-2 ASGA</v>
      </c>
      <c r="P692" s="170" t="s">
        <v>1186</v>
      </c>
      <c r="Q692" s="123" t="s">
        <v>1187</v>
      </c>
      <c r="R692" s="124">
        <v>0</v>
      </c>
      <c r="S692" s="124">
        <v>0</v>
      </c>
      <c r="T692" s="124">
        <v>1</v>
      </c>
      <c r="U692" s="121">
        <f t="shared" si="292"/>
        <v>0</v>
      </c>
      <c r="V692" s="121">
        <f t="shared" si="293"/>
        <v>0</v>
      </c>
      <c r="W692" s="121">
        <f t="shared" si="294"/>
        <v>-459.10800999999998</v>
      </c>
      <c r="X692" s="121">
        <f t="shared" si="299"/>
        <v>-459.10800999999998</v>
      </c>
      <c r="Y692" s="121">
        <f t="shared" si="295"/>
        <v>0</v>
      </c>
      <c r="Z692" s="121">
        <f t="shared" si="296"/>
        <v>0</v>
      </c>
      <c r="AA692" s="121">
        <f t="shared" si="297"/>
        <v>-459.10800999999998</v>
      </c>
      <c r="AB692" s="121">
        <f t="shared" si="300"/>
        <v>-459.10801000000004</v>
      </c>
      <c r="AC692" s="121">
        <v>-459.10801000000004</v>
      </c>
      <c r="AD692" s="121">
        <v>-459.10801000000004</v>
      </c>
      <c r="AE692" s="121">
        <v>-459.10801000000004</v>
      </c>
      <c r="AF692" s="121">
        <v>-459.10801000000004</v>
      </c>
      <c r="AG692" s="121">
        <v>-459.10801000000004</v>
      </c>
      <c r="AH692" s="121">
        <v>-459.10801000000004</v>
      </c>
      <c r="AI692" s="121">
        <v>-459.10801000000004</v>
      </c>
      <c r="AJ692" s="121">
        <v>-459.10801000000004</v>
      </c>
      <c r="AK692" s="121">
        <v>-459.10801000000004</v>
      </c>
      <c r="AL692" s="121">
        <v>-459.10801000000004</v>
      </c>
      <c r="AM692" s="121">
        <v>-459.10801000000004</v>
      </c>
      <c r="AN692" s="121">
        <v>-459.10801000000004</v>
      </c>
      <c r="AO692" s="121">
        <v>-459.10801000000004</v>
      </c>
      <c r="AP692" s="125" t="str">
        <f>CONCATENATE(A692,M692)</f>
        <v>Reg AssetN</v>
      </c>
      <c r="AQ692" s="125" t="str">
        <f>CONCATENATE(AP692,L692,H692)</f>
        <v>Reg AssetNN8ASGA</v>
      </c>
      <c r="AS692" s="125" t="str">
        <f>CONCATENATE(L692,H692,J692)</f>
        <v>N8ASGANCR</v>
      </c>
    </row>
    <row r="693" spans="1:45" s="125" customFormat="1" ht="25.5" customHeight="1">
      <c r="A693" s="216" t="s">
        <v>1442</v>
      </c>
      <c r="B693" s="217" t="str">
        <f t="shared" si="290"/>
        <v>Reg Asset2542700-243.11.04BE030331</v>
      </c>
      <c r="C693" s="186">
        <v>254270</v>
      </c>
      <c r="D693" s="201" t="s">
        <v>430</v>
      </c>
      <c r="E693" s="162" t="s">
        <v>3250</v>
      </c>
      <c r="F693" s="169" t="s">
        <v>334</v>
      </c>
      <c r="G693" s="117" t="s">
        <v>431</v>
      </c>
      <c r="H693" s="118" t="s">
        <v>521</v>
      </c>
      <c r="I693" s="120"/>
      <c r="J693" s="120" t="s">
        <v>105</v>
      </c>
      <c r="K693" s="120" t="str">
        <f t="shared" si="298"/>
        <v/>
      </c>
      <c r="L693" s="170" t="s">
        <v>2817</v>
      </c>
      <c r="M693" s="122" t="str">
        <f t="shared" si="301"/>
        <v>N</v>
      </c>
      <c r="N693" s="116" t="str">
        <f>IF($L693&lt;&gt;"",VLOOKUP($L693,Categories!$E:$G,2,FALSE),IF($F693&lt;&gt;"","NO CAT",""))</f>
        <v>Not in Rate Base</v>
      </c>
      <c r="O693" s="116" t="str">
        <f>IF($L693&lt;&gt;"",VLOOKUP($L693,Categories!$E:$G,3,FALSE),IF($F693&lt;&gt;"","NO CAT",""))</f>
        <v>NM-2 ASGA</v>
      </c>
      <c r="P693" s="170" t="s">
        <v>1186</v>
      </c>
      <c r="Q693" s="123" t="s">
        <v>1187</v>
      </c>
      <c r="R693" s="124">
        <v>0</v>
      </c>
      <c r="S693" s="124">
        <v>0</v>
      </c>
      <c r="T693" s="124">
        <v>1</v>
      </c>
      <c r="U693" s="121">
        <f t="shared" si="292"/>
        <v>0</v>
      </c>
      <c r="V693" s="121">
        <f t="shared" si="293"/>
        <v>0</v>
      </c>
      <c r="W693" s="121">
        <f t="shared" si="294"/>
        <v>-73626.332519999996</v>
      </c>
      <c r="X693" s="121">
        <f t="shared" si="299"/>
        <v>-73626.332519999996</v>
      </c>
      <c r="Y693" s="121">
        <f t="shared" si="295"/>
        <v>0</v>
      </c>
      <c r="Z693" s="121">
        <f t="shared" si="296"/>
        <v>0</v>
      </c>
      <c r="AA693" s="121">
        <f t="shared" si="297"/>
        <v>-73626.332519999996</v>
      </c>
      <c r="AB693" s="121">
        <f t="shared" si="300"/>
        <v>-73626.332519999996</v>
      </c>
      <c r="AC693" s="121">
        <v>-73626.332519999996</v>
      </c>
      <c r="AD693" s="121">
        <v>-73626.332519999996</v>
      </c>
      <c r="AE693" s="121">
        <v>-73626.332519999996</v>
      </c>
      <c r="AF693" s="121">
        <v>-73626.332519999996</v>
      </c>
      <c r="AG693" s="121">
        <v>-73626.332519999996</v>
      </c>
      <c r="AH693" s="121">
        <v>-73626.332519999996</v>
      </c>
      <c r="AI693" s="121">
        <v>-73626.332519999996</v>
      </c>
      <c r="AJ693" s="121">
        <v>-73626.332519999996</v>
      </c>
      <c r="AK693" s="121">
        <v>-73626.332519999996</v>
      </c>
      <c r="AL693" s="121">
        <v>-73626.332519999996</v>
      </c>
      <c r="AM693" s="121">
        <v>-73626.332519999996</v>
      </c>
      <c r="AN693" s="121">
        <v>-73626.332519999996</v>
      </c>
      <c r="AO693" s="121">
        <v>-73626.332519999996</v>
      </c>
      <c r="AP693" s="125" t="str">
        <f>CONCATENATE(A693,M693)</f>
        <v>Reg AssetN</v>
      </c>
      <c r="AQ693" s="125" t="str">
        <f>CONCATENATE(AP693,L693,H693)</f>
        <v>Reg AssetNN8ASGA</v>
      </c>
      <c r="AS693" s="125" t="str">
        <f>CONCATENATE(L693,H693,J693)</f>
        <v>N8ASGANCR</v>
      </c>
    </row>
    <row r="694" spans="1:45" s="125" customFormat="1" ht="25.5" customHeight="1">
      <c r="A694" s="216" t="s">
        <v>1442</v>
      </c>
      <c r="B694" s="217" t="str">
        <f t="shared" si="290"/>
        <v>Reg Asset2542700-243.11.05BT010009</v>
      </c>
      <c r="C694" s="186">
        <v>254270</v>
      </c>
      <c r="D694" s="201" t="s">
        <v>817</v>
      </c>
      <c r="E694" s="162" t="s">
        <v>1124</v>
      </c>
      <c r="F694" s="169" t="s">
        <v>334</v>
      </c>
      <c r="G694" s="117" t="s">
        <v>818</v>
      </c>
      <c r="H694" s="118" t="s">
        <v>521</v>
      </c>
      <c r="I694" s="120"/>
      <c r="J694" s="120" t="s">
        <v>105</v>
      </c>
      <c r="K694" s="120" t="str">
        <f t="shared" si="298"/>
        <v/>
      </c>
      <c r="L694" s="170" t="s">
        <v>2817</v>
      </c>
      <c r="M694" s="122" t="str">
        <f t="shared" si="301"/>
        <v>N</v>
      </c>
      <c r="N694" s="116" t="str">
        <f>IF($L694&lt;&gt;"",VLOOKUP($L694,Categories!$E:$G,2,FALSE),IF($F694&lt;&gt;"","NO CAT",""))</f>
        <v>Not in Rate Base</v>
      </c>
      <c r="O694" s="116" t="str">
        <f>IF($L694&lt;&gt;"",VLOOKUP($L694,Categories!$E:$G,3,FALSE),IF($F694&lt;&gt;"","NO CAT",""))</f>
        <v>NM-2 ASGA</v>
      </c>
      <c r="P694" s="170" t="s">
        <v>1186</v>
      </c>
      <c r="Q694" s="123" t="s">
        <v>1187</v>
      </c>
      <c r="R694" s="124">
        <v>0</v>
      </c>
      <c r="S694" s="124">
        <v>0</v>
      </c>
      <c r="T694" s="124">
        <v>1</v>
      </c>
      <c r="U694" s="121">
        <f t="shared" si="292"/>
        <v>0</v>
      </c>
      <c r="V694" s="121">
        <f t="shared" si="293"/>
        <v>0</v>
      </c>
      <c r="W694" s="121">
        <f t="shared" si="294"/>
        <v>-5780.8666624999996</v>
      </c>
      <c r="X694" s="121">
        <f t="shared" si="299"/>
        <v>-5780.8666624999996</v>
      </c>
      <c r="Y694" s="121">
        <f t="shared" si="295"/>
        <v>0</v>
      </c>
      <c r="Z694" s="121">
        <f t="shared" si="296"/>
        <v>0</v>
      </c>
      <c r="AA694" s="121">
        <f t="shared" si="297"/>
        <v>-5781.8302999999996</v>
      </c>
      <c r="AB694" s="121">
        <f t="shared" si="300"/>
        <v>-5781.8302999999996</v>
      </c>
      <c r="AC694" s="121">
        <v>-5780.7290000000003</v>
      </c>
      <c r="AD694" s="121">
        <v>-5780.7290000000003</v>
      </c>
      <c r="AE694" s="121">
        <v>-5780.7290000000003</v>
      </c>
      <c r="AF694" s="121">
        <v>-5780.7290000000003</v>
      </c>
      <c r="AG694" s="121">
        <v>-5780.7290000000003</v>
      </c>
      <c r="AH694" s="121">
        <v>-5780.7290000000003</v>
      </c>
      <c r="AI694" s="121">
        <v>-5780.7290000000003</v>
      </c>
      <c r="AJ694" s="121">
        <v>-5780.7290000000003</v>
      </c>
      <c r="AK694" s="121">
        <v>-5780.7290000000003</v>
      </c>
      <c r="AL694" s="121">
        <v>-5780.7290000000003</v>
      </c>
      <c r="AM694" s="121">
        <v>-5780.7290000000003</v>
      </c>
      <c r="AN694" s="121">
        <v>-5781.8302999999996</v>
      </c>
      <c r="AO694" s="121">
        <v>-5781.8302999999996</v>
      </c>
      <c r="AP694" s="125" t="str">
        <f>CONCATENATE(A694,M694)</f>
        <v>Reg AssetN</v>
      </c>
      <c r="AQ694" s="125" t="str">
        <f>CONCATENATE(AP694,L694,H694)</f>
        <v>Reg AssetNN8ASGA</v>
      </c>
      <c r="AS694" s="125" t="str">
        <f>CONCATENATE(L694,H694,J694)</f>
        <v>N8ASGANCR</v>
      </c>
    </row>
    <row r="695" spans="1:45" s="125" customFormat="1" ht="25.5" customHeight="1">
      <c r="A695" s="216" t="s">
        <v>1442</v>
      </c>
      <c r="B695" s="217" t="str">
        <f t="shared" si="290"/>
        <v>Reg Asset2542700-243.11.06BE030333</v>
      </c>
      <c r="C695" s="186">
        <v>254270</v>
      </c>
      <c r="D695" s="201" t="s">
        <v>819</v>
      </c>
      <c r="E695" s="162" t="s">
        <v>1831</v>
      </c>
      <c r="F695" s="169" t="s">
        <v>334</v>
      </c>
      <c r="G695" s="117" t="s">
        <v>820</v>
      </c>
      <c r="H695" s="118" t="s">
        <v>521</v>
      </c>
      <c r="I695" s="120"/>
      <c r="J695" s="120" t="s">
        <v>105</v>
      </c>
      <c r="K695" s="120" t="str">
        <f t="shared" si="298"/>
        <v/>
      </c>
      <c r="L695" s="170" t="s">
        <v>2817</v>
      </c>
      <c r="M695" s="122" t="str">
        <f t="shared" si="301"/>
        <v>N</v>
      </c>
      <c r="N695" s="116" t="str">
        <f>IF($L695&lt;&gt;"",VLOOKUP($L695,Categories!$E:$G,2,FALSE),IF($F695&lt;&gt;"","NO CAT",""))</f>
        <v>Not in Rate Base</v>
      </c>
      <c r="O695" s="116" t="str">
        <f>IF($L695&lt;&gt;"",VLOOKUP($L695,Categories!$E:$G,3,FALSE),IF($F695&lt;&gt;"","NO CAT",""))</f>
        <v>NM-2 ASGA</v>
      </c>
      <c r="P695" s="170" t="s">
        <v>1186</v>
      </c>
      <c r="Q695" s="123" t="s">
        <v>1187</v>
      </c>
      <c r="R695" s="124">
        <v>0</v>
      </c>
      <c r="S695" s="124">
        <v>0</v>
      </c>
      <c r="T695" s="124">
        <v>1</v>
      </c>
      <c r="U695" s="121">
        <f t="shared" si="292"/>
        <v>0</v>
      </c>
      <c r="V695" s="121">
        <f t="shared" si="293"/>
        <v>0</v>
      </c>
      <c r="W695" s="121">
        <f t="shared" si="294"/>
        <v>-29247.821522083301</v>
      </c>
      <c r="X695" s="121">
        <f t="shared" si="299"/>
        <v>-29247.821522083301</v>
      </c>
      <c r="Y695" s="121">
        <f t="shared" si="295"/>
        <v>0</v>
      </c>
      <c r="Z695" s="121">
        <f t="shared" si="296"/>
        <v>0</v>
      </c>
      <c r="AA695" s="121">
        <f t="shared" si="297"/>
        <v>-29231.039870000001</v>
      </c>
      <c r="AB695" s="121">
        <f t="shared" si="300"/>
        <v>-29231.039869999997</v>
      </c>
      <c r="AC695" s="121">
        <v>-29265.728899999995</v>
      </c>
      <c r="AD695" s="121">
        <v>-29262.497099999997</v>
      </c>
      <c r="AE695" s="121">
        <v>-29259.248489999998</v>
      </c>
      <c r="AF695" s="121">
        <v>-29255.982979999997</v>
      </c>
      <c r="AG695" s="121">
        <v>-29253.001669999998</v>
      </c>
      <c r="AH695" s="121">
        <v>-29250.306039999999</v>
      </c>
      <c r="AI695" s="121">
        <v>-29247.596389999999</v>
      </c>
      <c r="AJ695" s="121">
        <v>-29244.872640000001</v>
      </c>
      <c r="AK695" s="121">
        <v>-29242.134719999998</v>
      </c>
      <c r="AL695" s="121">
        <v>-29239.382559999998</v>
      </c>
      <c r="AM695" s="121">
        <v>-29236.61608</v>
      </c>
      <c r="AN695" s="121">
        <v>-29233.835209999997</v>
      </c>
      <c r="AO695" s="121">
        <v>-29231.039869999997</v>
      </c>
      <c r="AP695" s="125" t="str">
        <f>CONCATENATE(A695,M695)</f>
        <v>Reg AssetN</v>
      </c>
      <c r="AQ695" s="125" t="str">
        <f>CONCATENATE(AP695,L695,H695)</f>
        <v>Reg AssetNN8ASGA</v>
      </c>
      <c r="AS695" s="125" t="str">
        <f>CONCATENATE(L695,H695,J695)</f>
        <v>N8ASGANCR</v>
      </c>
    </row>
    <row r="696" spans="1:45" s="125" customFormat="1" ht="25.5" customHeight="1">
      <c r="A696" s="216" t="s">
        <v>1442</v>
      </c>
      <c r="B696" s="217" t="str">
        <f t="shared" si="290"/>
        <v>Reg Asset2542700-243.11.07BE030334</v>
      </c>
      <c r="C696" s="186">
        <v>254270</v>
      </c>
      <c r="D696" s="201" t="s">
        <v>1768</v>
      </c>
      <c r="E696" s="162" t="s">
        <v>3251</v>
      </c>
      <c r="F696" s="169" t="s">
        <v>334</v>
      </c>
      <c r="G696" s="117" t="s">
        <v>2499</v>
      </c>
      <c r="H696" s="118" t="s">
        <v>521</v>
      </c>
      <c r="I696" s="120"/>
      <c r="J696" s="120" t="s">
        <v>105</v>
      </c>
      <c r="K696" s="120" t="str">
        <f t="shared" si="298"/>
        <v/>
      </c>
      <c r="L696" s="170" t="s">
        <v>2817</v>
      </c>
      <c r="M696" s="122" t="str">
        <f t="shared" si="301"/>
        <v>N</v>
      </c>
      <c r="N696" s="116" t="str">
        <f>IF($L696&lt;&gt;"",VLOOKUP($L696,Categories!$E:$G,2,FALSE),IF($F696&lt;&gt;"","NO CAT",""))</f>
        <v>Not in Rate Base</v>
      </c>
      <c r="O696" s="116" t="str">
        <f>IF($L696&lt;&gt;"",VLOOKUP($L696,Categories!$E:$G,3,FALSE),IF($F696&lt;&gt;"","NO CAT",""))</f>
        <v>NM-2 ASGA</v>
      </c>
      <c r="P696" s="170" t="s">
        <v>1186</v>
      </c>
      <c r="Q696" s="123" t="s">
        <v>1187</v>
      </c>
      <c r="R696" s="124">
        <v>0</v>
      </c>
      <c r="S696" s="124">
        <v>0</v>
      </c>
      <c r="T696" s="124">
        <v>1</v>
      </c>
      <c r="U696" s="121">
        <f t="shared" si="292"/>
        <v>0</v>
      </c>
      <c r="V696" s="121">
        <f t="shared" si="293"/>
        <v>0</v>
      </c>
      <c r="W696" s="121">
        <f t="shared" si="294"/>
        <v>45800</v>
      </c>
      <c r="X696" s="121">
        <f t="shared" si="299"/>
        <v>45800</v>
      </c>
      <c r="Y696" s="121">
        <f t="shared" si="295"/>
        <v>0</v>
      </c>
      <c r="Z696" s="121">
        <f t="shared" si="296"/>
        <v>0</v>
      </c>
      <c r="AA696" s="121">
        <f t="shared" si="297"/>
        <v>45800</v>
      </c>
      <c r="AB696" s="121">
        <f t="shared" si="300"/>
        <v>45800</v>
      </c>
      <c r="AC696" s="121">
        <v>45800</v>
      </c>
      <c r="AD696" s="121">
        <v>45800</v>
      </c>
      <c r="AE696" s="121">
        <v>45800</v>
      </c>
      <c r="AF696" s="121">
        <v>45800</v>
      </c>
      <c r="AG696" s="121">
        <v>45800</v>
      </c>
      <c r="AH696" s="121">
        <v>45800</v>
      </c>
      <c r="AI696" s="121">
        <v>45800</v>
      </c>
      <c r="AJ696" s="121">
        <v>45800</v>
      </c>
      <c r="AK696" s="121">
        <v>45800</v>
      </c>
      <c r="AL696" s="121">
        <v>45800</v>
      </c>
      <c r="AM696" s="121">
        <v>45800</v>
      </c>
      <c r="AN696" s="121">
        <v>45800</v>
      </c>
      <c r="AO696" s="121">
        <v>45800</v>
      </c>
      <c r="AP696" s="125" t="str">
        <f>CONCATENATE(A696,M696)</f>
        <v>Reg AssetN</v>
      </c>
      <c r="AQ696" s="125" t="str">
        <f>CONCATENATE(AP696,L696,H696)</f>
        <v>Reg AssetNN8ASGA</v>
      </c>
      <c r="AS696" s="125" t="str">
        <f>CONCATENATE(L696,H696,J696)</f>
        <v>N8ASGANCR</v>
      </c>
    </row>
    <row r="697" spans="1:45" s="125" customFormat="1" ht="25.5" customHeight="1">
      <c r="A697" s="216" t="s">
        <v>1442</v>
      </c>
      <c r="B697" s="217" t="str">
        <f t="shared" si="290"/>
        <v>Reg Asset2542700-243.11.08BE030335</v>
      </c>
      <c r="C697" s="186">
        <v>254270</v>
      </c>
      <c r="D697" s="201" t="s">
        <v>2500</v>
      </c>
      <c r="E697" s="162" t="s">
        <v>3252</v>
      </c>
      <c r="F697" s="169" t="s">
        <v>334</v>
      </c>
      <c r="G697" s="117" t="s">
        <v>2377</v>
      </c>
      <c r="H697" s="118" t="s">
        <v>521</v>
      </c>
      <c r="I697" s="120"/>
      <c r="J697" s="120" t="s">
        <v>105</v>
      </c>
      <c r="K697" s="120" t="str">
        <f t="shared" si="298"/>
        <v/>
      </c>
      <c r="L697" s="170" t="s">
        <v>2817</v>
      </c>
      <c r="M697" s="122" t="str">
        <f t="shared" si="301"/>
        <v>N</v>
      </c>
      <c r="N697" s="116" t="str">
        <f>IF($L697&lt;&gt;"",VLOOKUP($L697,Categories!$E:$G,2,FALSE),IF($F697&lt;&gt;"","NO CAT",""))</f>
        <v>Not in Rate Base</v>
      </c>
      <c r="O697" s="116" t="str">
        <f>IF($L697&lt;&gt;"",VLOOKUP($L697,Categories!$E:$G,3,FALSE),IF($F697&lt;&gt;"","NO CAT",""))</f>
        <v>NM-2 ASGA</v>
      </c>
      <c r="P697" s="170" t="s">
        <v>1186</v>
      </c>
      <c r="Q697" s="123" t="s">
        <v>1187</v>
      </c>
      <c r="R697" s="124">
        <v>0</v>
      </c>
      <c r="S697" s="124">
        <v>0</v>
      </c>
      <c r="T697" s="124">
        <v>1</v>
      </c>
      <c r="U697" s="121">
        <f t="shared" si="292"/>
        <v>0</v>
      </c>
      <c r="V697" s="121">
        <f t="shared" si="293"/>
        <v>0</v>
      </c>
      <c r="W697" s="121">
        <f t="shared" si="294"/>
        <v>-1844.7483500000001</v>
      </c>
      <c r="X697" s="121">
        <f t="shared" si="299"/>
        <v>-1844.7483500000001</v>
      </c>
      <c r="Y697" s="121">
        <f t="shared" si="295"/>
        <v>0</v>
      </c>
      <c r="Z697" s="121">
        <f t="shared" si="296"/>
        <v>0</v>
      </c>
      <c r="AA697" s="121">
        <f t="shared" si="297"/>
        <v>-1844.7483500000001</v>
      </c>
      <c r="AB697" s="121">
        <f t="shared" si="300"/>
        <v>-1844.7483500000001</v>
      </c>
      <c r="AC697" s="121">
        <v>-1844.7483500000001</v>
      </c>
      <c r="AD697" s="121">
        <v>-1844.7483500000001</v>
      </c>
      <c r="AE697" s="121">
        <v>-1844.7483500000001</v>
      </c>
      <c r="AF697" s="121">
        <v>-1844.7483500000001</v>
      </c>
      <c r="AG697" s="121">
        <v>-1844.7483500000001</v>
      </c>
      <c r="AH697" s="121">
        <v>-1844.7483500000001</v>
      </c>
      <c r="AI697" s="121">
        <v>-1844.7483500000001</v>
      </c>
      <c r="AJ697" s="121">
        <v>-1844.7483500000001</v>
      </c>
      <c r="AK697" s="121">
        <v>-1844.7483500000001</v>
      </c>
      <c r="AL697" s="121">
        <v>-1844.7483500000001</v>
      </c>
      <c r="AM697" s="121">
        <v>-1844.7483500000001</v>
      </c>
      <c r="AN697" s="121">
        <v>-1844.7483500000001</v>
      </c>
      <c r="AO697" s="121">
        <v>-1844.7483500000001</v>
      </c>
      <c r="AP697" s="125" t="str">
        <f>CONCATENATE(A697,M697)</f>
        <v>Reg AssetN</v>
      </c>
      <c r="AQ697" s="125" t="str">
        <f>CONCATENATE(AP697,L697,H697)</f>
        <v>Reg AssetNN8ASGA</v>
      </c>
      <c r="AS697" s="125" t="str">
        <f>CONCATENATE(L697,H697,J697)</f>
        <v>N8ASGANCR</v>
      </c>
    </row>
    <row r="698" spans="1:45" s="125" customFormat="1" ht="25.5" customHeight="1">
      <c r="A698" s="216" t="s">
        <v>1442</v>
      </c>
      <c r="B698" s="217" t="str">
        <f t="shared" si="290"/>
        <v>Reg Asset2542700-243.11.09BE030336</v>
      </c>
      <c r="C698" s="186">
        <v>254270</v>
      </c>
      <c r="D698" s="201" t="s">
        <v>2378</v>
      </c>
      <c r="E698" s="162" t="s">
        <v>3253</v>
      </c>
      <c r="F698" s="169" t="s">
        <v>334</v>
      </c>
      <c r="G698" s="117" t="s">
        <v>1734</v>
      </c>
      <c r="H698" s="118" t="s">
        <v>521</v>
      </c>
      <c r="I698" s="120"/>
      <c r="J698" s="120" t="s">
        <v>105</v>
      </c>
      <c r="K698" s="120" t="str">
        <f t="shared" si="298"/>
        <v/>
      </c>
      <c r="L698" s="170" t="s">
        <v>2817</v>
      </c>
      <c r="M698" s="122" t="str">
        <f t="shared" si="301"/>
        <v>N</v>
      </c>
      <c r="N698" s="116" t="str">
        <f>IF($L698&lt;&gt;"",VLOOKUP($L698,Categories!$E:$G,2,FALSE),IF($F698&lt;&gt;"","NO CAT",""))</f>
        <v>Not in Rate Base</v>
      </c>
      <c r="O698" s="116" t="str">
        <f>IF($L698&lt;&gt;"",VLOOKUP($L698,Categories!$E:$G,3,FALSE),IF($F698&lt;&gt;"","NO CAT",""))</f>
        <v>NM-2 ASGA</v>
      </c>
      <c r="P698" s="170" t="s">
        <v>1186</v>
      </c>
      <c r="Q698" s="123" t="s">
        <v>1187</v>
      </c>
      <c r="R698" s="124">
        <v>0</v>
      </c>
      <c r="S698" s="124">
        <v>0</v>
      </c>
      <c r="T698" s="124">
        <v>1</v>
      </c>
      <c r="U698" s="121">
        <f t="shared" si="292"/>
        <v>0</v>
      </c>
      <c r="V698" s="121">
        <f t="shared" si="293"/>
        <v>0</v>
      </c>
      <c r="W698" s="121">
        <f t="shared" si="294"/>
        <v>767.79499999999996</v>
      </c>
      <c r="X698" s="121">
        <f t="shared" si="299"/>
        <v>767.79499999999996</v>
      </c>
      <c r="Y698" s="121">
        <f t="shared" si="295"/>
        <v>0</v>
      </c>
      <c r="Z698" s="121">
        <f t="shared" si="296"/>
        <v>0</v>
      </c>
      <c r="AA698" s="121">
        <f t="shared" si="297"/>
        <v>767.79499999999996</v>
      </c>
      <c r="AB698" s="121">
        <f t="shared" si="300"/>
        <v>767.79499999999996</v>
      </c>
      <c r="AC698" s="121">
        <v>767.79499999999996</v>
      </c>
      <c r="AD698" s="121">
        <v>767.79499999999996</v>
      </c>
      <c r="AE698" s="121">
        <v>767.79499999999996</v>
      </c>
      <c r="AF698" s="121">
        <v>767.79499999999996</v>
      </c>
      <c r="AG698" s="121">
        <v>767.79499999999996</v>
      </c>
      <c r="AH698" s="121">
        <v>767.79499999999996</v>
      </c>
      <c r="AI698" s="121">
        <v>767.79499999999996</v>
      </c>
      <c r="AJ698" s="121">
        <v>767.79499999999996</v>
      </c>
      <c r="AK698" s="121">
        <v>767.79499999999996</v>
      </c>
      <c r="AL698" s="121">
        <v>767.79499999999996</v>
      </c>
      <c r="AM698" s="121">
        <v>767.79499999999996</v>
      </c>
      <c r="AN698" s="121">
        <v>767.79499999999996</v>
      </c>
      <c r="AO698" s="121">
        <v>767.79499999999996</v>
      </c>
      <c r="AP698" s="125" t="str">
        <f>CONCATENATE(A698,M698)</f>
        <v>Reg AssetN</v>
      </c>
      <c r="AQ698" s="125" t="str">
        <f>CONCATENATE(AP698,L698,H698)</f>
        <v>Reg AssetNN8ASGA</v>
      </c>
      <c r="AS698" s="125" t="str">
        <f>CONCATENATE(L698,H698,J698)</f>
        <v>N8ASGANCR</v>
      </c>
    </row>
    <row r="699" spans="1:45" s="125" customFormat="1" ht="25.5" customHeight="1">
      <c r="A699" s="216" t="s">
        <v>1442</v>
      </c>
      <c r="B699" s="217" t="str">
        <f t="shared" si="290"/>
        <v>Reg Asset2542700-243.11.11BE030337</v>
      </c>
      <c r="C699" s="186">
        <v>254270</v>
      </c>
      <c r="D699" s="201" t="s">
        <v>1735</v>
      </c>
      <c r="E699" s="162" t="s">
        <v>3254</v>
      </c>
      <c r="F699" s="169" t="s">
        <v>334</v>
      </c>
      <c r="G699" s="117" t="s">
        <v>1550</v>
      </c>
      <c r="H699" s="118" t="s">
        <v>521</v>
      </c>
      <c r="I699" s="120"/>
      <c r="J699" s="120" t="s">
        <v>105</v>
      </c>
      <c r="K699" s="120" t="str">
        <f t="shared" si="298"/>
        <v/>
      </c>
      <c r="L699" s="170" t="s">
        <v>2817</v>
      </c>
      <c r="M699" s="122" t="str">
        <f t="shared" si="301"/>
        <v>N</v>
      </c>
      <c r="N699" s="116" t="str">
        <f>IF($L699&lt;&gt;"",VLOOKUP($L699,Categories!$E:$G,2,FALSE),IF($F699&lt;&gt;"","NO CAT",""))</f>
        <v>Not in Rate Base</v>
      </c>
      <c r="O699" s="116" t="str">
        <f>IF($L699&lt;&gt;"",VLOOKUP($L699,Categories!$E:$G,3,FALSE),IF($F699&lt;&gt;"","NO CAT",""))</f>
        <v>NM-2 ASGA</v>
      </c>
      <c r="P699" s="170" t="s">
        <v>1186</v>
      </c>
      <c r="Q699" s="123" t="s">
        <v>1187</v>
      </c>
      <c r="R699" s="124">
        <v>0</v>
      </c>
      <c r="S699" s="124">
        <v>0</v>
      </c>
      <c r="T699" s="124">
        <v>1</v>
      </c>
      <c r="U699" s="121">
        <f t="shared" si="292"/>
        <v>0</v>
      </c>
      <c r="V699" s="121">
        <f t="shared" si="293"/>
        <v>0</v>
      </c>
      <c r="W699" s="121">
        <f t="shared" si="294"/>
        <v>43244.717349999999</v>
      </c>
      <c r="X699" s="121">
        <f t="shared" si="299"/>
        <v>43244.717349999999</v>
      </c>
      <c r="Y699" s="121">
        <f t="shared" si="295"/>
        <v>0</v>
      </c>
      <c r="Z699" s="121">
        <f t="shared" si="296"/>
        <v>0</v>
      </c>
      <c r="AA699" s="121">
        <f t="shared" si="297"/>
        <v>43244.717349999999</v>
      </c>
      <c r="AB699" s="121">
        <f t="shared" si="300"/>
        <v>43244.717349999999</v>
      </c>
      <c r="AC699" s="121">
        <v>43244.717349999999</v>
      </c>
      <c r="AD699" s="121">
        <v>43244.717349999999</v>
      </c>
      <c r="AE699" s="121">
        <v>43244.717349999999</v>
      </c>
      <c r="AF699" s="121">
        <v>43244.717349999999</v>
      </c>
      <c r="AG699" s="121">
        <v>43244.717349999999</v>
      </c>
      <c r="AH699" s="121">
        <v>43244.717349999999</v>
      </c>
      <c r="AI699" s="121">
        <v>43244.717349999999</v>
      </c>
      <c r="AJ699" s="121">
        <v>43244.717349999999</v>
      </c>
      <c r="AK699" s="121">
        <v>43244.717349999999</v>
      </c>
      <c r="AL699" s="121">
        <v>43244.717349999999</v>
      </c>
      <c r="AM699" s="121">
        <v>43244.717349999999</v>
      </c>
      <c r="AN699" s="121">
        <v>43244.717349999999</v>
      </c>
      <c r="AO699" s="121">
        <v>43244.717349999999</v>
      </c>
      <c r="AP699" s="125" t="str">
        <f>CONCATENATE(A699,M699)</f>
        <v>Reg AssetN</v>
      </c>
      <c r="AQ699" s="125" t="str">
        <f>CONCATENATE(AP699,L699,H699)</f>
        <v>Reg AssetNN8ASGA</v>
      </c>
      <c r="AS699" s="125" t="str">
        <f>CONCATENATE(L699,H699,J699)</f>
        <v>N8ASGANCR</v>
      </c>
    </row>
    <row r="700" spans="1:45" s="125" customFormat="1" ht="25.5" customHeight="1">
      <c r="A700" s="216" t="s">
        <v>1442</v>
      </c>
      <c r="B700" s="217" t="str">
        <f t="shared" si="290"/>
        <v>Reg Asset2542700-243.11.12BE030338</v>
      </c>
      <c r="C700" s="186">
        <v>254270</v>
      </c>
      <c r="D700" s="201" t="s">
        <v>1056</v>
      </c>
      <c r="E700" s="162" t="s">
        <v>3255</v>
      </c>
      <c r="F700" s="169" t="s">
        <v>334</v>
      </c>
      <c r="G700" s="117" t="s">
        <v>2198</v>
      </c>
      <c r="H700" s="118" t="s">
        <v>521</v>
      </c>
      <c r="I700" s="120"/>
      <c r="J700" s="120" t="s">
        <v>105</v>
      </c>
      <c r="K700" s="120" t="str">
        <f t="shared" si="298"/>
        <v/>
      </c>
      <c r="L700" s="170" t="s">
        <v>2817</v>
      </c>
      <c r="M700" s="122" t="str">
        <f t="shared" si="301"/>
        <v>N</v>
      </c>
      <c r="N700" s="116" t="str">
        <f>IF($L700&lt;&gt;"",VLOOKUP($L700,Categories!$E:$G,2,FALSE),IF($F700&lt;&gt;"","NO CAT",""))</f>
        <v>Not in Rate Base</v>
      </c>
      <c r="O700" s="116" t="str">
        <f>IF($L700&lt;&gt;"",VLOOKUP($L700,Categories!$E:$G,3,FALSE),IF($F700&lt;&gt;"","NO CAT",""))</f>
        <v>NM-2 ASGA</v>
      </c>
      <c r="P700" s="170" t="s">
        <v>1186</v>
      </c>
      <c r="Q700" s="123" t="s">
        <v>1187</v>
      </c>
      <c r="R700" s="124">
        <v>0</v>
      </c>
      <c r="S700" s="124">
        <v>0</v>
      </c>
      <c r="T700" s="124">
        <v>1</v>
      </c>
      <c r="U700" s="121">
        <f t="shared" si="292"/>
        <v>0</v>
      </c>
      <c r="V700" s="121">
        <f t="shared" si="293"/>
        <v>0</v>
      </c>
      <c r="W700" s="121">
        <f t="shared" si="294"/>
        <v>11846.23315</v>
      </c>
      <c r="X700" s="121">
        <f t="shared" si="299"/>
        <v>11846.23315</v>
      </c>
      <c r="Y700" s="121">
        <f t="shared" si="295"/>
        <v>0</v>
      </c>
      <c r="Z700" s="121">
        <f t="shared" si="296"/>
        <v>0</v>
      </c>
      <c r="AA700" s="121">
        <f t="shared" si="297"/>
        <v>11846.23315</v>
      </c>
      <c r="AB700" s="121">
        <f t="shared" si="300"/>
        <v>11846.23315</v>
      </c>
      <c r="AC700" s="121">
        <v>11846.23315</v>
      </c>
      <c r="AD700" s="121">
        <v>11846.23315</v>
      </c>
      <c r="AE700" s="121">
        <v>11846.23315</v>
      </c>
      <c r="AF700" s="121">
        <v>11846.23315</v>
      </c>
      <c r="AG700" s="121">
        <v>11846.23315</v>
      </c>
      <c r="AH700" s="121">
        <v>11846.23315</v>
      </c>
      <c r="AI700" s="121">
        <v>11846.23315</v>
      </c>
      <c r="AJ700" s="121">
        <v>11846.23315</v>
      </c>
      <c r="AK700" s="121">
        <v>11846.23315</v>
      </c>
      <c r="AL700" s="121">
        <v>11846.23315</v>
      </c>
      <c r="AM700" s="121">
        <v>11846.23315</v>
      </c>
      <c r="AN700" s="121">
        <v>11846.23315</v>
      </c>
      <c r="AO700" s="121">
        <v>11846.23315</v>
      </c>
      <c r="AP700" s="125" t="str">
        <f>CONCATENATE(A700,M700)</f>
        <v>Reg AssetN</v>
      </c>
      <c r="AQ700" s="125" t="str">
        <f>CONCATENATE(AP700,L700,H700)</f>
        <v>Reg AssetNN8ASGA</v>
      </c>
      <c r="AS700" s="125" t="str">
        <f>CONCATENATE(L700,H700,J700)</f>
        <v>N8ASGANCR</v>
      </c>
    </row>
    <row r="701" spans="1:45" s="125" customFormat="1" ht="25.5" customHeight="1">
      <c r="A701" s="216" t="s">
        <v>1442</v>
      </c>
      <c r="B701" s="217" t="str">
        <f t="shared" si="290"/>
        <v>Reg Asset2542700-243.11.14BE030339</v>
      </c>
      <c r="C701" s="186">
        <v>254270</v>
      </c>
      <c r="D701" s="201" t="s">
        <v>432</v>
      </c>
      <c r="E701" s="162" t="s">
        <v>3246</v>
      </c>
      <c r="F701" s="169" t="s">
        <v>334</v>
      </c>
      <c r="G701" s="117" t="s">
        <v>433</v>
      </c>
      <c r="H701" s="118" t="s">
        <v>521</v>
      </c>
      <c r="I701" s="120"/>
      <c r="J701" s="120" t="s">
        <v>105</v>
      </c>
      <c r="K701" s="120" t="str">
        <f t="shared" si="298"/>
        <v/>
      </c>
      <c r="L701" s="170" t="s">
        <v>2817</v>
      </c>
      <c r="M701" s="122" t="str">
        <f t="shared" si="301"/>
        <v>N</v>
      </c>
      <c r="N701" s="116" t="str">
        <f>IF($L701&lt;&gt;"",VLOOKUP($L701,Categories!$E:$G,2,FALSE),IF($F701&lt;&gt;"","NO CAT",""))</f>
        <v>Not in Rate Base</v>
      </c>
      <c r="O701" s="116" t="str">
        <f>IF($L701&lt;&gt;"",VLOOKUP($L701,Categories!$E:$G,3,FALSE),IF($F701&lt;&gt;"","NO CAT",""))</f>
        <v>NM-2 ASGA</v>
      </c>
      <c r="P701" s="170" t="s">
        <v>1186</v>
      </c>
      <c r="Q701" s="123" t="s">
        <v>1187</v>
      </c>
      <c r="R701" s="124">
        <v>0</v>
      </c>
      <c r="S701" s="124">
        <v>0</v>
      </c>
      <c r="T701" s="124">
        <v>1</v>
      </c>
      <c r="U701" s="121">
        <f t="shared" si="292"/>
        <v>0</v>
      </c>
      <c r="V701" s="121">
        <f t="shared" si="293"/>
        <v>0</v>
      </c>
      <c r="W701" s="121">
        <f t="shared" si="294"/>
        <v>-83.08896</v>
      </c>
      <c r="X701" s="121">
        <f t="shared" si="299"/>
        <v>-83.08896</v>
      </c>
      <c r="Y701" s="121">
        <f t="shared" si="295"/>
        <v>0</v>
      </c>
      <c r="Z701" s="121">
        <f t="shared" si="296"/>
        <v>0</v>
      </c>
      <c r="AA701" s="121">
        <f t="shared" si="297"/>
        <v>-83.08896</v>
      </c>
      <c r="AB701" s="121">
        <f t="shared" si="300"/>
        <v>-83.08896</v>
      </c>
      <c r="AC701" s="121">
        <v>-83.08896</v>
      </c>
      <c r="AD701" s="121">
        <v>-83.08896</v>
      </c>
      <c r="AE701" s="121">
        <v>-83.08896</v>
      </c>
      <c r="AF701" s="121">
        <v>-83.08896</v>
      </c>
      <c r="AG701" s="121">
        <v>-83.08896</v>
      </c>
      <c r="AH701" s="121">
        <v>-83.08896</v>
      </c>
      <c r="AI701" s="121">
        <v>-83.08896</v>
      </c>
      <c r="AJ701" s="121">
        <v>-83.08896</v>
      </c>
      <c r="AK701" s="121">
        <v>-83.08896</v>
      </c>
      <c r="AL701" s="121">
        <v>-83.08896</v>
      </c>
      <c r="AM701" s="121">
        <v>-83.08896</v>
      </c>
      <c r="AN701" s="121">
        <v>-83.08896</v>
      </c>
      <c r="AO701" s="121">
        <v>-83.08896</v>
      </c>
      <c r="AP701" s="125" t="str">
        <f>CONCATENATE(A701,M701)</f>
        <v>Reg AssetN</v>
      </c>
      <c r="AQ701" s="125" t="str">
        <f>CONCATENATE(AP701,L701,H701)</f>
        <v>Reg AssetNN8ASGA</v>
      </c>
      <c r="AS701" s="125" t="str">
        <f>CONCATENATE(L701,H701,J701)</f>
        <v>N8ASGANCR</v>
      </c>
    </row>
    <row r="702" spans="1:45" s="125" customFormat="1" ht="25.5" customHeight="1">
      <c r="A702" s="216" t="s">
        <v>1442</v>
      </c>
      <c r="B702" s="217" t="str">
        <f t="shared" si="290"/>
        <v>Reg Asset2542700-243.11.15BE030339</v>
      </c>
      <c r="C702" s="186">
        <v>254270</v>
      </c>
      <c r="D702" s="201" t="s">
        <v>633</v>
      </c>
      <c r="E702" s="162" t="s">
        <v>3246</v>
      </c>
      <c r="F702" s="169" t="s">
        <v>334</v>
      </c>
      <c r="G702" s="117" t="s">
        <v>1525</v>
      </c>
      <c r="H702" s="118" t="s">
        <v>521</v>
      </c>
      <c r="I702" s="120"/>
      <c r="J702" s="120" t="s">
        <v>105</v>
      </c>
      <c r="K702" s="120" t="str">
        <f t="shared" si="298"/>
        <v/>
      </c>
      <c r="L702" s="170" t="s">
        <v>2817</v>
      </c>
      <c r="M702" s="122" t="str">
        <f t="shared" si="301"/>
        <v>N</v>
      </c>
      <c r="N702" s="116" t="str">
        <f>IF($L702&lt;&gt;"",VLOOKUP($L702,Categories!$E:$G,2,FALSE),IF($F702&lt;&gt;"","NO CAT",""))</f>
        <v>Not in Rate Base</v>
      </c>
      <c r="O702" s="116" t="str">
        <f>IF($L702&lt;&gt;"",VLOOKUP($L702,Categories!$E:$G,3,FALSE),IF($F702&lt;&gt;"","NO CAT",""))</f>
        <v>NM-2 ASGA</v>
      </c>
      <c r="P702" s="170" t="s">
        <v>1186</v>
      </c>
      <c r="Q702" s="123" t="s">
        <v>1187</v>
      </c>
      <c r="R702" s="124">
        <v>0</v>
      </c>
      <c r="S702" s="124">
        <v>0</v>
      </c>
      <c r="T702" s="124">
        <v>1</v>
      </c>
      <c r="U702" s="121">
        <f t="shared" si="292"/>
        <v>0</v>
      </c>
      <c r="V702" s="121">
        <f t="shared" si="293"/>
        <v>0</v>
      </c>
      <c r="W702" s="121">
        <f t="shared" si="294"/>
        <v>5067.2268899999999</v>
      </c>
      <c r="X702" s="121">
        <f t="shared" si="299"/>
        <v>5067.2268899999999</v>
      </c>
      <c r="Y702" s="121">
        <f t="shared" si="295"/>
        <v>0</v>
      </c>
      <c r="Z702" s="121">
        <f t="shared" si="296"/>
        <v>0</v>
      </c>
      <c r="AA702" s="121">
        <f t="shared" si="297"/>
        <v>5067.2268899999999</v>
      </c>
      <c r="AB702" s="121">
        <f t="shared" si="300"/>
        <v>5067.2268899999999</v>
      </c>
      <c r="AC702" s="121">
        <v>5067.2268899999999</v>
      </c>
      <c r="AD702" s="121">
        <v>5067.2268899999999</v>
      </c>
      <c r="AE702" s="121">
        <v>5067.2268899999999</v>
      </c>
      <c r="AF702" s="121">
        <v>5067.2268899999999</v>
      </c>
      <c r="AG702" s="121">
        <v>5067.2268899999999</v>
      </c>
      <c r="AH702" s="121">
        <v>5067.2268899999999</v>
      </c>
      <c r="AI702" s="121">
        <v>5067.2268899999999</v>
      </c>
      <c r="AJ702" s="121">
        <v>5067.2268899999999</v>
      </c>
      <c r="AK702" s="121">
        <v>5067.2268899999999</v>
      </c>
      <c r="AL702" s="121">
        <v>5067.2268899999999</v>
      </c>
      <c r="AM702" s="121">
        <v>5067.2268899999999</v>
      </c>
      <c r="AN702" s="121">
        <v>5067.2268899999999</v>
      </c>
      <c r="AO702" s="121">
        <v>5067.2268899999999</v>
      </c>
      <c r="AP702" s="125" t="str">
        <f>CONCATENATE(A702,M702)</f>
        <v>Reg AssetN</v>
      </c>
      <c r="AQ702" s="125" t="str">
        <f>CONCATENATE(AP702,L702,H702)</f>
        <v>Reg AssetNN8ASGA</v>
      </c>
      <c r="AS702" s="125" t="str">
        <f>CONCATENATE(L702,H702,J702)</f>
        <v>N8ASGANCR</v>
      </c>
    </row>
    <row r="703" spans="1:45" s="125" customFormat="1" ht="25.5" customHeight="1">
      <c r="A703" s="216" t="s">
        <v>1442</v>
      </c>
      <c r="B703" s="217" t="str">
        <f t="shared" si="290"/>
        <v>Reg Asset2542700-243.11.16BE030328</v>
      </c>
      <c r="C703" s="186">
        <v>254270</v>
      </c>
      <c r="D703" s="201" t="s">
        <v>1526</v>
      </c>
      <c r="E703" s="162" t="s">
        <v>3245</v>
      </c>
      <c r="F703" s="169" t="s">
        <v>334</v>
      </c>
      <c r="G703" s="117" t="s">
        <v>149</v>
      </c>
      <c r="H703" s="118" t="s">
        <v>521</v>
      </c>
      <c r="I703" s="120"/>
      <c r="J703" s="120" t="s">
        <v>105</v>
      </c>
      <c r="K703" s="120" t="str">
        <f t="shared" si="298"/>
        <v/>
      </c>
      <c r="L703" s="170" t="s">
        <v>2817</v>
      </c>
      <c r="M703" s="122" t="str">
        <f t="shared" si="301"/>
        <v>N</v>
      </c>
      <c r="N703" s="116" t="str">
        <f>IF($L703&lt;&gt;"",VLOOKUP($L703,Categories!$E:$G,2,FALSE),IF($F703&lt;&gt;"","NO CAT",""))</f>
        <v>Not in Rate Base</v>
      </c>
      <c r="O703" s="116" t="str">
        <f>IF($L703&lt;&gt;"",VLOOKUP($L703,Categories!$E:$G,3,FALSE),IF($F703&lt;&gt;"","NO CAT",""))</f>
        <v>NM-2 ASGA</v>
      </c>
      <c r="P703" s="170" t="s">
        <v>1186</v>
      </c>
      <c r="Q703" s="123" t="s">
        <v>1187</v>
      </c>
      <c r="R703" s="124">
        <v>0</v>
      </c>
      <c r="S703" s="124">
        <v>0</v>
      </c>
      <c r="T703" s="124">
        <v>1</v>
      </c>
      <c r="U703" s="121">
        <f t="shared" si="292"/>
        <v>0</v>
      </c>
      <c r="V703" s="121">
        <f t="shared" si="293"/>
        <v>0</v>
      </c>
      <c r="W703" s="121">
        <f t="shared" si="294"/>
        <v>5218.2415199999996</v>
      </c>
      <c r="X703" s="121">
        <f t="shared" si="299"/>
        <v>5218.2415199999996</v>
      </c>
      <c r="Y703" s="121">
        <f t="shared" si="295"/>
        <v>0</v>
      </c>
      <c r="Z703" s="121">
        <f t="shared" si="296"/>
        <v>0</v>
      </c>
      <c r="AA703" s="121">
        <f t="shared" si="297"/>
        <v>5218.2415199999996</v>
      </c>
      <c r="AB703" s="121">
        <f t="shared" si="300"/>
        <v>5218.2415199999996</v>
      </c>
      <c r="AC703" s="121">
        <v>5218.2415199999996</v>
      </c>
      <c r="AD703" s="121">
        <v>5218.2415199999996</v>
      </c>
      <c r="AE703" s="121">
        <v>5218.2415199999996</v>
      </c>
      <c r="AF703" s="121">
        <v>5218.2415199999996</v>
      </c>
      <c r="AG703" s="121">
        <v>5218.2415199999996</v>
      </c>
      <c r="AH703" s="121">
        <v>5218.2415199999996</v>
      </c>
      <c r="AI703" s="121">
        <v>5218.2415199999996</v>
      </c>
      <c r="AJ703" s="121">
        <v>5218.2415199999996</v>
      </c>
      <c r="AK703" s="121">
        <v>5218.2415199999996</v>
      </c>
      <c r="AL703" s="121">
        <v>5218.2415199999996</v>
      </c>
      <c r="AM703" s="121">
        <v>5218.2415199999996</v>
      </c>
      <c r="AN703" s="121">
        <v>5218.2415199999996</v>
      </c>
      <c r="AO703" s="121">
        <v>5218.2415199999996</v>
      </c>
      <c r="AP703" s="125" t="str">
        <f>CONCATENATE(A703,M703)</f>
        <v>Reg AssetN</v>
      </c>
      <c r="AQ703" s="125" t="str">
        <f>CONCATENATE(AP703,L703,H703)</f>
        <v>Reg AssetNN8ASGA</v>
      </c>
      <c r="AS703" s="125" t="str">
        <f>CONCATENATE(L703,H703,J703)</f>
        <v>N8ASGANCR</v>
      </c>
    </row>
    <row r="704" spans="1:45" s="125" customFormat="1" ht="25.5" customHeight="1">
      <c r="A704" s="216" t="s">
        <v>1442</v>
      </c>
      <c r="B704" s="217" t="str">
        <f t="shared" si="290"/>
        <v>Reg Asset2542700-243.11.18BE030341</v>
      </c>
      <c r="C704" s="186">
        <v>254270</v>
      </c>
      <c r="D704" s="201" t="s">
        <v>59</v>
      </c>
      <c r="E704" s="162" t="s">
        <v>3256</v>
      </c>
      <c r="F704" s="169" t="s">
        <v>334</v>
      </c>
      <c r="G704" s="117" t="s">
        <v>60</v>
      </c>
      <c r="H704" s="118" t="s">
        <v>521</v>
      </c>
      <c r="I704" s="120"/>
      <c r="J704" s="120" t="s">
        <v>105</v>
      </c>
      <c r="K704" s="120" t="str">
        <f t="shared" si="298"/>
        <v/>
      </c>
      <c r="L704" s="170" t="s">
        <v>2817</v>
      </c>
      <c r="M704" s="122" t="str">
        <f t="shared" si="301"/>
        <v>N</v>
      </c>
      <c r="N704" s="116" t="str">
        <f>IF($L704&lt;&gt;"",VLOOKUP($L704,Categories!$E:$G,2,FALSE),IF($F704&lt;&gt;"","NO CAT",""))</f>
        <v>Not in Rate Base</v>
      </c>
      <c r="O704" s="116" t="str">
        <f>IF($L704&lt;&gt;"",VLOOKUP($L704,Categories!$E:$G,3,FALSE),IF($F704&lt;&gt;"","NO CAT",""))</f>
        <v>NM-2 ASGA</v>
      </c>
      <c r="P704" s="170" t="s">
        <v>1186</v>
      </c>
      <c r="Q704" s="123" t="s">
        <v>1187</v>
      </c>
      <c r="R704" s="124">
        <v>0</v>
      </c>
      <c r="S704" s="124">
        <v>0</v>
      </c>
      <c r="T704" s="124">
        <v>1</v>
      </c>
      <c r="U704" s="121">
        <f t="shared" si="292"/>
        <v>0</v>
      </c>
      <c r="V704" s="121">
        <f t="shared" si="293"/>
        <v>0</v>
      </c>
      <c r="W704" s="121">
        <f t="shared" si="294"/>
        <v>-6718.2734300000002</v>
      </c>
      <c r="X704" s="121">
        <f t="shared" si="299"/>
        <v>-6718.2734300000002</v>
      </c>
      <c r="Y704" s="121">
        <f t="shared" si="295"/>
        <v>0</v>
      </c>
      <c r="Z704" s="121">
        <f t="shared" si="296"/>
        <v>0</v>
      </c>
      <c r="AA704" s="121">
        <f t="shared" si="297"/>
        <v>-6718.2734300000002</v>
      </c>
      <c r="AB704" s="121">
        <f t="shared" si="300"/>
        <v>-6718.2734299999993</v>
      </c>
      <c r="AC704" s="121">
        <v>-6718.2734299999993</v>
      </c>
      <c r="AD704" s="121">
        <v>-6718.2734299999993</v>
      </c>
      <c r="AE704" s="121">
        <v>-6718.2734299999993</v>
      </c>
      <c r="AF704" s="121">
        <v>-6718.2734299999993</v>
      </c>
      <c r="AG704" s="121">
        <v>-6718.2734299999993</v>
      </c>
      <c r="AH704" s="121">
        <v>-6718.2734299999993</v>
      </c>
      <c r="AI704" s="121">
        <v>-6718.2734299999993</v>
      </c>
      <c r="AJ704" s="121">
        <v>-6718.2734299999993</v>
      </c>
      <c r="AK704" s="121">
        <v>-6718.2734299999993</v>
      </c>
      <c r="AL704" s="121">
        <v>-6718.2734299999993</v>
      </c>
      <c r="AM704" s="121">
        <v>-6718.2734299999993</v>
      </c>
      <c r="AN704" s="121">
        <v>-6718.2734299999993</v>
      </c>
      <c r="AO704" s="121">
        <v>-6718.2734299999993</v>
      </c>
      <c r="AP704" s="125" t="str">
        <f>CONCATENATE(A704,M704)</f>
        <v>Reg AssetN</v>
      </c>
      <c r="AQ704" s="125" t="str">
        <f>CONCATENATE(AP704,L704,H704)</f>
        <v>Reg AssetNN8ASGA</v>
      </c>
      <c r="AS704" s="125" t="str">
        <f>CONCATENATE(L704,H704,J704)</f>
        <v>N8ASGANCR</v>
      </c>
    </row>
    <row r="705" spans="1:45" s="125" customFormat="1" ht="25.5" customHeight="1">
      <c r="A705" s="216" t="s">
        <v>1442</v>
      </c>
      <c r="B705" s="217" t="str">
        <f t="shared" ref="B705:B765" si="302">CONCATENATE(A705,C705,D705,E705)</f>
        <v>Reg Asset2542700-243.11.19BE030202</v>
      </c>
      <c r="C705" s="186">
        <v>254270</v>
      </c>
      <c r="D705" s="201" t="s">
        <v>61</v>
      </c>
      <c r="E705" s="162" t="s">
        <v>3257</v>
      </c>
      <c r="F705" s="169" t="s">
        <v>334</v>
      </c>
      <c r="G705" s="117" t="s">
        <v>62</v>
      </c>
      <c r="H705" s="118" t="s">
        <v>521</v>
      </c>
      <c r="I705" s="120"/>
      <c r="J705" s="120" t="s">
        <v>105</v>
      </c>
      <c r="K705" s="120" t="str">
        <f t="shared" si="298"/>
        <v/>
      </c>
      <c r="L705" s="170" t="s">
        <v>2817</v>
      </c>
      <c r="M705" s="122" t="str">
        <f t="shared" si="301"/>
        <v>N</v>
      </c>
      <c r="N705" s="116" t="str">
        <f>IF($L705&lt;&gt;"",VLOOKUP($L705,Categories!$E:$G,2,FALSE),IF($F705&lt;&gt;"","NO CAT",""))</f>
        <v>Not in Rate Base</v>
      </c>
      <c r="O705" s="116" t="str">
        <f>IF($L705&lt;&gt;"",VLOOKUP($L705,Categories!$E:$G,3,FALSE),IF($F705&lt;&gt;"","NO CAT",""))</f>
        <v>NM-2 ASGA</v>
      </c>
      <c r="P705" s="170" t="s">
        <v>1186</v>
      </c>
      <c r="Q705" s="123" t="s">
        <v>1187</v>
      </c>
      <c r="R705" s="124">
        <v>0</v>
      </c>
      <c r="S705" s="124">
        <v>0</v>
      </c>
      <c r="T705" s="124">
        <v>1</v>
      </c>
      <c r="U705" s="121">
        <f t="shared" ref="U705:U756" si="303">IF(ABS(X705)=0,"",IF($R705="NO ALLOC","NO ALLOC",ROUND($R705*X705,15)))</f>
        <v>0</v>
      </c>
      <c r="V705" s="121">
        <f t="shared" ref="V705:V756" si="304">IF(ABS(X705)=0,"",IF($S705="NO ALLOC","NO ALLOC",ROUND($S705*X705,15)))</f>
        <v>0</v>
      </c>
      <c r="W705" s="121">
        <f t="shared" ref="W705:W756" si="305">IF(ABS(X705)=0,"",IF($T705="NO ALLOC","NO ALLOC",ROUND($T705*X705,15)))</f>
        <v>-7800</v>
      </c>
      <c r="X705" s="121">
        <f t="shared" si="299"/>
        <v>-7800</v>
      </c>
      <c r="Y705" s="121">
        <f t="shared" ref="Y705:Y756" si="306">IF(ABS(AB705)=0,"",IF($R705="NO ALLOC","NO ALLOC",ROUND($R705*AB705,15)))</f>
        <v>0</v>
      </c>
      <c r="Z705" s="121">
        <f t="shared" ref="Z705:Z756" si="307">IF(ABS(AB705)=0,"",IF($S705="NO ALLOC","NO ALLOC",ROUND($S705*AB705,15)))</f>
        <v>0</v>
      </c>
      <c r="AA705" s="121">
        <f t="shared" ref="AA705:AA756" si="308">IF(ABS(AB705)=0,"",IF($T705="NO ALLOC","NO ALLOC",ROUND($T705*AB705,15)))</f>
        <v>-7800</v>
      </c>
      <c r="AB705" s="121">
        <f t="shared" si="300"/>
        <v>-7800</v>
      </c>
      <c r="AC705" s="121">
        <v>-7800</v>
      </c>
      <c r="AD705" s="121">
        <v>-7800</v>
      </c>
      <c r="AE705" s="121">
        <v>-7800</v>
      </c>
      <c r="AF705" s="121">
        <v>-7800</v>
      </c>
      <c r="AG705" s="121">
        <v>-7800</v>
      </c>
      <c r="AH705" s="121">
        <v>-7800</v>
      </c>
      <c r="AI705" s="121">
        <v>-7800</v>
      </c>
      <c r="AJ705" s="121">
        <v>-7800</v>
      </c>
      <c r="AK705" s="121">
        <v>-7800</v>
      </c>
      <c r="AL705" s="121">
        <v>-7800</v>
      </c>
      <c r="AM705" s="121">
        <v>-7800</v>
      </c>
      <c r="AN705" s="121">
        <v>-7800</v>
      </c>
      <c r="AO705" s="121">
        <v>-7800</v>
      </c>
      <c r="AP705" s="125" t="str">
        <f>CONCATENATE(A705,M705)</f>
        <v>Reg AssetN</v>
      </c>
      <c r="AQ705" s="125" t="str">
        <f>CONCATENATE(AP705,L705,H705)</f>
        <v>Reg AssetNN8ASGA</v>
      </c>
      <c r="AS705" s="125" t="str">
        <f>CONCATENATE(L705,H705,J705)</f>
        <v>N8ASGANCR</v>
      </c>
    </row>
    <row r="706" spans="1:45" s="125" customFormat="1" ht="25.5" customHeight="1">
      <c r="A706" s="216" t="s">
        <v>1442</v>
      </c>
      <c r="B706" s="217" t="str">
        <f t="shared" si="302"/>
        <v>Reg Asset2542700-243.11.21BE030339</v>
      </c>
      <c r="C706" s="186">
        <v>254270</v>
      </c>
      <c r="D706" s="201" t="s">
        <v>63</v>
      </c>
      <c r="E706" s="162" t="s">
        <v>3246</v>
      </c>
      <c r="F706" s="169" t="s">
        <v>334</v>
      </c>
      <c r="G706" s="117" t="s">
        <v>1910</v>
      </c>
      <c r="H706" s="118" t="s">
        <v>521</v>
      </c>
      <c r="I706" s="120"/>
      <c r="J706" s="120" t="s">
        <v>105</v>
      </c>
      <c r="K706" s="120" t="str">
        <f t="shared" si="298"/>
        <v/>
      </c>
      <c r="L706" s="170" t="s">
        <v>2817</v>
      </c>
      <c r="M706" s="122" t="str">
        <f t="shared" si="301"/>
        <v>N</v>
      </c>
      <c r="N706" s="116" t="str">
        <f>IF($L706&lt;&gt;"",VLOOKUP($L706,Categories!$E:$G,2,FALSE),IF($F706&lt;&gt;"","NO CAT",""))</f>
        <v>Not in Rate Base</v>
      </c>
      <c r="O706" s="116" t="str">
        <f>IF($L706&lt;&gt;"",VLOOKUP($L706,Categories!$E:$G,3,FALSE),IF($F706&lt;&gt;"","NO CAT",""))</f>
        <v>NM-2 ASGA</v>
      </c>
      <c r="P706" s="170" t="s">
        <v>1186</v>
      </c>
      <c r="Q706" s="123" t="s">
        <v>1187</v>
      </c>
      <c r="R706" s="124">
        <v>0</v>
      </c>
      <c r="S706" s="124">
        <v>0</v>
      </c>
      <c r="T706" s="124">
        <v>1</v>
      </c>
      <c r="U706" s="121">
        <f t="shared" si="303"/>
        <v>0</v>
      </c>
      <c r="V706" s="121">
        <f t="shared" si="304"/>
        <v>0</v>
      </c>
      <c r="W706" s="121">
        <f t="shared" si="305"/>
        <v>2425.6906800000002</v>
      </c>
      <c r="X706" s="121">
        <f t="shared" si="299"/>
        <v>2425.6906800000002</v>
      </c>
      <c r="Y706" s="121">
        <f t="shared" si="306"/>
        <v>0</v>
      </c>
      <c r="Z706" s="121">
        <f t="shared" si="307"/>
        <v>0</v>
      </c>
      <c r="AA706" s="121">
        <f t="shared" si="308"/>
        <v>2425.6906800000002</v>
      </c>
      <c r="AB706" s="121">
        <f t="shared" si="300"/>
        <v>2425.6906800000002</v>
      </c>
      <c r="AC706" s="121">
        <v>2425.6906800000002</v>
      </c>
      <c r="AD706" s="121">
        <v>2425.6906800000002</v>
      </c>
      <c r="AE706" s="121">
        <v>2425.6906800000002</v>
      </c>
      <c r="AF706" s="121">
        <v>2425.6906800000002</v>
      </c>
      <c r="AG706" s="121">
        <v>2425.6906800000002</v>
      </c>
      <c r="AH706" s="121">
        <v>2425.6906800000002</v>
      </c>
      <c r="AI706" s="121">
        <v>2425.6906800000002</v>
      </c>
      <c r="AJ706" s="121">
        <v>2425.6906800000002</v>
      </c>
      <c r="AK706" s="121">
        <v>2425.6906800000002</v>
      </c>
      <c r="AL706" s="121">
        <v>2425.6906800000002</v>
      </c>
      <c r="AM706" s="121">
        <v>2425.6906800000002</v>
      </c>
      <c r="AN706" s="121">
        <v>2425.6906800000002</v>
      </c>
      <c r="AO706" s="121">
        <v>2425.6906800000002</v>
      </c>
      <c r="AP706" s="125" t="str">
        <f>CONCATENATE(A706,M706)</f>
        <v>Reg AssetN</v>
      </c>
      <c r="AQ706" s="125" t="str">
        <f>CONCATENATE(AP706,L706,H706)</f>
        <v>Reg AssetNN8ASGA</v>
      </c>
      <c r="AS706" s="125" t="str">
        <f>CONCATENATE(L706,H706,J706)</f>
        <v>N8ASGANCR</v>
      </c>
    </row>
    <row r="707" spans="1:45" s="125" customFormat="1" ht="25.5" customHeight="1">
      <c r="A707" s="216" t="s">
        <v>1442</v>
      </c>
      <c r="B707" s="217" t="str">
        <f t="shared" si="302"/>
        <v>Reg Asset2542700-243.11.50N/A</v>
      </c>
      <c r="C707" s="186">
        <v>254270</v>
      </c>
      <c r="D707" s="201" t="s">
        <v>1911</v>
      </c>
      <c r="E707" s="162" t="s">
        <v>3258</v>
      </c>
      <c r="F707" s="169" t="s">
        <v>334</v>
      </c>
      <c r="G707" s="117" t="s">
        <v>1912</v>
      </c>
      <c r="H707" s="118" t="s">
        <v>521</v>
      </c>
      <c r="I707" s="120"/>
      <c r="J707" s="120" t="s">
        <v>105</v>
      </c>
      <c r="K707" s="120" t="str">
        <f t="shared" si="298"/>
        <v/>
      </c>
      <c r="L707" s="170" t="s">
        <v>2817</v>
      </c>
      <c r="M707" s="122" t="str">
        <f t="shared" si="301"/>
        <v>N</v>
      </c>
      <c r="N707" s="116" t="str">
        <f>IF($L707&lt;&gt;"",VLOOKUP($L707,Categories!$E:$G,2,FALSE),IF($F707&lt;&gt;"","NO CAT",""))</f>
        <v>Not in Rate Base</v>
      </c>
      <c r="O707" s="116" t="str">
        <f>IF($L707&lt;&gt;"",VLOOKUP($L707,Categories!$E:$G,3,FALSE),IF($F707&lt;&gt;"","NO CAT",""))</f>
        <v>NM-2 ASGA</v>
      </c>
      <c r="P707" s="170" t="s">
        <v>1186</v>
      </c>
      <c r="Q707" s="123" t="s">
        <v>1187</v>
      </c>
      <c r="R707" s="124">
        <v>0</v>
      </c>
      <c r="S707" s="124">
        <v>0</v>
      </c>
      <c r="T707" s="124">
        <v>1</v>
      </c>
      <c r="U707" s="121">
        <f t="shared" si="303"/>
        <v>0</v>
      </c>
      <c r="V707" s="121">
        <f t="shared" si="304"/>
        <v>0</v>
      </c>
      <c r="W707" s="121">
        <f t="shared" si="305"/>
        <v>-4723.6850000000004</v>
      </c>
      <c r="X707" s="121">
        <f t="shared" si="299"/>
        <v>-4723.6850000000004</v>
      </c>
      <c r="Y707" s="121">
        <f t="shared" si="306"/>
        <v>0</v>
      </c>
      <c r="Z707" s="121">
        <f t="shared" si="307"/>
        <v>0</v>
      </c>
      <c r="AA707" s="121">
        <f t="shared" si="308"/>
        <v>-4723.6850000000004</v>
      </c>
      <c r="AB707" s="121">
        <f t="shared" si="300"/>
        <v>-4723.6850000000004</v>
      </c>
      <c r="AC707" s="121">
        <v>-4723.6850000000004</v>
      </c>
      <c r="AD707" s="121">
        <v>-4723.6850000000004</v>
      </c>
      <c r="AE707" s="121">
        <v>-4723.6850000000004</v>
      </c>
      <c r="AF707" s="121">
        <v>-4723.6850000000004</v>
      </c>
      <c r="AG707" s="121">
        <v>-4723.6850000000004</v>
      </c>
      <c r="AH707" s="121">
        <v>-4723.6850000000004</v>
      </c>
      <c r="AI707" s="121">
        <v>-4723.6850000000004</v>
      </c>
      <c r="AJ707" s="121">
        <v>-4723.6850000000004</v>
      </c>
      <c r="AK707" s="121">
        <v>-4723.6850000000004</v>
      </c>
      <c r="AL707" s="121">
        <v>-4723.6850000000004</v>
      </c>
      <c r="AM707" s="121">
        <v>-4723.6850000000004</v>
      </c>
      <c r="AN707" s="121">
        <v>-4723.6850000000004</v>
      </c>
      <c r="AO707" s="121">
        <v>-4723.6850000000004</v>
      </c>
      <c r="AP707" s="125" t="str">
        <f>CONCATENATE(A707,M707)</f>
        <v>Reg AssetN</v>
      </c>
      <c r="AQ707" s="125" t="str">
        <f>CONCATENATE(AP707,L707,H707)</f>
        <v>Reg AssetNN8ASGA</v>
      </c>
      <c r="AS707" s="125" t="str">
        <f>CONCATENATE(L707,H707,J707)</f>
        <v>N8ASGANCR</v>
      </c>
    </row>
    <row r="708" spans="1:45" s="125" customFormat="1" ht="25.5" customHeight="1">
      <c r="A708" s="216" t="s">
        <v>1442</v>
      </c>
      <c r="B708" s="217" t="str">
        <f t="shared" si="302"/>
        <v>Reg Asset2542700-243.11.51N/A</v>
      </c>
      <c r="C708" s="186">
        <v>254270</v>
      </c>
      <c r="D708" s="201" t="s">
        <v>1687</v>
      </c>
      <c r="E708" s="162" t="s">
        <v>3258</v>
      </c>
      <c r="F708" s="169" t="s">
        <v>334</v>
      </c>
      <c r="G708" s="117" t="s">
        <v>1688</v>
      </c>
      <c r="H708" s="118" t="s">
        <v>521</v>
      </c>
      <c r="I708" s="120"/>
      <c r="J708" s="120" t="s">
        <v>105</v>
      </c>
      <c r="K708" s="120" t="str">
        <f t="shared" si="298"/>
        <v/>
      </c>
      <c r="L708" s="170" t="s">
        <v>2817</v>
      </c>
      <c r="M708" s="122" t="str">
        <f t="shared" si="301"/>
        <v>N</v>
      </c>
      <c r="N708" s="116" t="str">
        <f>IF($L708&lt;&gt;"",VLOOKUP($L708,Categories!$E:$G,2,FALSE),IF($F708&lt;&gt;"","NO CAT",""))</f>
        <v>Not in Rate Base</v>
      </c>
      <c r="O708" s="116" t="str">
        <f>IF($L708&lt;&gt;"",VLOOKUP($L708,Categories!$E:$G,3,FALSE),IF($F708&lt;&gt;"","NO CAT",""))</f>
        <v>NM-2 ASGA</v>
      </c>
      <c r="P708" s="170" t="s">
        <v>1186</v>
      </c>
      <c r="Q708" s="123" t="s">
        <v>1187</v>
      </c>
      <c r="R708" s="124">
        <v>0</v>
      </c>
      <c r="S708" s="124">
        <v>0</v>
      </c>
      <c r="T708" s="124">
        <v>1</v>
      </c>
      <c r="U708" s="121">
        <f t="shared" si="303"/>
        <v>0</v>
      </c>
      <c r="V708" s="121">
        <f t="shared" si="304"/>
        <v>0</v>
      </c>
      <c r="W708" s="121">
        <f t="shared" si="305"/>
        <v>2199.7040000000002</v>
      </c>
      <c r="X708" s="121">
        <f t="shared" si="299"/>
        <v>2199.7040000000002</v>
      </c>
      <c r="Y708" s="121">
        <f t="shared" si="306"/>
        <v>0</v>
      </c>
      <c r="Z708" s="121">
        <f t="shared" si="307"/>
        <v>0</v>
      </c>
      <c r="AA708" s="121">
        <f t="shared" si="308"/>
        <v>2199.7040000000002</v>
      </c>
      <c r="AB708" s="121">
        <f t="shared" si="300"/>
        <v>2199.7040000000002</v>
      </c>
      <c r="AC708" s="121">
        <v>2199.7040000000002</v>
      </c>
      <c r="AD708" s="121">
        <v>2199.7040000000002</v>
      </c>
      <c r="AE708" s="121">
        <v>2199.7040000000002</v>
      </c>
      <c r="AF708" s="121">
        <v>2199.7040000000002</v>
      </c>
      <c r="AG708" s="121">
        <v>2199.7040000000002</v>
      </c>
      <c r="AH708" s="121">
        <v>2199.7040000000002</v>
      </c>
      <c r="AI708" s="121">
        <v>2199.7040000000002</v>
      </c>
      <c r="AJ708" s="121">
        <v>2199.7040000000002</v>
      </c>
      <c r="AK708" s="121">
        <v>2199.7040000000002</v>
      </c>
      <c r="AL708" s="121">
        <v>2199.7040000000002</v>
      </c>
      <c r="AM708" s="121">
        <v>2199.7040000000002</v>
      </c>
      <c r="AN708" s="121">
        <v>2199.7040000000002</v>
      </c>
      <c r="AO708" s="121">
        <v>2199.7040000000002</v>
      </c>
      <c r="AP708" s="125" t="str">
        <f>CONCATENATE(A708,M708)</f>
        <v>Reg AssetN</v>
      </c>
      <c r="AQ708" s="125" t="str">
        <f>CONCATENATE(AP708,L708,H708)</f>
        <v>Reg AssetNN8ASGA</v>
      </c>
      <c r="AS708" s="125" t="str">
        <f>CONCATENATE(L708,H708,J708)</f>
        <v>N8ASGANCR</v>
      </c>
    </row>
    <row r="709" spans="1:45" s="125" customFormat="1" ht="25.5" customHeight="1">
      <c r="A709" s="216" t="s">
        <v>1442</v>
      </c>
      <c r="B709" s="217" t="str">
        <f t="shared" si="302"/>
        <v>Reg Asset2542700-243.11.52N/A</v>
      </c>
      <c r="C709" s="186">
        <v>254270</v>
      </c>
      <c r="D709" s="201" t="s">
        <v>1689</v>
      </c>
      <c r="E709" s="162" t="s">
        <v>3258</v>
      </c>
      <c r="F709" s="169" t="s">
        <v>334</v>
      </c>
      <c r="G709" s="117" t="s">
        <v>813</v>
      </c>
      <c r="H709" s="118" t="s">
        <v>521</v>
      </c>
      <c r="I709" s="120"/>
      <c r="J709" s="120" t="s">
        <v>105</v>
      </c>
      <c r="K709" s="120" t="str">
        <f t="shared" si="298"/>
        <v/>
      </c>
      <c r="L709" s="170" t="s">
        <v>2817</v>
      </c>
      <c r="M709" s="122" t="str">
        <f t="shared" si="301"/>
        <v>N</v>
      </c>
      <c r="N709" s="116" t="str">
        <f>IF($L709&lt;&gt;"",VLOOKUP($L709,Categories!$E:$G,2,FALSE),IF($F709&lt;&gt;"","NO CAT",""))</f>
        <v>Not in Rate Base</v>
      </c>
      <c r="O709" s="116" t="str">
        <f>IF($L709&lt;&gt;"",VLOOKUP($L709,Categories!$E:$G,3,FALSE),IF($F709&lt;&gt;"","NO CAT",""))</f>
        <v>NM-2 ASGA</v>
      </c>
      <c r="P709" s="170" t="s">
        <v>1186</v>
      </c>
      <c r="Q709" s="123" t="s">
        <v>1187</v>
      </c>
      <c r="R709" s="124">
        <v>0</v>
      </c>
      <c r="S709" s="124">
        <v>0</v>
      </c>
      <c r="T709" s="124">
        <v>1</v>
      </c>
      <c r="U709" s="121">
        <f t="shared" si="303"/>
        <v>0</v>
      </c>
      <c r="V709" s="121">
        <f t="shared" si="304"/>
        <v>0</v>
      </c>
      <c r="W709" s="121">
        <f t="shared" si="305"/>
        <v>-18262.75</v>
      </c>
      <c r="X709" s="121">
        <f t="shared" si="299"/>
        <v>-18262.75</v>
      </c>
      <c r="Y709" s="121">
        <f t="shared" si="306"/>
        <v>0</v>
      </c>
      <c r="Z709" s="121">
        <f t="shared" si="307"/>
        <v>0</v>
      </c>
      <c r="AA709" s="121">
        <f t="shared" si="308"/>
        <v>-18262.75</v>
      </c>
      <c r="AB709" s="121">
        <f t="shared" si="300"/>
        <v>-18262.75</v>
      </c>
      <c r="AC709" s="121">
        <v>-18262.75</v>
      </c>
      <c r="AD709" s="121">
        <v>-18262.75</v>
      </c>
      <c r="AE709" s="121">
        <v>-18262.75</v>
      </c>
      <c r="AF709" s="121">
        <v>-18262.75</v>
      </c>
      <c r="AG709" s="121">
        <v>-18262.75</v>
      </c>
      <c r="AH709" s="121">
        <v>-18262.75</v>
      </c>
      <c r="AI709" s="121">
        <v>-18262.75</v>
      </c>
      <c r="AJ709" s="121">
        <v>-18262.75</v>
      </c>
      <c r="AK709" s="121">
        <v>-18262.75</v>
      </c>
      <c r="AL709" s="121">
        <v>-18262.75</v>
      </c>
      <c r="AM709" s="121">
        <v>-18262.75</v>
      </c>
      <c r="AN709" s="121">
        <v>-18262.75</v>
      </c>
      <c r="AO709" s="121">
        <v>-18262.75</v>
      </c>
      <c r="AP709" s="125" t="str">
        <f>CONCATENATE(A709,M709)</f>
        <v>Reg AssetN</v>
      </c>
      <c r="AQ709" s="125" t="str">
        <f>CONCATENATE(AP709,L709,H709)</f>
        <v>Reg AssetNN8ASGA</v>
      </c>
      <c r="AS709" s="125" t="str">
        <f>CONCATENATE(L709,H709,J709)</f>
        <v>N8ASGANCR</v>
      </c>
    </row>
    <row r="710" spans="1:45" s="125" customFormat="1" ht="25.5" customHeight="1">
      <c r="A710" s="216" t="s">
        <v>1442</v>
      </c>
      <c r="B710" s="217" t="str">
        <f t="shared" si="302"/>
        <v>Reg Asset2542700-243.11.53BT010277</v>
      </c>
      <c r="C710" s="186">
        <v>254270</v>
      </c>
      <c r="D710" s="201" t="s">
        <v>2278</v>
      </c>
      <c r="E710" s="162" t="s">
        <v>3259</v>
      </c>
      <c r="F710" s="169" t="s">
        <v>334</v>
      </c>
      <c r="G710" s="117" t="s">
        <v>1773</v>
      </c>
      <c r="H710" s="118" t="s">
        <v>521</v>
      </c>
      <c r="I710" s="120"/>
      <c r="J710" s="120" t="s">
        <v>105</v>
      </c>
      <c r="K710" s="120" t="str">
        <f t="shared" si="298"/>
        <v/>
      </c>
      <c r="L710" s="170" t="s">
        <v>2817</v>
      </c>
      <c r="M710" s="122" t="str">
        <f t="shared" si="301"/>
        <v>N</v>
      </c>
      <c r="N710" s="116" t="str">
        <f>IF($L710&lt;&gt;"",VLOOKUP($L710,Categories!$E:$G,2,FALSE),IF($F710&lt;&gt;"","NO CAT",""))</f>
        <v>Not in Rate Base</v>
      </c>
      <c r="O710" s="116" t="str">
        <f>IF($L710&lt;&gt;"",VLOOKUP($L710,Categories!$E:$G,3,FALSE),IF($F710&lt;&gt;"","NO CAT",""))</f>
        <v>NM-2 ASGA</v>
      </c>
      <c r="P710" s="170" t="s">
        <v>1186</v>
      </c>
      <c r="Q710" s="123" t="s">
        <v>1187</v>
      </c>
      <c r="R710" s="124">
        <v>0</v>
      </c>
      <c r="S710" s="124">
        <v>0</v>
      </c>
      <c r="T710" s="124">
        <v>1</v>
      </c>
      <c r="U710" s="121">
        <f t="shared" si="303"/>
        <v>0</v>
      </c>
      <c r="V710" s="121">
        <f t="shared" si="304"/>
        <v>0</v>
      </c>
      <c r="W710" s="121">
        <f t="shared" si="305"/>
        <v>-16768.900000000001</v>
      </c>
      <c r="X710" s="121">
        <f t="shared" si="299"/>
        <v>-16768.900000000001</v>
      </c>
      <c r="Y710" s="121">
        <f t="shared" si="306"/>
        <v>0</v>
      </c>
      <c r="Z710" s="121">
        <f t="shared" si="307"/>
        <v>0</v>
      </c>
      <c r="AA710" s="121">
        <f t="shared" si="308"/>
        <v>-16768.900000000001</v>
      </c>
      <c r="AB710" s="121">
        <f t="shared" si="300"/>
        <v>-16768.900000000001</v>
      </c>
      <c r="AC710" s="121">
        <v>-16768.900000000001</v>
      </c>
      <c r="AD710" s="121">
        <v>-16768.900000000001</v>
      </c>
      <c r="AE710" s="121">
        <v>-16768.900000000001</v>
      </c>
      <c r="AF710" s="121">
        <v>-16768.900000000001</v>
      </c>
      <c r="AG710" s="121">
        <v>-16768.900000000001</v>
      </c>
      <c r="AH710" s="121">
        <v>-16768.900000000001</v>
      </c>
      <c r="AI710" s="121">
        <v>-16768.900000000001</v>
      </c>
      <c r="AJ710" s="121">
        <v>-16768.900000000001</v>
      </c>
      <c r="AK710" s="121">
        <v>-16768.900000000001</v>
      </c>
      <c r="AL710" s="121">
        <v>-16768.900000000001</v>
      </c>
      <c r="AM710" s="121">
        <v>-16768.900000000001</v>
      </c>
      <c r="AN710" s="121">
        <v>-16768.900000000001</v>
      </c>
      <c r="AO710" s="121">
        <v>-16768.900000000001</v>
      </c>
      <c r="AP710" s="125" t="str">
        <f>CONCATENATE(A710,M710)</f>
        <v>Reg AssetN</v>
      </c>
      <c r="AQ710" s="125" t="str">
        <f>CONCATENATE(AP710,L710,H710)</f>
        <v>Reg AssetNN8ASGA</v>
      </c>
      <c r="AS710" s="125" t="str">
        <f>CONCATENATE(L710,H710,J710)</f>
        <v>N8ASGANCR</v>
      </c>
    </row>
    <row r="711" spans="1:45" s="125" customFormat="1" ht="25.5" customHeight="1">
      <c r="A711" s="216" t="s">
        <v>1442</v>
      </c>
      <c r="B711" s="217" t="str">
        <f t="shared" si="302"/>
        <v>Reg Asset2542700-243.11.54BT010283</v>
      </c>
      <c r="C711" s="186">
        <v>254270</v>
      </c>
      <c r="D711" s="201" t="s">
        <v>1774</v>
      </c>
      <c r="E711" s="162" t="s">
        <v>3260</v>
      </c>
      <c r="F711" s="169" t="s">
        <v>334</v>
      </c>
      <c r="G711" s="117" t="s">
        <v>2931</v>
      </c>
      <c r="H711" s="118" t="s">
        <v>521</v>
      </c>
      <c r="I711" s="120"/>
      <c r="J711" s="120" t="s">
        <v>105</v>
      </c>
      <c r="K711" s="120" t="str">
        <f t="shared" si="298"/>
        <v/>
      </c>
      <c r="L711" s="170" t="s">
        <v>2817</v>
      </c>
      <c r="M711" s="122" t="str">
        <f t="shared" si="301"/>
        <v>N</v>
      </c>
      <c r="N711" s="116" t="str">
        <f>IF($L711&lt;&gt;"",VLOOKUP($L711,Categories!$E:$G,2,FALSE),IF($F711&lt;&gt;"","NO CAT",""))</f>
        <v>Not in Rate Base</v>
      </c>
      <c r="O711" s="116" t="str">
        <f>IF($L711&lt;&gt;"",VLOOKUP($L711,Categories!$E:$G,3,FALSE),IF($F711&lt;&gt;"","NO CAT",""))</f>
        <v>NM-2 ASGA</v>
      </c>
      <c r="P711" s="170" t="s">
        <v>1186</v>
      </c>
      <c r="Q711" s="123" t="s">
        <v>1187</v>
      </c>
      <c r="R711" s="124">
        <v>0</v>
      </c>
      <c r="S711" s="124">
        <v>0</v>
      </c>
      <c r="T711" s="124">
        <v>1</v>
      </c>
      <c r="U711" s="121">
        <f t="shared" si="303"/>
        <v>0</v>
      </c>
      <c r="V711" s="121">
        <f t="shared" si="304"/>
        <v>0</v>
      </c>
      <c r="W711" s="121">
        <f t="shared" si="305"/>
        <v>-4949.5950000000003</v>
      </c>
      <c r="X711" s="121">
        <f t="shared" si="299"/>
        <v>-4949.5950000000003</v>
      </c>
      <c r="Y711" s="121">
        <f t="shared" si="306"/>
        <v>0</v>
      </c>
      <c r="Z711" s="121">
        <f t="shared" si="307"/>
        <v>0</v>
      </c>
      <c r="AA711" s="121">
        <f t="shared" si="308"/>
        <v>-4949.5950000000003</v>
      </c>
      <c r="AB711" s="121">
        <f t="shared" si="300"/>
        <v>-4949.5950000000003</v>
      </c>
      <c r="AC711" s="121">
        <v>-4949.5950000000003</v>
      </c>
      <c r="AD711" s="121">
        <v>-4949.5950000000003</v>
      </c>
      <c r="AE711" s="121">
        <v>-4949.5950000000003</v>
      </c>
      <c r="AF711" s="121">
        <v>-4949.5950000000003</v>
      </c>
      <c r="AG711" s="121">
        <v>-4949.5950000000003</v>
      </c>
      <c r="AH711" s="121">
        <v>-4949.5950000000003</v>
      </c>
      <c r="AI711" s="121">
        <v>-4949.5950000000003</v>
      </c>
      <c r="AJ711" s="121">
        <v>-4949.5950000000003</v>
      </c>
      <c r="AK711" s="121">
        <v>-4949.5950000000003</v>
      </c>
      <c r="AL711" s="121">
        <v>-4949.5950000000003</v>
      </c>
      <c r="AM711" s="121">
        <v>-4949.5950000000003</v>
      </c>
      <c r="AN711" s="121">
        <v>-4949.5950000000003</v>
      </c>
      <c r="AO711" s="121">
        <v>-4949.5950000000003</v>
      </c>
      <c r="AP711" s="125" t="str">
        <f>CONCATENATE(A711,M711)</f>
        <v>Reg AssetN</v>
      </c>
      <c r="AQ711" s="125" t="str">
        <f>CONCATENATE(AP711,L711,H711)</f>
        <v>Reg AssetNN8ASGA</v>
      </c>
      <c r="AS711" s="125" t="str">
        <f>CONCATENATE(L711,H711,J711)</f>
        <v>N8ASGANCR</v>
      </c>
    </row>
    <row r="712" spans="1:45" s="125" customFormat="1" ht="25.5" customHeight="1">
      <c r="A712" s="216" t="s">
        <v>1442</v>
      </c>
      <c r="B712" s="217" t="str">
        <f t="shared" si="302"/>
        <v>Reg Asset2542700-243.11.55BT010269</v>
      </c>
      <c r="C712" s="186">
        <v>254270</v>
      </c>
      <c r="D712" s="201" t="s">
        <v>2932</v>
      </c>
      <c r="E712" s="162" t="s">
        <v>1126</v>
      </c>
      <c r="F712" s="169" t="s">
        <v>334</v>
      </c>
      <c r="G712" s="117" t="s">
        <v>2933</v>
      </c>
      <c r="H712" s="118" t="s">
        <v>521</v>
      </c>
      <c r="I712" s="120"/>
      <c r="J712" s="120" t="s">
        <v>105</v>
      </c>
      <c r="K712" s="120" t="str">
        <f t="shared" si="298"/>
        <v/>
      </c>
      <c r="L712" s="170" t="s">
        <v>2817</v>
      </c>
      <c r="M712" s="122" t="str">
        <f t="shared" si="301"/>
        <v>N</v>
      </c>
      <c r="N712" s="116" t="str">
        <f>IF($L712&lt;&gt;"",VLOOKUP($L712,Categories!$E:$G,2,FALSE),IF($F712&lt;&gt;"","NO CAT",""))</f>
        <v>Not in Rate Base</v>
      </c>
      <c r="O712" s="116" t="str">
        <f>IF($L712&lt;&gt;"",VLOOKUP($L712,Categories!$E:$G,3,FALSE),IF($F712&lt;&gt;"","NO CAT",""))</f>
        <v>NM-2 ASGA</v>
      </c>
      <c r="P712" s="170" t="s">
        <v>1186</v>
      </c>
      <c r="Q712" s="123" t="s">
        <v>1187</v>
      </c>
      <c r="R712" s="124">
        <v>0</v>
      </c>
      <c r="S712" s="124">
        <v>0</v>
      </c>
      <c r="T712" s="124">
        <v>1</v>
      </c>
      <c r="U712" s="121">
        <f t="shared" si="303"/>
        <v>0</v>
      </c>
      <c r="V712" s="121">
        <f t="shared" si="304"/>
        <v>0</v>
      </c>
      <c r="W712" s="121">
        <f t="shared" si="305"/>
        <v>-6977.3140000000003</v>
      </c>
      <c r="X712" s="121">
        <f t="shared" si="299"/>
        <v>-6977.3140000000003</v>
      </c>
      <c r="Y712" s="121">
        <f t="shared" si="306"/>
        <v>0</v>
      </c>
      <c r="Z712" s="121">
        <f t="shared" si="307"/>
        <v>0</v>
      </c>
      <c r="AA712" s="121">
        <f t="shared" si="308"/>
        <v>-6977.3140000000003</v>
      </c>
      <c r="AB712" s="121">
        <f t="shared" si="300"/>
        <v>-6977.3140000000003</v>
      </c>
      <c r="AC712" s="121">
        <v>-6977.3140000000003</v>
      </c>
      <c r="AD712" s="121">
        <v>-6977.3140000000003</v>
      </c>
      <c r="AE712" s="121">
        <v>-6977.3140000000003</v>
      </c>
      <c r="AF712" s="121">
        <v>-6977.3140000000003</v>
      </c>
      <c r="AG712" s="121">
        <v>-6977.3140000000003</v>
      </c>
      <c r="AH712" s="121">
        <v>-6977.3140000000003</v>
      </c>
      <c r="AI712" s="121">
        <v>-6977.3140000000003</v>
      </c>
      <c r="AJ712" s="121">
        <v>-6977.3140000000003</v>
      </c>
      <c r="AK712" s="121">
        <v>-6977.3140000000003</v>
      </c>
      <c r="AL712" s="121">
        <v>-6977.3140000000003</v>
      </c>
      <c r="AM712" s="121">
        <v>-6977.3140000000003</v>
      </c>
      <c r="AN712" s="121">
        <v>-6977.3140000000003</v>
      </c>
      <c r="AO712" s="121">
        <v>-6977.3140000000003</v>
      </c>
      <c r="AP712" s="125" t="str">
        <f>CONCATENATE(A712,M712)</f>
        <v>Reg AssetN</v>
      </c>
      <c r="AQ712" s="125" t="str">
        <f>CONCATENATE(AP712,L712,H712)</f>
        <v>Reg AssetNN8ASGA</v>
      </c>
      <c r="AS712" s="125" t="str">
        <f>CONCATENATE(L712,H712,J712)</f>
        <v>N8ASGANCR</v>
      </c>
    </row>
    <row r="713" spans="1:45" s="125" customFormat="1" ht="25.5" customHeight="1">
      <c r="A713" s="216" t="s">
        <v>1442</v>
      </c>
      <c r="B713" s="217" t="str">
        <f t="shared" si="302"/>
        <v>Reg Asset2542700-243.11.56BT010281</v>
      </c>
      <c r="C713" s="186">
        <v>254270</v>
      </c>
      <c r="D713" s="201" t="s">
        <v>1995</v>
      </c>
      <c r="E713" s="162" t="s">
        <v>3261</v>
      </c>
      <c r="F713" s="169" t="s">
        <v>334</v>
      </c>
      <c r="G713" s="117" t="s">
        <v>147</v>
      </c>
      <c r="H713" s="118" t="s">
        <v>521</v>
      </c>
      <c r="I713" s="120"/>
      <c r="J713" s="120" t="s">
        <v>105</v>
      </c>
      <c r="K713" s="120" t="str">
        <f t="shared" si="298"/>
        <v/>
      </c>
      <c r="L713" s="170" t="s">
        <v>2817</v>
      </c>
      <c r="M713" s="122" t="str">
        <f t="shared" si="301"/>
        <v>N</v>
      </c>
      <c r="N713" s="116" t="str">
        <f>IF($L713&lt;&gt;"",VLOOKUP($L713,Categories!$E:$G,2,FALSE),IF($F713&lt;&gt;"","NO CAT",""))</f>
        <v>Not in Rate Base</v>
      </c>
      <c r="O713" s="116" t="str">
        <f>IF($L713&lt;&gt;"",VLOOKUP($L713,Categories!$E:$G,3,FALSE),IF($F713&lt;&gt;"","NO CAT",""))</f>
        <v>NM-2 ASGA</v>
      </c>
      <c r="P713" s="170" t="s">
        <v>1186</v>
      </c>
      <c r="Q713" s="123" t="s">
        <v>1187</v>
      </c>
      <c r="R713" s="124">
        <v>0</v>
      </c>
      <c r="S713" s="124">
        <v>0</v>
      </c>
      <c r="T713" s="124">
        <v>1</v>
      </c>
      <c r="U713" s="121">
        <f t="shared" si="303"/>
        <v>0</v>
      </c>
      <c r="V713" s="121">
        <f t="shared" si="304"/>
        <v>0</v>
      </c>
      <c r="W713" s="121">
        <f t="shared" si="305"/>
        <v>5204.5870000000004</v>
      </c>
      <c r="X713" s="121">
        <f t="shared" si="299"/>
        <v>5204.5870000000004</v>
      </c>
      <c r="Y713" s="121">
        <f t="shared" si="306"/>
        <v>0</v>
      </c>
      <c r="Z713" s="121">
        <f t="shared" si="307"/>
        <v>0</v>
      </c>
      <c r="AA713" s="121">
        <f t="shared" si="308"/>
        <v>5204.5870000000004</v>
      </c>
      <c r="AB713" s="121">
        <f t="shared" si="300"/>
        <v>5204.5870000000004</v>
      </c>
      <c r="AC713" s="121">
        <v>5204.5870000000004</v>
      </c>
      <c r="AD713" s="121">
        <v>5204.5870000000004</v>
      </c>
      <c r="AE713" s="121">
        <v>5204.5870000000004</v>
      </c>
      <c r="AF713" s="121">
        <v>5204.5870000000004</v>
      </c>
      <c r="AG713" s="121">
        <v>5204.5870000000004</v>
      </c>
      <c r="AH713" s="121">
        <v>5204.5870000000004</v>
      </c>
      <c r="AI713" s="121">
        <v>5204.5870000000004</v>
      </c>
      <c r="AJ713" s="121">
        <v>5204.5870000000004</v>
      </c>
      <c r="AK713" s="121">
        <v>5204.5870000000004</v>
      </c>
      <c r="AL713" s="121">
        <v>5204.5870000000004</v>
      </c>
      <c r="AM713" s="121">
        <v>5204.5870000000004</v>
      </c>
      <c r="AN713" s="121">
        <v>5204.5870000000004</v>
      </c>
      <c r="AO713" s="121">
        <v>5204.5870000000004</v>
      </c>
      <c r="AP713" s="125" t="str">
        <f>CONCATENATE(A713,M713)</f>
        <v>Reg AssetN</v>
      </c>
      <c r="AQ713" s="125" t="str">
        <f>CONCATENATE(AP713,L713,H713)</f>
        <v>Reg AssetNN8ASGA</v>
      </c>
      <c r="AS713" s="125" t="str">
        <f>CONCATENATE(L713,H713,J713)</f>
        <v>N8ASGANCR</v>
      </c>
    </row>
    <row r="714" spans="1:45" s="125" customFormat="1" ht="25.5" customHeight="1">
      <c r="A714" s="216" t="s">
        <v>1442</v>
      </c>
      <c r="B714" s="217" t="str">
        <f t="shared" si="302"/>
        <v>Reg Asset2542700-243.11.57BT010276</v>
      </c>
      <c r="C714" s="186">
        <v>254270</v>
      </c>
      <c r="D714" s="201" t="s">
        <v>1361</v>
      </c>
      <c r="E714" s="162" t="s">
        <v>3262</v>
      </c>
      <c r="F714" s="169" t="s">
        <v>334</v>
      </c>
      <c r="G714" s="117" t="s">
        <v>1362</v>
      </c>
      <c r="H714" s="118" t="s">
        <v>521</v>
      </c>
      <c r="I714" s="120"/>
      <c r="J714" s="120" t="s">
        <v>105</v>
      </c>
      <c r="K714" s="120" t="str">
        <f t="shared" si="298"/>
        <v/>
      </c>
      <c r="L714" s="170" t="s">
        <v>2817</v>
      </c>
      <c r="M714" s="122" t="str">
        <f t="shared" si="301"/>
        <v>N</v>
      </c>
      <c r="N714" s="116" t="str">
        <f>IF($L714&lt;&gt;"",VLOOKUP($L714,Categories!$E:$G,2,FALSE),IF($F714&lt;&gt;"","NO CAT",""))</f>
        <v>Not in Rate Base</v>
      </c>
      <c r="O714" s="116" t="str">
        <f>IF($L714&lt;&gt;"",VLOOKUP($L714,Categories!$E:$G,3,FALSE),IF($F714&lt;&gt;"","NO CAT",""))</f>
        <v>NM-2 ASGA</v>
      </c>
      <c r="P714" s="170" t="s">
        <v>1186</v>
      </c>
      <c r="Q714" s="123" t="s">
        <v>1187</v>
      </c>
      <c r="R714" s="124">
        <v>0</v>
      </c>
      <c r="S714" s="124">
        <v>0</v>
      </c>
      <c r="T714" s="124">
        <v>1</v>
      </c>
      <c r="U714" s="121">
        <f t="shared" si="303"/>
        <v>0</v>
      </c>
      <c r="V714" s="121">
        <f t="shared" si="304"/>
        <v>0</v>
      </c>
      <c r="W714" s="121">
        <f t="shared" si="305"/>
        <v>-1235.779</v>
      </c>
      <c r="X714" s="121">
        <f t="shared" si="299"/>
        <v>-1235.779</v>
      </c>
      <c r="Y714" s="121">
        <f t="shared" si="306"/>
        <v>0</v>
      </c>
      <c r="Z714" s="121">
        <f t="shared" si="307"/>
        <v>0</v>
      </c>
      <c r="AA714" s="121">
        <f t="shared" si="308"/>
        <v>-1235.779</v>
      </c>
      <c r="AB714" s="121">
        <f t="shared" si="300"/>
        <v>-1235.779</v>
      </c>
      <c r="AC714" s="121">
        <v>-1235.779</v>
      </c>
      <c r="AD714" s="121">
        <v>-1235.779</v>
      </c>
      <c r="AE714" s="121">
        <v>-1235.779</v>
      </c>
      <c r="AF714" s="121">
        <v>-1235.779</v>
      </c>
      <c r="AG714" s="121">
        <v>-1235.779</v>
      </c>
      <c r="AH714" s="121">
        <v>-1235.779</v>
      </c>
      <c r="AI714" s="121">
        <v>-1235.779</v>
      </c>
      <c r="AJ714" s="121">
        <v>-1235.779</v>
      </c>
      <c r="AK714" s="121">
        <v>-1235.779</v>
      </c>
      <c r="AL714" s="121">
        <v>-1235.779</v>
      </c>
      <c r="AM714" s="121">
        <v>-1235.779</v>
      </c>
      <c r="AN714" s="121">
        <v>-1235.779</v>
      </c>
      <c r="AO714" s="121">
        <v>-1235.779</v>
      </c>
      <c r="AP714" s="125" t="str">
        <f>CONCATENATE(A714,M714)</f>
        <v>Reg AssetN</v>
      </c>
      <c r="AQ714" s="125" t="str">
        <f>CONCATENATE(AP714,L714,H714)</f>
        <v>Reg AssetNN8ASGA</v>
      </c>
      <c r="AS714" s="125" t="str">
        <f>CONCATENATE(L714,H714,J714)</f>
        <v>N8ASGANCR</v>
      </c>
    </row>
    <row r="715" spans="1:45" s="125" customFormat="1" ht="25.5" customHeight="1">
      <c r="A715" s="216" t="s">
        <v>1442</v>
      </c>
      <c r="B715" s="217" t="str">
        <f t="shared" si="302"/>
        <v>Reg Asset2542700-243.11.58BT010279</v>
      </c>
      <c r="C715" s="186">
        <v>254270</v>
      </c>
      <c r="D715" s="201" t="s">
        <v>2523</v>
      </c>
      <c r="E715" s="162" t="s">
        <v>3263</v>
      </c>
      <c r="F715" s="169" t="s">
        <v>334</v>
      </c>
      <c r="G715" s="117" t="s">
        <v>2524</v>
      </c>
      <c r="H715" s="118" t="s">
        <v>521</v>
      </c>
      <c r="I715" s="120"/>
      <c r="J715" s="120" t="s">
        <v>105</v>
      </c>
      <c r="K715" s="120" t="str">
        <f t="shared" si="298"/>
        <v/>
      </c>
      <c r="L715" s="170" t="s">
        <v>2817</v>
      </c>
      <c r="M715" s="122" t="str">
        <f t="shared" si="301"/>
        <v>N</v>
      </c>
      <c r="N715" s="116" t="str">
        <f>IF($L715&lt;&gt;"",VLOOKUP($L715,Categories!$E:$G,2,FALSE),IF($F715&lt;&gt;"","NO CAT",""))</f>
        <v>Not in Rate Base</v>
      </c>
      <c r="O715" s="116" t="str">
        <f>IF($L715&lt;&gt;"",VLOOKUP($L715,Categories!$E:$G,3,FALSE),IF($F715&lt;&gt;"","NO CAT",""))</f>
        <v>NM-2 ASGA</v>
      </c>
      <c r="P715" s="170" t="s">
        <v>1186</v>
      </c>
      <c r="Q715" s="123" t="s">
        <v>1187</v>
      </c>
      <c r="R715" s="124">
        <v>0</v>
      </c>
      <c r="S715" s="124">
        <v>0</v>
      </c>
      <c r="T715" s="124">
        <v>1</v>
      </c>
      <c r="U715" s="121">
        <f t="shared" si="303"/>
        <v>0</v>
      </c>
      <c r="V715" s="121">
        <f t="shared" si="304"/>
        <v>0</v>
      </c>
      <c r="W715" s="121">
        <f t="shared" si="305"/>
        <v>-3404.989</v>
      </c>
      <c r="X715" s="121">
        <f t="shared" si="299"/>
        <v>-3404.989</v>
      </c>
      <c r="Y715" s="121">
        <f t="shared" si="306"/>
        <v>0</v>
      </c>
      <c r="Z715" s="121">
        <f t="shared" si="307"/>
        <v>0</v>
      </c>
      <c r="AA715" s="121">
        <f t="shared" si="308"/>
        <v>-3404.989</v>
      </c>
      <c r="AB715" s="121">
        <f t="shared" si="300"/>
        <v>-3404.989</v>
      </c>
      <c r="AC715" s="121">
        <v>-3404.989</v>
      </c>
      <c r="AD715" s="121">
        <v>-3404.989</v>
      </c>
      <c r="AE715" s="121">
        <v>-3404.989</v>
      </c>
      <c r="AF715" s="121">
        <v>-3404.989</v>
      </c>
      <c r="AG715" s="121">
        <v>-3404.989</v>
      </c>
      <c r="AH715" s="121">
        <v>-3404.989</v>
      </c>
      <c r="AI715" s="121">
        <v>-3404.989</v>
      </c>
      <c r="AJ715" s="121">
        <v>-3404.989</v>
      </c>
      <c r="AK715" s="121">
        <v>-3404.989</v>
      </c>
      <c r="AL715" s="121">
        <v>-3404.989</v>
      </c>
      <c r="AM715" s="121">
        <v>-3404.989</v>
      </c>
      <c r="AN715" s="121">
        <v>-3404.989</v>
      </c>
      <c r="AO715" s="121">
        <v>-3404.989</v>
      </c>
      <c r="AP715" s="125" t="str">
        <f>CONCATENATE(A715,M715)</f>
        <v>Reg AssetN</v>
      </c>
      <c r="AQ715" s="125" t="str">
        <f>CONCATENATE(AP715,L715,H715)</f>
        <v>Reg AssetNN8ASGA</v>
      </c>
      <c r="AS715" s="125" t="str">
        <f>CONCATENATE(L715,H715,J715)</f>
        <v>N8ASGANCR</v>
      </c>
    </row>
    <row r="716" spans="1:45" s="125" customFormat="1" ht="25.5" customHeight="1">
      <c r="A716" s="216" t="s">
        <v>1442</v>
      </c>
      <c r="B716" s="217" t="str">
        <f t="shared" si="302"/>
        <v>Reg Asset2542700-243.11.59BT010280</v>
      </c>
      <c r="C716" s="186">
        <v>254270</v>
      </c>
      <c r="D716" s="201" t="s">
        <v>2776</v>
      </c>
      <c r="E716" s="162" t="s">
        <v>1707</v>
      </c>
      <c r="F716" s="169" t="s">
        <v>334</v>
      </c>
      <c r="G716" s="117" t="s">
        <v>2994</v>
      </c>
      <c r="H716" s="118" t="s">
        <v>521</v>
      </c>
      <c r="I716" s="120"/>
      <c r="J716" s="120" t="s">
        <v>105</v>
      </c>
      <c r="K716" s="120" t="str">
        <f t="shared" si="298"/>
        <v/>
      </c>
      <c r="L716" s="170" t="s">
        <v>2817</v>
      </c>
      <c r="M716" s="122" t="str">
        <f t="shared" si="301"/>
        <v>N</v>
      </c>
      <c r="N716" s="116" t="str">
        <f>IF($L716&lt;&gt;"",VLOOKUP($L716,Categories!$E:$G,2,FALSE),IF($F716&lt;&gt;"","NO CAT",""))</f>
        <v>Not in Rate Base</v>
      </c>
      <c r="O716" s="116" t="str">
        <f>IF($L716&lt;&gt;"",VLOOKUP($L716,Categories!$E:$G,3,FALSE),IF($F716&lt;&gt;"","NO CAT",""))</f>
        <v>NM-2 ASGA</v>
      </c>
      <c r="P716" s="170" t="s">
        <v>1186</v>
      </c>
      <c r="Q716" s="123" t="s">
        <v>1187</v>
      </c>
      <c r="R716" s="124">
        <v>0</v>
      </c>
      <c r="S716" s="124">
        <v>0</v>
      </c>
      <c r="T716" s="124">
        <v>1</v>
      </c>
      <c r="U716" s="121">
        <f t="shared" si="303"/>
        <v>0</v>
      </c>
      <c r="V716" s="121">
        <f t="shared" si="304"/>
        <v>0</v>
      </c>
      <c r="W716" s="121">
        <f t="shared" si="305"/>
        <v>9914.1092950000002</v>
      </c>
      <c r="X716" s="121">
        <f t="shared" si="299"/>
        <v>9914.1092950000002</v>
      </c>
      <c r="Y716" s="121">
        <f t="shared" si="306"/>
        <v>0</v>
      </c>
      <c r="Z716" s="121">
        <f t="shared" si="307"/>
        <v>0</v>
      </c>
      <c r="AA716" s="121">
        <f t="shared" si="308"/>
        <v>9913.1453600000004</v>
      </c>
      <c r="AB716" s="121">
        <f t="shared" si="300"/>
        <v>9913.1453599999986</v>
      </c>
      <c r="AC716" s="121">
        <v>9914.2469999999994</v>
      </c>
      <c r="AD716" s="121">
        <v>9914.2469999999994</v>
      </c>
      <c r="AE716" s="121">
        <v>9914.2469999999994</v>
      </c>
      <c r="AF716" s="121">
        <v>9914.2469999999994</v>
      </c>
      <c r="AG716" s="121">
        <v>9914.2469999999994</v>
      </c>
      <c r="AH716" s="121">
        <v>9914.2469999999994</v>
      </c>
      <c r="AI716" s="121">
        <v>9914.2469999999994</v>
      </c>
      <c r="AJ716" s="121">
        <v>9914.2469999999994</v>
      </c>
      <c r="AK716" s="121">
        <v>9914.2469999999994</v>
      </c>
      <c r="AL716" s="121">
        <v>9914.2469999999994</v>
      </c>
      <c r="AM716" s="121">
        <v>9914.2469999999994</v>
      </c>
      <c r="AN716" s="121">
        <v>9913.1453599999986</v>
      </c>
      <c r="AO716" s="121">
        <v>9913.1453599999986</v>
      </c>
      <c r="AP716" s="125" t="str">
        <f>CONCATENATE(A716,M716)</f>
        <v>Reg AssetN</v>
      </c>
      <c r="AQ716" s="125" t="str">
        <f>CONCATENATE(AP716,L716,H716)</f>
        <v>Reg AssetNN8ASGA</v>
      </c>
      <c r="AS716" s="125" t="str">
        <f>CONCATENATE(L716,H716,J716)</f>
        <v>N8ASGANCR</v>
      </c>
    </row>
    <row r="717" spans="1:45" s="125" customFormat="1" ht="25.5" customHeight="1">
      <c r="A717" s="216" t="s">
        <v>1442</v>
      </c>
      <c r="B717" s="217" t="str">
        <f t="shared" si="302"/>
        <v>Reg Asset2542700-243.11.60BT010282</v>
      </c>
      <c r="C717" s="186">
        <v>254270</v>
      </c>
      <c r="D717" s="201" t="s">
        <v>512</v>
      </c>
      <c r="E717" s="162" t="s">
        <v>2637</v>
      </c>
      <c r="F717" s="169" t="s">
        <v>334</v>
      </c>
      <c r="G717" s="117" t="s">
        <v>513</v>
      </c>
      <c r="H717" s="118" t="s">
        <v>521</v>
      </c>
      <c r="I717" s="120"/>
      <c r="J717" s="120" t="s">
        <v>105</v>
      </c>
      <c r="K717" s="120" t="str">
        <f>IF(L717="N3","SFAS-109","")</f>
        <v/>
      </c>
      <c r="L717" s="170" t="s">
        <v>2817</v>
      </c>
      <c r="M717" s="122" t="str">
        <f t="shared" si="301"/>
        <v>N</v>
      </c>
      <c r="N717" s="116" t="str">
        <f>IF($L717&lt;&gt;"",VLOOKUP($L717,Categories!$E:$G,2,FALSE),IF($F717&lt;&gt;"","NO CAT",""))</f>
        <v>Not in Rate Base</v>
      </c>
      <c r="O717" s="116" t="str">
        <f>IF($L717&lt;&gt;"",VLOOKUP($L717,Categories!$E:$G,3,FALSE),IF($F717&lt;&gt;"","NO CAT",""))</f>
        <v>NM-2 ASGA</v>
      </c>
      <c r="P717" s="170" t="s">
        <v>1186</v>
      </c>
      <c r="Q717" s="123" t="s">
        <v>1187</v>
      </c>
      <c r="R717" s="124">
        <v>0</v>
      </c>
      <c r="S717" s="124">
        <v>0</v>
      </c>
      <c r="T717" s="124">
        <v>1</v>
      </c>
      <c r="U717" s="121">
        <f t="shared" si="303"/>
        <v>0</v>
      </c>
      <c r="V717" s="121">
        <f t="shared" si="304"/>
        <v>0</v>
      </c>
      <c r="W717" s="121">
        <f t="shared" si="305"/>
        <v>436.59300000000002</v>
      </c>
      <c r="X717" s="121">
        <f t="shared" si="299"/>
        <v>436.59300000000002</v>
      </c>
      <c r="Y717" s="121">
        <f t="shared" si="306"/>
        <v>0</v>
      </c>
      <c r="Z717" s="121">
        <f t="shared" si="307"/>
        <v>0</v>
      </c>
      <c r="AA717" s="121">
        <f t="shared" si="308"/>
        <v>436.59300000000002</v>
      </c>
      <c r="AB717" s="121">
        <f t="shared" si="300"/>
        <v>436.59300000000002</v>
      </c>
      <c r="AC717" s="121">
        <v>436.59300000000002</v>
      </c>
      <c r="AD717" s="121">
        <v>436.59300000000002</v>
      </c>
      <c r="AE717" s="121">
        <v>436.59300000000002</v>
      </c>
      <c r="AF717" s="121">
        <v>436.59300000000002</v>
      </c>
      <c r="AG717" s="121">
        <v>436.59300000000002</v>
      </c>
      <c r="AH717" s="121">
        <v>436.59300000000002</v>
      </c>
      <c r="AI717" s="121">
        <v>436.59300000000002</v>
      </c>
      <c r="AJ717" s="121">
        <v>436.59300000000002</v>
      </c>
      <c r="AK717" s="121">
        <v>436.59300000000002</v>
      </c>
      <c r="AL717" s="121">
        <v>436.59300000000002</v>
      </c>
      <c r="AM717" s="121">
        <v>436.59300000000002</v>
      </c>
      <c r="AN717" s="121">
        <v>436.59300000000002</v>
      </c>
      <c r="AO717" s="121">
        <v>436.59300000000002</v>
      </c>
      <c r="AP717" s="125" t="str">
        <f>CONCATENATE(A717,M717)</f>
        <v>Reg AssetN</v>
      </c>
      <c r="AQ717" s="125" t="str">
        <f>CONCATENATE(AP717,L717,H717)</f>
        <v>Reg AssetNN8ASGA</v>
      </c>
      <c r="AS717" s="125" t="str">
        <f>CONCATENATE(L717,H717,J717)</f>
        <v>N8ASGANCR</v>
      </c>
    </row>
    <row r="718" spans="1:45" s="125" customFormat="1" ht="25.5" customHeight="1">
      <c r="A718" s="216" t="s">
        <v>1442</v>
      </c>
      <c r="B718" s="217" t="str">
        <f t="shared" si="302"/>
        <v>Reg Asset2542700-243.11.61BT010209</v>
      </c>
      <c r="C718" s="186">
        <v>254270</v>
      </c>
      <c r="D718" s="201" t="s">
        <v>2950</v>
      </c>
      <c r="E718" s="162" t="s">
        <v>394</v>
      </c>
      <c r="F718" s="169" t="s">
        <v>334</v>
      </c>
      <c r="G718" s="117" t="s">
        <v>2951</v>
      </c>
      <c r="H718" s="118" t="s">
        <v>521</v>
      </c>
      <c r="I718" s="120"/>
      <c r="J718" s="120" t="s">
        <v>105</v>
      </c>
      <c r="K718" s="120" t="str">
        <f>IF(L718="N3","SFAS-109","")</f>
        <v/>
      </c>
      <c r="L718" s="170" t="s">
        <v>2817</v>
      </c>
      <c r="M718" s="122" t="str">
        <f t="shared" si="301"/>
        <v>N</v>
      </c>
      <c r="N718" s="116" t="str">
        <f>IF($L718&lt;&gt;"",VLOOKUP($L718,Categories!$E:$G,2,FALSE),IF($F718&lt;&gt;"","NO CAT",""))</f>
        <v>Not in Rate Base</v>
      </c>
      <c r="O718" s="116" t="str">
        <f>IF($L718&lt;&gt;"",VLOOKUP($L718,Categories!$E:$G,3,FALSE),IF($F718&lt;&gt;"","NO CAT",""))</f>
        <v>NM-2 ASGA</v>
      </c>
      <c r="P718" s="170" t="s">
        <v>1186</v>
      </c>
      <c r="Q718" s="123" t="s">
        <v>1187</v>
      </c>
      <c r="R718" s="124">
        <v>0</v>
      </c>
      <c r="S718" s="124">
        <v>0</v>
      </c>
      <c r="T718" s="124">
        <v>1</v>
      </c>
      <c r="U718" s="121">
        <f t="shared" si="303"/>
        <v>0</v>
      </c>
      <c r="V718" s="121">
        <f t="shared" si="304"/>
        <v>0</v>
      </c>
      <c r="W718" s="121">
        <f t="shared" si="305"/>
        <v>398.75000999999997</v>
      </c>
      <c r="X718" s="121">
        <f t="shared" si="299"/>
        <v>398.75000999999997</v>
      </c>
      <c r="Y718" s="121">
        <f t="shared" si="306"/>
        <v>0</v>
      </c>
      <c r="Z718" s="121">
        <f t="shared" si="307"/>
        <v>0</v>
      </c>
      <c r="AA718" s="121">
        <f t="shared" si="308"/>
        <v>398.75000999999997</v>
      </c>
      <c r="AB718" s="121">
        <f t="shared" si="300"/>
        <v>398.75001000000003</v>
      </c>
      <c r="AC718" s="121">
        <v>398.75001000000003</v>
      </c>
      <c r="AD718" s="121">
        <v>398.75001000000003</v>
      </c>
      <c r="AE718" s="121">
        <v>398.75001000000003</v>
      </c>
      <c r="AF718" s="121">
        <v>398.75001000000003</v>
      </c>
      <c r="AG718" s="121">
        <v>398.75001000000003</v>
      </c>
      <c r="AH718" s="121">
        <v>398.75001000000003</v>
      </c>
      <c r="AI718" s="121">
        <v>398.75001000000003</v>
      </c>
      <c r="AJ718" s="121">
        <v>398.75001000000003</v>
      </c>
      <c r="AK718" s="121">
        <v>398.75001000000003</v>
      </c>
      <c r="AL718" s="121">
        <v>398.75001000000003</v>
      </c>
      <c r="AM718" s="121">
        <v>398.75001000000003</v>
      </c>
      <c r="AN718" s="121">
        <v>398.75001000000003</v>
      </c>
      <c r="AO718" s="121">
        <v>398.75001000000003</v>
      </c>
      <c r="AP718" s="125" t="str">
        <f>CONCATENATE(A718,M718)</f>
        <v>Reg AssetN</v>
      </c>
      <c r="AQ718" s="125" t="str">
        <f>CONCATENATE(AP718,L718,H718)</f>
        <v>Reg AssetNN8ASGA</v>
      </c>
      <c r="AS718" s="125" t="str">
        <f>CONCATENATE(L718,H718,J718)</f>
        <v>N8ASGANCR</v>
      </c>
    </row>
    <row r="719" spans="1:45" s="125" customFormat="1" ht="25.5" customHeight="1">
      <c r="A719" s="216" t="s">
        <v>1442</v>
      </c>
      <c r="B719" s="217" t="str">
        <f t="shared" si="302"/>
        <v>Reg Asset2542700-243.11.62N/A</v>
      </c>
      <c r="C719" s="186">
        <v>254270</v>
      </c>
      <c r="D719" s="201" t="s">
        <v>2952</v>
      </c>
      <c r="E719" s="162" t="s">
        <v>3258</v>
      </c>
      <c r="F719" s="169" t="s">
        <v>334</v>
      </c>
      <c r="G719" s="117" t="s">
        <v>2953</v>
      </c>
      <c r="H719" s="118" t="s">
        <v>521</v>
      </c>
      <c r="I719" s="120"/>
      <c r="J719" s="120" t="s">
        <v>105</v>
      </c>
      <c r="K719" s="120" t="str">
        <f>IF(L719="N3","SFAS-109","")</f>
        <v/>
      </c>
      <c r="L719" s="170" t="s">
        <v>2817</v>
      </c>
      <c r="M719" s="122" t="str">
        <f t="shared" si="301"/>
        <v>N</v>
      </c>
      <c r="N719" s="116" t="str">
        <f>IF($L719&lt;&gt;"",VLOOKUP($L719,Categories!$E:$G,2,FALSE),IF($F719&lt;&gt;"","NO CAT",""))</f>
        <v>Not in Rate Base</v>
      </c>
      <c r="O719" s="116" t="str">
        <f>IF($L719&lt;&gt;"",VLOOKUP($L719,Categories!$E:$G,3,FALSE),IF($F719&lt;&gt;"","NO CAT",""))</f>
        <v>NM-2 ASGA</v>
      </c>
      <c r="P719" s="170" t="s">
        <v>1186</v>
      </c>
      <c r="Q719" s="123" t="s">
        <v>1187</v>
      </c>
      <c r="R719" s="124">
        <v>0</v>
      </c>
      <c r="S719" s="124">
        <v>0</v>
      </c>
      <c r="T719" s="124">
        <v>1</v>
      </c>
      <c r="U719" s="121">
        <f t="shared" si="303"/>
        <v>0</v>
      </c>
      <c r="V719" s="121">
        <f t="shared" si="304"/>
        <v>0</v>
      </c>
      <c r="W719" s="121">
        <f t="shared" si="305"/>
        <v>-306.15800000000002</v>
      </c>
      <c r="X719" s="121">
        <f t="shared" si="299"/>
        <v>-306.15800000000002</v>
      </c>
      <c r="Y719" s="121">
        <f t="shared" si="306"/>
        <v>0</v>
      </c>
      <c r="Z719" s="121">
        <f t="shared" si="307"/>
        <v>0</v>
      </c>
      <c r="AA719" s="121">
        <f t="shared" si="308"/>
        <v>-306.15800000000002</v>
      </c>
      <c r="AB719" s="121">
        <f t="shared" si="300"/>
        <v>-306.15800000000002</v>
      </c>
      <c r="AC719" s="121">
        <v>-306.15800000000002</v>
      </c>
      <c r="AD719" s="121">
        <v>-306.15800000000002</v>
      </c>
      <c r="AE719" s="121">
        <v>-306.15800000000002</v>
      </c>
      <c r="AF719" s="121">
        <v>-306.15800000000002</v>
      </c>
      <c r="AG719" s="121">
        <v>-306.15800000000002</v>
      </c>
      <c r="AH719" s="121">
        <v>-306.15800000000002</v>
      </c>
      <c r="AI719" s="121">
        <v>-306.15800000000002</v>
      </c>
      <c r="AJ719" s="121">
        <v>-306.15800000000002</v>
      </c>
      <c r="AK719" s="121">
        <v>-306.15800000000002</v>
      </c>
      <c r="AL719" s="121">
        <v>-306.15800000000002</v>
      </c>
      <c r="AM719" s="121">
        <v>-306.15800000000002</v>
      </c>
      <c r="AN719" s="121">
        <v>-306.15800000000002</v>
      </c>
      <c r="AO719" s="121">
        <v>-306.15800000000002</v>
      </c>
      <c r="AP719" s="125" t="str">
        <f>CONCATENATE(A719,M719)</f>
        <v>Reg AssetN</v>
      </c>
      <c r="AQ719" s="125" t="str">
        <f>CONCATENATE(AP719,L719,H719)</f>
        <v>Reg AssetNN8ASGA</v>
      </c>
      <c r="AS719" s="125" t="str">
        <f>CONCATENATE(L719,H719,J719)</f>
        <v>N8ASGANCR</v>
      </c>
    </row>
    <row r="720" spans="1:45" s="125" customFormat="1" ht="25.5" customHeight="1">
      <c r="A720" s="216" t="s">
        <v>1442</v>
      </c>
      <c r="B720" s="217" t="str">
        <f t="shared" si="302"/>
        <v>Reg Asset2542700-243.11.63BT010285</v>
      </c>
      <c r="C720" s="186">
        <v>254270</v>
      </c>
      <c r="D720" s="201" t="s">
        <v>2209</v>
      </c>
      <c r="E720" s="162" t="s">
        <v>3264</v>
      </c>
      <c r="F720" s="169" t="s">
        <v>334</v>
      </c>
      <c r="G720" s="117" t="s">
        <v>2954</v>
      </c>
      <c r="H720" s="118" t="s">
        <v>521</v>
      </c>
      <c r="I720" s="120"/>
      <c r="J720" s="120" t="s">
        <v>105</v>
      </c>
      <c r="K720" s="120" t="str">
        <f>IF(L720="N3","SFAS-109","")</f>
        <v/>
      </c>
      <c r="L720" s="170" t="s">
        <v>2817</v>
      </c>
      <c r="M720" s="122" t="str">
        <f t="shared" si="301"/>
        <v>N</v>
      </c>
      <c r="N720" s="116" t="str">
        <f>IF($L720&lt;&gt;"",VLOOKUP($L720,Categories!$E:$G,2,FALSE),IF($F720&lt;&gt;"","NO CAT",""))</f>
        <v>Not in Rate Base</v>
      </c>
      <c r="O720" s="116" t="str">
        <f>IF($L720&lt;&gt;"",VLOOKUP($L720,Categories!$E:$G,3,FALSE),IF($F720&lt;&gt;"","NO CAT",""))</f>
        <v>NM-2 ASGA</v>
      </c>
      <c r="P720" s="170" t="s">
        <v>1186</v>
      </c>
      <c r="Q720" s="123" t="s">
        <v>1187</v>
      </c>
      <c r="R720" s="124">
        <v>0</v>
      </c>
      <c r="S720" s="124">
        <v>0</v>
      </c>
      <c r="T720" s="124">
        <v>1</v>
      </c>
      <c r="U720" s="121">
        <f t="shared" si="303"/>
        <v>0</v>
      </c>
      <c r="V720" s="121">
        <f t="shared" si="304"/>
        <v>0</v>
      </c>
      <c r="W720" s="121">
        <f t="shared" si="305"/>
        <v>1763.6880000000001</v>
      </c>
      <c r="X720" s="121">
        <f t="shared" si="299"/>
        <v>1763.6880000000001</v>
      </c>
      <c r="Y720" s="121">
        <f t="shared" si="306"/>
        <v>0</v>
      </c>
      <c r="Z720" s="121">
        <f t="shared" si="307"/>
        <v>0</v>
      </c>
      <c r="AA720" s="121">
        <f t="shared" si="308"/>
        <v>1763.6880000000001</v>
      </c>
      <c r="AB720" s="121">
        <f t="shared" si="300"/>
        <v>1763.6880000000001</v>
      </c>
      <c r="AC720" s="121">
        <v>1763.6880000000001</v>
      </c>
      <c r="AD720" s="121">
        <v>1763.6880000000001</v>
      </c>
      <c r="AE720" s="121">
        <v>1763.6880000000001</v>
      </c>
      <c r="AF720" s="121">
        <v>1763.6880000000001</v>
      </c>
      <c r="AG720" s="121">
        <v>1763.6880000000001</v>
      </c>
      <c r="AH720" s="121">
        <v>1763.6880000000001</v>
      </c>
      <c r="AI720" s="121">
        <v>1763.6880000000001</v>
      </c>
      <c r="AJ720" s="121">
        <v>1763.6880000000001</v>
      </c>
      <c r="AK720" s="121">
        <v>1763.6880000000001</v>
      </c>
      <c r="AL720" s="121">
        <v>1763.6880000000001</v>
      </c>
      <c r="AM720" s="121">
        <v>1763.6880000000001</v>
      </c>
      <c r="AN720" s="121">
        <v>1763.6880000000001</v>
      </c>
      <c r="AO720" s="121">
        <v>1763.6880000000001</v>
      </c>
      <c r="AP720" s="125" t="str">
        <f>CONCATENATE(A720,M720)</f>
        <v>Reg AssetN</v>
      </c>
      <c r="AQ720" s="125" t="str">
        <f>CONCATENATE(AP720,L720,H720)</f>
        <v>Reg AssetNN8ASGA</v>
      </c>
      <c r="AS720" s="125" t="str">
        <f>CONCATENATE(L720,H720,J720)</f>
        <v>N8ASGANCR</v>
      </c>
    </row>
    <row r="721" spans="1:45" s="125" customFormat="1" ht="25.5" customHeight="1">
      <c r="A721" s="216" t="s">
        <v>1442</v>
      </c>
      <c r="B721" s="217" t="str">
        <f t="shared" si="302"/>
        <v>Reg Asset2542700-243.11.64BT010284</v>
      </c>
      <c r="C721" s="186">
        <v>254270</v>
      </c>
      <c r="D721" s="201" t="s">
        <v>2955</v>
      </c>
      <c r="E721" s="162" t="s">
        <v>3265</v>
      </c>
      <c r="F721" s="169" t="s">
        <v>334</v>
      </c>
      <c r="G721" s="117" t="s">
        <v>2855</v>
      </c>
      <c r="H721" s="118" t="s">
        <v>521</v>
      </c>
      <c r="I721" s="120"/>
      <c r="J721" s="120" t="s">
        <v>105</v>
      </c>
      <c r="K721" s="120" t="str">
        <f>IF(L721="N3","SFAS-109","")</f>
        <v/>
      </c>
      <c r="L721" s="170" t="s">
        <v>2817</v>
      </c>
      <c r="M721" s="122" t="str">
        <f t="shared" si="301"/>
        <v>N</v>
      </c>
      <c r="N721" s="116" t="str">
        <f>IF($L721&lt;&gt;"",VLOOKUP($L721,Categories!$E:$G,2,FALSE),IF($F721&lt;&gt;"","NO CAT",""))</f>
        <v>Not in Rate Base</v>
      </c>
      <c r="O721" s="116" t="str">
        <f>IF($L721&lt;&gt;"",VLOOKUP($L721,Categories!$E:$G,3,FALSE),IF($F721&lt;&gt;"","NO CAT",""))</f>
        <v>NM-2 ASGA</v>
      </c>
      <c r="P721" s="170" t="s">
        <v>1186</v>
      </c>
      <c r="Q721" s="123" t="s">
        <v>1187</v>
      </c>
      <c r="R721" s="124">
        <v>0</v>
      </c>
      <c r="S721" s="124">
        <v>0</v>
      </c>
      <c r="T721" s="124">
        <v>1</v>
      </c>
      <c r="U721" s="121">
        <f t="shared" si="303"/>
        <v>0</v>
      </c>
      <c r="V721" s="121">
        <f t="shared" si="304"/>
        <v>0</v>
      </c>
      <c r="W721" s="121">
        <f t="shared" si="305"/>
        <v>3169.201</v>
      </c>
      <c r="X721" s="121">
        <f t="shared" si="299"/>
        <v>3169.201</v>
      </c>
      <c r="Y721" s="121">
        <f t="shared" si="306"/>
        <v>0</v>
      </c>
      <c r="Z721" s="121">
        <f t="shared" si="307"/>
        <v>0</v>
      </c>
      <c r="AA721" s="121">
        <f t="shared" si="308"/>
        <v>3169.201</v>
      </c>
      <c r="AB721" s="121">
        <f t="shared" si="300"/>
        <v>3169.201</v>
      </c>
      <c r="AC721" s="121">
        <v>3169.201</v>
      </c>
      <c r="AD721" s="121">
        <v>3169.201</v>
      </c>
      <c r="AE721" s="121">
        <v>3169.201</v>
      </c>
      <c r="AF721" s="121">
        <v>3169.201</v>
      </c>
      <c r="AG721" s="121">
        <v>3169.201</v>
      </c>
      <c r="AH721" s="121">
        <v>3169.201</v>
      </c>
      <c r="AI721" s="121">
        <v>3169.201</v>
      </c>
      <c r="AJ721" s="121">
        <v>3169.201</v>
      </c>
      <c r="AK721" s="121">
        <v>3169.201</v>
      </c>
      <c r="AL721" s="121">
        <v>3169.201</v>
      </c>
      <c r="AM721" s="121">
        <v>3169.201</v>
      </c>
      <c r="AN721" s="121">
        <v>3169.201</v>
      </c>
      <c r="AO721" s="121">
        <v>3169.201</v>
      </c>
      <c r="AP721" s="125" t="str">
        <f>CONCATENATE(A721,M721)</f>
        <v>Reg AssetN</v>
      </c>
      <c r="AQ721" s="125" t="str">
        <f>CONCATENATE(AP721,L721,H721)</f>
        <v>Reg AssetNN8ASGA</v>
      </c>
      <c r="AS721" s="125" t="str">
        <f>CONCATENATE(L721,H721,J721)</f>
        <v>N8ASGANCR</v>
      </c>
    </row>
    <row r="722" spans="1:45" s="125" customFormat="1" ht="25.5" customHeight="1">
      <c r="A722" s="216" t="s">
        <v>1442</v>
      </c>
      <c r="B722" s="217" t="str">
        <f t="shared" si="302"/>
        <v>Reg Asset2542700-243.11.98BE030353</v>
      </c>
      <c r="C722" s="186">
        <v>254270</v>
      </c>
      <c r="D722" s="201" t="s">
        <v>2450</v>
      </c>
      <c r="E722" s="162" t="s">
        <v>3266</v>
      </c>
      <c r="F722" s="169" t="s">
        <v>334</v>
      </c>
      <c r="G722" s="117" t="s">
        <v>836</v>
      </c>
      <c r="H722" s="118" t="s">
        <v>521</v>
      </c>
      <c r="I722" s="120"/>
      <c r="J722" s="120" t="s">
        <v>105</v>
      </c>
      <c r="K722" s="120" t="str">
        <f t="shared" si="298"/>
        <v/>
      </c>
      <c r="L722" s="170" t="s">
        <v>2817</v>
      </c>
      <c r="M722" s="122" t="str">
        <f t="shared" si="301"/>
        <v>N</v>
      </c>
      <c r="N722" s="116" t="str">
        <f>IF($L722&lt;&gt;"",VLOOKUP($L722,Categories!$E:$G,2,FALSE),IF($F722&lt;&gt;"","NO CAT",""))</f>
        <v>Not in Rate Base</v>
      </c>
      <c r="O722" s="116" t="str">
        <f>IF($L722&lt;&gt;"",VLOOKUP($L722,Categories!$E:$G,3,FALSE),IF($F722&lt;&gt;"","NO CAT",""))</f>
        <v>NM-2 ASGA</v>
      </c>
      <c r="P722" s="170" t="s">
        <v>1186</v>
      </c>
      <c r="Q722" s="123" t="s">
        <v>1187</v>
      </c>
      <c r="R722" s="124">
        <v>0</v>
      </c>
      <c r="S722" s="124">
        <v>0</v>
      </c>
      <c r="T722" s="124">
        <v>1</v>
      </c>
      <c r="U722" s="121">
        <f t="shared" si="303"/>
        <v>0</v>
      </c>
      <c r="V722" s="121">
        <f t="shared" si="304"/>
        <v>0</v>
      </c>
      <c r="W722" s="121">
        <f t="shared" si="305"/>
        <v>3099.0822199999998</v>
      </c>
      <c r="X722" s="121">
        <f t="shared" si="299"/>
        <v>3099.0822199999998</v>
      </c>
      <c r="Y722" s="121">
        <f t="shared" si="306"/>
        <v>0</v>
      </c>
      <c r="Z722" s="121">
        <f t="shared" si="307"/>
        <v>0</v>
      </c>
      <c r="AA722" s="121">
        <f t="shared" si="308"/>
        <v>3099.0822199999998</v>
      </c>
      <c r="AB722" s="121">
        <f t="shared" si="300"/>
        <v>3099.0822200000002</v>
      </c>
      <c r="AC722" s="121">
        <v>3099.0822200000002</v>
      </c>
      <c r="AD722" s="121">
        <v>3099.0822200000002</v>
      </c>
      <c r="AE722" s="121">
        <v>3099.0822200000002</v>
      </c>
      <c r="AF722" s="121">
        <v>3099.0822200000002</v>
      </c>
      <c r="AG722" s="121">
        <v>3099.0822200000002</v>
      </c>
      <c r="AH722" s="121">
        <v>3099.0822200000002</v>
      </c>
      <c r="AI722" s="121">
        <v>3099.0822200000002</v>
      </c>
      <c r="AJ722" s="121">
        <v>3099.0822200000002</v>
      </c>
      <c r="AK722" s="121">
        <v>3099.0822200000002</v>
      </c>
      <c r="AL722" s="121">
        <v>3099.0822200000002</v>
      </c>
      <c r="AM722" s="121">
        <v>3099.0822200000002</v>
      </c>
      <c r="AN722" s="121">
        <v>3099.0822200000002</v>
      </c>
      <c r="AO722" s="121">
        <v>3099.0822200000002</v>
      </c>
      <c r="AP722" s="125" t="str">
        <f>CONCATENATE(A722,M722)</f>
        <v>Reg AssetN</v>
      </c>
      <c r="AQ722" s="125" t="str">
        <f>CONCATENATE(AP722,L722,H722)</f>
        <v>Reg AssetNN8ASGA</v>
      </c>
      <c r="AS722" s="125" t="str">
        <f>CONCATENATE(L722,H722,J722)</f>
        <v>N8ASGANCR</v>
      </c>
    </row>
    <row r="723" spans="1:45" s="125" customFormat="1" ht="25.5" customHeight="1">
      <c r="A723" s="216" t="s">
        <v>1442</v>
      </c>
      <c r="B723" s="217" t="str">
        <f t="shared" si="302"/>
        <v>Reg Asset2542700-243.11.99BE030354</v>
      </c>
      <c r="C723" s="186">
        <v>254270</v>
      </c>
      <c r="D723" s="201" t="s">
        <v>2249</v>
      </c>
      <c r="E723" s="162" t="s">
        <v>3267</v>
      </c>
      <c r="F723" s="169" t="s">
        <v>334</v>
      </c>
      <c r="G723" s="117" t="s">
        <v>2524</v>
      </c>
      <c r="H723" s="118" t="s">
        <v>521</v>
      </c>
      <c r="I723" s="120"/>
      <c r="J723" s="120" t="s">
        <v>105</v>
      </c>
      <c r="K723" s="120" t="str">
        <f t="shared" si="298"/>
        <v/>
      </c>
      <c r="L723" s="170" t="s">
        <v>2817</v>
      </c>
      <c r="M723" s="122" t="str">
        <f t="shared" si="301"/>
        <v>N</v>
      </c>
      <c r="N723" s="116" t="str">
        <f>IF($L723&lt;&gt;"",VLOOKUP($L723,Categories!$E:$G,2,FALSE),IF($F723&lt;&gt;"","NO CAT",""))</f>
        <v>Not in Rate Base</v>
      </c>
      <c r="O723" s="116" t="str">
        <f>IF($L723&lt;&gt;"",VLOOKUP($L723,Categories!$E:$G,3,FALSE),IF($F723&lt;&gt;"","NO CAT",""))</f>
        <v>NM-2 ASGA</v>
      </c>
      <c r="P723" s="170" t="s">
        <v>1186</v>
      </c>
      <c r="Q723" s="123" t="s">
        <v>1187</v>
      </c>
      <c r="R723" s="124">
        <v>0</v>
      </c>
      <c r="S723" s="124">
        <v>0</v>
      </c>
      <c r="T723" s="124">
        <v>1</v>
      </c>
      <c r="U723" s="121">
        <f t="shared" si="303"/>
        <v>0</v>
      </c>
      <c r="V723" s="121">
        <f t="shared" si="304"/>
        <v>0</v>
      </c>
      <c r="W723" s="121">
        <f t="shared" si="305"/>
        <v>8101.7359999999999</v>
      </c>
      <c r="X723" s="121">
        <f t="shared" si="299"/>
        <v>8101.7359999999999</v>
      </c>
      <c r="Y723" s="121">
        <f t="shared" si="306"/>
        <v>0</v>
      </c>
      <c r="Z723" s="121">
        <f t="shared" si="307"/>
        <v>0</v>
      </c>
      <c r="AA723" s="121">
        <f t="shared" si="308"/>
        <v>8101.7359999999999</v>
      </c>
      <c r="AB723" s="121">
        <f t="shared" si="300"/>
        <v>8101.7359999999999</v>
      </c>
      <c r="AC723" s="121">
        <v>8101.7359999999999</v>
      </c>
      <c r="AD723" s="121">
        <v>8101.7359999999999</v>
      </c>
      <c r="AE723" s="121">
        <v>8101.7359999999999</v>
      </c>
      <c r="AF723" s="121">
        <v>8101.7359999999999</v>
      </c>
      <c r="AG723" s="121">
        <v>8101.7359999999999</v>
      </c>
      <c r="AH723" s="121">
        <v>8101.7359999999999</v>
      </c>
      <c r="AI723" s="121">
        <v>8101.7359999999999</v>
      </c>
      <c r="AJ723" s="121">
        <v>8101.7359999999999</v>
      </c>
      <c r="AK723" s="121">
        <v>8101.7359999999999</v>
      </c>
      <c r="AL723" s="121">
        <v>8101.7359999999999</v>
      </c>
      <c r="AM723" s="121">
        <v>8101.7359999999999</v>
      </c>
      <c r="AN723" s="121">
        <v>8101.7359999999999</v>
      </c>
      <c r="AO723" s="121">
        <v>8101.7359999999999</v>
      </c>
      <c r="AP723" s="125" t="str">
        <f>CONCATENATE(A723,M723)</f>
        <v>Reg AssetN</v>
      </c>
      <c r="AQ723" s="125" t="str">
        <f>CONCATENATE(AP723,L723,H723)</f>
        <v>Reg AssetNN8ASGA</v>
      </c>
      <c r="AS723" s="125" t="str">
        <f>CONCATENATE(L723,H723,J723)</f>
        <v>N8ASGANCR</v>
      </c>
    </row>
    <row r="724" spans="1:45" s="125" customFormat="1" ht="25.5" customHeight="1">
      <c r="A724" s="216" t="s">
        <v>1442</v>
      </c>
      <c r="B724" s="217" t="str">
        <f t="shared" si="302"/>
        <v>Reg Asset2542700-243.23.03BE030355</v>
      </c>
      <c r="C724" s="186">
        <v>254270</v>
      </c>
      <c r="D724" s="201" t="s">
        <v>2010</v>
      </c>
      <c r="E724" s="162" t="s">
        <v>3247</v>
      </c>
      <c r="F724" s="169" t="s">
        <v>334</v>
      </c>
      <c r="G724" s="117" t="s">
        <v>2897</v>
      </c>
      <c r="H724" s="118" t="s">
        <v>521</v>
      </c>
      <c r="I724" s="120"/>
      <c r="J724" s="120" t="s">
        <v>105</v>
      </c>
      <c r="K724" s="120" t="str">
        <f t="shared" si="298"/>
        <v/>
      </c>
      <c r="L724" s="170" t="s">
        <v>2817</v>
      </c>
      <c r="M724" s="122" t="str">
        <f t="shared" si="301"/>
        <v>N</v>
      </c>
      <c r="N724" s="116" t="str">
        <f>IF($L724&lt;&gt;"",VLOOKUP($L724,Categories!$E:$G,2,FALSE),IF($F724&lt;&gt;"","NO CAT",""))</f>
        <v>Not in Rate Base</v>
      </c>
      <c r="O724" s="116" t="str">
        <f>IF($L724&lt;&gt;"",VLOOKUP($L724,Categories!$E:$G,3,FALSE),IF($F724&lt;&gt;"","NO CAT",""))</f>
        <v>NM-2 ASGA</v>
      </c>
      <c r="P724" s="170" t="s">
        <v>1186</v>
      </c>
      <c r="Q724" s="123" t="s">
        <v>1187</v>
      </c>
      <c r="R724" s="124">
        <v>0</v>
      </c>
      <c r="S724" s="124">
        <v>0</v>
      </c>
      <c r="T724" s="124">
        <v>1</v>
      </c>
      <c r="U724" s="121">
        <f t="shared" si="303"/>
        <v>0</v>
      </c>
      <c r="V724" s="121">
        <f t="shared" si="304"/>
        <v>0</v>
      </c>
      <c r="W724" s="121">
        <f t="shared" si="305"/>
        <v>-1101.9963749999999</v>
      </c>
      <c r="X724" s="121">
        <f t="shared" si="299"/>
        <v>-1101.9963749999999</v>
      </c>
      <c r="Y724" s="121">
        <f t="shared" si="306"/>
        <v>0</v>
      </c>
      <c r="Z724" s="121">
        <f t="shared" si="307"/>
        <v>0</v>
      </c>
      <c r="AA724" s="121">
        <f t="shared" si="308"/>
        <v>-1135.7670000000001</v>
      </c>
      <c r="AB724" s="121">
        <f t="shared" si="300"/>
        <v>-1135.7670000000001</v>
      </c>
      <c r="AC724" s="121">
        <v>-1019.982</v>
      </c>
      <c r="AD724" s="121">
        <v>-1019.982</v>
      </c>
      <c r="AE724" s="121">
        <v>-1019.982</v>
      </c>
      <c r="AF724" s="121">
        <v>-1019.982</v>
      </c>
      <c r="AG724" s="121">
        <v>-1135.7670000000001</v>
      </c>
      <c r="AH724" s="121">
        <v>-1135.7670000000001</v>
      </c>
      <c r="AI724" s="121">
        <v>-1135.7670000000001</v>
      </c>
      <c r="AJ724" s="121">
        <v>-1135.7670000000001</v>
      </c>
      <c r="AK724" s="121">
        <v>-1135.7670000000001</v>
      </c>
      <c r="AL724" s="121">
        <v>-1135.7670000000001</v>
      </c>
      <c r="AM724" s="121">
        <v>-1135.7670000000001</v>
      </c>
      <c r="AN724" s="121">
        <v>-1135.7670000000001</v>
      </c>
      <c r="AO724" s="121">
        <v>-1135.7670000000001</v>
      </c>
      <c r="AP724" s="125" t="str">
        <f>CONCATENATE(A724,M724)</f>
        <v>Reg AssetN</v>
      </c>
      <c r="AQ724" s="125" t="str">
        <f>CONCATENATE(AP724,L724,H724)</f>
        <v>Reg AssetNN8ASGA</v>
      </c>
      <c r="AS724" s="125" t="str">
        <f>CONCATENATE(L724,H724,J724)</f>
        <v>N8ASGANCR</v>
      </c>
    </row>
    <row r="725" spans="1:45" s="125" customFormat="1" ht="25.5" customHeight="1">
      <c r="A725" s="216" t="s">
        <v>1442</v>
      </c>
      <c r="B725" s="217" t="str">
        <f t="shared" si="302"/>
        <v>Reg Asset254270800135BE030291</v>
      </c>
      <c r="C725" s="186">
        <v>254270</v>
      </c>
      <c r="D725" s="201">
        <v>800135</v>
      </c>
      <c r="E725" s="162" t="s">
        <v>3248</v>
      </c>
      <c r="F725" s="169" t="s">
        <v>334</v>
      </c>
      <c r="G725" s="117" t="s">
        <v>1545</v>
      </c>
      <c r="H725" s="118" t="s">
        <v>521</v>
      </c>
      <c r="I725" s="120"/>
      <c r="J725" s="120" t="s">
        <v>105</v>
      </c>
      <c r="K725" s="120" t="str">
        <f t="shared" si="298"/>
        <v/>
      </c>
      <c r="L725" s="170" t="s">
        <v>2817</v>
      </c>
      <c r="M725" s="122" t="str">
        <f t="shared" si="301"/>
        <v>N</v>
      </c>
      <c r="N725" s="116" t="str">
        <f>IF($L725&lt;&gt;"",VLOOKUP($L725,Categories!$E:$G,2,FALSE),IF($F725&lt;&gt;"","NO CAT",""))</f>
        <v>Not in Rate Base</v>
      </c>
      <c r="O725" s="116" t="str">
        <f>IF($L725&lt;&gt;"",VLOOKUP($L725,Categories!$E:$G,3,FALSE),IF($F725&lt;&gt;"","NO CAT",""))</f>
        <v>NM-2 ASGA</v>
      </c>
      <c r="P725" s="170" t="s">
        <v>1186</v>
      </c>
      <c r="Q725" s="123" t="s">
        <v>1187</v>
      </c>
      <c r="R725" s="124">
        <v>0</v>
      </c>
      <c r="S725" s="124">
        <v>0</v>
      </c>
      <c r="T725" s="124">
        <v>1</v>
      </c>
      <c r="U725" s="121">
        <f t="shared" si="303"/>
        <v>0</v>
      </c>
      <c r="V725" s="121">
        <f t="shared" si="304"/>
        <v>0</v>
      </c>
      <c r="W725" s="121">
        <f t="shared" si="305"/>
        <v>-10494.964250000001</v>
      </c>
      <c r="X725" s="121">
        <f t="shared" si="299"/>
        <v>-10494.964250000001</v>
      </c>
      <c r="Y725" s="121">
        <f t="shared" si="306"/>
        <v>0</v>
      </c>
      <c r="Z725" s="121">
        <f t="shared" si="307"/>
        <v>0</v>
      </c>
      <c r="AA725" s="121">
        <f t="shared" si="308"/>
        <v>-10494.964250000001</v>
      </c>
      <c r="AB725" s="121">
        <f t="shared" si="300"/>
        <v>-10494.964250000001</v>
      </c>
      <c r="AC725" s="121">
        <v>-10494.964250000001</v>
      </c>
      <c r="AD725" s="121">
        <v>-10494.964250000001</v>
      </c>
      <c r="AE725" s="121">
        <v>-10494.964250000001</v>
      </c>
      <c r="AF725" s="121">
        <v>-10494.964250000001</v>
      </c>
      <c r="AG725" s="121">
        <v>-10494.964250000001</v>
      </c>
      <c r="AH725" s="121">
        <v>-10494.964250000001</v>
      </c>
      <c r="AI725" s="121">
        <v>-10494.964250000001</v>
      </c>
      <c r="AJ725" s="121">
        <v>-10494.964250000001</v>
      </c>
      <c r="AK725" s="121">
        <v>-10494.964250000001</v>
      </c>
      <c r="AL725" s="121">
        <v>-10494.964250000001</v>
      </c>
      <c r="AM725" s="121">
        <v>-10494.964250000001</v>
      </c>
      <c r="AN725" s="121">
        <v>-10494.964250000001</v>
      </c>
      <c r="AO725" s="121">
        <v>-10494.964250000001</v>
      </c>
      <c r="AP725" s="125" t="str">
        <f>CONCATENATE(A725,M725)</f>
        <v>Reg AssetN</v>
      </c>
      <c r="AQ725" s="125" t="str">
        <f>CONCATENATE(AP725,L725,H725)</f>
        <v>Reg AssetNN8ASGA</v>
      </c>
      <c r="AS725" s="125" t="str">
        <f>CONCATENATE(L725,H725,J725)</f>
        <v>N8ASGANCR</v>
      </c>
    </row>
    <row r="726" spans="1:45" s="125" customFormat="1" ht="25.5" customHeight="1">
      <c r="A726" s="216" t="s">
        <v>1442</v>
      </c>
      <c r="B726" s="217" t="str">
        <f t="shared" si="302"/>
        <v>Reg Asset254270800136BE030339</v>
      </c>
      <c r="C726" s="186">
        <v>254270</v>
      </c>
      <c r="D726" s="201">
        <v>800136</v>
      </c>
      <c r="E726" s="162" t="s">
        <v>3246</v>
      </c>
      <c r="F726" s="169" t="s">
        <v>334</v>
      </c>
      <c r="G726" s="117" t="s">
        <v>1546</v>
      </c>
      <c r="H726" s="118" t="s">
        <v>521</v>
      </c>
      <c r="I726" s="120"/>
      <c r="J726" s="120" t="s">
        <v>105</v>
      </c>
      <c r="K726" s="120" t="str">
        <f t="shared" si="298"/>
        <v/>
      </c>
      <c r="L726" s="170" t="s">
        <v>2817</v>
      </c>
      <c r="M726" s="122" t="str">
        <f t="shared" si="301"/>
        <v>N</v>
      </c>
      <c r="N726" s="116" t="str">
        <f>IF($L726&lt;&gt;"",VLOOKUP($L726,Categories!$E:$G,2,FALSE),IF($F726&lt;&gt;"","NO CAT",""))</f>
        <v>Not in Rate Base</v>
      </c>
      <c r="O726" s="116" t="str">
        <f>IF($L726&lt;&gt;"",VLOOKUP($L726,Categories!$E:$G,3,FALSE),IF($F726&lt;&gt;"","NO CAT",""))</f>
        <v>NM-2 ASGA</v>
      </c>
      <c r="P726" s="170" t="s">
        <v>1186</v>
      </c>
      <c r="Q726" s="123" t="s">
        <v>1187</v>
      </c>
      <c r="R726" s="124">
        <v>0</v>
      </c>
      <c r="S726" s="124">
        <v>0</v>
      </c>
      <c r="T726" s="124">
        <v>1</v>
      </c>
      <c r="U726" s="121">
        <f t="shared" si="303"/>
        <v>0</v>
      </c>
      <c r="V726" s="121">
        <f t="shared" si="304"/>
        <v>0</v>
      </c>
      <c r="W726" s="121">
        <f t="shared" si="305"/>
        <v>2500</v>
      </c>
      <c r="X726" s="121">
        <f t="shared" si="299"/>
        <v>2500</v>
      </c>
      <c r="Y726" s="121">
        <f t="shared" si="306"/>
        <v>0</v>
      </c>
      <c r="Z726" s="121">
        <f t="shared" si="307"/>
        <v>0</v>
      </c>
      <c r="AA726" s="121">
        <f t="shared" si="308"/>
        <v>2500</v>
      </c>
      <c r="AB726" s="121">
        <f t="shared" si="300"/>
        <v>2500</v>
      </c>
      <c r="AC726" s="121">
        <v>2500</v>
      </c>
      <c r="AD726" s="121">
        <v>2500</v>
      </c>
      <c r="AE726" s="121">
        <v>2500</v>
      </c>
      <c r="AF726" s="121">
        <v>2500</v>
      </c>
      <c r="AG726" s="121">
        <v>2500</v>
      </c>
      <c r="AH726" s="121">
        <v>2500</v>
      </c>
      <c r="AI726" s="121">
        <v>2500</v>
      </c>
      <c r="AJ726" s="121">
        <v>2500</v>
      </c>
      <c r="AK726" s="121">
        <v>2500</v>
      </c>
      <c r="AL726" s="121">
        <v>2500</v>
      </c>
      <c r="AM726" s="121">
        <v>2500</v>
      </c>
      <c r="AN726" s="121">
        <v>2500</v>
      </c>
      <c r="AO726" s="121">
        <v>2500</v>
      </c>
      <c r="AP726" s="125" t="str">
        <f>CONCATENATE(A726,M726)</f>
        <v>Reg AssetN</v>
      </c>
      <c r="AQ726" s="125" t="str">
        <f>CONCATENATE(AP726,L726,H726)</f>
        <v>Reg AssetNN8ASGA</v>
      </c>
      <c r="AS726" s="125" t="str">
        <f>CONCATENATE(L726,H726,J726)</f>
        <v>N8ASGANCR</v>
      </c>
    </row>
    <row r="727" spans="1:45" s="125" customFormat="1" ht="25.5" customHeight="1">
      <c r="A727" s="216" t="s">
        <v>1442</v>
      </c>
      <c r="B727" s="217" t="str">
        <f t="shared" si="302"/>
        <v>Reg Asset254270800137BE030328</v>
      </c>
      <c r="C727" s="186">
        <v>254270</v>
      </c>
      <c r="D727" s="201">
        <v>800137</v>
      </c>
      <c r="E727" s="162" t="s">
        <v>3245</v>
      </c>
      <c r="F727" s="169" t="s">
        <v>334</v>
      </c>
      <c r="G727" s="117" t="s">
        <v>1547</v>
      </c>
      <c r="H727" s="118" t="s">
        <v>521</v>
      </c>
      <c r="I727" s="120"/>
      <c r="J727" s="120" t="s">
        <v>105</v>
      </c>
      <c r="K727" s="120" t="str">
        <f t="shared" si="298"/>
        <v/>
      </c>
      <c r="L727" s="170" t="s">
        <v>2817</v>
      </c>
      <c r="M727" s="122" t="str">
        <f t="shared" si="301"/>
        <v>N</v>
      </c>
      <c r="N727" s="116" t="str">
        <f>IF($L727&lt;&gt;"",VLOOKUP($L727,Categories!$E:$G,2,FALSE),IF($F727&lt;&gt;"","NO CAT",""))</f>
        <v>Not in Rate Base</v>
      </c>
      <c r="O727" s="116" t="str">
        <f>IF($L727&lt;&gt;"",VLOOKUP($L727,Categories!$E:$G,3,FALSE),IF($F727&lt;&gt;"","NO CAT",""))</f>
        <v>NM-2 ASGA</v>
      </c>
      <c r="P727" s="170" t="s">
        <v>1186</v>
      </c>
      <c r="Q727" s="123" t="s">
        <v>1187</v>
      </c>
      <c r="R727" s="124">
        <v>0</v>
      </c>
      <c r="S727" s="124">
        <v>0</v>
      </c>
      <c r="T727" s="124">
        <v>1</v>
      </c>
      <c r="U727" s="121">
        <f t="shared" si="303"/>
        <v>0</v>
      </c>
      <c r="V727" s="121">
        <f t="shared" si="304"/>
        <v>0</v>
      </c>
      <c r="W727" s="121">
        <f t="shared" si="305"/>
        <v>6207.4048700000003</v>
      </c>
      <c r="X727" s="121">
        <f t="shared" si="299"/>
        <v>6207.4048700000003</v>
      </c>
      <c r="Y727" s="121">
        <f t="shared" si="306"/>
        <v>0</v>
      </c>
      <c r="Z727" s="121">
        <f t="shared" si="307"/>
        <v>0</v>
      </c>
      <c r="AA727" s="121">
        <f t="shared" si="308"/>
        <v>6207.4048700000003</v>
      </c>
      <c r="AB727" s="121">
        <f t="shared" si="300"/>
        <v>6207.4048700000003</v>
      </c>
      <c r="AC727" s="121">
        <v>6207.4048700000003</v>
      </c>
      <c r="AD727" s="121">
        <v>6207.4048700000003</v>
      </c>
      <c r="AE727" s="121">
        <v>6207.4048700000003</v>
      </c>
      <c r="AF727" s="121">
        <v>6207.4048700000003</v>
      </c>
      <c r="AG727" s="121">
        <v>6207.4048700000003</v>
      </c>
      <c r="AH727" s="121">
        <v>6207.4048700000003</v>
      </c>
      <c r="AI727" s="121">
        <v>6207.4048700000003</v>
      </c>
      <c r="AJ727" s="121">
        <v>6207.4048700000003</v>
      </c>
      <c r="AK727" s="121">
        <v>6207.4048700000003</v>
      </c>
      <c r="AL727" s="121">
        <v>6207.4048700000003</v>
      </c>
      <c r="AM727" s="121">
        <v>6207.4048700000003</v>
      </c>
      <c r="AN727" s="121">
        <v>6207.4048700000003</v>
      </c>
      <c r="AO727" s="121">
        <v>6207.4048700000003</v>
      </c>
      <c r="AP727" s="125" t="str">
        <f>CONCATENATE(A727,M727)</f>
        <v>Reg AssetN</v>
      </c>
      <c r="AQ727" s="125" t="str">
        <f>CONCATENATE(AP727,L727,H727)</f>
        <v>Reg AssetNN8ASGA</v>
      </c>
      <c r="AS727" s="125" t="str">
        <f>CONCATENATE(L727,H727,J727)</f>
        <v>N8ASGANCR</v>
      </c>
    </row>
    <row r="728" spans="1:45" s="125" customFormat="1" ht="25.5" customHeight="1">
      <c r="A728" s="216" t="s">
        <v>1442</v>
      </c>
      <c r="B728" s="217" t="str">
        <f t="shared" si="302"/>
        <v>Reg Asset254270800143BE030291</v>
      </c>
      <c r="C728" s="186">
        <v>254270</v>
      </c>
      <c r="D728" s="201">
        <v>800143</v>
      </c>
      <c r="E728" s="162" t="s">
        <v>3248</v>
      </c>
      <c r="F728" s="169" t="s">
        <v>334</v>
      </c>
      <c r="G728" s="117" t="s">
        <v>2995</v>
      </c>
      <c r="H728" s="118" t="s">
        <v>521</v>
      </c>
      <c r="I728" s="120"/>
      <c r="J728" s="120" t="s">
        <v>105</v>
      </c>
      <c r="K728" s="120" t="str">
        <f t="shared" si="298"/>
        <v/>
      </c>
      <c r="L728" s="170" t="s">
        <v>2817</v>
      </c>
      <c r="M728" s="122" t="str">
        <f t="shared" si="301"/>
        <v>N</v>
      </c>
      <c r="N728" s="116" t="str">
        <f>IF($L728&lt;&gt;"",VLOOKUP($L728,Categories!$E:$G,2,FALSE),IF($F728&lt;&gt;"","NO CAT",""))</f>
        <v>Not in Rate Base</v>
      </c>
      <c r="O728" s="116" t="str">
        <f>IF($L728&lt;&gt;"",VLOOKUP($L728,Categories!$E:$G,3,FALSE),IF($F728&lt;&gt;"","NO CAT",""))</f>
        <v>NM-2 ASGA</v>
      </c>
      <c r="P728" s="170" t="s">
        <v>1186</v>
      </c>
      <c r="Q728" s="123" t="s">
        <v>1187</v>
      </c>
      <c r="R728" s="124">
        <v>0</v>
      </c>
      <c r="S728" s="124">
        <v>0</v>
      </c>
      <c r="T728" s="124">
        <v>1</v>
      </c>
      <c r="U728" s="121">
        <f t="shared" si="303"/>
        <v>0</v>
      </c>
      <c r="V728" s="121">
        <f t="shared" si="304"/>
        <v>0</v>
      </c>
      <c r="W728" s="121">
        <f t="shared" si="305"/>
        <v>-1652.7967699999999</v>
      </c>
      <c r="X728" s="121">
        <f t="shared" si="299"/>
        <v>-1652.7967699999999</v>
      </c>
      <c r="Y728" s="121">
        <f t="shared" si="306"/>
        <v>0</v>
      </c>
      <c r="Z728" s="121">
        <f t="shared" si="307"/>
        <v>0</v>
      </c>
      <c r="AA728" s="121">
        <f t="shared" si="308"/>
        <v>-1652.7967699999999</v>
      </c>
      <c r="AB728" s="121">
        <f t="shared" si="300"/>
        <v>-1652.7967699999999</v>
      </c>
      <c r="AC728" s="121">
        <v>-1652.7967699999999</v>
      </c>
      <c r="AD728" s="121">
        <v>-1652.7967699999999</v>
      </c>
      <c r="AE728" s="121">
        <v>-1652.7967699999999</v>
      </c>
      <c r="AF728" s="121">
        <v>-1652.7967699999999</v>
      </c>
      <c r="AG728" s="121">
        <v>-1652.7967699999999</v>
      </c>
      <c r="AH728" s="121">
        <v>-1652.7967699999999</v>
      </c>
      <c r="AI728" s="121">
        <v>-1652.7967699999999</v>
      </c>
      <c r="AJ728" s="121">
        <v>-1652.7967699999999</v>
      </c>
      <c r="AK728" s="121">
        <v>-1652.7967699999999</v>
      </c>
      <c r="AL728" s="121">
        <v>-1652.7967699999999</v>
      </c>
      <c r="AM728" s="121">
        <v>-1652.7967699999999</v>
      </c>
      <c r="AN728" s="121">
        <v>-1652.7967699999999</v>
      </c>
      <c r="AO728" s="121">
        <v>-1652.7967699999999</v>
      </c>
      <c r="AP728" s="125" t="str">
        <f>CONCATENATE(A728,M728)</f>
        <v>Reg AssetN</v>
      </c>
      <c r="AQ728" s="125" t="str">
        <f>CONCATENATE(AP728,L728,H728)</f>
        <v>Reg AssetNN8ASGA</v>
      </c>
      <c r="AS728" s="125" t="str">
        <f>CONCATENATE(L728,H728,J728)</f>
        <v>N8ASGANCR</v>
      </c>
    </row>
    <row r="729" spans="1:45" s="125" customFormat="1" ht="25.5" customHeight="1">
      <c r="A729" s="216" t="s">
        <v>1442</v>
      </c>
      <c r="B729" s="217" t="str">
        <f t="shared" si="302"/>
        <v>Reg Asset254270800144BE030291</v>
      </c>
      <c r="C729" s="186">
        <v>254270</v>
      </c>
      <c r="D729" s="201">
        <v>800144</v>
      </c>
      <c r="E729" s="162" t="s">
        <v>3248</v>
      </c>
      <c r="F729" s="169" t="s">
        <v>334</v>
      </c>
      <c r="G729" s="117" t="s">
        <v>564</v>
      </c>
      <c r="H729" s="118" t="s">
        <v>521</v>
      </c>
      <c r="I729" s="120"/>
      <c r="J729" s="120" t="s">
        <v>105</v>
      </c>
      <c r="K729" s="120" t="str">
        <f t="shared" si="298"/>
        <v/>
      </c>
      <c r="L729" s="170" t="s">
        <v>2817</v>
      </c>
      <c r="M729" s="122" t="str">
        <f t="shared" si="301"/>
        <v>N</v>
      </c>
      <c r="N729" s="116" t="str">
        <f>IF($L729&lt;&gt;"",VLOOKUP($L729,Categories!$E:$G,2,FALSE),IF($F729&lt;&gt;"","NO CAT",""))</f>
        <v>Not in Rate Base</v>
      </c>
      <c r="O729" s="116" t="str">
        <f>IF($L729&lt;&gt;"",VLOOKUP($L729,Categories!$E:$G,3,FALSE),IF($F729&lt;&gt;"","NO CAT",""))</f>
        <v>NM-2 ASGA</v>
      </c>
      <c r="P729" s="170" t="s">
        <v>1186</v>
      </c>
      <c r="Q729" s="123" t="s">
        <v>1187</v>
      </c>
      <c r="R729" s="124">
        <v>0</v>
      </c>
      <c r="S729" s="124">
        <v>0</v>
      </c>
      <c r="T729" s="124">
        <v>1</v>
      </c>
      <c r="U729" s="121">
        <f t="shared" si="303"/>
        <v>0</v>
      </c>
      <c r="V729" s="121">
        <f t="shared" si="304"/>
        <v>0</v>
      </c>
      <c r="W729" s="121">
        <f t="shared" si="305"/>
        <v>-2655.9602399999999</v>
      </c>
      <c r="X729" s="121">
        <f t="shared" si="299"/>
        <v>-2655.9602399999999</v>
      </c>
      <c r="Y729" s="121">
        <f t="shared" si="306"/>
        <v>0</v>
      </c>
      <c r="Z729" s="121">
        <f t="shared" si="307"/>
        <v>0</v>
      </c>
      <c r="AA729" s="121">
        <f t="shared" si="308"/>
        <v>-2655.9602399999999</v>
      </c>
      <c r="AB729" s="121">
        <f t="shared" si="300"/>
        <v>-2655.9602400000003</v>
      </c>
      <c r="AC729" s="121">
        <v>-2655.9602400000003</v>
      </c>
      <c r="AD729" s="121">
        <v>-2655.9602400000003</v>
      </c>
      <c r="AE729" s="121">
        <v>-2655.9602400000003</v>
      </c>
      <c r="AF729" s="121">
        <v>-2655.9602400000003</v>
      </c>
      <c r="AG729" s="121">
        <v>-2655.9602400000003</v>
      </c>
      <c r="AH729" s="121">
        <v>-2655.9602400000003</v>
      </c>
      <c r="AI729" s="121">
        <v>-2655.9602400000003</v>
      </c>
      <c r="AJ729" s="121">
        <v>-2655.9602400000003</v>
      </c>
      <c r="AK729" s="121">
        <v>-2655.9602400000003</v>
      </c>
      <c r="AL729" s="121">
        <v>-2655.9602400000003</v>
      </c>
      <c r="AM729" s="121">
        <v>-2655.9602400000003</v>
      </c>
      <c r="AN729" s="121">
        <v>-2655.9602400000003</v>
      </c>
      <c r="AO729" s="121">
        <v>-2655.9602400000003</v>
      </c>
      <c r="AP729" s="125" t="str">
        <f>CONCATENATE(A729,M729)</f>
        <v>Reg AssetN</v>
      </c>
      <c r="AQ729" s="125" t="str">
        <f>CONCATENATE(AP729,L729,H729)</f>
        <v>Reg AssetNN8ASGA</v>
      </c>
      <c r="AS729" s="125" t="str">
        <f>CONCATENATE(L729,H729,J729)</f>
        <v>N8ASGANCR</v>
      </c>
    </row>
    <row r="730" spans="1:45" s="125" customFormat="1" ht="25.5" customHeight="1">
      <c r="A730" s="216" t="s">
        <v>1442</v>
      </c>
      <c r="B730" s="217" t="str">
        <f t="shared" si="302"/>
        <v>Reg Asset254270800145BE030355</v>
      </c>
      <c r="C730" s="186">
        <v>254270</v>
      </c>
      <c r="D730" s="201">
        <v>800145</v>
      </c>
      <c r="E730" s="162" t="s">
        <v>3247</v>
      </c>
      <c r="F730" s="169" t="s">
        <v>334</v>
      </c>
      <c r="G730" s="117" t="s">
        <v>514</v>
      </c>
      <c r="H730" s="118" t="s">
        <v>521</v>
      </c>
      <c r="I730" s="120"/>
      <c r="J730" s="120" t="s">
        <v>105</v>
      </c>
      <c r="K730" s="120" t="str">
        <f t="shared" si="298"/>
        <v/>
      </c>
      <c r="L730" s="170" t="s">
        <v>2817</v>
      </c>
      <c r="M730" s="122" t="str">
        <f t="shared" si="301"/>
        <v>N</v>
      </c>
      <c r="N730" s="116" t="str">
        <f>IF($L730&lt;&gt;"",VLOOKUP($L730,Categories!$E:$G,2,FALSE),IF($F730&lt;&gt;"","NO CAT",""))</f>
        <v>Not in Rate Base</v>
      </c>
      <c r="O730" s="116" t="str">
        <f>IF($L730&lt;&gt;"",VLOOKUP($L730,Categories!$E:$G,3,FALSE),IF($F730&lt;&gt;"","NO CAT",""))</f>
        <v>NM-2 ASGA</v>
      </c>
      <c r="P730" s="170" t="s">
        <v>1186</v>
      </c>
      <c r="Q730" s="123" t="s">
        <v>1187</v>
      </c>
      <c r="R730" s="124">
        <v>0</v>
      </c>
      <c r="S730" s="124">
        <v>0</v>
      </c>
      <c r="T730" s="124">
        <v>1</v>
      </c>
      <c r="U730" s="121">
        <f t="shared" si="303"/>
        <v>0</v>
      </c>
      <c r="V730" s="121">
        <f t="shared" si="304"/>
        <v>0</v>
      </c>
      <c r="W730" s="121">
        <f t="shared" si="305"/>
        <v>120.6044</v>
      </c>
      <c r="X730" s="121">
        <f t="shared" si="299"/>
        <v>120.6044</v>
      </c>
      <c r="Y730" s="121">
        <f t="shared" si="306"/>
        <v>0</v>
      </c>
      <c r="Z730" s="121">
        <f t="shared" si="307"/>
        <v>0</v>
      </c>
      <c r="AA730" s="121">
        <f t="shared" si="308"/>
        <v>120.6044</v>
      </c>
      <c r="AB730" s="121">
        <f t="shared" si="300"/>
        <v>120.6044</v>
      </c>
      <c r="AC730" s="121">
        <v>120.6044</v>
      </c>
      <c r="AD730" s="121">
        <v>120.6044</v>
      </c>
      <c r="AE730" s="121">
        <v>120.6044</v>
      </c>
      <c r="AF730" s="121">
        <v>120.6044</v>
      </c>
      <c r="AG730" s="121">
        <v>120.6044</v>
      </c>
      <c r="AH730" s="121">
        <v>120.6044</v>
      </c>
      <c r="AI730" s="121">
        <v>120.6044</v>
      </c>
      <c r="AJ730" s="121">
        <v>120.6044</v>
      </c>
      <c r="AK730" s="121">
        <v>120.6044</v>
      </c>
      <c r="AL730" s="121">
        <v>120.6044</v>
      </c>
      <c r="AM730" s="121">
        <v>120.6044</v>
      </c>
      <c r="AN730" s="121">
        <v>120.6044</v>
      </c>
      <c r="AO730" s="121">
        <v>120.6044</v>
      </c>
      <c r="AP730" s="125" t="str">
        <f>CONCATENATE(A730,M730)</f>
        <v>Reg AssetN</v>
      </c>
      <c r="AQ730" s="125" t="str">
        <f>CONCATENATE(AP730,L730,H730)</f>
        <v>Reg AssetNN8ASGA</v>
      </c>
      <c r="AS730" s="125" t="str">
        <f>CONCATENATE(L730,H730,J730)</f>
        <v>N8ASGANCR</v>
      </c>
    </row>
    <row r="731" spans="1:45" s="125" customFormat="1" ht="25.5" customHeight="1">
      <c r="A731" s="216" t="s">
        <v>1442</v>
      </c>
      <c r="B731" s="217" t="str">
        <f t="shared" si="302"/>
        <v>Reg Asset254270800146BE030355</v>
      </c>
      <c r="C731" s="186">
        <v>254270</v>
      </c>
      <c r="D731" s="201">
        <v>800146</v>
      </c>
      <c r="E731" s="162" t="s">
        <v>3247</v>
      </c>
      <c r="F731" s="169" t="s">
        <v>334</v>
      </c>
      <c r="G731" s="117" t="s">
        <v>675</v>
      </c>
      <c r="H731" s="118" t="s">
        <v>521</v>
      </c>
      <c r="I731" s="120"/>
      <c r="J731" s="120" t="s">
        <v>105</v>
      </c>
      <c r="K731" s="120" t="str">
        <f t="shared" si="298"/>
        <v/>
      </c>
      <c r="L731" s="170" t="s">
        <v>2817</v>
      </c>
      <c r="M731" s="122" t="str">
        <f t="shared" si="301"/>
        <v>N</v>
      </c>
      <c r="N731" s="116" t="str">
        <f>IF($L731&lt;&gt;"",VLOOKUP($L731,Categories!$E:$G,2,FALSE),IF($F731&lt;&gt;"","NO CAT",""))</f>
        <v>Not in Rate Base</v>
      </c>
      <c r="O731" s="116" t="str">
        <f>IF($L731&lt;&gt;"",VLOOKUP($L731,Categories!$E:$G,3,FALSE),IF($F731&lt;&gt;"","NO CAT",""))</f>
        <v>NM-2 ASGA</v>
      </c>
      <c r="P731" s="170" t="s">
        <v>1186</v>
      </c>
      <c r="Q731" s="123" t="s">
        <v>1187</v>
      </c>
      <c r="R731" s="124">
        <v>0</v>
      </c>
      <c r="S731" s="124">
        <v>0</v>
      </c>
      <c r="T731" s="124">
        <v>1</v>
      </c>
      <c r="U731" s="121">
        <f t="shared" si="303"/>
        <v>0</v>
      </c>
      <c r="V731" s="121">
        <f t="shared" si="304"/>
        <v>0</v>
      </c>
      <c r="W731" s="121">
        <f t="shared" si="305"/>
        <v>-1522.46417</v>
      </c>
      <c r="X731" s="121">
        <f t="shared" si="299"/>
        <v>-1522.46417</v>
      </c>
      <c r="Y731" s="121">
        <f t="shared" si="306"/>
        <v>0</v>
      </c>
      <c r="Z731" s="121">
        <f t="shared" si="307"/>
        <v>0</v>
      </c>
      <c r="AA731" s="121">
        <f t="shared" si="308"/>
        <v>-1522.46417</v>
      </c>
      <c r="AB731" s="121">
        <f t="shared" si="300"/>
        <v>-1522.46417</v>
      </c>
      <c r="AC731" s="121">
        <v>-1522.46417</v>
      </c>
      <c r="AD731" s="121">
        <v>-1522.46417</v>
      </c>
      <c r="AE731" s="121">
        <v>-1522.46417</v>
      </c>
      <c r="AF731" s="121">
        <v>-1522.46417</v>
      </c>
      <c r="AG731" s="121">
        <v>-1522.46417</v>
      </c>
      <c r="AH731" s="121">
        <v>-1522.46417</v>
      </c>
      <c r="AI731" s="121">
        <v>-1522.46417</v>
      </c>
      <c r="AJ731" s="121">
        <v>-1522.46417</v>
      </c>
      <c r="AK731" s="121">
        <v>-1522.46417</v>
      </c>
      <c r="AL731" s="121">
        <v>-1522.46417</v>
      </c>
      <c r="AM731" s="121">
        <v>-1522.46417</v>
      </c>
      <c r="AN731" s="121">
        <v>-1522.46417</v>
      </c>
      <c r="AO731" s="121">
        <v>-1522.46417</v>
      </c>
      <c r="AP731" s="125" t="str">
        <f>CONCATENATE(A731,M731)</f>
        <v>Reg AssetN</v>
      </c>
      <c r="AQ731" s="125" t="str">
        <f>CONCATENATE(AP731,L731,H731)</f>
        <v>Reg AssetNN8ASGA</v>
      </c>
      <c r="AS731" s="125" t="str">
        <f>CONCATENATE(L731,H731,J731)</f>
        <v>N8ASGANCR</v>
      </c>
    </row>
    <row r="732" spans="1:45" s="125" customFormat="1" ht="25.5" customHeight="1">
      <c r="A732" s="216" t="s">
        <v>1442</v>
      </c>
      <c r="B732" s="217" t="str">
        <f t="shared" si="302"/>
        <v>Reg Asset254270800165BE030356</v>
      </c>
      <c r="C732" s="186">
        <v>254270</v>
      </c>
      <c r="D732" s="201">
        <v>800165</v>
      </c>
      <c r="E732" s="162" t="s">
        <v>3268</v>
      </c>
      <c r="F732" s="169" t="s">
        <v>334</v>
      </c>
      <c r="G732" s="117" t="s">
        <v>586</v>
      </c>
      <c r="H732" s="118" t="s">
        <v>521</v>
      </c>
      <c r="I732" s="120"/>
      <c r="J732" s="120" t="s">
        <v>105</v>
      </c>
      <c r="K732" s="120" t="str">
        <f t="shared" si="298"/>
        <v/>
      </c>
      <c r="L732" s="170" t="s">
        <v>2817</v>
      </c>
      <c r="M732" s="122" t="str">
        <f t="shared" si="301"/>
        <v>N</v>
      </c>
      <c r="N732" s="116" t="str">
        <f>IF($L732&lt;&gt;"",VLOOKUP($L732,Categories!$E:$G,2,FALSE),IF($F732&lt;&gt;"","NO CAT",""))</f>
        <v>Not in Rate Base</v>
      </c>
      <c r="O732" s="116" t="str">
        <f>IF($L732&lt;&gt;"",VLOOKUP($L732,Categories!$E:$G,3,FALSE),IF($F732&lt;&gt;"","NO CAT",""))</f>
        <v>NM-2 ASGA</v>
      </c>
      <c r="P732" s="170" t="s">
        <v>1186</v>
      </c>
      <c r="Q732" s="123" t="s">
        <v>1187</v>
      </c>
      <c r="R732" s="124">
        <v>0</v>
      </c>
      <c r="S732" s="124">
        <v>0</v>
      </c>
      <c r="T732" s="124">
        <v>1</v>
      </c>
      <c r="U732" s="121">
        <f t="shared" si="303"/>
        <v>0</v>
      </c>
      <c r="V732" s="121">
        <f t="shared" si="304"/>
        <v>0</v>
      </c>
      <c r="W732" s="121">
        <f t="shared" si="305"/>
        <v>-2750</v>
      </c>
      <c r="X732" s="121">
        <f t="shared" si="299"/>
        <v>-2750</v>
      </c>
      <c r="Y732" s="121">
        <f t="shared" si="306"/>
        <v>0</v>
      </c>
      <c r="Z732" s="121">
        <f t="shared" si="307"/>
        <v>0</v>
      </c>
      <c r="AA732" s="121">
        <f t="shared" si="308"/>
        <v>-2750</v>
      </c>
      <c r="AB732" s="121">
        <f t="shared" si="300"/>
        <v>-2750</v>
      </c>
      <c r="AC732" s="121">
        <v>-2750</v>
      </c>
      <c r="AD732" s="121">
        <v>-2750</v>
      </c>
      <c r="AE732" s="121">
        <v>-2750</v>
      </c>
      <c r="AF732" s="121">
        <v>-2750</v>
      </c>
      <c r="AG732" s="121">
        <v>-2750</v>
      </c>
      <c r="AH732" s="121">
        <v>-2750</v>
      </c>
      <c r="AI732" s="121">
        <v>-2750</v>
      </c>
      <c r="AJ732" s="121">
        <v>-2750</v>
      </c>
      <c r="AK732" s="121">
        <v>-2750</v>
      </c>
      <c r="AL732" s="121">
        <v>-2750</v>
      </c>
      <c r="AM732" s="121">
        <v>-2750</v>
      </c>
      <c r="AN732" s="121">
        <v>-2750</v>
      </c>
      <c r="AO732" s="121">
        <v>-2750</v>
      </c>
      <c r="AP732" s="125" t="str">
        <f>CONCATENATE(A732,M732)</f>
        <v>Reg AssetN</v>
      </c>
      <c r="AQ732" s="125" t="str">
        <f>CONCATENATE(AP732,L732,H732)</f>
        <v>Reg AssetNN8ASGA</v>
      </c>
      <c r="AS732" s="125" t="str">
        <f>CONCATENATE(L732,H732,J732)</f>
        <v>N8ASGANCR</v>
      </c>
    </row>
    <row r="733" spans="1:45" s="125" customFormat="1" ht="25.5" customHeight="1">
      <c r="A733" s="216" t="s">
        <v>1442</v>
      </c>
      <c r="B733" s="217" t="str">
        <f t="shared" si="302"/>
        <v>Reg Asset254270800170BE030357</v>
      </c>
      <c r="C733" s="186">
        <v>254270</v>
      </c>
      <c r="D733" s="201">
        <v>800170</v>
      </c>
      <c r="E733" s="162" t="s">
        <v>3269</v>
      </c>
      <c r="F733" s="169" t="s">
        <v>334</v>
      </c>
      <c r="G733" s="117" t="s">
        <v>676</v>
      </c>
      <c r="H733" s="118" t="s">
        <v>521</v>
      </c>
      <c r="I733" s="120"/>
      <c r="J733" s="120" t="s">
        <v>105</v>
      </c>
      <c r="K733" s="120" t="str">
        <f t="shared" si="298"/>
        <v/>
      </c>
      <c r="L733" s="170" t="s">
        <v>2817</v>
      </c>
      <c r="M733" s="122" t="str">
        <f t="shared" si="301"/>
        <v>N</v>
      </c>
      <c r="N733" s="116" t="str">
        <f>IF($L733&lt;&gt;"",VLOOKUP($L733,Categories!$E:$G,2,FALSE),IF($F733&lt;&gt;"","NO CAT",""))</f>
        <v>Not in Rate Base</v>
      </c>
      <c r="O733" s="116" t="str">
        <f>IF($L733&lt;&gt;"",VLOOKUP($L733,Categories!$E:$G,3,FALSE),IF($F733&lt;&gt;"","NO CAT",""))</f>
        <v>NM-2 ASGA</v>
      </c>
      <c r="P733" s="170" t="s">
        <v>1186</v>
      </c>
      <c r="Q733" s="123" t="s">
        <v>1187</v>
      </c>
      <c r="R733" s="124">
        <v>0</v>
      </c>
      <c r="S733" s="124">
        <v>0</v>
      </c>
      <c r="T733" s="124">
        <v>1</v>
      </c>
      <c r="U733" s="121">
        <f t="shared" si="303"/>
        <v>0</v>
      </c>
      <c r="V733" s="121">
        <f t="shared" si="304"/>
        <v>0</v>
      </c>
      <c r="W733" s="121">
        <f t="shared" si="305"/>
        <v>33776.969669999999</v>
      </c>
      <c r="X733" s="121">
        <f t="shared" si="299"/>
        <v>33776.969669999999</v>
      </c>
      <c r="Y733" s="121">
        <f t="shared" si="306"/>
        <v>0</v>
      </c>
      <c r="Z733" s="121">
        <f t="shared" si="307"/>
        <v>0</v>
      </c>
      <c r="AA733" s="121">
        <f t="shared" si="308"/>
        <v>33776.969669999999</v>
      </c>
      <c r="AB733" s="121">
        <f t="shared" si="300"/>
        <v>33776.969669999999</v>
      </c>
      <c r="AC733" s="121">
        <v>33776.969669999999</v>
      </c>
      <c r="AD733" s="121">
        <v>33776.969669999999</v>
      </c>
      <c r="AE733" s="121">
        <v>33776.969669999999</v>
      </c>
      <c r="AF733" s="121">
        <v>33776.969669999999</v>
      </c>
      <c r="AG733" s="121">
        <v>33776.969669999999</v>
      </c>
      <c r="AH733" s="121">
        <v>33776.969669999999</v>
      </c>
      <c r="AI733" s="121">
        <v>33776.969669999999</v>
      </c>
      <c r="AJ733" s="121">
        <v>33776.969669999999</v>
      </c>
      <c r="AK733" s="121">
        <v>33776.969669999999</v>
      </c>
      <c r="AL733" s="121">
        <v>33776.969669999999</v>
      </c>
      <c r="AM733" s="121">
        <v>33776.969669999999</v>
      </c>
      <c r="AN733" s="121">
        <v>33776.969669999999</v>
      </c>
      <c r="AO733" s="121">
        <v>33776.969669999999</v>
      </c>
      <c r="AP733" s="125" t="str">
        <f>CONCATENATE(A733,M733)</f>
        <v>Reg AssetN</v>
      </c>
      <c r="AQ733" s="125" t="str">
        <f>CONCATENATE(AP733,L733,H733)</f>
        <v>Reg AssetNN8ASGA</v>
      </c>
      <c r="AS733" s="125" t="str">
        <f>CONCATENATE(L733,H733,J733)</f>
        <v>N8ASGANCR</v>
      </c>
    </row>
    <row r="734" spans="1:45" s="125" customFormat="1" ht="25.5" customHeight="1">
      <c r="A734" s="216" t="s">
        <v>1442</v>
      </c>
      <c r="B734" s="217" t="str">
        <f t="shared" si="302"/>
        <v>Reg Asset254270800183BE030291</v>
      </c>
      <c r="C734" s="186">
        <v>254270</v>
      </c>
      <c r="D734" s="201" t="s">
        <v>2276</v>
      </c>
      <c r="E734" s="162" t="s">
        <v>3248</v>
      </c>
      <c r="F734" s="169" t="s">
        <v>334</v>
      </c>
      <c r="G734" s="117" t="s">
        <v>1594</v>
      </c>
      <c r="H734" s="118" t="s">
        <v>521</v>
      </c>
      <c r="I734" s="120"/>
      <c r="J734" s="120" t="s">
        <v>105</v>
      </c>
      <c r="K734" s="120" t="str">
        <f t="shared" si="298"/>
        <v/>
      </c>
      <c r="L734" s="170" t="s">
        <v>2817</v>
      </c>
      <c r="M734" s="122" t="str">
        <f t="shared" si="301"/>
        <v>N</v>
      </c>
      <c r="N734" s="116" t="str">
        <f>IF($L734&lt;&gt;"",VLOOKUP($L734,Categories!$E:$G,2,FALSE),IF($F734&lt;&gt;"","NO CAT",""))</f>
        <v>Not in Rate Base</v>
      </c>
      <c r="O734" s="116" t="str">
        <f>IF($L734&lt;&gt;"",VLOOKUP($L734,Categories!$E:$G,3,FALSE),IF($F734&lt;&gt;"","NO CAT",""))</f>
        <v>NM-2 ASGA</v>
      </c>
      <c r="P734" s="170" t="s">
        <v>1186</v>
      </c>
      <c r="Q734" s="123" t="s">
        <v>1187</v>
      </c>
      <c r="R734" s="124">
        <v>0</v>
      </c>
      <c r="S734" s="124">
        <v>0</v>
      </c>
      <c r="T734" s="124">
        <v>1</v>
      </c>
      <c r="U734" s="121">
        <f t="shared" si="303"/>
        <v>0</v>
      </c>
      <c r="V734" s="121">
        <f t="shared" si="304"/>
        <v>0</v>
      </c>
      <c r="W734" s="121">
        <f t="shared" si="305"/>
        <v>540.76097000000004</v>
      </c>
      <c r="X734" s="121">
        <f t="shared" si="299"/>
        <v>540.76097000000004</v>
      </c>
      <c r="Y734" s="121">
        <f t="shared" si="306"/>
        <v>0</v>
      </c>
      <c r="Z734" s="121">
        <f t="shared" si="307"/>
        <v>0</v>
      </c>
      <c r="AA734" s="121">
        <f t="shared" si="308"/>
        <v>540.76097000000004</v>
      </c>
      <c r="AB734" s="121">
        <f t="shared" si="300"/>
        <v>540.76096999999993</v>
      </c>
      <c r="AC734" s="121">
        <v>540.76096999999993</v>
      </c>
      <c r="AD734" s="121">
        <v>540.76096999999993</v>
      </c>
      <c r="AE734" s="121">
        <v>540.76096999999993</v>
      </c>
      <c r="AF734" s="121">
        <v>540.76096999999993</v>
      </c>
      <c r="AG734" s="121">
        <v>540.76096999999993</v>
      </c>
      <c r="AH734" s="121">
        <v>540.76096999999993</v>
      </c>
      <c r="AI734" s="121">
        <v>540.76096999999993</v>
      </c>
      <c r="AJ734" s="121">
        <v>540.76096999999993</v>
      </c>
      <c r="AK734" s="121">
        <v>540.76096999999993</v>
      </c>
      <c r="AL734" s="121">
        <v>540.76096999999993</v>
      </c>
      <c r="AM734" s="121">
        <v>540.76096999999993</v>
      </c>
      <c r="AN734" s="121">
        <v>540.76096999999993</v>
      </c>
      <c r="AO734" s="121">
        <v>540.76096999999993</v>
      </c>
      <c r="AP734" s="125" t="str">
        <f>CONCATENATE(A734,M734)</f>
        <v>Reg AssetN</v>
      </c>
      <c r="AQ734" s="125" t="str">
        <f>CONCATENATE(AP734,L734,H734)</f>
        <v>Reg AssetNN8ASGA</v>
      </c>
      <c r="AS734" s="125" t="str">
        <f>CONCATENATE(L734,H734,J734)</f>
        <v>N8ASGANCR</v>
      </c>
    </row>
    <row r="735" spans="1:45" s="125" customFormat="1" ht="25.5" customHeight="1">
      <c r="A735" s="216" t="s">
        <v>1442</v>
      </c>
      <c r="B735" s="217" t="str">
        <f t="shared" si="302"/>
        <v>Reg Asset254270807006BE030357</v>
      </c>
      <c r="C735" s="186">
        <v>254270</v>
      </c>
      <c r="D735" s="201" t="s">
        <v>1595</v>
      </c>
      <c r="E735" s="162" t="s">
        <v>3269</v>
      </c>
      <c r="F735" s="169" t="s">
        <v>334</v>
      </c>
      <c r="G735" s="117" t="s">
        <v>1596</v>
      </c>
      <c r="H735" s="118" t="s">
        <v>521</v>
      </c>
      <c r="I735" s="120"/>
      <c r="J735" s="120" t="s">
        <v>105</v>
      </c>
      <c r="K735" s="120" t="str">
        <f t="shared" si="298"/>
        <v/>
      </c>
      <c r="L735" s="170" t="s">
        <v>2817</v>
      </c>
      <c r="M735" s="122" t="str">
        <f t="shared" si="301"/>
        <v>N</v>
      </c>
      <c r="N735" s="116" t="str">
        <f>IF($L735&lt;&gt;"",VLOOKUP($L735,Categories!$E:$G,2,FALSE),IF($F735&lt;&gt;"","NO CAT",""))</f>
        <v>Not in Rate Base</v>
      </c>
      <c r="O735" s="116" t="str">
        <f>IF($L735&lt;&gt;"",VLOOKUP($L735,Categories!$E:$G,3,FALSE),IF($F735&lt;&gt;"","NO CAT",""))</f>
        <v>NM-2 ASGA</v>
      </c>
      <c r="P735" s="170" t="s">
        <v>1186</v>
      </c>
      <c r="Q735" s="123" t="s">
        <v>1187</v>
      </c>
      <c r="R735" s="124">
        <v>0</v>
      </c>
      <c r="S735" s="124">
        <v>0</v>
      </c>
      <c r="T735" s="124">
        <v>1</v>
      </c>
      <c r="U735" s="121">
        <f t="shared" si="303"/>
        <v>0</v>
      </c>
      <c r="V735" s="121">
        <f t="shared" si="304"/>
        <v>0</v>
      </c>
      <c r="W735" s="121">
        <f t="shared" si="305"/>
        <v>-260</v>
      </c>
      <c r="X735" s="121">
        <f t="shared" si="299"/>
        <v>-260</v>
      </c>
      <c r="Y735" s="121">
        <f t="shared" si="306"/>
        <v>0</v>
      </c>
      <c r="Z735" s="121">
        <f t="shared" si="307"/>
        <v>0</v>
      </c>
      <c r="AA735" s="121">
        <f t="shared" si="308"/>
        <v>-260</v>
      </c>
      <c r="AB735" s="121">
        <f t="shared" si="300"/>
        <v>-260</v>
      </c>
      <c r="AC735" s="121">
        <v>-260</v>
      </c>
      <c r="AD735" s="121">
        <v>-260</v>
      </c>
      <c r="AE735" s="121">
        <v>-260</v>
      </c>
      <c r="AF735" s="121">
        <v>-260</v>
      </c>
      <c r="AG735" s="121">
        <v>-260</v>
      </c>
      <c r="AH735" s="121">
        <v>-260</v>
      </c>
      <c r="AI735" s="121">
        <v>-260</v>
      </c>
      <c r="AJ735" s="121">
        <v>-260</v>
      </c>
      <c r="AK735" s="121">
        <v>-260</v>
      </c>
      <c r="AL735" s="121">
        <v>-260</v>
      </c>
      <c r="AM735" s="121">
        <v>-260</v>
      </c>
      <c r="AN735" s="121">
        <v>-260</v>
      </c>
      <c r="AO735" s="121">
        <v>-260</v>
      </c>
      <c r="AP735" s="125" t="str">
        <f>CONCATENATE(A735,M735)</f>
        <v>Reg AssetN</v>
      </c>
      <c r="AQ735" s="125" t="str">
        <f>CONCATENATE(AP735,L735,H735)</f>
        <v>Reg AssetNN8ASGA</v>
      </c>
      <c r="AS735" s="125" t="str">
        <f>CONCATENATE(L735,H735,J735)</f>
        <v>N8ASGANCR</v>
      </c>
    </row>
    <row r="736" spans="1:45" s="125" customFormat="1" ht="25.5" customHeight="1">
      <c r="A736" s="216" t="s">
        <v>1442</v>
      </c>
      <c r="B736" s="217" t="str">
        <f t="shared" si="302"/>
        <v>Reg Asset254270807008BE030210</v>
      </c>
      <c r="C736" s="186">
        <v>254270</v>
      </c>
      <c r="D736" s="201" t="s">
        <v>1477</v>
      </c>
      <c r="E736" s="162" t="s">
        <v>1730</v>
      </c>
      <c r="F736" s="169" t="s">
        <v>334</v>
      </c>
      <c r="G736" s="117" t="s">
        <v>1478</v>
      </c>
      <c r="H736" s="118" t="s">
        <v>521</v>
      </c>
      <c r="I736" s="120"/>
      <c r="J736" s="120" t="s">
        <v>105</v>
      </c>
      <c r="K736" s="120" t="str">
        <f>IF(L736="N3","SFAS-109","")</f>
        <v/>
      </c>
      <c r="L736" s="170" t="s">
        <v>2817</v>
      </c>
      <c r="M736" s="122" t="str">
        <f t="shared" si="301"/>
        <v>N</v>
      </c>
      <c r="N736" s="116" t="str">
        <f>IF($L736&lt;&gt;"",VLOOKUP($L736,Categories!$E:$G,2,FALSE),IF($F736&lt;&gt;"","NO CAT",""))</f>
        <v>Not in Rate Base</v>
      </c>
      <c r="O736" s="116" t="str">
        <f>IF($L736&lt;&gt;"",VLOOKUP($L736,Categories!$E:$G,3,FALSE),IF($F736&lt;&gt;"","NO CAT",""))</f>
        <v>NM-2 ASGA</v>
      </c>
      <c r="P736" s="170" t="s">
        <v>1186</v>
      </c>
      <c r="Q736" s="123" t="s">
        <v>1187</v>
      </c>
      <c r="R736" s="124">
        <v>0</v>
      </c>
      <c r="S736" s="124">
        <v>0</v>
      </c>
      <c r="T736" s="124">
        <v>1</v>
      </c>
      <c r="U736" s="121">
        <f t="shared" si="303"/>
        <v>0</v>
      </c>
      <c r="V736" s="121">
        <f t="shared" si="304"/>
        <v>0</v>
      </c>
      <c r="W736" s="121">
        <f t="shared" si="305"/>
        <v>194.30972</v>
      </c>
      <c r="X736" s="121">
        <f t="shared" si="299"/>
        <v>194.30972</v>
      </c>
      <c r="Y736" s="121">
        <f t="shared" si="306"/>
        <v>0</v>
      </c>
      <c r="Z736" s="121">
        <f t="shared" si="307"/>
        <v>0</v>
      </c>
      <c r="AA736" s="121">
        <f t="shared" si="308"/>
        <v>194.30972</v>
      </c>
      <c r="AB736" s="121">
        <f t="shared" si="300"/>
        <v>194.30972</v>
      </c>
      <c r="AC736" s="121">
        <v>194.30972</v>
      </c>
      <c r="AD736" s="121">
        <v>194.30972</v>
      </c>
      <c r="AE736" s="121">
        <v>194.30972</v>
      </c>
      <c r="AF736" s="121">
        <v>194.30972</v>
      </c>
      <c r="AG736" s="121">
        <v>194.30972</v>
      </c>
      <c r="AH736" s="121">
        <v>194.30972</v>
      </c>
      <c r="AI736" s="121">
        <v>194.30972</v>
      </c>
      <c r="AJ736" s="121">
        <v>194.30972</v>
      </c>
      <c r="AK736" s="121">
        <v>194.30972</v>
      </c>
      <c r="AL736" s="121">
        <v>194.30972</v>
      </c>
      <c r="AM736" s="121">
        <v>194.30972</v>
      </c>
      <c r="AN736" s="121">
        <v>194.30972</v>
      </c>
      <c r="AO736" s="121">
        <v>194.30972</v>
      </c>
      <c r="AP736" s="125" t="str">
        <f>CONCATENATE(A736,M736)</f>
        <v>Reg AssetN</v>
      </c>
      <c r="AQ736" s="125" t="str">
        <f>CONCATENATE(AP736,L736,H736)</f>
        <v>Reg AssetNN8ASGA</v>
      </c>
      <c r="AS736" s="125" t="str">
        <f>CONCATENATE(L736,H736,J736)</f>
        <v>N8ASGANCR</v>
      </c>
    </row>
    <row r="737" spans="1:45" s="125" customFormat="1" ht="25.5" customHeight="1">
      <c r="A737" s="216" t="s">
        <v>1442</v>
      </c>
      <c r="B737" s="217" t="str">
        <f t="shared" si="302"/>
        <v>Reg Asset254270Tax ItemBE030210</v>
      </c>
      <c r="C737" s="186">
        <v>254270</v>
      </c>
      <c r="D737" s="201" t="s">
        <v>1479</v>
      </c>
      <c r="E737" s="162" t="s">
        <v>1730</v>
      </c>
      <c r="F737" s="169" t="s">
        <v>334</v>
      </c>
      <c r="G737" s="117" t="s">
        <v>1479</v>
      </c>
      <c r="H737" s="118" t="s">
        <v>521</v>
      </c>
      <c r="I737" s="120"/>
      <c r="J737" s="120" t="s">
        <v>105</v>
      </c>
      <c r="K737" s="120" t="str">
        <f>IF(L737="N3","SFAS-109","")</f>
        <v/>
      </c>
      <c r="L737" s="170" t="s">
        <v>2817</v>
      </c>
      <c r="M737" s="122" t="str">
        <f t="shared" si="301"/>
        <v>N</v>
      </c>
      <c r="N737" s="116" t="str">
        <f>IF($L737&lt;&gt;"",VLOOKUP($L737,Categories!$E:$G,2,FALSE),IF($F737&lt;&gt;"","NO CAT",""))</f>
        <v>Not in Rate Base</v>
      </c>
      <c r="O737" s="116" t="str">
        <f>IF($L737&lt;&gt;"",VLOOKUP($L737,Categories!$E:$G,3,FALSE),IF($F737&lt;&gt;"","NO CAT",""))</f>
        <v>NM-2 ASGA</v>
      </c>
      <c r="P737" s="170" t="s">
        <v>1186</v>
      </c>
      <c r="Q737" s="123" t="s">
        <v>1187</v>
      </c>
      <c r="R737" s="124">
        <v>0</v>
      </c>
      <c r="S737" s="124">
        <v>0</v>
      </c>
      <c r="T737" s="124">
        <v>1</v>
      </c>
      <c r="U737" s="121">
        <f t="shared" si="303"/>
        <v>0</v>
      </c>
      <c r="V737" s="121">
        <f t="shared" si="304"/>
        <v>0</v>
      </c>
      <c r="W737" s="121">
        <f t="shared" si="305"/>
        <v>-154.33602999999999</v>
      </c>
      <c r="X737" s="121">
        <f t="shared" si="299"/>
        <v>-154.33602999999999</v>
      </c>
      <c r="Y737" s="121">
        <f t="shared" si="306"/>
        <v>0</v>
      </c>
      <c r="Z737" s="121">
        <f t="shared" si="307"/>
        <v>0</v>
      </c>
      <c r="AA737" s="121">
        <f t="shared" si="308"/>
        <v>-154.33602999999999</v>
      </c>
      <c r="AB737" s="121">
        <f t="shared" si="300"/>
        <v>-154.33602999999999</v>
      </c>
      <c r="AC737" s="121">
        <v>-154.33602999999999</v>
      </c>
      <c r="AD737" s="121">
        <v>-154.33602999999999</v>
      </c>
      <c r="AE737" s="121">
        <v>-154.33602999999999</v>
      </c>
      <c r="AF737" s="121">
        <v>-154.33602999999999</v>
      </c>
      <c r="AG737" s="121">
        <v>-154.33602999999999</v>
      </c>
      <c r="AH737" s="121">
        <v>-154.33602999999999</v>
      </c>
      <c r="AI737" s="121">
        <v>-154.33602999999999</v>
      </c>
      <c r="AJ737" s="121">
        <v>-154.33602999999999</v>
      </c>
      <c r="AK737" s="121">
        <v>-154.33602999999999</v>
      </c>
      <c r="AL737" s="121">
        <v>-154.33602999999999</v>
      </c>
      <c r="AM737" s="121">
        <v>-154.33602999999999</v>
      </c>
      <c r="AN737" s="121">
        <v>-154.33602999999999</v>
      </c>
      <c r="AO737" s="121">
        <v>-154.33602999999999</v>
      </c>
      <c r="AP737" s="125" t="str">
        <f>CONCATENATE(A737,M737)</f>
        <v>Reg AssetN</v>
      </c>
      <c r="AQ737" s="125" t="str">
        <f>CONCATENATE(AP737,L737,H737)</f>
        <v>Reg AssetNN8ASGA</v>
      </c>
      <c r="AS737" s="125" t="str">
        <f>CONCATENATE(L737,H737,J737)</f>
        <v>N8ASGANCR</v>
      </c>
    </row>
    <row r="738" spans="1:45" s="125" customFormat="1" ht="25.5" customHeight="1">
      <c r="A738" s="216" t="s">
        <v>1442</v>
      </c>
      <c r="B738" s="217" t="str">
        <f t="shared" si="302"/>
        <v>Reg Asset254270807016BE030365</v>
      </c>
      <c r="C738" s="186">
        <v>254270</v>
      </c>
      <c r="D738" s="201" t="s">
        <v>1576</v>
      </c>
      <c r="E738" s="162" t="s">
        <v>3270</v>
      </c>
      <c r="F738" s="169" t="s">
        <v>334</v>
      </c>
      <c r="G738" s="117" t="s">
        <v>1577</v>
      </c>
      <c r="H738" s="118" t="s">
        <v>521</v>
      </c>
      <c r="I738" s="120"/>
      <c r="J738" s="120" t="s">
        <v>105</v>
      </c>
      <c r="K738" s="120" t="str">
        <f t="shared" si="298"/>
        <v/>
      </c>
      <c r="L738" s="170" t="s">
        <v>2817</v>
      </c>
      <c r="M738" s="122" t="str">
        <f t="shared" si="301"/>
        <v>N</v>
      </c>
      <c r="N738" s="116" t="str">
        <f>IF($L738&lt;&gt;"",VLOOKUP($L738,Categories!$E:$G,2,FALSE),IF($F738&lt;&gt;"","NO CAT",""))</f>
        <v>Not in Rate Base</v>
      </c>
      <c r="O738" s="116" t="str">
        <f>IF($L738&lt;&gt;"",VLOOKUP($L738,Categories!$E:$G,3,FALSE),IF($F738&lt;&gt;"","NO CAT",""))</f>
        <v>NM-2 ASGA</v>
      </c>
      <c r="P738" s="170" t="s">
        <v>1186</v>
      </c>
      <c r="Q738" s="123" t="s">
        <v>1187</v>
      </c>
      <c r="R738" s="124">
        <v>0</v>
      </c>
      <c r="S738" s="124">
        <v>0</v>
      </c>
      <c r="T738" s="124">
        <v>1</v>
      </c>
      <c r="U738" s="121">
        <f t="shared" si="303"/>
        <v>0</v>
      </c>
      <c r="V738" s="121">
        <f t="shared" si="304"/>
        <v>0</v>
      </c>
      <c r="W738" s="121">
        <f t="shared" si="305"/>
        <v>-4452.0695299999998</v>
      </c>
      <c r="X738" s="121">
        <f t="shared" si="299"/>
        <v>-4452.0695299999998</v>
      </c>
      <c r="Y738" s="121">
        <f t="shared" si="306"/>
        <v>0</v>
      </c>
      <c r="Z738" s="121">
        <f t="shared" si="307"/>
        <v>0</v>
      </c>
      <c r="AA738" s="121">
        <f t="shared" si="308"/>
        <v>-4452.0695299999998</v>
      </c>
      <c r="AB738" s="121">
        <f t="shared" si="300"/>
        <v>-4452.0695300000007</v>
      </c>
      <c r="AC738" s="121">
        <v>-4452.0695300000007</v>
      </c>
      <c r="AD738" s="121">
        <v>-4452.0695300000007</v>
      </c>
      <c r="AE738" s="121">
        <v>-4452.0695300000007</v>
      </c>
      <c r="AF738" s="121">
        <v>-4452.0695300000007</v>
      </c>
      <c r="AG738" s="121">
        <v>-4452.0695300000007</v>
      </c>
      <c r="AH738" s="121">
        <v>-4452.0695300000007</v>
      </c>
      <c r="AI738" s="121">
        <v>-4452.0695300000007</v>
      </c>
      <c r="AJ738" s="121">
        <v>-4452.0695300000007</v>
      </c>
      <c r="AK738" s="121">
        <v>-4452.0695300000007</v>
      </c>
      <c r="AL738" s="121">
        <v>-4452.0695300000007</v>
      </c>
      <c r="AM738" s="121">
        <v>-4452.0695300000007</v>
      </c>
      <c r="AN738" s="121">
        <v>-4452.0695300000007</v>
      </c>
      <c r="AO738" s="121">
        <v>-4452.0695300000007</v>
      </c>
      <c r="AP738" s="125" t="str">
        <f>CONCATENATE(A738,M738)</f>
        <v>Reg AssetN</v>
      </c>
      <c r="AQ738" s="125" t="str">
        <f>CONCATENATE(AP738,L738,H738)</f>
        <v>Reg AssetNN8ASGA</v>
      </c>
      <c r="AS738" s="125" t="str">
        <f>CONCATENATE(L738,H738,J738)</f>
        <v>N8ASGANCR</v>
      </c>
    </row>
    <row r="739" spans="1:45" s="125" customFormat="1" ht="25.5" customHeight="1">
      <c r="A739" s="216" t="s">
        <v>1442</v>
      </c>
      <c r="B739" s="217" t="str">
        <f t="shared" si="302"/>
        <v>Reg Asset254270807017BE030148</v>
      </c>
      <c r="C739" s="186">
        <v>254270</v>
      </c>
      <c r="D739" s="201" t="s">
        <v>2773</v>
      </c>
      <c r="E739" s="162" t="s">
        <v>2772</v>
      </c>
      <c r="F739" s="169" t="s">
        <v>334</v>
      </c>
      <c r="G739" s="117" t="s">
        <v>1480</v>
      </c>
      <c r="H739" s="118" t="s">
        <v>521</v>
      </c>
      <c r="I739" s="120"/>
      <c r="J739" s="120" t="s">
        <v>105</v>
      </c>
      <c r="K739" s="120" t="str">
        <f t="shared" si="298"/>
        <v/>
      </c>
      <c r="L739" s="170" t="s">
        <v>2817</v>
      </c>
      <c r="M739" s="122" t="str">
        <f t="shared" si="301"/>
        <v>N</v>
      </c>
      <c r="N739" s="116" t="str">
        <f>IF($L739&lt;&gt;"",VLOOKUP($L739,Categories!$E:$G,2,FALSE),IF($F739&lt;&gt;"","NO CAT",""))</f>
        <v>Not in Rate Base</v>
      </c>
      <c r="O739" s="116" t="str">
        <f>IF($L739&lt;&gt;"",VLOOKUP($L739,Categories!$E:$G,3,FALSE),IF($F739&lt;&gt;"","NO CAT",""))</f>
        <v>NM-2 ASGA</v>
      </c>
      <c r="P739" s="170" t="s">
        <v>1186</v>
      </c>
      <c r="Q739" s="123" t="s">
        <v>1187</v>
      </c>
      <c r="R739" s="124">
        <v>0</v>
      </c>
      <c r="S739" s="124">
        <v>0</v>
      </c>
      <c r="T739" s="124">
        <v>1</v>
      </c>
      <c r="U739" s="121">
        <f t="shared" si="303"/>
        <v>0</v>
      </c>
      <c r="V739" s="121">
        <f t="shared" si="304"/>
        <v>0</v>
      </c>
      <c r="W739" s="121">
        <f t="shared" si="305"/>
        <v>-14606</v>
      </c>
      <c r="X739" s="121">
        <f t="shared" si="299"/>
        <v>-14606</v>
      </c>
      <c r="Y739" s="121">
        <f t="shared" si="306"/>
        <v>0</v>
      </c>
      <c r="Z739" s="121">
        <f t="shared" si="307"/>
        <v>0</v>
      </c>
      <c r="AA739" s="121">
        <f t="shared" si="308"/>
        <v>-14606</v>
      </c>
      <c r="AB739" s="121">
        <f t="shared" si="300"/>
        <v>-14606</v>
      </c>
      <c r="AC739" s="121">
        <v>-14606</v>
      </c>
      <c r="AD739" s="121">
        <v>-14606</v>
      </c>
      <c r="AE739" s="121">
        <v>-14606</v>
      </c>
      <c r="AF739" s="121">
        <v>-14606</v>
      </c>
      <c r="AG739" s="121">
        <v>-14606</v>
      </c>
      <c r="AH739" s="121">
        <v>-14606</v>
      </c>
      <c r="AI739" s="121">
        <v>-14606</v>
      </c>
      <c r="AJ739" s="121">
        <v>-14606</v>
      </c>
      <c r="AK739" s="121">
        <v>-14606</v>
      </c>
      <c r="AL739" s="121">
        <v>-14606</v>
      </c>
      <c r="AM739" s="121">
        <v>-14606</v>
      </c>
      <c r="AN739" s="121">
        <v>-14606</v>
      </c>
      <c r="AO739" s="121">
        <v>-14606</v>
      </c>
      <c r="AP739" s="125" t="str">
        <f>CONCATENATE(A739,M739)</f>
        <v>Reg AssetN</v>
      </c>
      <c r="AQ739" s="125" t="str">
        <f>CONCATENATE(AP739,L739,H739)</f>
        <v>Reg AssetNN8ASGA</v>
      </c>
      <c r="AS739" s="125" t="str">
        <f>CONCATENATE(L739,H739,J739)</f>
        <v>N8ASGANCR</v>
      </c>
    </row>
    <row r="740" spans="1:45" s="125" customFormat="1" ht="25.5" customHeight="1">
      <c r="A740" s="216" t="s">
        <v>1442</v>
      </c>
      <c r="B740" s="217" t="str">
        <f t="shared" si="302"/>
        <v>Reg Asset254270807022BE030354</v>
      </c>
      <c r="C740" s="186">
        <v>254270</v>
      </c>
      <c r="D740" s="201" t="s">
        <v>1578</v>
      </c>
      <c r="E740" s="162" t="s">
        <v>3267</v>
      </c>
      <c r="F740" s="169" t="s">
        <v>334</v>
      </c>
      <c r="G740" s="117" t="s">
        <v>1130</v>
      </c>
      <c r="H740" s="118" t="s">
        <v>521</v>
      </c>
      <c r="I740" s="120"/>
      <c r="J740" s="120" t="s">
        <v>105</v>
      </c>
      <c r="K740" s="120" t="str">
        <f t="shared" si="298"/>
        <v/>
      </c>
      <c r="L740" s="170" t="s">
        <v>2817</v>
      </c>
      <c r="M740" s="122" t="str">
        <f t="shared" si="301"/>
        <v>N</v>
      </c>
      <c r="N740" s="116" t="str">
        <f>IF($L740&lt;&gt;"",VLOOKUP($L740,Categories!$E:$G,2,FALSE),IF($F740&lt;&gt;"","NO CAT",""))</f>
        <v>Not in Rate Base</v>
      </c>
      <c r="O740" s="116" t="str">
        <f>IF($L740&lt;&gt;"",VLOOKUP($L740,Categories!$E:$G,3,FALSE),IF($F740&lt;&gt;"","NO CAT",""))</f>
        <v>NM-2 ASGA</v>
      </c>
      <c r="P740" s="170" t="s">
        <v>1186</v>
      </c>
      <c r="Q740" s="123" t="s">
        <v>1187</v>
      </c>
      <c r="R740" s="124">
        <v>0</v>
      </c>
      <c r="S740" s="124">
        <v>0</v>
      </c>
      <c r="T740" s="124">
        <v>1</v>
      </c>
      <c r="U740" s="121">
        <f t="shared" si="303"/>
        <v>0</v>
      </c>
      <c r="V740" s="121">
        <f t="shared" si="304"/>
        <v>0</v>
      </c>
      <c r="W740" s="121">
        <f t="shared" si="305"/>
        <v>440.29599999999999</v>
      </c>
      <c r="X740" s="121">
        <f t="shared" si="299"/>
        <v>440.29599999999999</v>
      </c>
      <c r="Y740" s="121">
        <f t="shared" si="306"/>
        <v>0</v>
      </c>
      <c r="Z740" s="121">
        <f t="shared" si="307"/>
        <v>0</v>
      </c>
      <c r="AA740" s="121">
        <f t="shared" si="308"/>
        <v>440.29599999999999</v>
      </c>
      <c r="AB740" s="121">
        <f t="shared" si="300"/>
        <v>440.29599999999999</v>
      </c>
      <c r="AC740" s="121">
        <v>440.29599999999999</v>
      </c>
      <c r="AD740" s="121">
        <v>440.29599999999999</v>
      </c>
      <c r="AE740" s="121">
        <v>440.29599999999999</v>
      </c>
      <c r="AF740" s="121">
        <v>440.29599999999999</v>
      </c>
      <c r="AG740" s="121">
        <v>440.29599999999999</v>
      </c>
      <c r="AH740" s="121">
        <v>440.29599999999999</v>
      </c>
      <c r="AI740" s="121">
        <v>440.29599999999999</v>
      </c>
      <c r="AJ740" s="121">
        <v>440.29599999999999</v>
      </c>
      <c r="AK740" s="121">
        <v>440.29599999999999</v>
      </c>
      <c r="AL740" s="121">
        <v>440.29599999999999</v>
      </c>
      <c r="AM740" s="121">
        <v>440.29599999999999</v>
      </c>
      <c r="AN740" s="121">
        <v>440.29599999999999</v>
      </c>
      <c r="AO740" s="121">
        <v>440.29599999999999</v>
      </c>
      <c r="AP740" s="125" t="str">
        <f>CONCATENATE(A740,M740)</f>
        <v>Reg AssetN</v>
      </c>
      <c r="AQ740" s="125" t="str">
        <f>CONCATENATE(AP740,L740,H740)</f>
        <v>Reg AssetNN8ASGA</v>
      </c>
      <c r="AS740" s="125" t="str">
        <f>CONCATENATE(L740,H740,J740)</f>
        <v>N8ASGANCR</v>
      </c>
    </row>
    <row r="741" spans="1:45" s="125" customFormat="1" ht="25.5" customHeight="1">
      <c r="A741" s="216" t="s">
        <v>1442</v>
      </c>
      <c r="B741" s="217" t="str">
        <f t="shared" si="302"/>
        <v>Reg Asset254270807023BE030357</v>
      </c>
      <c r="C741" s="186">
        <v>254270</v>
      </c>
      <c r="D741" s="201" t="s">
        <v>1131</v>
      </c>
      <c r="E741" s="162" t="s">
        <v>3269</v>
      </c>
      <c r="F741" s="169" t="s">
        <v>334</v>
      </c>
      <c r="G741" s="117" t="s">
        <v>1132</v>
      </c>
      <c r="H741" s="118" t="s">
        <v>521</v>
      </c>
      <c r="I741" s="120"/>
      <c r="J741" s="120" t="s">
        <v>105</v>
      </c>
      <c r="K741" s="120" t="str">
        <f t="shared" si="298"/>
        <v/>
      </c>
      <c r="L741" s="170" t="s">
        <v>2817</v>
      </c>
      <c r="M741" s="122" t="str">
        <f t="shared" si="301"/>
        <v>N</v>
      </c>
      <c r="N741" s="116" t="str">
        <f>IF($L741&lt;&gt;"",VLOOKUP($L741,Categories!$E:$G,2,FALSE),IF($F741&lt;&gt;"","NO CAT",""))</f>
        <v>Not in Rate Base</v>
      </c>
      <c r="O741" s="116" t="str">
        <f>IF($L741&lt;&gt;"",VLOOKUP($L741,Categories!$E:$G,3,FALSE),IF($F741&lt;&gt;"","NO CAT",""))</f>
        <v>NM-2 ASGA</v>
      </c>
      <c r="P741" s="170" t="s">
        <v>1186</v>
      </c>
      <c r="Q741" s="123" t="s">
        <v>1187</v>
      </c>
      <c r="R741" s="124">
        <v>0</v>
      </c>
      <c r="S741" s="124">
        <v>0</v>
      </c>
      <c r="T741" s="124">
        <v>1</v>
      </c>
      <c r="U741" s="121">
        <f t="shared" si="303"/>
        <v>0</v>
      </c>
      <c r="V741" s="121">
        <f t="shared" si="304"/>
        <v>0</v>
      </c>
      <c r="W741" s="121">
        <f t="shared" si="305"/>
        <v>43362.726280000003</v>
      </c>
      <c r="X741" s="121">
        <f t="shared" si="299"/>
        <v>43362.726280000003</v>
      </c>
      <c r="Y741" s="121">
        <f t="shared" si="306"/>
        <v>0</v>
      </c>
      <c r="Z741" s="121">
        <f t="shared" si="307"/>
        <v>0</v>
      </c>
      <c r="AA741" s="121">
        <f t="shared" si="308"/>
        <v>43362.726280000003</v>
      </c>
      <c r="AB741" s="121">
        <f t="shared" si="300"/>
        <v>43362.726279999995</v>
      </c>
      <c r="AC741" s="121">
        <v>43362.726279999995</v>
      </c>
      <c r="AD741" s="121">
        <v>43362.726279999995</v>
      </c>
      <c r="AE741" s="121">
        <v>43362.726279999995</v>
      </c>
      <c r="AF741" s="121">
        <v>43362.726279999995</v>
      </c>
      <c r="AG741" s="121">
        <v>43362.726279999995</v>
      </c>
      <c r="AH741" s="121">
        <v>43362.726279999995</v>
      </c>
      <c r="AI741" s="121">
        <v>43362.726279999995</v>
      </c>
      <c r="AJ741" s="121">
        <v>43362.726279999995</v>
      </c>
      <c r="AK741" s="121">
        <v>43362.726279999995</v>
      </c>
      <c r="AL741" s="121">
        <v>43362.726279999995</v>
      </c>
      <c r="AM741" s="121">
        <v>43362.726279999995</v>
      </c>
      <c r="AN741" s="121">
        <v>43362.726279999995</v>
      </c>
      <c r="AO741" s="121">
        <v>43362.726279999995</v>
      </c>
      <c r="AP741" s="125" t="str">
        <f>CONCATENATE(A741,M741)</f>
        <v>Reg AssetN</v>
      </c>
      <c r="AQ741" s="125" t="str">
        <f>CONCATENATE(AP741,L741,H741)</f>
        <v>Reg AssetNN8ASGA</v>
      </c>
      <c r="AS741" s="125" t="str">
        <f>CONCATENATE(L741,H741,J741)</f>
        <v>N8ASGANCR</v>
      </c>
    </row>
    <row r="742" spans="1:45" s="125" customFormat="1" ht="25.5" customHeight="1">
      <c r="A742" s="216" t="s">
        <v>1442</v>
      </c>
      <c r="B742" s="217" t="str">
        <f t="shared" si="302"/>
        <v>Reg Asset254270807170BE030366</v>
      </c>
      <c r="C742" s="186">
        <v>254270</v>
      </c>
      <c r="D742" s="201" t="s">
        <v>1133</v>
      </c>
      <c r="E742" s="162" t="s">
        <v>3271</v>
      </c>
      <c r="F742" s="169" t="s">
        <v>334</v>
      </c>
      <c r="G742" s="117" t="s">
        <v>1134</v>
      </c>
      <c r="H742" s="118" t="s">
        <v>521</v>
      </c>
      <c r="I742" s="120"/>
      <c r="J742" s="120" t="s">
        <v>105</v>
      </c>
      <c r="K742" s="120" t="str">
        <f t="shared" si="298"/>
        <v/>
      </c>
      <c r="L742" s="170" t="s">
        <v>2817</v>
      </c>
      <c r="M742" s="122" t="str">
        <f t="shared" si="301"/>
        <v>N</v>
      </c>
      <c r="N742" s="116" t="str">
        <f>IF($L742&lt;&gt;"",VLOOKUP($L742,Categories!$E:$G,2,FALSE),IF($F742&lt;&gt;"","NO CAT",""))</f>
        <v>Not in Rate Base</v>
      </c>
      <c r="O742" s="116" t="str">
        <f>IF($L742&lt;&gt;"",VLOOKUP($L742,Categories!$E:$G,3,FALSE),IF($F742&lt;&gt;"","NO CAT",""))</f>
        <v>NM-2 ASGA</v>
      </c>
      <c r="P742" s="170" t="s">
        <v>1186</v>
      </c>
      <c r="Q742" s="123" t="s">
        <v>1187</v>
      </c>
      <c r="R742" s="124">
        <v>0</v>
      </c>
      <c r="S742" s="124">
        <v>0</v>
      </c>
      <c r="T742" s="124">
        <v>1</v>
      </c>
      <c r="U742" s="121">
        <f t="shared" si="303"/>
        <v>0</v>
      </c>
      <c r="V742" s="121">
        <f t="shared" si="304"/>
        <v>0</v>
      </c>
      <c r="W742" s="121">
        <f t="shared" si="305"/>
        <v>-138.84032999999999</v>
      </c>
      <c r="X742" s="121">
        <f t="shared" ref="X742:X800" si="309">IF(ISERROR(ROUND((SUM(AC742:AO742)-((AC742+AO742))/2)/12,15)),"",ROUND((SUM(AC742:AO742)-((AC742+AO742))/2)/12,15))</f>
        <v>-138.84032999999999</v>
      </c>
      <c r="Y742" s="121">
        <f t="shared" si="306"/>
        <v>0</v>
      </c>
      <c r="Z742" s="121">
        <f t="shared" si="307"/>
        <v>0</v>
      </c>
      <c r="AA742" s="121">
        <f t="shared" si="308"/>
        <v>-138.84032999999999</v>
      </c>
      <c r="AB742" s="121">
        <f t="shared" ref="AB742:AB800" si="310">IF(AO742="",0,+AO742)</f>
        <v>-138.84032999999999</v>
      </c>
      <c r="AC742" s="121">
        <v>-138.84032999999999</v>
      </c>
      <c r="AD742" s="121">
        <v>-138.84032999999999</v>
      </c>
      <c r="AE742" s="121">
        <v>-138.84032999999999</v>
      </c>
      <c r="AF742" s="121">
        <v>-138.84032999999999</v>
      </c>
      <c r="AG742" s="121">
        <v>-138.84032999999999</v>
      </c>
      <c r="AH742" s="121">
        <v>-138.84032999999999</v>
      </c>
      <c r="AI742" s="121">
        <v>-138.84032999999999</v>
      </c>
      <c r="AJ742" s="121">
        <v>-138.84032999999999</v>
      </c>
      <c r="AK742" s="121">
        <v>-138.84032999999999</v>
      </c>
      <c r="AL742" s="121">
        <v>-138.84032999999999</v>
      </c>
      <c r="AM742" s="121">
        <v>-138.84032999999999</v>
      </c>
      <c r="AN742" s="121">
        <v>-138.84032999999999</v>
      </c>
      <c r="AO742" s="121">
        <v>-138.84032999999999</v>
      </c>
      <c r="AP742" s="125" t="str">
        <f>CONCATENATE(A742,M742)</f>
        <v>Reg AssetN</v>
      </c>
      <c r="AQ742" s="125" t="str">
        <f>CONCATENATE(AP742,L742,H742)</f>
        <v>Reg AssetNN8ASGA</v>
      </c>
      <c r="AS742" s="125" t="str">
        <f>CONCATENATE(L742,H742,J742)</f>
        <v>N8ASGANCR</v>
      </c>
    </row>
    <row r="743" spans="1:45" s="125" customFormat="1" ht="25.5" customHeight="1">
      <c r="A743" s="216" t="s">
        <v>1442</v>
      </c>
      <c r="B743" s="217" t="str">
        <f t="shared" si="302"/>
        <v>Reg Asset254270808018BE030291</v>
      </c>
      <c r="C743" s="186">
        <v>254270</v>
      </c>
      <c r="D743" s="201">
        <v>808018</v>
      </c>
      <c r="E743" s="162" t="s">
        <v>3248</v>
      </c>
      <c r="F743" s="169" t="s">
        <v>334</v>
      </c>
      <c r="G743" s="117" t="s">
        <v>1371</v>
      </c>
      <c r="H743" s="118" t="s">
        <v>521</v>
      </c>
      <c r="I743" s="120"/>
      <c r="J743" s="120" t="s">
        <v>105</v>
      </c>
      <c r="K743" s="120" t="str">
        <f t="shared" si="298"/>
        <v/>
      </c>
      <c r="L743" s="170" t="s">
        <v>2817</v>
      </c>
      <c r="M743" s="122" t="str">
        <f t="shared" si="301"/>
        <v>N</v>
      </c>
      <c r="N743" s="116" t="str">
        <f>IF($L743&lt;&gt;"",VLOOKUP($L743,Categories!$E:$G,2,FALSE),IF($F743&lt;&gt;"","NO CAT",""))</f>
        <v>Not in Rate Base</v>
      </c>
      <c r="O743" s="116" t="str">
        <f>IF($L743&lt;&gt;"",VLOOKUP($L743,Categories!$E:$G,3,FALSE),IF($F743&lt;&gt;"","NO CAT",""))</f>
        <v>NM-2 ASGA</v>
      </c>
      <c r="P743" s="170" t="s">
        <v>1186</v>
      </c>
      <c r="Q743" s="123" t="s">
        <v>1187</v>
      </c>
      <c r="R743" s="124">
        <v>0</v>
      </c>
      <c r="S743" s="124">
        <v>0</v>
      </c>
      <c r="T743" s="124">
        <v>1</v>
      </c>
      <c r="U743" s="121">
        <f t="shared" si="303"/>
        <v>0</v>
      </c>
      <c r="V743" s="121">
        <f t="shared" si="304"/>
        <v>0</v>
      </c>
      <c r="W743" s="121">
        <f t="shared" si="305"/>
        <v>-3274.5709999999999</v>
      </c>
      <c r="X743" s="121">
        <f t="shared" si="309"/>
        <v>-3274.5709999999999</v>
      </c>
      <c r="Y743" s="121">
        <f t="shared" si="306"/>
        <v>0</v>
      </c>
      <c r="Z743" s="121">
        <f t="shared" si="307"/>
        <v>0</v>
      </c>
      <c r="AA743" s="121">
        <f t="shared" si="308"/>
        <v>-3274.5709999999999</v>
      </c>
      <c r="AB743" s="121">
        <f t="shared" si="310"/>
        <v>-3274.5709999999999</v>
      </c>
      <c r="AC743" s="121">
        <v>-3274.5709999999999</v>
      </c>
      <c r="AD743" s="121">
        <v>-3274.5709999999999</v>
      </c>
      <c r="AE743" s="121">
        <v>-3274.5709999999999</v>
      </c>
      <c r="AF743" s="121">
        <v>-3274.5709999999999</v>
      </c>
      <c r="AG743" s="121">
        <v>-3274.5709999999999</v>
      </c>
      <c r="AH743" s="121">
        <v>-3274.5709999999999</v>
      </c>
      <c r="AI743" s="121">
        <v>-3274.5709999999999</v>
      </c>
      <c r="AJ743" s="121">
        <v>-3274.5709999999999</v>
      </c>
      <c r="AK743" s="121">
        <v>-3274.5709999999999</v>
      </c>
      <c r="AL743" s="121">
        <v>-3274.5709999999999</v>
      </c>
      <c r="AM743" s="121">
        <v>-3274.5709999999999</v>
      </c>
      <c r="AN743" s="121">
        <v>-3274.5709999999999</v>
      </c>
      <c r="AO743" s="121">
        <v>-3274.5709999999999</v>
      </c>
      <c r="AP743" s="125" t="str">
        <f>CONCATENATE(A743,M743)</f>
        <v>Reg AssetN</v>
      </c>
      <c r="AQ743" s="125" t="str">
        <f>CONCATENATE(AP743,L743,H743)</f>
        <v>Reg AssetNN8ASGA</v>
      </c>
      <c r="AS743" s="125" t="str">
        <f>CONCATENATE(L743,H743,J743)</f>
        <v>N8ASGANCR</v>
      </c>
    </row>
    <row r="744" spans="1:45" s="125" customFormat="1" ht="25.5" customHeight="1">
      <c r="A744" s="216" t="s">
        <v>1442</v>
      </c>
      <c r="B744" s="217" t="str">
        <f t="shared" si="302"/>
        <v>Reg Asset254270808141BE030291</v>
      </c>
      <c r="C744" s="186">
        <v>254270</v>
      </c>
      <c r="D744" s="201" t="s">
        <v>1481</v>
      </c>
      <c r="E744" s="162" t="s">
        <v>3248</v>
      </c>
      <c r="F744" s="169" t="s">
        <v>334</v>
      </c>
      <c r="G744" s="117" t="s">
        <v>554</v>
      </c>
      <c r="H744" s="118" t="s">
        <v>521</v>
      </c>
      <c r="I744" s="120"/>
      <c r="J744" s="120" t="s">
        <v>105</v>
      </c>
      <c r="K744" s="120" t="str">
        <f>IF(L744="N3","SFAS-109","")</f>
        <v/>
      </c>
      <c r="L744" s="170" t="s">
        <v>2817</v>
      </c>
      <c r="M744" s="122" t="str">
        <f t="shared" si="301"/>
        <v>N</v>
      </c>
      <c r="N744" s="116" t="str">
        <f>IF($L744&lt;&gt;"",VLOOKUP($L744,Categories!$E:$G,2,FALSE),IF($F744&lt;&gt;"","NO CAT",""))</f>
        <v>Not in Rate Base</v>
      </c>
      <c r="O744" s="116" t="str">
        <f>IF($L744&lt;&gt;"",VLOOKUP($L744,Categories!$E:$G,3,FALSE),IF($F744&lt;&gt;"","NO CAT",""))</f>
        <v>NM-2 ASGA</v>
      </c>
      <c r="P744" s="170" t="s">
        <v>1186</v>
      </c>
      <c r="Q744" s="123" t="s">
        <v>1187</v>
      </c>
      <c r="R744" s="124">
        <v>0</v>
      </c>
      <c r="S744" s="124">
        <v>0</v>
      </c>
      <c r="T744" s="124">
        <v>1</v>
      </c>
      <c r="U744" s="121">
        <f t="shared" si="303"/>
        <v>0</v>
      </c>
      <c r="V744" s="121">
        <f t="shared" si="304"/>
        <v>0</v>
      </c>
      <c r="W744" s="121">
        <f t="shared" si="305"/>
        <v>-1958</v>
      </c>
      <c r="X744" s="121">
        <f t="shared" si="309"/>
        <v>-1958</v>
      </c>
      <c r="Y744" s="121">
        <f t="shared" si="306"/>
        <v>0</v>
      </c>
      <c r="Z744" s="121">
        <f t="shared" si="307"/>
        <v>0</v>
      </c>
      <c r="AA744" s="121">
        <f t="shared" si="308"/>
        <v>-1958</v>
      </c>
      <c r="AB744" s="121">
        <f t="shared" si="310"/>
        <v>-1958</v>
      </c>
      <c r="AC744" s="121">
        <v>-1958</v>
      </c>
      <c r="AD744" s="121">
        <v>-1958</v>
      </c>
      <c r="AE744" s="121">
        <v>-1958</v>
      </c>
      <c r="AF744" s="121">
        <v>-1958</v>
      </c>
      <c r="AG744" s="121">
        <v>-1958</v>
      </c>
      <c r="AH744" s="121">
        <v>-1958</v>
      </c>
      <c r="AI744" s="121">
        <v>-1958</v>
      </c>
      <c r="AJ744" s="121">
        <v>-1958</v>
      </c>
      <c r="AK744" s="121">
        <v>-1958</v>
      </c>
      <c r="AL744" s="121">
        <v>-1958</v>
      </c>
      <c r="AM744" s="121">
        <v>-1958</v>
      </c>
      <c r="AN744" s="121">
        <v>-1958</v>
      </c>
      <c r="AO744" s="121">
        <v>-1958</v>
      </c>
      <c r="AP744" s="125" t="str">
        <f>CONCATENATE(A744,M744)</f>
        <v>Reg AssetN</v>
      </c>
      <c r="AQ744" s="125" t="str">
        <f>CONCATENATE(AP744,L744,H744)</f>
        <v>Reg AssetNN8ASGA</v>
      </c>
      <c r="AS744" s="125" t="str">
        <f>CONCATENATE(L744,H744,J744)</f>
        <v>N8ASGANCR</v>
      </c>
    </row>
    <row r="745" spans="1:45" s="125" customFormat="1" ht="25.5" customHeight="1">
      <c r="A745" s="216" t="s">
        <v>1442</v>
      </c>
      <c r="B745" s="217" t="str">
        <f t="shared" si="302"/>
        <v>Reg Asset254270808142BE030291</v>
      </c>
      <c r="C745" s="186">
        <v>254270</v>
      </c>
      <c r="D745" s="201" t="s">
        <v>1482</v>
      </c>
      <c r="E745" s="162" t="s">
        <v>3248</v>
      </c>
      <c r="F745" s="169" t="s">
        <v>334</v>
      </c>
      <c r="G745" s="117" t="s">
        <v>555</v>
      </c>
      <c r="H745" s="118" t="s">
        <v>521</v>
      </c>
      <c r="I745" s="120"/>
      <c r="J745" s="120" t="s">
        <v>105</v>
      </c>
      <c r="K745" s="120" t="str">
        <f>IF(L745="N3","SFAS-109","")</f>
        <v/>
      </c>
      <c r="L745" s="170" t="s">
        <v>2817</v>
      </c>
      <c r="M745" s="122" t="str">
        <f t="shared" si="301"/>
        <v>N</v>
      </c>
      <c r="N745" s="116" t="str">
        <f>IF($L745&lt;&gt;"",VLOOKUP($L745,Categories!$E:$G,2,FALSE),IF($F745&lt;&gt;"","NO CAT",""))</f>
        <v>Not in Rate Base</v>
      </c>
      <c r="O745" s="116" t="str">
        <f>IF($L745&lt;&gt;"",VLOOKUP($L745,Categories!$E:$G,3,FALSE),IF($F745&lt;&gt;"","NO CAT",""))</f>
        <v>NM-2 ASGA</v>
      </c>
      <c r="P745" s="170" t="s">
        <v>1186</v>
      </c>
      <c r="Q745" s="123" t="s">
        <v>1187</v>
      </c>
      <c r="R745" s="124">
        <v>0</v>
      </c>
      <c r="S745" s="124">
        <v>0</v>
      </c>
      <c r="T745" s="124">
        <v>1</v>
      </c>
      <c r="U745" s="121">
        <f t="shared" si="303"/>
        <v>0</v>
      </c>
      <c r="V745" s="121">
        <f t="shared" si="304"/>
        <v>0</v>
      </c>
      <c r="W745" s="121">
        <f t="shared" si="305"/>
        <v>-393.18441000000001</v>
      </c>
      <c r="X745" s="121">
        <f t="shared" si="309"/>
        <v>-393.18441000000001</v>
      </c>
      <c r="Y745" s="121">
        <f t="shared" si="306"/>
        <v>0</v>
      </c>
      <c r="Z745" s="121">
        <f t="shared" si="307"/>
        <v>0</v>
      </c>
      <c r="AA745" s="121">
        <f t="shared" si="308"/>
        <v>-393.18441000000001</v>
      </c>
      <c r="AB745" s="121">
        <f t="shared" si="310"/>
        <v>-393.18440999999996</v>
      </c>
      <c r="AC745" s="121">
        <v>-393.18440999999996</v>
      </c>
      <c r="AD745" s="121">
        <v>-393.18440999999996</v>
      </c>
      <c r="AE745" s="121">
        <v>-393.18440999999996</v>
      </c>
      <c r="AF745" s="121">
        <v>-393.18440999999996</v>
      </c>
      <c r="AG745" s="121">
        <v>-393.18440999999996</v>
      </c>
      <c r="AH745" s="121">
        <v>-393.18440999999996</v>
      </c>
      <c r="AI745" s="121">
        <v>-393.18440999999996</v>
      </c>
      <c r="AJ745" s="121">
        <v>-393.18440999999996</v>
      </c>
      <c r="AK745" s="121">
        <v>-393.18440999999996</v>
      </c>
      <c r="AL745" s="121">
        <v>-393.18440999999996</v>
      </c>
      <c r="AM745" s="121">
        <v>-393.18440999999996</v>
      </c>
      <c r="AN745" s="121">
        <v>-393.18440999999996</v>
      </c>
      <c r="AO745" s="121">
        <v>-393.18440999999996</v>
      </c>
      <c r="AP745" s="125" t="str">
        <f>CONCATENATE(A745,M745)</f>
        <v>Reg AssetN</v>
      </c>
      <c r="AQ745" s="125" t="str">
        <f>CONCATENATE(AP745,L745,H745)</f>
        <v>Reg AssetNN8ASGA</v>
      </c>
      <c r="AS745" s="125" t="str">
        <f>CONCATENATE(L745,H745,J745)</f>
        <v>N8ASGANCR</v>
      </c>
    </row>
    <row r="746" spans="1:45" s="125" customFormat="1" ht="25.5" customHeight="1">
      <c r="A746" s="216" t="s">
        <v>1442</v>
      </c>
      <c r="B746" s="217" t="str">
        <f t="shared" si="302"/>
        <v>Reg Asset254270808005BE030148</v>
      </c>
      <c r="C746" s="186">
        <v>254270</v>
      </c>
      <c r="D746" s="201" t="s">
        <v>849</v>
      </c>
      <c r="E746" s="162" t="s">
        <v>2772</v>
      </c>
      <c r="F746" s="169" t="s">
        <v>334</v>
      </c>
      <c r="G746" s="117" t="s">
        <v>438</v>
      </c>
      <c r="H746" s="118" t="s">
        <v>521</v>
      </c>
      <c r="I746" s="120"/>
      <c r="J746" s="120" t="s">
        <v>105</v>
      </c>
      <c r="K746" s="120" t="str">
        <f t="shared" ref="K746:K799" si="311">IF(L746="N3","SFAS-109","")</f>
        <v/>
      </c>
      <c r="L746" s="170" t="s">
        <v>2817</v>
      </c>
      <c r="M746" s="122" t="str">
        <f t="shared" si="301"/>
        <v>N</v>
      </c>
      <c r="N746" s="116" t="str">
        <f>IF($L746&lt;&gt;"",VLOOKUP($L746,Categories!$E:$G,2,FALSE),IF($F746&lt;&gt;"","NO CAT",""))</f>
        <v>Not in Rate Base</v>
      </c>
      <c r="O746" s="116" t="str">
        <f>IF($L746&lt;&gt;"",VLOOKUP($L746,Categories!$E:$G,3,FALSE),IF($F746&lt;&gt;"","NO CAT",""))</f>
        <v>NM-2 ASGA</v>
      </c>
      <c r="P746" s="170" t="s">
        <v>1186</v>
      </c>
      <c r="Q746" s="123" t="s">
        <v>1187</v>
      </c>
      <c r="R746" s="124">
        <v>0</v>
      </c>
      <c r="S746" s="124">
        <v>0</v>
      </c>
      <c r="T746" s="124">
        <v>1</v>
      </c>
      <c r="U746" s="121">
        <f t="shared" si="303"/>
        <v>0</v>
      </c>
      <c r="V746" s="121">
        <f t="shared" si="304"/>
        <v>0</v>
      </c>
      <c r="W746" s="121">
        <f t="shared" si="305"/>
        <v>-19632</v>
      </c>
      <c r="X746" s="121">
        <f t="shared" si="309"/>
        <v>-19632</v>
      </c>
      <c r="Y746" s="121">
        <f t="shared" si="306"/>
        <v>0</v>
      </c>
      <c r="Z746" s="121">
        <f t="shared" si="307"/>
        <v>0</v>
      </c>
      <c r="AA746" s="121">
        <f t="shared" si="308"/>
        <v>-19632</v>
      </c>
      <c r="AB746" s="121">
        <f t="shared" si="310"/>
        <v>-19632</v>
      </c>
      <c r="AC746" s="121">
        <v>-19632</v>
      </c>
      <c r="AD746" s="121">
        <v>-19632</v>
      </c>
      <c r="AE746" s="121">
        <v>-19632</v>
      </c>
      <c r="AF746" s="121">
        <v>-19632</v>
      </c>
      <c r="AG746" s="121">
        <v>-19632</v>
      </c>
      <c r="AH746" s="121">
        <v>-19632</v>
      </c>
      <c r="AI746" s="121">
        <v>-19632</v>
      </c>
      <c r="AJ746" s="121">
        <v>-19632</v>
      </c>
      <c r="AK746" s="121">
        <v>-19632</v>
      </c>
      <c r="AL746" s="121">
        <v>-19632</v>
      </c>
      <c r="AM746" s="121">
        <v>-19632</v>
      </c>
      <c r="AN746" s="121">
        <v>-19632</v>
      </c>
      <c r="AO746" s="121">
        <v>-19632</v>
      </c>
      <c r="AP746" s="125" t="str">
        <f>CONCATENATE(A746,M746)</f>
        <v>Reg AssetN</v>
      </c>
      <c r="AQ746" s="125" t="str">
        <f>CONCATENATE(AP746,L746,H746)</f>
        <v>Reg AssetNN8ASGA</v>
      </c>
      <c r="AS746" s="125" t="str">
        <f>CONCATENATE(L746,H746,J746)</f>
        <v>N8ASGANCR</v>
      </c>
    </row>
    <row r="747" spans="1:45" s="125" customFormat="1" ht="25.5" customHeight="1">
      <c r="A747" s="216" t="s">
        <v>1442</v>
      </c>
      <c r="B747" s="217" t="str">
        <f t="shared" si="302"/>
        <v>Reg Asset254270808007BE030294</v>
      </c>
      <c r="C747" s="186">
        <v>254270</v>
      </c>
      <c r="D747" s="201" t="s">
        <v>851</v>
      </c>
      <c r="E747" s="162" t="s">
        <v>2771</v>
      </c>
      <c r="F747" s="169" t="s">
        <v>334</v>
      </c>
      <c r="G747" s="117" t="s">
        <v>439</v>
      </c>
      <c r="H747" s="118" t="s">
        <v>521</v>
      </c>
      <c r="I747" s="120"/>
      <c r="J747" s="120" t="s">
        <v>105</v>
      </c>
      <c r="K747" s="120" t="str">
        <f t="shared" si="311"/>
        <v/>
      </c>
      <c r="L747" s="170" t="s">
        <v>2817</v>
      </c>
      <c r="M747" s="122" t="str">
        <f t="shared" si="301"/>
        <v>N</v>
      </c>
      <c r="N747" s="116" t="str">
        <f>IF($L747&lt;&gt;"",VLOOKUP($L747,Categories!$E:$G,2,FALSE),IF($F747&lt;&gt;"","NO CAT",""))</f>
        <v>Not in Rate Base</v>
      </c>
      <c r="O747" s="116" t="str">
        <f>IF($L747&lt;&gt;"",VLOOKUP($L747,Categories!$E:$G,3,FALSE),IF($F747&lt;&gt;"","NO CAT",""))</f>
        <v>NM-2 ASGA</v>
      </c>
      <c r="P747" s="170" t="s">
        <v>1186</v>
      </c>
      <c r="Q747" s="123" t="s">
        <v>1187</v>
      </c>
      <c r="R747" s="124">
        <v>0</v>
      </c>
      <c r="S747" s="124">
        <v>0</v>
      </c>
      <c r="T747" s="124">
        <v>1</v>
      </c>
      <c r="U747" s="121">
        <f t="shared" si="303"/>
        <v>0</v>
      </c>
      <c r="V747" s="121">
        <f t="shared" si="304"/>
        <v>0</v>
      </c>
      <c r="W747" s="121">
        <f t="shared" si="305"/>
        <v>5000.0000399999999</v>
      </c>
      <c r="X747" s="121">
        <f t="shared" si="309"/>
        <v>5000.0000399999999</v>
      </c>
      <c r="Y747" s="121">
        <f t="shared" si="306"/>
        <v>0</v>
      </c>
      <c r="Z747" s="121">
        <f t="shared" si="307"/>
        <v>0</v>
      </c>
      <c r="AA747" s="121">
        <f t="shared" si="308"/>
        <v>5000.0000399999999</v>
      </c>
      <c r="AB747" s="121">
        <f t="shared" si="310"/>
        <v>5000.0000399999999</v>
      </c>
      <c r="AC747" s="121">
        <v>5000.0000399999999</v>
      </c>
      <c r="AD747" s="121">
        <v>5000.0000399999999</v>
      </c>
      <c r="AE747" s="121">
        <v>5000.0000399999999</v>
      </c>
      <c r="AF747" s="121">
        <v>5000.0000399999999</v>
      </c>
      <c r="AG747" s="121">
        <v>5000.0000399999999</v>
      </c>
      <c r="AH747" s="121">
        <v>5000.0000399999999</v>
      </c>
      <c r="AI747" s="121">
        <v>5000.0000399999999</v>
      </c>
      <c r="AJ747" s="121">
        <v>5000.0000399999999</v>
      </c>
      <c r="AK747" s="121">
        <v>5000.0000399999999</v>
      </c>
      <c r="AL747" s="121">
        <v>5000.0000399999999</v>
      </c>
      <c r="AM747" s="121">
        <v>5000.0000399999999</v>
      </c>
      <c r="AN747" s="121">
        <v>5000.0000399999999</v>
      </c>
      <c r="AO747" s="121">
        <v>5000.0000399999999</v>
      </c>
      <c r="AP747" s="125" t="str">
        <f>CONCATENATE(A747,M747)</f>
        <v>Reg AssetN</v>
      </c>
      <c r="AQ747" s="125" t="str">
        <f>CONCATENATE(AP747,L747,H747)</f>
        <v>Reg AssetNN8ASGA</v>
      </c>
      <c r="AS747" s="125" t="str">
        <f>CONCATENATE(L747,H747,J747)</f>
        <v>N8ASGANCR</v>
      </c>
    </row>
    <row r="748" spans="1:45" s="125" customFormat="1" ht="25.5" customHeight="1">
      <c r="A748" s="216" t="s">
        <v>1442</v>
      </c>
      <c r="B748" s="217" t="str">
        <f t="shared" si="302"/>
        <v>Reg Asset254270808013BE30210</v>
      </c>
      <c r="C748" s="186">
        <v>254270</v>
      </c>
      <c r="D748" s="201" t="s">
        <v>437</v>
      </c>
      <c r="E748" s="162" t="s">
        <v>3272</v>
      </c>
      <c r="F748" s="169" t="s">
        <v>334</v>
      </c>
      <c r="G748" s="117" t="s">
        <v>2964</v>
      </c>
      <c r="H748" s="118" t="s">
        <v>521</v>
      </c>
      <c r="I748" s="120"/>
      <c r="J748" s="120" t="s">
        <v>105</v>
      </c>
      <c r="K748" s="120" t="str">
        <f t="shared" si="311"/>
        <v/>
      </c>
      <c r="L748" s="170" t="s">
        <v>2817</v>
      </c>
      <c r="M748" s="122" t="str">
        <f t="shared" si="301"/>
        <v>N</v>
      </c>
      <c r="N748" s="116" t="str">
        <f>IF($L748&lt;&gt;"",VLOOKUP($L748,Categories!$E:$G,2,FALSE),IF($F748&lt;&gt;"","NO CAT",""))</f>
        <v>Not in Rate Base</v>
      </c>
      <c r="O748" s="116" t="str">
        <f>IF($L748&lt;&gt;"",VLOOKUP($L748,Categories!$E:$G,3,FALSE),IF($F748&lt;&gt;"","NO CAT",""))</f>
        <v>NM-2 ASGA</v>
      </c>
      <c r="P748" s="170" t="s">
        <v>1186</v>
      </c>
      <c r="Q748" s="123" t="s">
        <v>1187</v>
      </c>
      <c r="R748" s="124">
        <v>0</v>
      </c>
      <c r="S748" s="124">
        <v>0</v>
      </c>
      <c r="T748" s="124">
        <v>1</v>
      </c>
      <c r="U748" s="121">
        <f t="shared" si="303"/>
        <v>0</v>
      </c>
      <c r="V748" s="121">
        <f t="shared" si="304"/>
        <v>0</v>
      </c>
      <c r="W748" s="121">
        <f t="shared" si="305"/>
        <v>214.16813999999999</v>
      </c>
      <c r="X748" s="121">
        <f t="shared" si="309"/>
        <v>214.16813999999999</v>
      </c>
      <c r="Y748" s="121">
        <f t="shared" si="306"/>
        <v>0</v>
      </c>
      <c r="Z748" s="121">
        <f t="shared" si="307"/>
        <v>0</v>
      </c>
      <c r="AA748" s="121">
        <f t="shared" si="308"/>
        <v>214.16813999999999</v>
      </c>
      <c r="AB748" s="121">
        <f t="shared" si="310"/>
        <v>214.16814000000002</v>
      </c>
      <c r="AC748" s="121">
        <v>214.16814000000002</v>
      </c>
      <c r="AD748" s="121">
        <v>214.16814000000002</v>
      </c>
      <c r="AE748" s="121">
        <v>214.16814000000002</v>
      </c>
      <c r="AF748" s="121">
        <v>214.16814000000002</v>
      </c>
      <c r="AG748" s="121">
        <v>214.16814000000002</v>
      </c>
      <c r="AH748" s="121">
        <v>214.16814000000002</v>
      </c>
      <c r="AI748" s="121">
        <v>214.16814000000002</v>
      </c>
      <c r="AJ748" s="121">
        <v>214.16814000000002</v>
      </c>
      <c r="AK748" s="121">
        <v>214.16814000000002</v>
      </c>
      <c r="AL748" s="121">
        <v>214.16814000000002</v>
      </c>
      <c r="AM748" s="121">
        <v>214.16814000000002</v>
      </c>
      <c r="AN748" s="121">
        <v>214.16814000000002</v>
      </c>
      <c r="AO748" s="121">
        <v>214.16814000000002</v>
      </c>
      <c r="AP748" s="125" t="str">
        <f>CONCATENATE(A748,M748)</f>
        <v>Reg AssetN</v>
      </c>
      <c r="AQ748" s="125" t="str">
        <f>CONCATENATE(AP748,L748,H748)</f>
        <v>Reg AssetNN8ASGA</v>
      </c>
      <c r="AS748" s="125" t="str">
        <f>CONCATENATE(L748,H748,J748)</f>
        <v>N8ASGANCR</v>
      </c>
    </row>
    <row r="749" spans="1:45" s="125" customFormat="1" ht="25.5" customHeight="1">
      <c r="A749" s="216" t="s">
        <v>1442</v>
      </c>
      <c r="B749" s="217" t="str">
        <f t="shared" si="302"/>
        <v>Reg Asset254270808013-09BE30210</v>
      </c>
      <c r="C749" s="186">
        <v>254270</v>
      </c>
      <c r="D749" s="201" t="s">
        <v>469</v>
      </c>
      <c r="E749" s="162" t="s">
        <v>3272</v>
      </c>
      <c r="F749" s="169" t="s">
        <v>334</v>
      </c>
      <c r="G749" s="117" t="s">
        <v>2470</v>
      </c>
      <c r="H749" s="118" t="s">
        <v>521</v>
      </c>
      <c r="I749" s="120"/>
      <c r="J749" s="120" t="s">
        <v>105</v>
      </c>
      <c r="K749" s="120" t="str">
        <f>IF(L749="N3","SFAS-109","")</f>
        <v/>
      </c>
      <c r="L749" s="170" t="s">
        <v>2817</v>
      </c>
      <c r="M749" s="122" t="str">
        <f t="shared" si="301"/>
        <v>N</v>
      </c>
      <c r="N749" s="116" t="str">
        <f>IF($L749&lt;&gt;"",VLOOKUP($L749,Categories!$E:$G,2,FALSE),IF($F749&lt;&gt;"","NO CAT",""))</f>
        <v>Not in Rate Base</v>
      </c>
      <c r="O749" s="116" t="str">
        <f>IF($L749&lt;&gt;"",VLOOKUP($L749,Categories!$E:$G,3,FALSE),IF($F749&lt;&gt;"","NO CAT",""))</f>
        <v>NM-2 ASGA</v>
      </c>
      <c r="P749" s="170" t="s">
        <v>1186</v>
      </c>
      <c r="Q749" s="123" t="s">
        <v>1187</v>
      </c>
      <c r="R749" s="124">
        <v>0</v>
      </c>
      <c r="S749" s="124">
        <v>0</v>
      </c>
      <c r="T749" s="124">
        <v>1</v>
      </c>
      <c r="U749" s="121">
        <f t="shared" si="303"/>
        <v>0</v>
      </c>
      <c r="V749" s="121">
        <f t="shared" si="304"/>
        <v>0</v>
      </c>
      <c r="W749" s="121">
        <f t="shared" si="305"/>
        <v>183.08647999999999</v>
      </c>
      <c r="X749" s="121">
        <f t="shared" si="309"/>
        <v>183.08647999999999</v>
      </c>
      <c r="Y749" s="121">
        <f t="shared" si="306"/>
        <v>0</v>
      </c>
      <c r="Z749" s="121">
        <f t="shared" si="307"/>
        <v>0</v>
      </c>
      <c r="AA749" s="121">
        <f t="shared" si="308"/>
        <v>183.08647999999999</v>
      </c>
      <c r="AB749" s="121">
        <f t="shared" si="310"/>
        <v>183.08648000000002</v>
      </c>
      <c r="AC749" s="121">
        <v>183.08648000000002</v>
      </c>
      <c r="AD749" s="121">
        <v>183.08648000000002</v>
      </c>
      <c r="AE749" s="121">
        <v>183.08648000000002</v>
      </c>
      <c r="AF749" s="121">
        <v>183.08648000000002</v>
      </c>
      <c r="AG749" s="121">
        <v>183.08648000000002</v>
      </c>
      <c r="AH749" s="121">
        <v>183.08648000000002</v>
      </c>
      <c r="AI749" s="121">
        <v>183.08648000000002</v>
      </c>
      <c r="AJ749" s="121">
        <v>183.08648000000002</v>
      </c>
      <c r="AK749" s="121">
        <v>183.08648000000002</v>
      </c>
      <c r="AL749" s="121">
        <v>183.08648000000002</v>
      </c>
      <c r="AM749" s="121">
        <v>183.08648000000002</v>
      </c>
      <c r="AN749" s="121">
        <v>183.08648000000002</v>
      </c>
      <c r="AO749" s="121">
        <v>183.08648000000002</v>
      </c>
      <c r="AP749" s="125" t="str">
        <f>CONCATENATE(A749,M749)</f>
        <v>Reg AssetN</v>
      </c>
      <c r="AQ749" s="125" t="str">
        <f>CONCATENATE(AP749,L749,H749)</f>
        <v>Reg AssetNN8ASGA</v>
      </c>
      <c r="AS749" s="125" t="str">
        <f>CONCATENATE(L749,H749,J749)</f>
        <v>N8ASGANCR</v>
      </c>
    </row>
    <row r="750" spans="1:45" s="125" customFormat="1" ht="25.5" customHeight="1">
      <c r="A750" s="216" t="s">
        <v>1442</v>
      </c>
      <c r="B750" s="217" t="str">
        <f t="shared" si="302"/>
        <v>Reg Asset254270Tax Item-4BT010347</v>
      </c>
      <c r="C750" s="186">
        <v>254270</v>
      </c>
      <c r="D750" s="201" t="s">
        <v>408</v>
      </c>
      <c r="E750" s="162" t="s">
        <v>3273</v>
      </c>
      <c r="F750" s="169" t="s">
        <v>334</v>
      </c>
      <c r="G750" s="117" t="s">
        <v>2199</v>
      </c>
      <c r="H750" s="118" t="s">
        <v>521</v>
      </c>
      <c r="I750" s="120"/>
      <c r="J750" s="120" t="s">
        <v>105</v>
      </c>
      <c r="K750" s="120" t="str">
        <f t="shared" si="311"/>
        <v/>
      </c>
      <c r="L750" s="170" t="s">
        <v>2817</v>
      </c>
      <c r="M750" s="122" t="str">
        <f t="shared" si="301"/>
        <v>N</v>
      </c>
      <c r="N750" s="116" t="str">
        <f>IF($L750&lt;&gt;"",VLOOKUP($L750,Categories!$E:$G,2,FALSE),IF($F750&lt;&gt;"","NO CAT",""))</f>
        <v>Not in Rate Base</v>
      </c>
      <c r="O750" s="116" t="str">
        <f>IF($L750&lt;&gt;"",VLOOKUP($L750,Categories!$E:$G,3,FALSE),IF($F750&lt;&gt;"","NO CAT",""))</f>
        <v>NM-2 ASGA</v>
      </c>
      <c r="P750" s="170" t="s">
        <v>1186</v>
      </c>
      <c r="Q750" s="123" t="s">
        <v>1187</v>
      </c>
      <c r="R750" s="124">
        <v>0</v>
      </c>
      <c r="S750" s="124">
        <v>0</v>
      </c>
      <c r="T750" s="124">
        <v>1</v>
      </c>
      <c r="U750" s="121">
        <f t="shared" si="303"/>
        <v>0</v>
      </c>
      <c r="V750" s="121">
        <f t="shared" si="304"/>
        <v>0</v>
      </c>
      <c r="W750" s="121">
        <f t="shared" si="305"/>
        <v>-10309.40206</v>
      </c>
      <c r="X750" s="121">
        <f t="shared" si="309"/>
        <v>-10309.40206</v>
      </c>
      <c r="Y750" s="121">
        <f t="shared" si="306"/>
        <v>0</v>
      </c>
      <c r="Z750" s="121">
        <f t="shared" si="307"/>
        <v>0</v>
      </c>
      <c r="AA750" s="121">
        <f t="shared" si="308"/>
        <v>-10309.40206</v>
      </c>
      <c r="AB750" s="121">
        <f t="shared" si="310"/>
        <v>-10309.40206</v>
      </c>
      <c r="AC750" s="121">
        <v>-10309.40206</v>
      </c>
      <c r="AD750" s="121">
        <v>-10309.40206</v>
      </c>
      <c r="AE750" s="121">
        <v>-10309.40206</v>
      </c>
      <c r="AF750" s="121">
        <v>-10309.40206</v>
      </c>
      <c r="AG750" s="121">
        <v>-10309.40206</v>
      </c>
      <c r="AH750" s="121">
        <v>-10309.40206</v>
      </c>
      <c r="AI750" s="121">
        <v>-10309.40206</v>
      </c>
      <c r="AJ750" s="121">
        <v>-10309.40206</v>
      </c>
      <c r="AK750" s="121">
        <v>-10309.40206</v>
      </c>
      <c r="AL750" s="121">
        <v>-10309.40206</v>
      </c>
      <c r="AM750" s="121">
        <v>-10309.40206</v>
      </c>
      <c r="AN750" s="121">
        <v>-10309.40206</v>
      </c>
      <c r="AO750" s="121">
        <v>-10309.40206</v>
      </c>
      <c r="AP750" s="125" t="str">
        <f>CONCATENATE(A750,M750)</f>
        <v>Reg AssetN</v>
      </c>
      <c r="AQ750" s="125" t="str">
        <f>CONCATENATE(AP750,L750,H750)</f>
        <v>Reg AssetNN8ASGA</v>
      </c>
      <c r="AS750" s="125" t="str">
        <f>CONCATENATE(L750,H750,J750)</f>
        <v>N8ASGANCR</v>
      </c>
    </row>
    <row r="751" spans="1:45" s="125" customFormat="1" ht="25.5" customHeight="1">
      <c r="A751" s="216" t="s">
        <v>1442</v>
      </c>
      <c r="B751" s="217" t="str">
        <f t="shared" si="302"/>
        <v>Reg Asset254270Tax Item-5BT010377</v>
      </c>
      <c r="C751" s="186">
        <v>254270</v>
      </c>
      <c r="D751" s="201" t="s">
        <v>2466</v>
      </c>
      <c r="E751" s="162" t="s">
        <v>3274</v>
      </c>
      <c r="F751" s="169" t="s">
        <v>334</v>
      </c>
      <c r="G751" s="117" t="s">
        <v>2468</v>
      </c>
      <c r="H751" s="118" t="s">
        <v>521</v>
      </c>
      <c r="I751" s="120"/>
      <c r="J751" s="120" t="s">
        <v>105</v>
      </c>
      <c r="K751" s="120" t="str">
        <f>IF(L751="N3","SFAS-109","")</f>
        <v/>
      </c>
      <c r="L751" s="170" t="s">
        <v>2817</v>
      </c>
      <c r="M751" s="122" t="str">
        <f t="shared" si="301"/>
        <v>N</v>
      </c>
      <c r="N751" s="116" t="str">
        <f>IF($L751&lt;&gt;"",VLOOKUP($L751,Categories!$E:$G,2,FALSE),IF($F751&lt;&gt;"","NO CAT",""))</f>
        <v>Not in Rate Base</v>
      </c>
      <c r="O751" s="116" t="str">
        <f>IF($L751&lt;&gt;"",VLOOKUP($L751,Categories!$E:$G,3,FALSE),IF($F751&lt;&gt;"","NO CAT",""))</f>
        <v>NM-2 ASGA</v>
      </c>
      <c r="P751" s="170" t="s">
        <v>1186</v>
      </c>
      <c r="Q751" s="123" t="s">
        <v>1187</v>
      </c>
      <c r="R751" s="124">
        <v>0</v>
      </c>
      <c r="S751" s="124">
        <v>0</v>
      </c>
      <c r="T751" s="124">
        <v>1</v>
      </c>
      <c r="U751" s="121">
        <f t="shared" si="303"/>
        <v>0</v>
      </c>
      <c r="V751" s="121">
        <f t="shared" si="304"/>
        <v>0</v>
      </c>
      <c r="W751" s="121">
        <f t="shared" si="305"/>
        <v>79.23</v>
      </c>
      <c r="X751" s="121">
        <f t="shared" si="309"/>
        <v>79.23</v>
      </c>
      <c r="Y751" s="121">
        <f t="shared" si="306"/>
        <v>0</v>
      </c>
      <c r="Z751" s="121">
        <f t="shared" si="307"/>
        <v>0</v>
      </c>
      <c r="AA751" s="121">
        <f t="shared" si="308"/>
        <v>79.23</v>
      </c>
      <c r="AB751" s="121">
        <f t="shared" si="310"/>
        <v>79.23</v>
      </c>
      <c r="AC751" s="121">
        <v>79.23</v>
      </c>
      <c r="AD751" s="121">
        <v>79.23</v>
      </c>
      <c r="AE751" s="121">
        <v>79.23</v>
      </c>
      <c r="AF751" s="121">
        <v>79.23</v>
      </c>
      <c r="AG751" s="121">
        <v>79.23</v>
      </c>
      <c r="AH751" s="121">
        <v>79.23</v>
      </c>
      <c r="AI751" s="121">
        <v>79.23</v>
      </c>
      <c r="AJ751" s="121">
        <v>79.23</v>
      </c>
      <c r="AK751" s="121">
        <v>79.23</v>
      </c>
      <c r="AL751" s="121">
        <v>79.23</v>
      </c>
      <c r="AM751" s="121">
        <v>79.23</v>
      </c>
      <c r="AN751" s="121">
        <v>79.23</v>
      </c>
      <c r="AO751" s="121">
        <v>79.23</v>
      </c>
      <c r="AP751" s="125" t="str">
        <f>CONCATENATE(A751,M751)</f>
        <v>Reg AssetN</v>
      </c>
      <c r="AQ751" s="125" t="str">
        <f>CONCATENATE(AP751,L751,H751)</f>
        <v>Reg AssetNN8ASGA</v>
      </c>
      <c r="AS751" s="125" t="str">
        <f>CONCATENATE(L751,H751,J751)</f>
        <v>N8ASGANCR</v>
      </c>
    </row>
    <row r="752" spans="1:45" s="125" customFormat="1" ht="25.5" customHeight="1">
      <c r="A752" s="216" t="s">
        <v>1442</v>
      </c>
      <c r="B752" s="217" t="str">
        <f t="shared" si="302"/>
        <v>Reg Asset254270809010BE030369</v>
      </c>
      <c r="C752" s="186">
        <v>254270</v>
      </c>
      <c r="D752" s="201" t="s">
        <v>2200</v>
      </c>
      <c r="E752" s="162" t="s">
        <v>1625</v>
      </c>
      <c r="F752" s="169" t="s">
        <v>334</v>
      </c>
      <c r="G752" s="117" t="s">
        <v>772</v>
      </c>
      <c r="H752" s="118" t="s">
        <v>521</v>
      </c>
      <c r="I752" s="120"/>
      <c r="J752" s="120" t="s">
        <v>105</v>
      </c>
      <c r="K752" s="120" t="str">
        <f t="shared" si="311"/>
        <v/>
      </c>
      <c r="L752" s="170" t="s">
        <v>2817</v>
      </c>
      <c r="M752" s="122" t="str">
        <f t="shared" si="301"/>
        <v>N</v>
      </c>
      <c r="N752" s="116" t="str">
        <f>IF($L752&lt;&gt;"",VLOOKUP($L752,Categories!$E:$G,2,FALSE),IF($F752&lt;&gt;"","NO CAT",""))</f>
        <v>Not in Rate Base</v>
      </c>
      <c r="O752" s="116" t="str">
        <f>IF($L752&lt;&gt;"",VLOOKUP($L752,Categories!$E:$G,3,FALSE),IF($F752&lt;&gt;"","NO CAT",""))</f>
        <v>NM-2 ASGA</v>
      </c>
      <c r="P752" s="170" t="s">
        <v>1186</v>
      </c>
      <c r="Q752" s="123" t="s">
        <v>1187</v>
      </c>
      <c r="R752" s="124">
        <v>0</v>
      </c>
      <c r="S752" s="124">
        <v>0</v>
      </c>
      <c r="T752" s="124">
        <v>1</v>
      </c>
      <c r="U752" s="121">
        <f t="shared" si="303"/>
        <v>0</v>
      </c>
      <c r="V752" s="121">
        <f t="shared" si="304"/>
        <v>0</v>
      </c>
      <c r="W752" s="121">
        <f t="shared" si="305"/>
        <v>26023.986000000001</v>
      </c>
      <c r="X752" s="121">
        <f t="shared" si="309"/>
        <v>26023.986000000001</v>
      </c>
      <c r="Y752" s="121">
        <f t="shared" si="306"/>
        <v>0</v>
      </c>
      <c r="Z752" s="121">
        <f t="shared" si="307"/>
        <v>0</v>
      </c>
      <c r="AA752" s="121">
        <f t="shared" si="308"/>
        <v>26023.986000000001</v>
      </c>
      <c r="AB752" s="121">
        <f t="shared" si="310"/>
        <v>26023.986000000001</v>
      </c>
      <c r="AC752" s="121">
        <v>26023.986000000001</v>
      </c>
      <c r="AD752" s="121">
        <v>26023.986000000001</v>
      </c>
      <c r="AE752" s="121">
        <v>26023.986000000001</v>
      </c>
      <c r="AF752" s="121">
        <v>26023.986000000001</v>
      </c>
      <c r="AG752" s="121">
        <v>26023.986000000001</v>
      </c>
      <c r="AH752" s="121">
        <v>26023.986000000001</v>
      </c>
      <c r="AI752" s="121">
        <v>26023.986000000001</v>
      </c>
      <c r="AJ752" s="121">
        <v>26023.986000000001</v>
      </c>
      <c r="AK752" s="121">
        <v>26023.986000000001</v>
      </c>
      <c r="AL752" s="121">
        <v>26023.986000000001</v>
      </c>
      <c r="AM752" s="121">
        <v>26023.986000000001</v>
      </c>
      <c r="AN752" s="121">
        <v>26023.986000000001</v>
      </c>
      <c r="AO752" s="121">
        <v>26023.986000000001</v>
      </c>
      <c r="AP752" s="125" t="str">
        <f>CONCATENATE(A752,M752)</f>
        <v>Reg AssetN</v>
      </c>
      <c r="AQ752" s="125" t="str">
        <f>CONCATENATE(AP752,L752,H752)</f>
        <v>Reg AssetNN8ASGA</v>
      </c>
      <c r="AS752" s="125" t="str">
        <f>CONCATENATE(L752,H752,J752)</f>
        <v>N8ASGANCR</v>
      </c>
    </row>
    <row r="753" spans="1:45" s="125" customFormat="1" ht="25.5" customHeight="1">
      <c r="A753" s="216" t="s">
        <v>1442</v>
      </c>
      <c r="B753" s="217" t="str">
        <f t="shared" si="302"/>
        <v>Reg Asset254270809011BE030291</v>
      </c>
      <c r="C753" s="186">
        <v>254270</v>
      </c>
      <c r="D753" s="201" t="s">
        <v>2201</v>
      </c>
      <c r="E753" s="162" t="s">
        <v>3248</v>
      </c>
      <c r="F753" s="169" t="s">
        <v>334</v>
      </c>
      <c r="G753" s="117" t="s">
        <v>1798</v>
      </c>
      <c r="H753" s="118" t="s">
        <v>521</v>
      </c>
      <c r="I753" s="120"/>
      <c r="J753" s="120" t="s">
        <v>105</v>
      </c>
      <c r="K753" s="120" t="str">
        <f t="shared" si="311"/>
        <v/>
      </c>
      <c r="L753" s="170" t="s">
        <v>2817</v>
      </c>
      <c r="M753" s="122" t="str">
        <f t="shared" si="301"/>
        <v>N</v>
      </c>
      <c r="N753" s="116" t="str">
        <f>IF($L753&lt;&gt;"",VLOOKUP($L753,Categories!$E:$G,2,FALSE),IF($F753&lt;&gt;"","NO CAT",""))</f>
        <v>Not in Rate Base</v>
      </c>
      <c r="O753" s="116" t="str">
        <f>IF($L753&lt;&gt;"",VLOOKUP($L753,Categories!$E:$G,3,FALSE),IF($F753&lt;&gt;"","NO CAT",""))</f>
        <v>NM-2 ASGA</v>
      </c>
      <c r="P753" s="170" t="s">
        <v>1186</v>
      </c>
      <c r="Q753" s="123" t="s">
        <v>1187</v>
      </c>
      <c r="R753" s="124">
        <v>0</v>
      </c>
      <c r="S753" s="124">
        <v>0</v>
      </c>
      <c r="T753" s="124">
        <v>1</v>
      </c>
      <c r="U753" s="121">
        <f t="shared" si="303"/>
        <v>0</v>
      </c>
      <c r="V753" s="121">
        <f t="shared" si="304"/>
        <v>0</v>
      </c>
      <c r="W753" s="121">
        <f t="shared" si="305"/>
        <v>-57.887419999999999</v>
      </c>
      <c r="X753" s="121">
        <f t="shared" si="309"/>
        <v>-57.887419999999999</v>
      </c>
      <c r="Y753" s="121">
        <f t="shared" si="306"/>
        <v>0</v>
      </c>
      <c r="Z753" s="121">
        <f t="shared" si="307"/>
        <v>0</v>
      </c>
      <c r="AA753" s="121">
        <f t="shared" si="308"/>
        <v>-57.887419999999999</v>
      </c>
      <c r="AB753" s="121">
        <f t="shared" si="310"/>
        <v>-57.887419999999999</v>
      </c>
      <c r="AC753" s="121">
        <v>-57.887419999999999</v>
      </c>
      <c r="AD753" s="121">
        <v>-57.887419999999999</v>
      </c>
      <c r="AE753" s="121">
        <v>-57.887419999999999</v>
      </c>
      <c r="AF753" s="121">
        <v>-57.887419999999999</v>
      </c>
      <c r="AG753" s="121">
        <v>-57.887419999999999</v>
      </c>
      <c r="AH753" s="121">
        <v>-57.887419999999999</v>
      </c>
      <c r="AI753" s="121">
        <v>-57.887419999999999</v>
      </c>
      <c r="AJ753" s="121">
        <v>-57.887419999999999</v>
      </c>
      <c r="AK753" s="121">
        <v>-57.887419999999999</v>
      </c>
      <c r="AL753" s="121">
        <v>-57.887419999999999</v>
      </c>
      <c r="AM753" s="121">
        <v>-57.887419999999999</v>
      </c>
      <c r="AN753" s="121">
        <v>-57.887419999999999</v>
      </c>
      <c r="AO753" s="121">
        <v>-57.887419999999999</v>
      </c>
      <c r="AP753" s="125" t="str">
        <f>CONCATENATE(A753,M753)</f>
        <v>Reg AssetN</v>
      </c>
      <c r="AQ753" s="125" t="str">
        <f>CONCATENATE(AP753,L753,H753)</f>
        <v>Reg AssetNN8ASGA</v>
      </c>
      <c r="AS753" s="125" t="str">
        <f>CONCATENATE(L753,H753,J753)</f>
        <v>N8ASGANCR</v>
      </c>
    </row>
    <row r="754" spans="1:45" s="125" customFormat="1" ht="25.5" customHeight="1">
      <c r="A754" s="216" t="s">
        <v>1442</v>
      </c>
      <c r="B754" s="217" t="str">
        <f t="shared" si="302"/>
        <v>Reg Asset254270Def Tax Grossup 1BT010284</v>
      </c>
      <c r="C754" s="186">
        <v>254270</v>
      </c>
      <c r="D754" s="201" t="s">
        <v>1122</v>
      </c>
      <c r="E754" s="162" t="s">
        <v>3265</v>
      </c>
      <c r="F754" s="169" t="s">
        <v>334</v>
      </c>
      <c r="G754" s="117" t="s">
        <v>818</v>
      </c>
      <c r="H754" s="118" t="s">
        <v>521</v>
      </c>
      <c r="I754" s="120"/>
      <c r="J754" s="120" t="s">
        <v>105</v>
      </c>
      <c r="K754" s="120" t="str">
        <f t="shared" si="311"/>
        <v/>
      </c>
      <c r="L754" s="170" t="s">
        <v>2817</v>
      </c>
      <c r="M754" s="122" t="str">
        <f t="shared" si="301"/>
        <v>N</v>
      </c>
      <c r="N754" s="116" t="str">
        <f>IF($L754&lt;&gt;"",VLOOKUP($L754,Categories!$E:$G,2,FALSE),IF($F754&lt;&gt;"","NO CAT",""))</f>
        <v>Not in Rate Base</v>
      </c>
      <c r="O754" s="116" t="str">
        <f>IF($L754&lt;&gt;"",VLOOKUP($L754,Categories!$E:$G,3,FALSE),IF($F754&lt;&gt;"","NO CAT",""))</f>
        <v>NM-2 ASGA</v>
      </c>
      <c r="P754" s="170" t="s">
        <v>1186</v>
      </c>
      <c r="Q754" s="123" t="s">
        <v>1187</v>
      </c>
      <c r="R754" s="124">
        <v>0</v>
      </c>
      <c r="S754" s="124">
        <v>0</v>
      </c>
      <c r="T754" s="124">
        <v>1</v>
      </c>
      <c r="U754" s="121">
        <f t="shared" si="303"/>
        <v>0</v>
      </c>
      <c r="V754" s="121">
        <f t="shared" si="304"/>
        <v>0</v>
      </c>
      <c r="W754" s="121">
        <f t="shared" si="305"/>
        <v>3565.1620800000001</v>
      </c>
      <c r="X754" s="121">
        <f t="shared" si="309"/>
        <v>3565.1620800000001</v>
      </c>
      <c r="Y754" s="121">
        <f t="shared" si="306"/>
        <v>0</v>
      </c>
      <c r="Z754" s="121">
        <f t="shared" si="307"/>
        <v>0</v>
      </c>
      <c r="AA754" s="121">
        <f t="shared" si="308"/>
        <v>3565.1620800000001</v>
      </c>
      <c r="AB754" s="121">
        <f t="shared" si="310"/>
        <v>3565.1620800000001</v>
      </c>
      <c r="AC754" s="121">
        <v>3565.1620800000001</v>
      </c>
      <c r="AD754" s="121">
        <v>3565.1620800000001</v>
      </c>
      <c r="AE754" s="121">
        <v>3565.1620800000001</v>
      </c>
      <c r="AF754" s="121">
        <v>3565.1620800000001</v>
      </c>
      <c r="AG754" s="121">
        <v>3565.1620800000001</v>
      </c>
      <c r="AH754" s="121">
        <v>3565.1620800000001</v>
      </c>
      <c r="AI754" s="121">
        <v>3565.1620800000001</v>
      </c>
      <c r="AJ754" s="121">
        <v>3565.1620800000001</v>
      </c>
      <c r="AK754" s="121">
        <v>3565.1620800000001</v>
      </c>
      <c r="AL754" s="121">
        <v>3565.1620800000001</v>
      </c>
      <c r="AM754" s="121">
        <v>3565.1620800000001</v>
      </c>
      <c r="AN754" s="121">
        <v>3565.1620800000001</v>
      </c>
      <c r="AO754" s="121">
        <v>3565.1620800000001</v>
      </c>
      <c r="AP754" s="125" t="str">
        <f>CONCATENATE(A754,M754)</f>
        <v>Reg AssetN</v>
      </c>
      <c r="AQ754" s="125" t="str">
        <f>CONCATENATE(AP754,L754,H754)</f>
        <v>Reg AssetNN8ASGA</v>
      </c>
      <c r="AS754" s="125" t="str">
        <f>CONCATENATE(L754,H754,J754)</f>
        <v>N8ASGANCR</v>
      </c>
    </row>
    <row r="755" spans="1:45" s="125" customFormat="1" ht="25.5" customHeight="1">
      <c r="A755" s="216" t="s">
        <v>1442</v>
      </c>
      <c r="B755" s="217" t="str">
        <f t="shared" si="302"/>
        <v>Reg Asset254270Def Tax Grossup 2BT010280</v>
      </c>
      <c r="C755" s="186">
        <v>254270</v>
      </c>
      <c r="D755" s="201" t="s">
        <v>1123</v>
      </c>
      <c r="E755" s="162" t="s">
        <v>1707</v>
      </c>
      <c r="F755" s="169" t="s">
        <v>334</v>
      </c>
      <c r="G755" s="117" t="s">
        <v>818</v>
      </c>
      <c r="H755" s="118" t="s">
        <v>521</v>
      </c>
      <c r="I755" s="120"/>
      <c r="J755" s="120" t="s">
        <v>105</v>
      </c>
      <c r="K755" s="120" t="str">
        <f t="shared" si="311"/>
        <v/>
      </c>
      <c r="L755" s="170" t="s">
        <v>2817</v>
      </c>
      <c r="M755" s="122" t="str">
        <f t="shared" si="301"/>
        <v>N</v>
      </c>
      <c r="N755" s="116" t="str">
        <f>IF($L755&lt;&gt;"",VLOOKUP($L755,Categories!$E:$G,2,FALSE),IF($F755&lt;&gt;"","NO CAT",""))</f>
        <v>Not in Rate Base</v>
      </c>
      <c r="O755" s="116" t="str">
        <f>IF($L755&lt;&gt;"",VLOOKUP($L755,Categories!$E:$G,3,FALSE),IF($F755&lt;&gt;"","NO CAT",""))</f>
        <v>NM-2 ASGA</v>
      </c>
      <c r="P755" s="170" t="s">
        <v>1186</v>
      </c>
      <c r="Q755" s="123" t="s">
        <v>1187</v>
      </c>
      <c r="R755" s="124">
        <v>0</v>
      </c>
      <c r="S755" s="124">
        <v>0</v>
      </c>
      <c r="T755" s="124">
        <v>1</v>
      </c>
      <c r="U755" s="121">
        <f t="shared" si="303"/>
        <v>0</v>
      </c>
      <c r="V755" s="121">
        <f t="shared" si="304"/>
        <v>0</v>
      </c>
      <c r="W755" s="121">
        <f t="shared" si="305"/>
        <v>2778.2576104166701</v>
      </c>
      <c r="X755" s="121">
        <f t="shared" si="309"/>
        <v>2778.2576104166701</v>
      </c>
      <c r="Y755" s="121">
        <f t="shared" si="306"/>
        <v>0</v>
      </c>
      <c r="Z755" s="121">
        <f t="shared" si="307"/>
        <v>0</v>
      </c>
      <c r="AA755" s="121">
        <f t="shared" si="308"/>
        <v>2776.79592</v>
      </c>
      <c r="AB755" s="121">
        <f t="shared" si="310"/>
        <v>2776.79592</v>
      </c>
      <c r="AC755" s="121">
        <v>2778.9711699999998</v>
      </c>
      <c r="AD755" s="121">
        <v>2778.9711699999998</v>
      </c>
      <c r="AE755" s="121">
        <v>2778.9711699999998</v>
      </c>
      <c r="AF755" s="121">
        <v>2778.9711699999998</v>
      </c>
      <c r="AG755" s="121">
        <v>2778.9711699999998</v>
      </c>
      <c r="AH755" s="121">
        <v>2777.9032999999999</v>
      </c>
      <c r="AI755" s="121">
        <v>2777.9032999999999</v>
      </c>
      <c r="AJ755" s="121">
        <v>2777.9032999999999</v>
      </c>
      <c r="AK755" s="121">
        <v>2777.9032999999999</v>
      </c>
      <c r="AL755" s="121">
        <v>2777.9032999999999</v>
      </c>
      <c r="AM755" s="121">
        <v>2777.9032999999999</v>
      </c>
      <c r="AN755" s="121">
        <v>2777.9032999999999</v>
      </c>
      <c r="AO755" s="121">
        <v>2776.79592</v>
      </c>
      <c r="AP755" s="125" t="str">
        <f>CONCATENATE(A755,M755)</f>
        <v>Reg AssetN</v>
      </c>
      <c r="AQ755" s="125" t="str">
        <f>CONCATENATE(AP755,L755,H755)</f>
        <v>Reg AssetNN8ASGA</v>
      </c>
      <c r="AS755" s="125" t="str">
        <f>CONCATENATE(L755,H755,J755)</f>
        <v>N8ASGANCR</v>
      </c>
    </row>
    <row r="756" spans="1:45" s="125" customFormat="1" ht="25.5" customHeight="1">
      <c r="A756" s="216" t="s">
        <v>1442</v>
      </c>
      <c r="B756" s="217" t="str">
        <f t="shared" si="302"/>
        <v>Reg Asset254270Def Tax Grossup 3BT010009</v>
      </c>
      <c r="C756" s="186">
        <v>254270</v>
      </c>
      <c r="D756" s="201" t="s">
        <v>122</v>
      </c>
      <c r="E756" s="162" t="s">
        <v>1124</v>
      </c>
      <c r="F756" s="169" t="s">
        <v>334</v>
      </c>
      <c r="G756" s="117" t="s">
        <v>818</v>
      </c>
      <c r="H756" s="118" t="s">
        <v>521</v>
      </c>
      <c r="I756" s="120"/>
      <c r="J756" s="120" t="s">
        <v>105</v>
      </c>
      <c r="K756" s="120" t="str">
        <f t="shared" si="311"/>
        <v/>
      </c>
      <c r="L756" s="170" t="s">
        <v>2817</v>
      </c>
      <c r="M756" s="122" t="str">
        <f t="shared" si="301"/>
        <v>N</v>
      </c>
      <c r="N756" s="116" t="str">
        <f>IF($L756&lt;&gt;"",VLOOKUP($L756,Categories!$E:$G,2,FALSE),IF($F756&lt;&gt;"","NO CAT",""))</f>
        <v>Not in Rate Base</v>
      </c>
      <c r="O756" s="116" t="str">
        <f>IF($L756&lt;&gt;"",VLOOKUP($L756,Categories!$E:$G,3,FALSE),IF($F756&lt;&gt;"","NO CAT",""))</f>
        <v>NM-2 ASGA</v>
      </c>
      <c r="P756" s="170" t="s">
        <v>1186</v>
      </c>
      <c r="Q756" s="123" t="s">
        <v>1187</v>
      </c>
      <c r="R756" s="124">
        <v>0</v>
      </c>
      <c r="S756" s="124">
        <v>0</v>
      </c>
      <c r="T756" s="124">
        <v>1</v>
      </c>
      <c r="U756" s="121">
        <f t="shared" si="303"/>
        <v>0</v>
      </c>
      <c r="V756" s="121">
        <f t="shared" si="304"/>
        <v>0</v>
      </c>
      <c r="W756" s="121">
        <f t="shared" si="305"/>
        <v>1978.7956300000001</v>
      </c>
      <c r="X756" s="121">
        <f t="shared" si="309"/>
        <v>1978.7956300000001</v>
      </c>
      <c r="Y756" s="121">
        <f t="shared" si="306"/>
        <v>0</v>
      </c>
      <c r="Z756" s="121">
        <f t="shared" si="307"/>
        <v>0</v>
      </c>
      <c r="AA756" s="121">
        <f t="shared" si="308"/>
        <v>1978.7956300000001</v>
      </c>
      <c r="AB756" s="121">
        <f t="shared" si="310"/>
        <v>1978.7956300000001</v>
      </c>
      <c r="AC756" s="121">
        <v>1978.7956300000001</v>
      </c>
      <c r="AD756" s="121">
        <v>1978.7956300000001</v>
      </c>
      <c r="AE756" s="121">
        <v>1978.7956300000001</v>
      </c>
      <c r="AF756" s="121">
        <v>1978.7956300000001</v>
      </c>
      <c r="AG756" s="121">
        <v>1978.7956300000001</v>
      </c>
      <c r="AH756" s="121">
        <v>1978.7956300000001</v>
      </c>
      <c r="AI756" s="121">
        <v>1978.7956300000001</v>
      </c>
      <c r="AJ756" s="121">
        <v>1978.7956300000001</v>
      </c>
      <c r="AK756" s="121">
        <v>1978.7956300000001</v>
      </c>
      <c r="AL756" s="121">
        <v>1978.7956300000001</v>
      </c>
      <c r="AM756" s="121">
        <v>1978.7956300000001</v>
      </c>
      <c r="AN756" s="121">
        <v>1978.7956300000001</v>
      </c>
      <c r="AO756" s="121">
        <v>1978.7956300000001</v>
      </c>
      <c r="AP756" s="125" t="str">
        <f>CONCATENATE(A756,M756)</f>
        <v>Reg AssetN</v>
      </c>
      <c r="AQ756" s="125" t="str">
        <f>CONCATENATE(AP756,L756,H756)</f>
        <v>Reg AssetNN8ASGA</v>
      </c>
      <c r="AS756" s="125" t="str">
        <f>CONCATENATE(L756,H756,J756)</f>
        <v>N8ASGANCR</v>
      </c>
    </row>
    <row r="757" spans="1:45" s="125" customFormat="1" ht="25.5" customHeight="1">
      <c r="A757" s="216" t="s">
        <v>1442</v>
      </c>
      <c r="B757" s="217" t="str">
        <f t="shared" si="302"/>
        <v>Reg Asset254270BT010280</v>
      </c>
      <c r="C757" s="186">
        <v>254270</v>
      </c>
      <c r="D757" s="201"/>
      <c r="E757" s="162" t="s">
        <v>1707</v>
      </c>
      <c r="F757" s="169" t="s">
        <v>334</v>
      </c>
      <c r="G757" s="117" t="s">
        <v>3136</v>
      </c>
      <c r="H757" s="118" t="s">
        <v>521</v>
      </c>
      <c r="I757" s="120"/>
      <c r="J757" s="120" t="s">
        <v>105</v>
      </c>
      <c r="K757" s="120" t="str">
        <f t="shared" si="311"/>
        <v/>
      </c>
      <c r="L757" s="170" t="s">
        <v>2817</v>
      </c>
      <c r="M757" s="122" t="str">
        <f>LEFT(L757,1)</f>
        <v>N</v>
      </c>
      <c r="N757" s="116" t="str">
        <f>IF($L757&lt;&gt;"",VLOOKUP($L757,Categories!$E:$G,2,FALSE),IF($F757&lt;&gt;"","NO CAT",""))</f>
        <v>Not in Rate Base</v>
      </c>
      <c r="O757" s="116" t="str">
        <f>IF($L757&lt;&gt;"",VLOOKUP($L757,Categories!$E:$G,3,FALSE),IF($F757&lt;&gt;"","NO CAT",""))</f>
        <v>NM-2 ASGA</v>
      </c>
      <c r="P757" s="170" t="s">
        <v>1186</v>
      </c>
      <c r="Q757" s="123" t="s">
        <v>1187</v>
      </c>
      <c r="R757" s="124">
        <v>0</v>
      </c>
      <c r="S757" s="124">
        <v>0</v>
      </c>
      <c r="T757" s="124">
        <v>1</v>
      </c>
      <c r="U757" s="121">
        <f>IF(ABS(X757)=0,"",IF($R757="NO ALLOC","NO ALLOC",ROUND($R757*X757,15)))</f>
        <v>0</v>
      </c>
      <c r="V757" s="121">
        <f>IF(ABS(X757)=0,"",IF($S757="NO ALLOC","NO ALLOC",ROUND($S757*X757,15)))</f>
        <v>0</v>
      </c>
      <c r="W757" s="121">
        <f>IF(ABS(X757)=0,"",IF($T757="NO ALLOC","NO ALLOC",ROUND($T757*X757,15)))</f>
        <v>989.51924750000001</v>
      </c>
      <c r="X757" s="121">
        <f t="shared" si="309"/>
        <v>989.51924750000001</v>
      </c>
      <c r="Y757" s="121">
        <f>IF(ABS(AB757)=0,"",IF($R757="NO ALLOC","NO ALLOC",ROUND($R757*AB757,15)))</f>
        <v>0</v>
      </c>
      <c r="Z757" s="121">
        <f>IF(ABS(AB757)=0,"",IF($S757="NO ALLOC","NO ALLOC",ROUND($S757*AB757,15)))</f>
        <v>0</v>
      </c>
      <c r="AA757" s="121">
        <f>IF(ABS(AB757)=0,"",IF($T757="NO ALLOC","NO ALLOC",ROUND($T757*AB757,15)))</f>
        <v>1306.3009099999999</v>
      </c>
      <c r="AB757" s="121">
        <f t="shared" si="310"/>
        <v>1306.3009100000002</v>
      </c>
      <c r="AC757" s="121">
        <v>723.63723000000005</v>
      </c>
      <c r="AD757" s="121">
        <v>722.3569500000001</v>
      </c>
      <c r="AE757" s="121">
        <v>721.07001000000014</v>
      </c>
      <c r="AF757" s="121">
        <v>719.77638000000013</v>
      </c>
      <c r="AG757" s="121">
        <v>718.59534000000008</v>
      </c>
      <c r="AH757" s="121">
        <v>718.59534000000008</v>
      </c>
      <c r="AI757" s="121">
        <v>717.52190000000019</v>
      </c>
      <c r="AJ757" s="121">
        <v>1310.6679000000001</v>
      </c>
      <c r="AK757" s="121">
        <v>1309.5832600000003</v>
      </c>
      <c r="AL757" s="121">
        <v>1308.4930000000002</v>
      </c>
      <c r="AM757" s="121">
        <v>1306.3009100000002</v>
      </c>
      <c r="AN757" s="121">
        <v>1306.3009100000002</v>
      </c>
      <c r="AO757" s="121">
        <v>1306.3009100000002</v>
      </c>
      <c r="AP757" s="125" t="str">
        <f>CONCATENATE(A757,M757)</f>
        <v>Reg AssetN</v>
      </c>
      <c r="AQ757" s="125" t="str">
        <f>CONCATENATE(AP757,L757,H757)</f>
        <v>Reg AssetNN8ASGA</v>
      </c>
      <c r="AS757" s="125" t="str">
        <f>CONCATENATE(L757,H757,J757)</f>
        <v>N8ASGANCR</v>
      </c>
    </row>
    <row r="758" spans="1:45" s="125" customFormat="1" ht="25.5" customHeight="1">
      <c r="A758" s="216" t="s">
        <v>1442</v>
      </c>
      <c r="B758" s="217" t="str">
        <f t="shared" si="302"/>
        <v>Reg Asset254270BT010009</v>
      </c>
      <c r="C758" s="186">
        <v>254270</v>
      </c>
      <c r="D758" s="201"/>
      <c r="E758" s="162" t="s">
        <v>1124</v>
      </c>
      <c r="F758" s="169" t="s">
        <v>334</v>
      </c>
      <c r="G758" s="117" t="s">
        <v>3137</v>
      </c>
      <c r="H758" s="118" t="s">
        <v>521</v>
      </c>
      <c r="I758" s="120"/>
      <c r="J758" s="120" t="s">
        <v>105</v>
      </c>
      <c r="K758" s="120" t="str">
        <f t="shared" si="311"/>
        <v/>
      </c>
      <c r="L758" s="170" t="s">
        <v>2817</v>
      </c>
      <c r="M758" s="122" t="str">
        <f>LEFT(L758,1)</f>
        <v>N</v>
      </c>
      <c r="N758" s="116" t="str">
        <f>IF($L758&lt;&gt;"",VLOOKUP($L758,Categories!$E:$G,2,FALSE),IF($F758&lt;&gt;"","NO CAT",""))</f>
        <v>Not in Rate Base</v>
      </c>
      <c r="O758" s="116" t="str">
        <f>IF($L758&lt;&gt;"",VLOOKUP($L758,Categories!$E:$G,3,FALSE),IF($F758&lt;&gt;"","NO CAT",""))</f>
        <v>NM-2 ASGA</v>
      </c>
      <c r="P758" s="170" t="s">
        <v>1186</v>
      </c>
      <c r="Q758" s="123" t="s">
        <v>1187</v>
      </c>
      <c r="R758" s="124">
        <v>0</v>
      </c>
      <c r="S758" s="124">
        <v>0</v>
      </c>
      <c r="T758" s="124">
        <v>1</v>
      </c>
      <c r="U758" s="121">
        <f>IF(ABS(X758)=0,"",IF($R758="NO ALLOC","NO ALLOC",ROUND($R758*X758,15)))</f>
        <v>0</v>
      </c>
      <c r="V758" s="121">
        <f>IF(ABS(X758)=0,"",IF($S758="NO ALLOC","NO ALLOC",ROUND($S758*X758,15)))</f>
        <v>0</v>
      </c>
      <c r="W758" s="121">
        <f>IF(ABS(X758)=0,"",IF($T758="NO ALLOC","NO ALLOC",ROUND($T758*X758,15)))</f>
        <v>7361.5764300000001</v>
      </c>
      <c r="X758" s="121">
        <f t="shared" si="309"/>
        <v>7361.5764300000001</v>
      </c>
      <c r="Y758" s="121">
        <f>IF(ABS(AB758)=0,"",IF($R758="NO ALLOC","NO ALLOC",ROUND($R758*AB758,15)))</f>
        <v>0</v>
      </c>
      <c r="Z758" s="121">
        <f>IF(ABS(AB758)=0,"",IF($S758="NO ALLOC","NO ALLOC",ROUND($S758*AB758,15)))</f>
        <v>0</v>
      </c>
      <c r="AA758" s="121">
        <f>IF(ABS(AB758)=0,"",IF($T758="NO ALLOC","NO ALLOC",ROUND($T758*AB758,15)))</f>
        <v>7691.3921700000001</v>
      </c>
      <c r="AB758" s="121">
        <f t="shared" si="310"/>
        <v>7691.3921700000001</v>
      </c>
      <c r="AC758" s="121">
        <v>7063.6885300000013</v>
      </c>
      <c r="AD758" s="121">
        <v>7062.4089699999995</v>
      </c>
      <c r="AE758" s="121">
        <v>7061.1218699999999</v>
      </c>
      <c r="AF758" s="121">
        <v>7058.9794900000006</v>
      </c>
      <c r="AG758" s="121">
        <v>7103.6668</v>
      </c>
      <c r="AH758" s="121">
        <v>7104.3672000000006</v>
      </c>
      <c r="AI758" s="121">
        <v>7105.0715399999999</v>
      </c>
      <c r="AJ758" s="121">
        <v>7694.6715000000004</v>
      </c>
      <c r="AK758" s="121">
        <v>7693.5900099999999</v>
      </c>
      <c r="AL758" s="121">
        <v>7692.4998099999993</v>
      </c>
      <c r="AM758" s="121">
        <v>7692.4998099999993</v>
      </c>
      <c r="AN758" s="121">
        <v>7692.4998099999993</v>
      </c>
      <c r="AO758" s="121">
        <v>7691.3921700000001</v>
      </c>
      <c r="AP758" s="125" t="str">
        <f>CONCATENATE(A758,M758)</f>
        <v>Reg AssetN</v>
      </c>
      <c r="AQ758" s="125" t="str">
        <f>CONCATENATE(AP758,L758,H758)</f>
        <v>Reg AssetNN8ASGA</v>
      </c>
      <c r="AS758" s="125" t="str">
        <f>CONCATENATE(L758,H758,J758)</f>
        <v>N8ASGANCR</v>
      </c>
    </row>
    <row r="759" spans="1:45" s="125" customFormat="1" ht="25.5" customHeight="1">
      <c r="A759" s="216" t="s">
        <v>1442</v>
      </c>
      <c r="B759" s="217" t="str">
        <f t="shared" si="302"/>
        <v>Reg Asset254270BE030902</v>
      </c>
      <c r="C759" s="186">
        <v>254270</v>
      </c>
      <c r="D759" s="201"/>
      <c r="E759" s="162" t="s">
        <v>1241</v>
      </c>
      <c r="F759" s="169" t="s">
        <v>334</v>
      </c>
      <c r="G759" s="117" t="s">
        <v>3138</v>
      </c>
      <c r="H759" s="118" t="s">
        <v>521</v>
      </c>
      <c r="I759" s="120"/>
      <c r="J759" s="120" t="s">
        <v>105</v>
      </c>
      <c r="K759" s="120" t="str">
        <f t="shared" si="311"/>
        <v/>
      </c>
      <c r="L759" s="170" t="s">
        <v>2817</v>
      </c>
      <c r="M759" s="122" t="str">
        <f>LEFT(L759,1)</f>
        <v>N</v>
      </c>
      <c r="N759" s="116" t="str">
        <f>IF($L759&lt;&gt;"",VLOOKUP($L759,Categories!$E:$G,2,FALSE),IF($F759&lt;&gt;"","NO CAT",""))</f>
        <v>Not in Rate Base</v>
      </c>
      <c r="O759" s="116" t="str">
        <f>IF($L759&lt;&gt;"",VLOOKUP($L759,Categories!$E:$G,3,FALSE),IF($F759&lt;&gt;"","NO CAT",""))</f>
        <v>NM-2 ASGA</v>
      </c>
      <c r="P759" s="170" t="s">
        <v>1186</v>
      </c>
      <c r="Q759" s="123" t="s">
        <v>1187</v>
      </c>
      <c r="R759" s="124">
        <v>0</v>
      </c>
      <c r="S759" s="124">
        <v>0</v>
      </c>
      <c r="T759" s="124">
        <v>1</v>
      </c>
      <c r="U759" s="121">
        <f>IF(ABS(X759)=0,"",IF($R759="NO ALLOC","NO ALLOC",ROUND($R759*X759,15)))</f>
        <v>0</v>
      </c>
      <c r="V759" s="121">
        <f>IF(ABS(X759)=0,"",IF($S759="NO ALLOC","NO ALLOC",ROUND($S759*X759,15)))</f>
        <v>0</v>
      </c>
      <c r="W759" s="121">
        <f>IF(ABS(X759)=0,"",IF($T759="NO ALLOC","NO ALLOC",ROUND($T759*X759,15)))</f>
        <v>-4631.2643958333301</v>
      </c>
      <c r="X759" s="121">
        <f t="shared" si="309"/>
        <v>-4631.2643958333301</v>
      </c>
      <c r="Y759" s="121">
        <f>IF(ABS(AB759)=0,"",IF($R759="NO ALLOC","NO ALLOC",ROUND($R759*AB759,15)))</f>
        <v>0</v>
      </c>
      <c r="Z759" s="121">
        <f>IF(ABS(AB759)=0,"",IF($S759="NO ALLOC","NO ALLOC",ROUND($S759*AB759,15)))</f>
        <v>0</v>
      </c>
      <c r="AA759" s="121">
        <f>IF(ABS(AB759)=0,"",IF($T759="NO ALLOC","NO ALLOC",ROUND($T759*AB759,15)))</f>
        <v>-4564.6689500000002</v>
      </c>
      <c r="AB759" s="121">
        <f t="shared" si="310"/>
        <v>-4564.6689500000002</v>
      </c>
      <c r="AC759" s="121">
        <v>-4658.6860500000012</v>
      </c>
      <c r="AD759" s="121">
        <v>-4658.6860500000012</v>
      </c>
      <c r="AE759" s="121">
        <v>-4658.6860500000003</v>
      </c>
      <c r="AF759" s="121">
        <v>-4658.6860500000003</v>
      </c>
      <c r="AG759" s="121">
        <v>-4658.6860500000003</v>
      </c>
      <c r="AH759" s="121">
        <v>-4658.6860500000003</v>
      </c>
      <c r="AI759" s="121">
        <v>-4658.6860500000003</v>
      </c>
      <c r="AJ759" s="121">
        <v>-4658.6860500000003</v>
      </c>
      <c r="AK759" s="121">
        <v>-4658.6860500000003</v>
      </c>
      <c r="AL759" s="121">
        <v>-4564.6689500000002</v>
      </c>
      <c r="AM759" s="121">
        <v>-4564.6689500000002</v>
      </c>
      <c r="AN759" s="121">
        <v>-4564.6689500000002</v>
      </c>
      <c r="AO759" s="121">
        <v>-4564.6689500000002</v>
      </c>
      <c r="AP759" s="125" t="str">
        <f>CONCATENATE(A759,M759)</f>
        <v>Reg AssetN</v>
      </c>
      <c r="AQ759" s="125" t="str">
        <f>CONCATENATE(AP759,L759,H759)</f>
        <v>Reg AssetNN8ASGA</v>
      </c>
      <c r="AS759" s="125" t="str">
        <f>CONCATENATE(L759,H759,J759)</f>
        <v>N8ASGANCR</v>
      </c>
    </row>
    <row r="760" spans="1:45" s="125" customFormat="1" ht="25.5" customHeight="1">
      <c r="A760" s="216" t="s">
        <v>1442</v>
      </c>
      <c r="B760" s="217" t="str">
        <f t="shared" si="302"/>
        <v>Reg Asset254270SQPM Def TaxBT010209</v>
      </c>
      <c r="C760" s="186">
        <v>254270</v>
      </c>
      <c r="D760" s="201" t="s">
        <v>123</v>
      </c>
      <c r="E760" s="162" t="s">
        <v>394</v>
      </c>
      <c r="F760" s="169" t="s">
        <v>334</v>
      </c>
      <c r="G760" s="117" t="s">
        <v>124</v>
      </c>
      <c r="H760" s="118" t="s">
        <v>521</v>
      </c>
      <c r="I760" s="120"/>
      <c r="J760" s="120" t="s">
        <v>105</v>
      </c>
      <c r="K760" s="120" t="str">
        <f t="shared" si="311"/>
        <v/>
      </c>
      <c r="L760" s="170" t="s">
        <v>2817</v>
      </c>
      <c r="M760" s="122" t="str">
        <f t="shared" si="301"/>
        <v>N</v>
      </c>
      <c r="N760" s="116" t="str">
        <f>IF($L760&lt;&gt;"",VLOOKUP($L760,Categories!$E:$G,2,FALSE),IF($F760&lt;&gt;"","NO CAT",""))</f>
        <v>Not in Rate Base</v>
      </c>
      <c r="O760" s="116" t="str">
        <f>IF($L760&lt;&gt;"",VLOOKUP($L760,Categories!$E:$G,3,FALSE),IF($F760&lt;&gt;"","NO CAT",""))</f>
        <v>NM-2 ASGA</v>
      </c>
      <c r="P760" s="170" t="s">
        <v>1186</v>
      </c>
      <c r="Q760" s="123" t="s">
        <v>1187</v>
      </c>
      <c r="R760" s="124">
        <v>0</v>
      </c>
      <c r="S760" s="124">
        <v>0</v>
      </c>
      <c r="T760" s="124">
        <v>1</v>
      </c>
      <c r="U760" s="121">
        <f t="shared" ref="U760:U799" si="312">IF(ABS(X760)=0,"",IF($R760="NO ALLOC","NO ALLOC",ROUND($R760*X760,15)))</f>
        <v>0</v>
      </c>
      <c r="V760" s="121">
        <f t="shared" ref="V760:V799" si="313">IF(ABS(X760)=0,"",IF($S760="NO ALLOC","NO ALLOC",ROUND($S760*X760,15)))</f>
        <v>0</v>
      </c>
      <c r="W760" s="121">
        <f t="shared" ref="W760:W799" si="314">IF(ABS(X760)=0,"",IF($T760="NO ALLOC","NO ALLOC",ROUND($T760*X760,15)))</f>
        <v>56.459090000000003</v>
      </c>
      <c r="X760" s="121">
        <f t="shared" si="309"/>
        <v>56.459090000000003</v>
      </c>
      <c r="Y760" s="121">
        <f t="shared" ref="Y760:Y799" si="315">IF(ABS(AB760)=0,"",IF($R760="NO ALLOC","NO ALLOC",ROUND($R760*AB760,15)))</f>
        <v>0</v>
      </c>
      <c r="Z760" s="121">
        <f t="shared" ref="Z760:Z799" si="316">IF(ABS(AB760)=0,"",IF($S760="NO ALLOC","NO ALLOC",ROUND($S760*AB760,15)))</f>
        <v>0</v>
      </c>
      <c r="AA760" s="121">
        <f t="shared" ref="AA760:AA799" si="317">IF(ABS(AB760)=0,"",IF($T760="NO ALLOC","NO ALLOC",ROUND($T760*AB760,15)))</f>
        <v>56.459090000000003</v>
      </c>
      <c r="AB760" s="121">
        <f t="shared" si="310"/>
        <v>56.459089999999968</v>
      </c>
      <c r="AC760" s="121">
        <v>56.459089999999968</v>
      </c>
      <c r="AD760" s="121">
        <v>56.459089999999968</v>
      </c>
      <c r="AE760" s="121">
        <v>56.459089999999968</v>
      </c>
      <c r="AF760" s="121">
        <v>56.459089999999968</v>
      </c>
      <c r="AG760" s="121">
        <v>56.459089999999968</v>
      </c>
      <c r="AH760" s="121">
        <v>56.459089999999968</v>
      </c>
      <c r="AI760" s="121">
        <v>56.459089999999968</v>
      </c>
      <c r="AJ760" s="121">
        <v>56.459089999999968</v>
      </c>
      <c r="AK760" s="121">
        <v>56.459089999999968</v>
      </c>
      <c r="AL760" s="121">
        <v>56.459089999999968</v>
      </c>
      <c r="AM760" s="121">
        <v>56.459089999999968</v>
      </c>
      <c r="AN760" s="121">
        <v>56.459089999999968</v>
      </c>
      <c r="AO760" s="121">
        <v>56.459089999999968</v>
      </c>
      <c r="AP760" s="125" t="str">
        <f>CONCATENATE(A760,M760)</f>
        <v>Reg AssetN</v>
      </c>
      <c r="AQ760" s="125" t="str">
        <f>CONCATENATE(AP760,L760,H760)</f>
        <v>Reg AssetNN8ASGA</v>
      </c>
      <c r="AS760" s="125" t="str">
        <f>CONCATENATE(L760,H760,J760)</f>
        <v>N8ASGANCR</v>
      </c>
    </row>
    <row r="761" spans="1:45" s="125" customFormat="1" ht="25.5" customHeight="1">
      <c r="A761" s="216" t="s">
        <v>1442</v>
      </c>
      <c r="B761" s="217" t="str">
        <f t="shared" si="302"/>
        <v>Reg Asset254270809012BE030291</v>
      </c>
      <c r="C761" s="186">
        <v>254270</v>
      </c>
      <c r="D761" s="201">
        <v>809012</v>
      </c>
      <c r="E761" s="162" t="s">
        <v>3248</v>
      </c>
      <c r="F761" s="169" t="s">
        <v>334</v>
      </c>
      <c r="G761" s="117" t="s">
        <v>1733</v>
      </c>
      <c r="H761" s="118" t="s">
        <v>521</v>
      </c>
      <c r="I761" s="120"/>
      <c r="J761" s="120" t="s">
        <v>105</v>
      </c>
      <c r="K761" s="120" t="str">
        <f t="shared" si="311"/>
        <v/>
      </c>
      <c r="L761" s="170" t="s">
        <v>2817</v>
      </c>
      <c r="M761" s="122" t="str">
        <f t="shared" si="301"/>
        <v>N</v>
      </c>
      <c r="N761" s="116" t="str">
        <f>IF($L761&lt;&gt;"",VLOOKUP($L761,Categories!$E:$G,2,FALSE),IF($F761&lt;&gt;"","NO CAT",""))</f>
        <v>Not in Rate Base</v>
      </c>
      <c r="O761" s="116" t="str">
        <f>IF($L761&lt;&gt;"",VLOOKUP($L761,Categories!$E:$G,3,FALSE),IF($F761&lt;&gt;"","NO CAT",""))</f>
        <v>NM-2 ASGA</v>
      </c>
      <c r="P761" s="170" t="s">
        <v>1186</v>
      </c>
      <c r="Q761" s="123" t="s">
        <v>1187</v>
      </c>
      <c r="R761" s="124">
        <v>0</v>
      </c>
      <c r="S761" s="124">
        <v>0</v>
      </c>
      <c r="T761" s="124">
        <v>1</v>
      </c>
      <c r="U761" s="121">
        <f t="shared" si="312"/>
        <v>0</v>
      </c>
      <c r="V761" s="121">
        <f t="shared" si="313"/>
        <v>0</v>
      </c>
      <c r="W761" s="121">
        <f t="shared" si="314"/>
        <v>129.76517000000001</v>
      </c>
      <c r="X761" s="121">
        <f t="shared" si="309"/>
        <v>129.76517000000001</v>
      </c>
      <c r="Y761" s="121">
        <f t="shared" si="315"/>
        <v>0</v>
      </c>
      <c r="Z761" s="121">
        <f t="shared" si="316"/>
        <v>0</v>
      </c>
      <c r="AA761" s="121">
        <f t="shared" si="317"/>
        <v>129.76517000000001</v>
      </c>
      <c r="AB761" s="121">
        <f t="shared" si="310"/>
        <v>129.76517000000001</v>
      </c>
      <c r="AC761" s="121">
        <v>129.76517000000001</v>
      </c>
      <c r="AD761" s="121">
        <v>129.76517000000001</v>
      </c>
      <c r="AE761" s="121">
        <v>129.76517000000001</v>
      </c>
      <c r="AF761" s="121">
        <v>129.76517000000001</v>
      </c>
      <c r="AG761" s="121">
        <v>129.76517000000001</v>
      </c>
      <c r="AH761" s="121">
        <v>129.76517000000001</v>
      </c>
      <c r="AI761" s="121">
        <v>129.76517000000001</v>
      </c>
      <c r="AJ761" s="121">
        <v>129.76517000000001</v>
      </c>
      <c r="AK761" s="121">
        <v>129.76517000000001</v>
      </c>
      <c r="AL761" s="121">
        <v>129.76517000000001</v>
      </c>
      <c r="AM761" s="121">
        <v>129.76517000000001</v>
      </c>
      <c r="AN761" s="121">
        <v>129.76517000000001</v>
      </c>
      <c r="AO761" s="121">
        <v>129.76517000000001</v>
      </c>
      <c r="AP761" s="125" t="str">
        <f>CONCATENATE(A761,M761)</f>
        <v>Reg AssetN</v>
      </c>
      <c r="AQ761" s="125" t="str">
        <f>CONCATENATE(AP761,L761,H761)</f>
        <v>Reg AssetNN8ASGA</v>
      </c>
      <c r="AS761" s="125" t="str">
        <f>CONCATENATE(L761,H761,J761)</f>
        <v>N8ASGANCR</v>
      </c>
    </row>
    <row r="762" spans="1:45" s="125" customFormat="1" ht="25.5" customHeight="1">
      <c r="A762" s="216" t="s">
        <v>1442</v>
      </c>
      <c r="B762" s="217" t="str">
        <f t="shared" si="302"/>
        <v>Reg Asset254270809013BE030291</v>
      </c>
      <c r="C762" s="186">
        <v>254270</v>
      </c>
      <c r="D762" s="201" t="s">
        <v>562</v>
      </c>
      <c r="E762" s="162" t="s">
        <v>3248</v>
      </c>
      <c r="F762" s="169" t="s">
        <v>334</v>
      </c>
      <c r="G762" s="117" t="s">
        <v>563</v>
      </c>
      <c r="H762" s="118" t="s">
        <v>521</v>
      </c>
      <c r="I762" s="120"/>
      <c r="J762" s="120" t="s">
        <v>105</v>
      </c>
      <c r="K762" s="120" t="str">
        <f t="shared" si="311"/>
        <v/>
      </c>
      <c r="L762" s="170" t="s">
        <v>2817</v>
      </c>
      <c r="M762" s="122" t="str">
        <f t="shared" si="301"/>
        <v>N</v>
      </c>
      <c r="N762" s="116" t="str">
        <f>IF($L762&lt;&gt;"",VLOOKUP($L762,Categories!$E:$G,2,FALSE),IF($F762&lt;&gt;"","NO CAT",""))</f>
        <v>Not in Rate Base</v>
      </c>
      <c r="O762" s="116" t="str">
        <f>IF($L762&lt;&gt;"",VLOOKUP($L762,Categories!$E:$G,3,FALSE),IF($F762&lt;&gt;"","NO CAT",""))</f>
        <v>NM-2 ASGA</v>
      </c>
      <c r="P762" s="170" t="s">
        <v>1186</v>
      </c>
      <c r="Q762" s="123" t="s">
        <v>1187</v>
      </c>
      <c r="R762" s="124">
        <v>0</v>
      </c>
      <c r="S762" s="124">
        <v>0</v>
      </c>
      <c r="T762" s="124">
        <v>1</v>
      </c>
      <c r="U762" s="121">
        <f t="shared" si="312"/>
        <v>0</v>
      </c>
      <c r="V762" s="121">
        <f t="shared" si="313"/>
        <v>0</v>
      </c>
      <c r="W762" s="121">
        <f t="shared" si="314"/>
        <v>580.30101000000002</v>
      </c>
      <c r="X762" s="121">
        <f t="shared" si="309"/>
        <v>580.30101000000002</v>
      </c>
      <c r="Y762" s="121">
        <f t="shared" si="315"/>
        <v>0</v>
      </c>
      <c r="Z762" s="121">
        <f t="shared" si="316"/>
        <v>0</v>
      </c>
      <c r="AA762" s="121">
        <f t="shared" si="317"/>
        <v>580.30101000000002</v>
      </c>
      <c r="AB762" s="121">
        <f t="shared" si="310"/>
        <v>580.30101000000002</v>
      </c>
      <c r="AC762" s="121">
        <v>580.30101000000002</v>
      </c>
      <c r="AD762" s="121">
        <v>580.30101000000002</v>
      </c>
      <c r="AE762" s="121">
        <v>580.30101000000002</v>
      </c>
      <c r="AF762" s="121">
        <v>580.30101000000002</v>
      </c>
      <c r="AG762" s="121">
        <v>580.30101000000002</v>
      </c>
      <c r="AH762" s="121">
        <v>580.30101000000002</v>
      </c>
      <c r="AI762" s="121">
        <v>580.30101000000002</v>
      </c>
      <c r="AJ762" s="121">
        <v>580.30101000000002</v>
      </c>
      <c r="AK762" s="121">
        <v>580.30101000000002</v>
      </c>
      <c r="AL762" s="121">
        <v>580.30101000000002</v>
      </c>
      <c r="AM762" s="121">
        <v>580.30101000000002</v>
      </c>
      <c r="AN762" s="121">
        <v>580.30101000000002</v>
      </c>
      <c r="AO762" s="121">
        <v>580.30101000000002</v>
      </c>
      <c r="AP762" s="125" t="str">
        <f>CONCATENATE(A762,M762)</f>
        <v>Reg AssetN</v>
      </c>
      <c r="AQ762" s="125" t="str">
        <f>CONCATENATE(AP762,L762,H762)</f>
        <v>Reg AssetNN8ASGA</v>
      </c>
      <c r="AS762" s="125" t="str">
        <f>CONCATENATE(L762,H762,J762)</f>
        <v>N8ASGANCR</v>
      </c>
    </row>
    <row r="763" spans="1:45" s="125" customFormat="1" ht="25.5" customHeight="1">
      <c r="A763" s="216" t="s">
        <v>1442</v>
      </c>
      <c r="B763" s="217" t="str">
        <f t="shared" si="302"/>
        <v>Reg Asset254270809014BE030291</v>
      </c>
      <c r="C763" s="186">
        <v>254270</v>
      </c>
      <c r="D763" s="201" t="s">
        <v>1497</v>
      </c>
      <c r="E763" s="162" t="s">
        <v>3248</v>
      </c>
      <c r="F763" s="169" t="s">
        <v>334</v>
      </c>
      <c r="G763" s="117" t="s">
        <v>1502</v>
      </c>
      <c r="H763" s="118" t="s">
        <v>521</v>
      </c>
      <c r="I763" s="120"/>
      <c r="J763" s="120" t="s">
        <v>105</v>
      </c>
      <c r="K763" s="120" t="str">
        <f t="shared" si="311"/>
        <v/>
      </c>
      <c r="L763" s="170" t="s">
        <v>2817</v>
      </c>
      <c r="M763" s="122" t="str">
        <f t="shared" si="301"/>
        <v>N</v>
      </c>
      <c r="N763" s="116" t="str">
        <f>IF($L763&lt;&gt;"",VLOOKUP($L763,Categories!$E:$G,2,FALSE),IF($F763&lt;&gt;"","NO CAT",""))</f>
        <v>Not in Rate Base</v>
      </c>
      <c r="O763" s="116" t="str">
        <f>IF($L763&lt;&gt;"",VLOOKUP($L763,Categories!$E:$G,3,FALSE),IF($F763&lt;&gt;"","NO CAT",""))</f>
        <v>NM-2 ASGA</v>
      </c>
      <c r="P763" s="170" t="s">
        <v>1186</v>
      </c>
      <c r="Q763" s="123" t="s">
        <v>1187</v>
      </c>
      <c r="R763" s="124">
        <v>0</v>
      </c>
      <c r="S763" s="124">
        <v>0</v>
      </c>
      <c r="T763" s="124">
        <v>1</v>
      </c>
      <c r="U763" s="121">
        <f t="shared" si="312"/>
        <v>0</v>
      </c>
      <c r="V763" s="121">
        <f t="shared" si="313"/>
        <v>0</v>
      </c>
      <c r="W763" s="121">
        <f t="shared" si="314"/>
        <v>257.52026000000001</v>
      </c>
      <c r="X763" s="121">
        <f t="shared" si="309"/>
        <v>257.52026000000001</v>
      </c>
      <c r="Y763" s="121">
        <f t="shared" si="315"/>
        <v>0</v>
      </c>
      <c r="Z763" s="121">
        <f t="shared" si="316"/>
        <v>0</v>
      </c>
      <c r="AA763" s="121">
        <f t="shared" si="317"/>
        <v>257.52026000000001</v>
      </c>
      <c r="AB763" s="121">
        <f t="shared" si="310"/>
        <v>257.52026000000001</v>
      </c>
      <c r="AC763" s="121">
        <v>257.52026000000001</v>
      </c>
      <c r="AD763" s="121">
        <v>257.52026000000001</v>
      </c>
      <c r="AE763" s="121">
        <v>257.52026000000001</v>
      </c>
      <c r="AF763" s="121">
        <v>257.52026000000001</v>
      </c>
      <c r="AG763" s="121">
        <v>257.52026000000001</v>
      </c>
      <c r="AH763" s="121">
        <v>257.52026000000001</v>
      </c>
      <c r="AI763" s="121">
        <v>257.52026000000001</v>
      </c>
      <c r="AJ763" s="121">
        <v>257.52026000000001</v>
      </c>
      <c r="AK763" s="121">
        <v>257.52026000000001</v>
      </c>
      <c r="AL763" s="121">
        <v>257.52026000000001</v>
      </c>
      <c r="AM763" s="121">
        <v>257.52026000000001</v>
      </c>
      <c r="AN763" s="121">
        <v>257.52026000000001</v>
      </c>
      <c r="AO763" s="121">
        <v>257.52026000000001</v>
      </c>
      <c r="AP763" s="125" t="str">
        <f>CONCATENATE(A763,M763)</f>
        <v>Reg AssetN</v>
      </c>
      <c r="AQ763" s="125" t="str">
        <f>CONCATENATE(AP763,L763,H763)</f>
        <v>Reg AssetNN8ASGA</v>
      </c>
      <c r="AS763" s="125" t="str">
        <f>CONCATENATE(L763,H763,J763)</f>
        <v>N8ASGANCR</v>
      </c>
    </row>
    <row r="764" spans="1:45" s="125" customFormat="1" ht="25.5" customHeight="1">
      <c r="A764" s="216" t="s">
        <v>1442</v>
      </c>
      <c r="B764" s="217" t="str">
        <f t="shared" si="302"/>
        <v>Reg Asset254270809016BE030291</v>
      </c>
      <c r="C764" s="186">
        <v>254270</v>
      </c>
      <c r="D764" s="201" t="s">
        <v>1498</v>
      </c>
      <c r="E764" s="162" t="s">
        <v>3248</v>
      </c>
      <c r="F764" s="169" t="s">
        <v>334</v>
      </c>
      <c r="G764" s="117" t="s">
        <v>558</v>
      </c>
      <c r="H764" s="118" t="s">
        <v>521</v>
      </c>
      <c r="I764" s="120"/>
      <c r="J764" s="120" t="s">
        <v>105</v>
      </c>
      <c r="K764" s="120" t="str">
        <f t="shared" si="311"/>
        <v/>
      </c>
      <c r="L764" s="170" t="s">
        <v>2817</v>
      </c>
      <c r="M764" s="122" t="str">
        <f t="shared" si="301"/>
        <v>N</v>
      </c>
      <c r="N764" s="116" t="str">
        <f>IF($L764&lt;&gt;"",VLOOKUP($L764,Categories!$E:$G,2,FALSE),IF($F764&lt;&gt;"","NO CAT",""))</f>
        <v>Not in Rate Base</v>
      </c>
      <c r="O764" s="116" t="str">
        <f>IF($L764&lt;&gt;"",VLOOKUP($L764,Categories!$E:$G,3,FALSE),IF($F764&lt;&gt;"","NO CAT",""))</f>
        <v>NM-2 ASGA</v>
      </c>
      <c r="P764" s="170" t="s">
        <v>1186</v>
      </c>
      <c r="Q764" s="123" t="s">
        <v>1187</v>
      </c>
      <c r="R764" s="124">
        <v>0</v>
      </c>
      <c r="S764" s="124">
        <v>0</v>
      </c>
      <c r="T764" s="124">
        <v>1</v>
      </c>
      <c r="U764" s="121">
        <f t="shared" si="312"/>
        <v>0</v>
      </c>
      <c r="V764" s="121">
        <f t="shared" si="313"/>
        <v>0</v>
      </c>
      <c r="W764" s="121">
        <f t="shared" si="314"/>
        <v>-368.57499999999999</v>
      </c>
      <c r="X764" s="121">
        <f t="shared" si="309"/>
        <v>-368.57499999999999</v>
      </c>
      <c r="Y764" s="121">
        <f t="shared" si="315"/>
        <v>0</v>
      </c>
      <c r="Z764" s="121">
        <f t="shared" si="316"/>
        <v>0</v>
      </c>
      <c r="AA764" s="121">
        <f t="shared" si="317"/>
        <v>-368.57499999999999</v>
      </c>
      <c r="AB764" s="121">
        <f t="shared" si="310"/>
        <v>-368.57499999999999</v>
      </c>
      <c r="AC764" s="121">
        <v>-368.57499999999999</v>
      </c>
      <c r="AD764" s="121">
        <v>-368.57499999999999</v>
      </c>
      <c r="AE764" s="121">
        <v>-368.57499999999999</v>
      </c>
      <c r="AF764" s="121">
        <v>-368.57499999999999</v>
      </c>
      <c r="AG764" s="121">
        <v>-368.57499999999999</v>
      </c>
      <c r="AH764" s="121">
        <v>-368.57499999999999</v>
      </c>
      <c r="AI764" s="121">
        <v>-368.57499999999999</v>
      </c>
      <c r="AJ764" s="121">
        <v>-368.57499999999999</v>
      </c>
      <c r="AK764" s="121">
        <v>-368.57499999999999</v>
      </c>
      <c r="AL764" s="121">
        <v>-368.57499999999999</v>
      </c>
      <c r="AM764" s="121">
        <v>-368.57499999999999</v>
      </c>
      <c r="AN764" s="121">
        <v>-368.57499999999999</v>
      </c>
      <c r="AO764" s="121">
        <v>-368.57499999999999</v>
      </c>
      <c r="AP764" s="125" t="str">
        <f>CONCATENATE(A764,M764)</f>
        <v>Reg AssetN</v>
      </c>
      <c r="AQ764" s="125" t="str">
        <f>CONCATENATE(AP764,L764,H764)</f>
        <v>Reg AssetNN8ASGA</v>
      </c>
      <c r="AS764" s="125" t="str">
        <f>CONCATENATE(L764,H764,J764)</f>
        <v>N8ASGANCR</v>
      </c>
    </row>
    <row r="765" spans="1:45" s="125" customFormat="1" ht="25.5" customHeight="1">
      <c r="A765" s="216" t="s">
        <v>1442</v>
      </c>
      <c r="B765" s="217" t="str">
        <f t="shared" si="302"/>
        <v>Reg Asset254270809017BE030291</v>
      </c>
      <c r="C765" s="186">
        <v>254270</v>
      </c>
      <c r="D765" s="201" t="s">
        <v>1499</v>
      </c>
      <c r="E765" s="162" t="s">
        <v>3248</v>
      </c>
      <c r="F765" s="169" t="s">
        <v>334</v>
      </c>
      <c r="G765" s="117" t="s">
        <v>559</v>
      </c>
      <c r="H765" s="118" t="s">
        <v>521</v>
      </c>
      <c r="I765" s="120"/>
      <c r="J765" s="120" t="s">
        <v>105</v>
      </c>
      <c r="K765" s="120" t="str">
        <f t="shared" si="311"/>
        <v/>
      </c>
      <c r="L765" s="170" t="s">
        <v>2817</v>
      </c>
      <c r="M765" s="122" t="str">
        <f t="shared" si="301"/>
        <v>N</v>
      </c>
      <c r="N765" s="116" t="str">
        <f>IF($L765&lt;&gt;"",VLOOKUP($L765,Categories!$E:$G,2,FALSE),IF($F765&lt;&gt;"","NO CAT",""))</f>
        <v>Not in Rate Base</v>
      </c>
      <c r="O765" s="116" t="str">
        <f>IF($L765&lt;&gt;"",VLOOKUP($L765,Categories!$E:$G,3,FALSE),IF($F765&lt;&gt;"","NO CAT",""))</f>
        <v>NM-2 ASGA</v>
      </c>
      <c r="P765" s="170" t="s">
        <v>1186</v>
      </c>
      <c r="Q765" s="123" t="s">
        <v>1187</v>
      </c>
      <c r="R765" s="124">
        <v>0</v>
      </c>
      <c r="S765" s="124">
        <v>0</v>
      </c>
      <c r="T765" s="124">
        <v>1</v>
      </c>
      <c r="U765" s="121">
        <f t="shared" si="312"/>
        <v>0</v>
      </c>
      <c r="V765" s="121">
        <f t="shared" si="313"/>
        <v>0</v>
      </c>
      <c r="W765" s="121">
        <f t="shared" si="314"/>
        <v>59</v>
      </c>
      <c r="X765" s="121">
        <f t="shared" si="309"/>
        <v>59</v>
      </c>
      <c r="Y765" s="121">
        <f t="shared" si="315"/>
        <v>0</v>
      </c>
      <c r="Z765" s="121">
        <f t="shared" si="316"/>
        <v>0</v>
      </c>
      <c r="AA765" s="121">
        <f t="shared" si="317"/>
        <v>59</v>
      </c>
      <c r="AB765" s="121">
        <f t="shared" si="310"/>
        <v>59</v>
      </c>
      <c r="AC765" s="121">
        <v>59</v>
      </c>
      <c r="AD765" s="121">
        <v>59</v>
      </c>
      <c r="AE765" s="121">
        <v>59</v>
      </c>
      <c r="AF765" s="121">
        <v>59</v>
      </c>
      <c r="AG765" s="121">
        <v>59</v>
      </c>
      <c r="AH765" s="121">
        <v>59</v>
      </c>
      <c r="AI765" s="121">
        <v>59</v>
      </c>
      <c r="AJ765" s="121">
        <v>59</v>
      </c>
      <c r="AK765" s="121">
        <v>59</v>
      </c>
      <c r="AL765" s="121">
        <v>59</v>
      </c>
      <c r="AM765" s="121">
        <v>59</v>
      </c>
      <c r="AN765" s="121">
        <v>59</v>
      </c>
      <c r="AO765" s="121">
        <v>59</v>
      </c>
      <c r="AP765" s="125" t="str">
        <f>CONCATENATE(A765,M765)</f>
        <v>Reg AssetN</v>
      </c>
      <c r="AQ765" s="125" t="str">
        <f>CONCATENATE(AP765,L765,H765)</f>
        <v>Reg AssetNN8ASGA</v>
      </c>
      <c r="AS765" s="125" t="str">
        <f>CONCATENATE(L765,H765,J765)</f>
        <v>N8ASGANCR</v>
      </c>
    </row>
    <row r="766" spans="1:45" s="125" customFormat="1" ht="25.5" customHeight="1">
      <c r="A766" s="216" t="s">
        <v>1442</v>
      </c>
      <c r="B766" s="217" t="str">
        <f t="shared" ref="B766:B799" si="318">CONCATENATE(A766,C766,D766,E766)</f>
        <v>Reg Asset254270809022BE030291</v>
      </c>
      <c r="C766" s="186">
        <v>254270</v>
      </c>
      <c r="D766" s="201" t="s">
        <v>1500</v>
      </c>
      <c r="E766" s="162" t="s">
        <v>3248</v>
      </c>
      <c r="F766" s="169" t="s">
        <v>334</v>
      </c>
      <c r="G766" s="117" t="s">
        <v>560</v>
      </c>
      <c r="H766" s="118" t="s">
        <v>521</v>
      </c>
      <c r="I766" s="120"/>
      <c r="J766" s="120" t="s">
        <v>105</v>
      </c>
      <c r="K766" s="120" t="str">
        <f t="shared" si="311"/>
        <v/>
      </c>
      <c r="L766" s="170" t="s">
        <v>2817</v>
      </c>
      <c r="M766" s="122" t="str">
        <f t="shared" si="301"/>
        <v>N</v>
      </c>
      <c r="N766" s="116" t="str">
        <f>IF($L766&lt;&gt;"",VLOOKUP($L766,Categories!$E:$G,2,FALSE),IF($F766&lt;&gt;"","NO CAT",""))</f>
        <v>Not in Rate Base</v>
      </c>
      <c r="O766" s="116" t="str">
        <f>IF($L766&lt;&gt;"",VLOOKUP($L766,Categories!$E:$G,3,FALSE),IF($F766&lt;&gt;"","NO CAT",""))</f>
        <v>NM-2 ASGA</v>
      </c>
      <c r="P766" s="170" t="s">
        <v>1186</v>
      </c>
      <c r="Q766" s="123" t="s">
        <v>1187</v>
      </c>
      <c r="R766" s="124">
        <v>0</v>
      </c>
      <c r="S766" s="124">
        <v>0</v>
      </c>
      <c r="T766" s="124">
        <v>1</v>
      </c>
      <c r="U766" s="121">
        <f t="shared" si="312"/>
        <v>0</v>
      </c>
      <c r="V766" s="121">
        <f t="shared" si="313"/>
        <v>0</v>
      </c>
      <c r="W766" s="121">
        <f t="shared" si="314"/>
        <v>2119.6330499999999</v>
      </c>
      <c r="X766" s="121">
        <f t="shared" si="309"/>
        <v>2119.6330499999999</v>
      </c>
      <c r="Y766" s="121">
        <f t="shared" si="315"/>
        <v>0</v>
      </c>
      <c r="Z766" s="121">
        <f t="shared" si="316"/>
        <v>0</v>
      </c>
      <c r="AA766" s="121">
        <f t="shared" si="317"/>
        <v>2119.6330499999999</v>
      </c>
      <c r="AB766" s="121">
        <f t="shared" si="310"/>
        <v>2119.6330499999999</v>
      </c>
      <c r="AC766" s="121">
        <v>2119.6330499999999</v>
      </c>
      <c r="AD766" s="121">
        <v>2119.6330499999999</v>
      </c>
      <c r="AE766" s="121">
        <v>2119.6330499999999</v>
      </c>
      <c r="AF766" s="121">
        <v>2119.6330499999999</v>
      </c>
      <c r="AG766" s="121">
        <v>2119.6330499999999</v>
      </c>
      <c r="AH766" s="121">
        <v>2119.6330499999999</v>
      </c>
      <c r="AI766" s="121">
        <v>2119.6330499999999</v>
      </c>
      <c r="AJ766" s="121">
        <v>2119.6330499999999</v>
      </c>
      <c r="AK766" s="121">
        <v>2119.6330499999999</v>
      </c>
      <c r="AL766" s="121">
        <v>2119.6330499999999</v>
      </c>
      <c r="AM766" s="121">
        <v>2119.6330499999999</v>
      </c>
      <c r="AN766" s="121">
        <v>2119.6330499999999</v>
      </c>
      <c r="AO766" s="121">
        <v>2119.6330499999999</v>
      </c>
      <c r="AP766" s="125" t="str">
        <f>CONCATENATE(A766,M766)</f>
        <v>Reg AssetN</v>
      </c>
      <c r="AQ766" s="125" t="str">
        <f>CONCATENATE(AP766,L766,H766)</f>
        <v>Reg AssetNN8ASGA</v>
      </c>
      <c r="AS766" s="125" t="str">
        <f>CONCATENATE(L766,H766,J766)</f>
        <v>N8ASGANCR</v>
      </c>
    </row>
    <row r="767" spans="1:45" s="125" customFormat="1" ht="25.5" customHeight="1">
      <c r="A767" s="216" t="s">
        <v>1442</v>
      </c>
      <c r="B767" s="217" t="str">
        <f t="shared" si="318"/>
        <v>Reg Asset254270809023BE030291</v>
      </c>
      <c r="C767" s="186">
        <v>254270</v>
      </c>
      <c r="D767" s="201" t="s">
        <v>1501</v>
      </c>
      <c r="E767" s="162" t="s">
        <v>3248</v>
      </c>
      <c r="F767" s="169" t="s">
        <v>334</v>
      </c>
      <c r="G767" s="117" t="s">
        <v>561</v>
      </c>
      <c r="H767" s="118" t="s">
        <v>521</v>
      </c>
      <c r="I767" s="120"/>
      <c r="J767" s="120" t="s">
        <v>105</v>
      </c>
      <c r="K767" s="120" t="str">
        <f t="shared" si="311"/>
        <v/>
      </c>
      <c r="L767" s="170" t="s">
        <v>2817</v>
      </c>
      <c r="M767" s="122" t="str">
        <f t="shared" si="301"/>
        <v>N</v>
      </c>
      <c r="N767" s="116" t="str">
        <f>IF($L767&lt;&gt;"",VLOOKUP($L767,Categories!$E:$G,2,FALSE),IF($F767&lt;&gt;"","NO CAT",""))</f>
        <v>Not in Rate Base</v>
      </c>
      <c r="O767" s="116" t="str">
        <f>IF($L767&lt;&gt;"",VLOOKUP($L767,Categories!$E:$G,3,FALSE),IF($F767&lt;&gt;"","NO CAT",""))</f>
        <v>NM-2 ASGA</v>
      </c>
      <c r="P767" s="170" t="s">
        <v>1186</v>
      </c>
      <c r="Q767" s="123" t="s">
        <v>1187</v>
      </c>
      <c r="R767" s="124">
        <v>0</v>
      </c>
      <c r="S767" s="124">
        <v>0</v>
      </c>
      <c r="T767" s="124">
        <v>1</v>
      </c>
      <c r="U767" s="121">
        <f t="shared" si="312"/>
        <v>0</v>
      </c>
      <c r="V767" s="121">
        <f t="shared" si="313"/>
        <v>0</v>
      </c>
      <c r="W767" s="121">
        <f t="shared" si="314"/>
        <v>1091.5597399999999</v>
      </c>
      <c r="X767" s="121">
        <f t="shared" si="309"/>
        <v>1091.5597399999999</v>
      </c>
      <c r="Y767" s="121">
        <f t="shared" si="315"/>
        <v>0</v>
      </c>
      <c r="Z767" s="121">
        <f t="shared" si="316"/>
        <v>0</v>
      </c>
      <c r="AA767" s="121">
        <f t="shared" si="317"/>
        <v>1091.5597399999999</v>
      </c>
      <c r="AB767" s="121">
        <f t="shared" si="310"/>
        <v>1091.5597399999999</v>
      </c>
      <c r="AC767" s="121">
        <v>1091.5597399999999</v>
      </c>
      <c r="AD767" s="121">
        <v>1091.5597399999999</v>
      </c>
      <c r="AE767" s="121">
        <v>1091.5597399999999</v>
      </c>
      <c r="AF767" s="121">
        <v>1091.5597399999999</v>
      </c>
      <c r="AG767" s="121">
        <v>1091.5597399999999</v>
      </c>
      <c r="AH767" s="121">
        <v>1091.5597399999999</v>
      </c>
      <c r="AI767" s="121">
        <v>1091.5597399999999</v>
      </c>
      <c r="AJ767" s="121">
        <v>1091.5597399999999</v>
      </c>
      <c r="AK767" s="121">
        <v>1091.5597399999999</v>
      </c>
      <c r="AL767" s="121">
        <v>1091.5597399999999</v>
      </c>
      <c r="AM767" s="121">
        <v>1091.5597399999999</v>
      </c>
      <c r="AN767" s="121">
        <v>1091.5597399999999</v>
      </c>
      <c r="AO767" s="121">
        <v>1091.5597399999999</v>
      </c>
      <c r="AP767" s="125" t="str">
        <f>CONCATENATE(A767,M767)</f>
        <v>Reg AssetN</v>
      </c>
      <c r="AQ767" s="125" t="str">
        <f>CONCATENATE(AP767,L767,H767)</f>
        <v>Reg AssetNN8ASGA</v>
      </c>
      <c r="AS767" s="125" t="str">
        <f>CONCATENATE(L767,H767,J767)</f>
        <v>N8ASGANCR</v>
      </c>
    </row>
    <row r="768" spans="1:45" s="125" customFormat="1" ht="25.5" customHeight="1">
      <c r="A768" s="216" t="s">
        <v>1442</v>
      </c>
      <c r="B768" s="217" t="str">
        <f t="shared" si="318"/>
        <v>Reg Asset254270809024BE030291</v>
      </c>
      <c r="C768" s="186">
        <v>254270</v>
      </c>
      <c r="D768" s="201" t="s">
        <v>2462</v>
      </c>
      <c r="E768" s="162" t="s">
        <v>3248</v>
      </c>
      <c r="F768" s="169" t="s">
        <v>334</v>
      </c>
      <c r="G768" s="117" t="s">
        <v>2463</v>
      </c>
      <c r="H768" s="118" t="s">
        <v>521</v>
      </c>
      <c r="I768" s="120"/>
      <c r="J768" s="120" t="s">
        <v>105</v>
      </c>
      <c r="K768" s="120" t="str">
        <f t="shared" si="311"/>
        <v/>
      </c>
      <c r="L768" s="170" t="s">
        <v>2817</v>
      </c>
      <c r="M768" s="122" t="str">
        <f t="shared" si="301"/>
        <v>N</v>
      </c>
      <c r="N768" s="116" t="str">
        <f>IF($L768&lt;&gt;"",VLOOKUP($L768,Categories!$E:$G,2,FALSE),IF($F768&lt;&gt;"","NO CAT",""))</f>
        <v>Not in Rate Base</v>
      </c>
      <c r="O768" s="116" t="str">
        <f>IF($L768&lt;&gt;"",VLOOKUP($L768,Categories!$E:$G,3,FALSE),IF($F768&lt;&gt;"","NO CAT",""))</f>
        <v>NM-2 ASGA</v>
      </c>
      <c r="P768" s="170" t="s">
        <v>1186</v>
      </c>
      <c r="Q768" s="123" t="s">
        <v>1187</v>
      </c>
      <c r="R768" s="124">
        <v>0</v>
      </c>
      <c r="S768" s="124">
        <v>0</v>
      </c>
      <c r="T768" s="124">
        <v>1</v>
      </c>
      <c r="U768" s="121">
        <f t="shared" si="312"/>
        <v>0</v>
      </c>
      <c r="V768" s="121">
        <f t="shared" si="313"/>
        <v>0</v>
      </c>
      <c r="W768" s="121">
        <f t="shared" si="314"/>
        <v>-48.720469999999999</v>
      </c>
      <c r="X768" s="121">
        <f t="shared" si="309"/>
        <v>-48.720469999999999</v>
      </c>
      <c r="Y768" s="121">
        <f t="shared" si="315"/>
        <v>0</v>
      </c>
      <c r="Z768" s="121">
        <f t="shared" si="316"/>
        <v>0</v>
      </c>
      <c r="AA768" s="121">
        <f t="shared" si="317"/>
        <v>-48.720469999999999</v>
      </c>
      <c r="AB768" s="121">
        <f t="shared" si="310"/>
        <v>-48.720469999999999</v>
      </c>
      <c r="AC768" s="121">
        <v>-48.720469999999999</v>
      </c>
      <c r="AD768" s="121">
        <v>-48.720469999999999</v>
      </c>
      <c r="AE768" s="121">
        <v>-48.720469999999999</v>
      </c>
      <c r="AF768" s="121">
        <v>-48.720469999999999</v>
      </c>
      <c r="AG768" s="121">
        <v>-48.720469999999999</v>
      </c>
      <c r="AH768" s="121">
        <v>-48.720469999999999</v>
      </c>
      <c r="AI768" s="121">
        <v>-48.720469999999999</v>
      </c>
      <c r="AJ768" s="121">
        <v>-48.720469999999999</v>
      </c>
      <c r="AK768" s="121">
        <v>-48.720469999999999</v>
      </c>
      <c r="AL768" s="121">
        <v>-48.720469999999999</v>
      </c>
      <c r="AM768" s="121">
        <v>-48.720469999999999</v>
      </c>
      <c r="AN768" s="121">
        <v>-48.720469999999999</v>
      </c>
      <c r="AO768" s="121">
        <v>-48.720469999999999</v>
      </c>
      <c r="AP768" s="125" t="str">
        <f>CONCATENATE(A768,M768)</f>
        <v>Reg AssetN</v>
      </c>
      <c r="AQ768" s="125" t="str">
        <f>CONCATENATE(AP768,L768,H768)</f>
        <v>Reg AssetNN8ASGA</v>
      </c>
      <c r="AS768" s="125" t="str">
        <f>CONCATENATE(L768,H768,J768)</f>
        <v>N8ASGANCR</v>
      </c>
    </row>
    <row r="769" spans="1:45" s="125" customFormat="1" ht="25.5" customHeight="1">
      <c r="A769" s="216" t="s">
        <v>1442</v>
      </c>
      <c r="B769" s="217" t="str">
        <f t="shared" si="318"/>
        <v>Reg Asset254270810003BE030329</v>
      </c>
      <c r="C769" s="186">
        <v>254270</v>
      </c>
      <c r="D769" s="201" t="s">
        <v>2464</v>
      </c>
      <c r="E769" s="162" t="s">
        <v>3275</v>
      </c>
      <c r="F769" s="169" t="s">
        <v>334</v>
      </c>
      <c r="G769" s="117" t="s">
        <v>2467</v>
      </c>
      <c r="H769" s="118" t="s">
        <v>521</v>
      </c>
      <c r="I769" s="120"/>
      <c r="J769" s="120" t="s">
        <v>105</v>
      </c>
      <c r="K769" s="120" t="str">
        <f t="shared" si="311"/>
        <v/>
      </c>
      <c r="L769" s="170" t="s">
        <v>2817</v>
      </c>
      <c r="M769" s="122" t="str">
        <f t="shared" si="301"/>
        <v>N</v>
      </c>
      <c r="N769" s="116" t="str">
        <f>IF($L769&lt;&gt;"",VLOOKUP($L769,Categories!$E:$G,2,FALSE),IF($F769&lt;&gt;"","NO CAT",""))</f>
        <v>Not in Rate Base</v>
      </c>
      <c r="O769" s="116" t="str">
        <f>IF($L769&lt;&gt;"",VLOOKUP($L769,Categories!$E:$G,3,FALSE),IF($F769&lt;&gt;"","NO CAT",""))</f>
        <v>NM-2 ASGA</v>
      </c>
      <c r="P769" s="170" t="s">
        <v>1186</v>
      </c>
      <c r="Q769" s="123" t="s">
        <v>1187</v>
      </c>
      <c r="R769" s="124">
        <v>0</v>
      </c>
      <c r="S769" s="124">
        <v>0</v>
      </c>
      <c r="T769" s="124">
        <v>1</v>
      </c>
      <c r="U769" s="121">
        <f t="shared" si="312"/>
        <v>0</v>
      </c>
      <c r="V769" s="121">
        <f t="shared" si="313"/>
        <v>0</v>
      </c>
      <c r="W769" s="121">
        <f t="shared" si="314"/>
        <v>-200</v>
      </c>
      <c r="X769" s="121">
        <f t="shared" si="309"/>
        <v>-200</v>
      </c>
      <c r="Y769" s="121">
        <f t="shared" si="315"/>
        <v>0</v>
      </c>
      <c r="Z769" s="121">
        <f t="shared" si="316"/>
        <v>0</v>
      </c>
      <c r="AA769" s="121">
        <f t="shared" si="317"/>
        <v>-200</v>
      </c>
      <c r="AB769" s="121">
        <f t="shared" si="310"/>
        <v>-200</v>
      </c>
      <c r="AC769" s="121">
        <v>-200</v>
      </c>
      <c r="AD769" s="121">
        <v>-200</v>
      </c>
      <c r="AE769" s="121">
        <v>-200</v>
      </c>
      <c r="AF769" s="121">
        <v>-200</v>
      </c>
      <c r="AG769" s="121">
        <v>-200</v>
      </c>
      <c r="AH769" s="121">
        <v>-200</v>
      </c>
      <c r="AI769" s="121">
        <v>-200</v>
      </c>
      <c r="AJ769" s="121">
        <v>-200</v>
      </c>
      <c r="AK769" s="121">
        <v>-200</v>
      </c>
      <c r="AL769" s="121">
        <v>-200</v>
      </c>
      <c r="AM769" s="121">
        <v>-200</v>
      </c>
      <c r="AN769" s="121">
        <v>-200</v>
      </c>
      <c r="AO769" s="121">
        <v>-200</v>
      </c>
      <c r="AP769" s="125" t="str">
        <f>CONCATENATE(A769,M769)</f>
        <v>Reg AssetN</v>
      </c>
      <c r="AQ769" s="125" t="str">
        <f>CONCATENATE(AP769,L769,H769)</f>
        <v>Reg AssetNN8ASGA</v>
      </c>
      <c r="AS769" s="125" t="str">
        <f>CONCATENATE(L769,H769,J769)</f>
        <v>N8ASGANCR</v>
      </c>
    </row>
    <row r="770" spans="1:45" s="125" customFormat="1" ht="25.5" customHeight="1">
      <c r="A770" s="216" t="s">
        <v>1442</v>
      </c>
      <c r="B770" s="217" t="str">
        <f t="shared" si="318"/>
        <v>Reg Asset254270810004BE030291</v>
      </c>
      <c r="C770" s="186">
        <v>254270</v>
      </c>
      <c r="D770" s="201" t="s">
        <v>2465</v>
      </c>
      <c r="E770" s="162" t="s">
        <v>3248</v>
      </c>
      <c r="F770" s="169" t="s">
        <v>334</v>
      </c>
      <c r="G770" s="117" t="s">
        <v>2469</v>
      </c>
      <c r="H770" s="118" t="s">
        <v>521</v>
      </c>
      <c r="I770" s="120"/>
      <c r="J770" s="120" t="s">
        <v>105</v>
      </c>
      <c r="K770" s="120" t="str">
        <f t="shared" si="311"/>
        <v/>
      </c>
      <c r="L770" s="170" t="s">
        <v>2817</v>
      </c>
      <c r="M770" s="122" t="str">
        <f t="shared" si="301"/>
        <v>N</v>
      </c>
      <c r="N770" s="116" t="str">
        <f>IF($L770&lt;&gt;"",VLOOKUP($L770,Categories!$E:$G,2,FALSE),IF($F770&lt;&gt;"","NO CAT",""))</f>
        <v>Not in Rate Base</v>
      </c>
      <c r="O770" s="116" t="str">
        <f>IF($L770&lt;&gt;"",VLOOKUP($L770,Categories!$E:$G,3,FALSE),IF($F770&lt;&gt;"","NO CAT",""))</f>
        <v>NM-2 ASGA</v>
      </c>
      <c r="P770" s="170" t="s">
        <v>1186</v>
      </c>
      <c r="Q770" s="123" t="s">
        <v>1187</v>
      </c>
      <c r="R770" s="124">
        <v>0</v>
      </c>
      <c r="S770" s="124">
        <v>0</v>
      </c>
      <c r="T770" s="124">
        <v>1</v>
      </c>
      <c r="U770" s="121">
        <f t="shared" si="312"/>
        <v>0</v>
      </c>
      <c r="V770" s="121">
        <f t="shared" si="313"/>
        <v>0</v>
      </c>
      <c r="W770" s="121">
        <f t="shared" si="314"/>
        <v>-1560.3986199999999</v>
      </c>
      <c r="X770" s="121">
        <f t="shared" si="309"/>
        <v>-1560.3986199999999</v>
      </c>
      <c r="Y770" s="121">
        <f t="shared" si="315"/>
        <v>0</v>
      </c>
      <c r="Z770" s="121">
        <f t="shared" si="316"/>
        <v>0</v>
      </c>
      <c r="AA770" s="121">
        <f t="shared" si="317"/>
        <v>-1560.3986199999999</v>
      </c>
      <c r="AB770" s="121">
        <f t="shared" si="310"/>
        <v>-1560.3986200000002</v>
      </c>
      <c r="AC770" s="121">
        <v>-1560.3986200000002</v>
      </c>
      <c r="AD770" s="121">
        <v>-1560.3986200000002</v>
      </c>
      <c r="AE770" s="121">
        <v>-1560.3986200000002</v>
      </c>
      <c r="AF770" s="121">
        <v>-1560.3986200000002</v>
      </c>
      <c r="AG770" s="121">
        <v>-1560.3986200000002</v>
      </c>
      <c r="AH770" s="121">
        <v>-1560.3986200000002</v>
      </c>
      <c r="AI770" s="121">
        <v>-1560.3986200000002</v>
      </c>
      <c r="AJ770" s="121">
        <v>-1560.3986200000002</v>
      </c>
      <c r="AK770" s="121">
        <v>-1560.3986200000002</v>
      </c>
      <c r="AL770" s="121">
        <v>-1560.3986200000002</v>
      </c>
      <c r="AM770" s="121">
        <v>-1560.3986200000002</v>
      </c>
      <c r="AN770" s="121">
        <v>-1560.3986200000002</v>
      </c>
      <c r="AO770" s="121">
        <v>-1560.3986200000002</v>
      </c>
      <c r="AP770" s="125" t="str">
        <f>CONCATENATE(A770,M770)</f>
        <v>Reg AssetN</v>
      </c>
      <c r="AQ770" s="125" t="str">
        <f>CONCATENATE(AP770,L770,H770)</f>
        <v>Reg AssetNN8ASGA</v>
      </c>
      <c r="AS770" s="125" t="str">
        <f>CONCATENATE(L770,H770,J770)</f>
        <v>N8ASGANCR</v>
      </c>
    </row>
    <row r="771" spans="1:45" s="125" customFormat="1" ht="25.5" customHeight="1">
      <c r="A771" s="216" t="s">
        <v>1442</v>
      </c>
      <c r="B771" s="217" t="str">
        <f t="shared" si="318"/>
        <v>Reg Asset254270801224BE030902</v>
      </c>
      <c r="C771" s="186">
        <v>254270</v>
      </c>
      <c r="D771" s="201" t="s">
        <v>1242</v>
      </c>
      <c r="E771" s="162" t="s">
        <v>1241</v>
      </c>
      <c r="F771" s="169" t="s">
        <v>334</v>
      </c>
      <c r="G771" s="117" t="s">
        <v>1243</v>
      </c>
      <c r="H771" s="118" t="s">
        <v>521</v>
      </c>
      <c r="I771" s="120"/>
      <c r="J771" s="120" t="s">
        <v>105</v>
      </c>
      <c r="K771" s="120" t="str">
        <f t="shared" si="311"/>
        <v/>
      </c>
      <c r="L771" s="170" t="s">
        <v>2817</v>
      </c>
      <c r="M771" s="122" t="str">
        <f t="shared" si="301"/>
        <v>N</v>
      </c>
      <c r="N771" s="116" t="str">
        <f>IF($L771&lt;&gt;"",VLOOKUP($L771,Categories!$E:$G,2,FALSE),IF($F771&lt;&gt;"","NO CAT",""))</f>
        <v>Not in Rate Base</v>
      </c>
      <c r="O771" s="116" t="str">
        <f>IF($L771&lt;&gt;"",VLOOKUP($L771,Categories!$E:$G,3,FALSE),IF($F771&lt;&gt;"","NO CAT",""))</f>
        <v>NM-2 ASGA</v>
      </c>
      <c r="P771" s="170" t="s">
        <v>1186</v>
      </c>
      <c r="Q771" s="123" t="s">
        <v>1187</v>
      </c>
      <c r="R771" s="124">
        <v>0</v>
      </c>
      <c r="S771" s="124">
        <v>0</v>
      </c>
      <c r="T771" s="124">
        <v>1</v>
      </c>
      <c r="U771" s="121">
        <f t="shared" si="312"/>
        <v>0</v>
      </c>
      <c r="V771" s="121">
        <f t="shared" si="313"/>
        <v>0</v>
      </c>
      <c r="W771" s="121">
        <f t="shared" si="314"/>
        <v>-6.8000000000000001E-14</v>
      </c>
      <c r="X771" s="121">
        <f t="shared" si="309"/>
        <v>-6.8000000000000001E-14</v>
      </c>
      <c r="Y771" s="121" t="str">
        <f t="shared" si="315"/>
        <v/>
      </c>
      <c r="Z771" s="121" t="str">
        <f t="shared" si="316"/>
        <v/>
      </c>
      <c r="AA771" s="121" t="str">
        <f t="shared" si="317"/>
        <v/>
      </c>
      <c r="AB771" s="121">
        <f t="shared" si="310"/>
        <v>0</v>
      </c>
      <c r="AC771" s="121">
        <v>-1.6298145055770874E-12</v>
      </c>
      <c r="AD771" s="121">
        <v>0</v>
      </c>
      <c r="AE771" s="121">
        <v>0</v>
      </c>
      <c r="AF771" s="121">
        <v>0</v>
      </c>
      <c r="AG771" s="121">
        <v>0</v>
      </c>
      <c r="AH771" s="121">
        <v>0</v>
      </c>
      <c r="AI771" s="121">
        <v>0</v>
      </c>
      <c r="AJ771" s="121">
        <v>0</v>
      </c>
      <c r="AK771" s="121">
        <v>0</v>
      </c>
      <c r="AL771" s="121">
        <v>0</v>
      </c>
      <c r="AM771" s="121">
        <v>0</v>
      </c>
      <c r="AN771" s="121">
        <v>0</v>
      </c>
      <c r="AO771" s="121">
        <v>0</v>
      </c>
      <c r="AP771" s="125" t="str">
        <f>CONCATENATE(A771,M771)</f>
        <v>Reg AssetN</v>
      </c>
      <c r="AQ771" s="125" t="str">
        <f>CONCATENATE(AP771,L771,H771)</f>
        <v>Reg AssetNN8ASGA</v>
      </c>
      <c r="AS771" s="125" t="str">
        <f>CONCATENATE(L771,H771,J771)</f>
        <v>N8ASGANCR</v>
      </c>
    </row>
    <row r="772" spans="1:45" s="125" customFormat="1" ht="25.5" customHeight="1">
      <c r="A772" s="216" t="s">
        <v>1442</v>
      </c>
      <c r="B772" s="217" t="str">
        <f t="shared" si="318"/>
        <v>Reg Asset254270BT010282</v>
      </c>
      <c r="C772" s="186">
        <v>254270</v>
      </c>
      <c r="D772" s="201"/>
      <c r="E772" s="162" t="s">
        <v>2637</v>
      </c>
      <c r="F772" s="169" t="s">
        <v>334</v>
      </c>
      <c r="G772" s="117" t="s">
        <v>777</v>
      </c>
      <c r="H772" s="118" t="s">
        <v>521</v>
      </c>
      <c r="I772" s="120"/>
      <c r="J772" s="120" t="s">
        <v>105</v>
      </c>
      <c r="K772" s="120" t="str">
        <f t="shared" si="311"/>
        <v/>
      </c>
      <c r="L772" s="170" t="s">
        <v>2817</v>
      </c>
      <c r="M772" s="122" t="str">
        <f t="shared" si="301"/>
        <v>N</v>
      </c>
      <c r="N772" s="116" t="str">
        <f>IF($L772&lt;&gt;"",VLOOKUP($L772,Categories!$E:$G,2,FALSE),IF($F772&lt;&gt;"","NO CAT",""))</f>
        <v>Not in Rate Base</v>
      </c>
      <c r="O772" s="116" t="str">
        <f>IF($L772&lt;&gt;"",VLOOKUP($L772,Categories!$E:$G,3,FALSE),IF($F772&lt;&gt;"","NO CAT",""))</f>
        <v>NM-2 ASGA</v>
      </c>
      <c r="P772" s="170" t="s">
        <v>1186</v>
      </c>
      <c r="Q772" s="123" t="s">
        <v>1187</v>
      </c>
      <c r="R772" s="124">
        <v>0</v>
      </c>
      <c r="S772" s="124">
        <v>0</v>
      </c>
      <c r="T772" s="124">
        <v>1</v>
      </c>
      <c r="U772" s="121">
        <f t="shared" si="312"/>
        <v>0</v>
      </c>
      <c r="V772" s="121">
        <f t="shared" si="313"/>
        <v>0</v>
      </c>
      <c r="W772" s="121">
        <f t="shared" si="314"/>
        <v>382.49129625</v>
      </c>
      <c r="X772" s="121">
        <f t="shared" si="309"/>
        <v>382.49129625</v>
      </c>
      <c r="Y772" s="121">
        <f t="shared" si="315"/>
        <v>0</v>
      </c>
      <c r="Z772" s="121">
        <f t="shared" si="316"/>
        <v>0</v>
      </c>
      <c r="AA772" s="121">
        <f t="shared" si="317"/>
        <v>395.86953</v>
      </c>
      <c r="AB772" s="121">
        <f t="shared" si="310"/>
        <v>395.86953</v>
      </c>
      <c r="AC772" s="121">
        <v>350.00130000000001</v>
      </c>
      <c r="AD772" s="121">
        <v>350.00130000000001</v>
      </c>
      <c r="AE772" s="121">
        <v>350.00130000000001</v>
      </c>
      <c r="AF772" s="121">
        <v>350.00130000000001</v>
      </c>
      <c r="AG772" s="121">
        <v>395.86953</v>
      </c>
      <c r="AH772" s="121">
        <v>395.86953</v>
      </c>
      <c r="AI772" s="121">
        <v>395.86953</v>
      </c>
      <c r="AJ772" s="121">
        <v>395.86953</v>
      </c>
      <c r="AK772" s="121">
        <v>395.86953</v>
      </c>
      <c r="AL772" s="121">
        <v>395.86953</v>
      </c>
      <c r="AM772" s="121">
        <v>395.86953</v>
      </c>
      <c r="AN772" s="121">
        <v>395.86953</v>
      </c>
      <c r="AO772" s="121">
        <v>395.86953</v>
      </c>
      <c r="AP772" s="125" t="str">
        <f>CONCATENATE(A772,M772)</f>
        <v>Reg AssetN</v>
      </c>
      <c r="AQ772" s="125" t="str">
        <f>CONCATENATE(AP772,L772,H772)</f>
        <v>Reg AssetNN8ASGA</v>
      </c>
      <c r="AS772" s="125" t="str">
        <f>CONCATENATE(L772,H772,J772)</f>
        <v>N8ASGANCR</v>
      </c>
    </row>
    <row r="773" spans="1:45" s="125" customFormat="1" ht="25.5" customHeight="1">
      <c r="A773" s="216" t="s">
        <v>1442</v>
      </c>
      <c r="B773" s="217" t="str">
        <f t="shared" si="318"/>
        <v>Reg Asset254270BE030902</v>
      </c>
      <c r="C773" s="186">
        <v>254270</v>
      </c>
      <c r="D773" s="201"/>
      <c r="E773" s="162" t="s">
        <v>1241</v>
      </c>
      <c r="F773" s="169" t="s">
        <v>334</v>
      </c>
      <c r="G773" s="117" t="s">
        <v>1933</v>
      </c>
      <c r="H773" s="118" t="s">
        <v>521</v>
      </c>
      <c r="I773" s="120"/>
      <c r="J773" s="120" t="s">
        <v>105</v>
      </c>
      <c r="K773" s="120" t="str">
        <f t="shared" si="311"/>
        <v/>
      </c>
      <c r="L773" s="170" t="s">
        <v>2817</v>
      </c>
      <c r="M773" s="122" t="str">
        <f t="shared" si="301"/>
        <v>N</v>
      </c>
      <c r="N773" s="116" t="str">
        <f>IF($L773&lt;&gt;"",VLOOKUP($L773,Categories!$E:$G,2,FALSE),IF($F773&lt;&gt;"","NO CAT",""))</f>
        <v>Not in Rate Base</v>
      </c>
      <c r="O773" s="116" t="str">
        <f>IF($L773&lt;&gt;"",VLOOKUP($L773,Categories!$E:$G,3,FALSE),IF($F773&lt;&gt;"","NO CAT",""))</f>
        <v>NM-2 ASGA</v>
      </c>
      <c r="P773" s="170" t="s">
        <v>1186</v>
      </c>
      <c r="Q773" s="123" t="s">
        <v>1187</v>
      </c>
      <c r="R773" s="124">
        <v>0</v>
      </c>
      <c r="S773" s="124">
        <v>0</v>
      </c>
      <c r="T773" s="124">
        <v>1</v>
      </c>
      <c r="U773" s="121">
        <f t="shared" si="312"/>
        <v>0</v>
      </c>
      <c r="V773" s="121">
        <f t="shared" si="313"/>
        <v>0</v>
      </c>
      <c r="W773" s="121">
        <f t="shared" si="314"/>
        <v>-4847.7068900000004</v>
      </c>
      <c r="X773" s="121">
        <f t="shared" si="309"/>
        <v>-4847.7068900000004</v>
      </c>
      <c r="Y773" s="121">
        <f t="shared" si="315"/>
        <v>0</v>
      </c>
      <c r="Z773" s="121">
        <f t="shared" si="316"/>
        <v>0</v>
      </c>
      <c r="AA773" s="121">
        <f t="shared" si="317"/>
        <v>-4847.7068900000004</v>
      </c>
      <c r="AB773" s="121">
        <f t="shared" si="310"/>
        <v>-4847.7068899999995</v>
      </c>
      <c r="AC773" s="121">
        <v>-4847.7068899999995</v>
      </c>
      <c r="AD773" s="121">
        <v>-4847.7068899999995</v>
      </c>
      <c r="AE773" s="121">
        <v>-4847.7068899999995</v>
      </c>
      <c r="AF773" s="121">
        <v>-4847.7068899999995</v>
      </c>
      <c r="AG773" s="121">
        <v>-4847.7068899999995</v>
      </c>
      <c r="AH773" s="121">
        <v>-4847.7068900000004</v>
      </c>
      <c r="AI773" s="121">
        <v>-4847.7068900000004</v>
      </c>
      <c r="AJ773" s="121">
        <v>-4847.7068900000004</v>
      </c>
      <c r="AK773" s="121">
        <v>-4847.7068900000004</v>
      </c>
      <c r="AL773" s="121">
        <v>-4847.7068900000004</v>
      </c>
      <c r="AM773" s="121">
        <v>-4847.7068900000004</v>
      </c>
      <c r="AN773" s="121">
        <v>-4847.7068900000004</v>
      </c>
      <c r="AO773" s="121">
        <v>-4847.7068899999995</v>
      </c>
      <c r="AP773" s="125" t="str">
        <f>CONCATENATE(A773,M773)</f>
        <v>Reg AssetN</v>
      </c>
      <c r="AQ773" s="125" t="str">
        <f>CONCATENATE(AP773,L773,H773)</f>
        <v>Reg AssetNN8ASGA</v>
      </c>
      <c r="AS773" s="125" t="str">
        <f>CONCATENATE(L773,H773,J773)</f>
        <v>N8ASGANCR</v>
      </c>
    </row>
    <row r="774" spans="1:45" s="125" customFormat="1" ht="25.5" customHeight="1">
      <c r="A774" s="216" t="s">
        <v>1442</v>
      </c>
      <c r="B774" s="217" t="str">
        <f t="shared" si="318"/>
        <v>Reg Asset254270810005BE030333</v>
      </c>
      <c r="C774" s="186">
        <v>254270</v>
      </c>
      <c r="D774" s="201" t="s">
        <v>2519</v>
      </c>
      <c r="E774" s="162" t="s">
        <v>1831</v>
      </c>
      <c r="F774" s="169" t="s">
        <v>334</v>
      </c>
      <c r="G774" s="117" t="s">
        <v>829</v>
      </c>
      <c r="H774" s="118" t="s">
        <v>794</v>
      </c>
      <c r="I774" s="120"/>
      <c r="J774" s="120"/>
      <c r="K774" s="120" t="str">
        <f t="shared" si="311"/>
        <v/>
      </c>
      <c r="L774" s="170" t="s">
        <v>1893</v>
      </c>
      <c r="M774" s="122" t="str">
        <f t="shared" si="301"/>
        <v>R</v>
      </c>
      <c r="N774" s="116" t="str">
        <f>IF($L774&lt;&gt;"",VLOOKUP($L774,Categories!$E:$G,2,FALSE),IF($F774&lt;&gt;"","NO CAT",""))</f>
        <v>Rate Base</v>
      </c>
      <c r="O774" s="116" t="str">
        <f>IF($L774&lt;&gt;"",VLOOKUP($L774,Categories!$E:$G,3,FALSE),IF($F774&lt;&gt;"","NO CAT",""))</f>
        <v>Deferred Debits &amp; Credits</v>
      </c>
      <c r="P774" s="170" t="s">
        <v>1183</v>
      </c>
      <c r="Q774" s="123" t="s">
        <v>1177</v>
      </c>
      <c r="R774" s="124">
        <v>1</v>
      </c>
      <c r="S774" s="124">
        <v>0</v>
      </c>
      <c r="T774" s="124">
        <v>0</v>
      </c>
      <c r="U774" s="121">
        <f t="shared" si="312"/>
        <v>-5187.5</v>
      </c>
      <c r="V774" s="121">
        <f t="shared" si="313"/>
        <v>0</v>
      </c>
      <c r="W774" s="121">
        <f t="shared" si="314"/>
        <v>0</v>
      </c>
      <c r="X774" s="121">
        <f t="shared" si="309"/>
        <v>-5187.5</v>
      </c>
      <c r="Y774" s="121">
        <f t="shared" si="315"/>
        <v>-6000</v>
      </c>
      <c r="Z774" s="121">
        <f t="shared" si="316"/>
        <v>0</v>
      </c>
      <c r="AA774" s="121">
        <f t="shared" si="317"/>
        <v>0</v>
      </c>
      <c r="AB774" s="121">
        <f t="shared" si="310"/>
        <v>-6000</v>
      </c>
      <c r="AC774" s="121">
        <v>-4500</v>
      </c>
      <c r="AD774" s="121">
        <v>-4500</v>
      </c>
      <c r="AE774" s="121">
        <v>-4500</v>
      </c>
      <c r="AF774" s="121">
        <v>-4500</v>
      </c>
      <c r="AG774" s="121">
        <v>-4500</v>
      </c>
      <c r="AH774" s="121">
        <v>-4500</v>
      </c>
      <c r="AI774" s="121">
        <v>-4500</v>
      </c>
      <c r="AJ774" s="121">
        <v>-6000</v>
      </c>
      <c r="AK774" s="121">
        <v>-6000</v>
      </c>
      <c r="AL774" s="121">
        <v>-6000</v>
      </c>
      <c r="AM774" s="121">
        <v>-6000</v>
      </c>
      <c r="AN774" s="121">
        <v>-6000</v>
      </c>
      <c r="AO774" s="121">
        <v>-6000</v>
      </c>
      <c r="AP774" s="125" t="str">
        <f>CONCATENATE(A774,M774)</f>
        <v>Reg AssetR</v>
      </c>
      <c r="AQ774" s="125" t="str">
        <f>CONCATENATE(AP774,L774,H774)</f>
        <v>Reg AssetRR10ACF</v>
      </c>
      <c r="AS774" s="125" t="str">
        <f>CONCATENATE(L774,H774,J774)</f>
        <v>R10ACF</v>
      </c>
    </row>
    <row r="775" spans="1:45" s="125" customFormat="1" ht="25.5" customHeight="1">
      <c r="A775" s="216" t="s">
        <v>1442</v>
      </c>
      <c r="B775" s="217" t="str">
        <f t="shared" si="318"/>
        <v>Reg Asset254270801224-BBBE030902</v>
      </c>
      <c r="C775" s="186">
        <v>254270</v>
      </c>
      <c r="D775" s="201" t="s">
        <v>3139</v>
      </c>
      <c r="E775" s="162" t="s">
        <v>1241</v>
      </c>
      <c r="F775" s="169" t="s">
        <v>334</v>
      </c>
      <c r="G775" s="117" t="s">
        <v>3140</v>
      </c>
      <c r="H775" s="118" t="s">
        <v>521</v>
      </c>
      <c r="I775" s="120"/>
      <c r="J775" s="120" t="s">
        <v>105</v>
      </c>
      <c r="K775" s="120" t="str">
        <f t="shared" si="311"/>
        <v/>
      </c>
      <c r="L775" s="170" t="s">
        <v>2817</v>
      </c>
      <c r="M775" s="122" t="str">
        <f>LEFT(L775,1)</f>
        <v>N</v>
      </c>
      <c r="N775" s="116" t="str">
        <f>IF($L775&lt;&gt;"",VLOOKUP($L775,Categories!$E:$G,2,FALSE),IF($F775&lt;&gt;"","NO CAT",""))</f>
        <v>Not in Rate Base</v>
      </c>
      <c r="O775" s="116" t="str">
        <f>IF($L775&lt;&gt;"",VLOOKUP($L775,Categories!$E:$G,3,FALSE),IF($F775&lt;&gt;"","NO CAT",""))</f>
        <v>NM-2 ASGA</v>
      </c>
      <c r="P775" s="170" t="s">
        <v>1186</v>
      </c>
      <c r="Q775" s="123" t="s">
        <v>1187</v>
      </c>
      <c r="R775" s="124">
        <v>0</v>
      </c>
      <c r="S775" s="124">
        <v>0</v>
      </c>
      <c r="T775" s="124">
        <v>1</v>
      </c>
      <c r="U775" s="121">
        <f>IF(ABS(X775)=0,"",IF($R775="NO ALLOC","NO ALLOC",ROUND($R775*X775,15)))</f>
        <v>0</v>
      </c>
      <c r="V775" s="121">
        <f>IF(ABS(X775)=0,"",IF($S775="NO ALLOC","NO ALLOC",ROUND($S775*X775,15)))</f>
        <v>0</v>
      </c>
      <c r="W775" s="121">
        <f>IF(ABS(X775)=0,"",IF($T775="NO ALLOC","NO ALLOC",ROUND($T775*X775,15)))</f>
        <v>33405.405279999999</v>
      </c>
      <c r="X775" s="121">
        <f t="shared" si="309"/>
        <v>33405.405279999999</v>
      </c>
      <c r="Y775" s="121">
        <f>IF(ABS(AB775)=0,"",IF($R775="NO ALLOC","NO ALLOC",ROUND($R775*AB775,15)))</f>
        <v>0</v>
      </c>
      <c r="Z775" s="121">
        <f>IF(ABS(AB775)=0,"",IF($S775="NO ALLOC","NO ALLOC",ROUND($S775*AB775,15)))</f>
        <v>0</v>
      </c>
      <c r="AA775" s="121">
        <f>IF(ABS(AB775)=0,"",IF($T775="NO ALLOC","NO ALLOC",ROUND($T775*AB775,15)))</f>
        <v>33405.405279999999</v>
      </c>
      <c r="AB775" s="121">
        <f t="shared" si="310"/>
        <v>33405.405279999999</v>
      </c>
      <c r="AC775" s="121">
        <v>33405.405279999999</v>
      </c>
      <c r="AD775" s="121">
        <v>33405.405279999999</v>
      </c>
      <c r="AE775" s="121">
        <v>33405.405279999999</v>
      </c>
      <c r="AF775" s="121">
        <v>33405.405279999999</v>
      </c>
      <c r="AG775" s="121">
        <v>33405.405279999999</v>
      </c>
      <c r="AH775" s="121">
        <v>33405.405279999999</v>
      </c>
      <c r="AI775" s="121">
        <v>33405.405279999999</v>
      </c>
      <c r="AJ775" s="121">
        <v>33405.405279999999</v>
      </c>
      <c r="AK775" s="121">
        <v>33405.405279999999</v>
      </c>
      <c r="AL775" s="121">
        <v>33405.405279999999</v>
      </c>
      <c r="AM775" s="121">
        <v>33405.405279999999</v>
      </c>
      <c r="AN775" s="121">
        <v>33405.405279999999</v>
      </c>
      <c r="AO775" s="121">
        <v>33405.405279999999</v>
      </c>
      <c r="AP775" s="125" t="str">
        <f>CONCATENATE(A775,M775)</f>
        <v>Reg AssetN</v>
      </c>
      <c r="AQ775" s="125" t="str">
        <f>CONCATENATE(AP775,L775,H775)</f>
        <v>Reg AssetNN8ASGA</v>
      </c>
      <c r="AS775" s="125" t="str">
        <f>CONCATENATE(L775,H775,J775)</f>
        <v>N8ASGANCR</v>
      </c>
    </row>
    <row r="776" spans="1:45" s="125" customFormat="1" ht="25.5" customHeight="1">
      <c r="A776" s="216" t="s">
        <v>1442</v>
      </c>
      <c r="B776" s="217" t="str">
        <f t="shared" si="318"/>
        <v>Reg Asset254275808030BE030573</v>
      </c>
      <c r="C776" s="186">
        <v>254275</v>
      </c>
      <c r="D776" s="201" t="s">
        <v>126</v>
      </c>
      <c r="E776" s="162" t="s">
        <v>3806</v>
      </c>
      <c r="F776" s="169" t="s">
        <v>125</v>
      </c>
      <c r="G776" s="117" t="s">
        <v>127</v>
      </c>
      <c r="H776" s="118" t="s">
        <v>763</v>
      </c>
      <c r="I776" s="119"/>
      <c r="J776" s="120"/>
      <c r="K776" s="120" t="str">
        <f t="shared" si="311"/>
        <v/>
      </c>
      <c r="L776" s="170" t="s">
        <v>1893</v>
      </c>
      <c r="M776" s="122" t="str">
        <f t="shared" si="301"/>
        <v>R</v>
      </c>
      <c r="N776" s="116" t="str">
        <f>IF($L776&lt;&gt;"",VLOOKUP($L776,Categories!$E:$G,2,FALSE),IF($F776&lt;&gt;"","NO CAT",""))</f>
        <v>Rate Base</v>
      </c>
      <c r="O776" s="116" t="str">
        <f>IF($L776&lt;&gt;"",VLOOKUP($L776,Categories!$E:$G,3,FALSE),IF($F776&lt;&gt;"","NO CAT",""))</f>
        <v>Deferred Debits &amp; Credits</v>
      </c>
      <c r="P776" s="170" t="s">
        <v>1183</v>
      </c>
      <c r="Q776" s="123" t="s">
        <v>1177</v>
      </c>
      <c r="R776" s="124">
        <v>1</v>
      </c>
      <c r="S776" s="124">
        <v>0</v>
      </c>
      <c r="T776" s="124">
        <v>0</v>
      </c>
      <c r="U776" s="121">
        <f t="shared" si="312"/>
        <v>-13654.55565</v>
      </c>
      <c r="V776" s="121">
        <f t="shared" si="313"/>
        <v>0</v>
      </c>
      <c r="W776" s="121">
        <f t="shared" si="314"/>
        <v>0</v>
      </c>
      <c r="X776" s="121">
        <f t="shared" si="309"/>
        <v>-13654.55565</v>
      </c>
      <c r="Y776" s="121">
        <f t="shared" si="315"/>
        <v>-13654.55565</v>
      </c>
      <c r="Z776" s="121">
        <f t="shared" si="316"/>
        <v>0</v>
      </c>
      <c r="AA776" s="121">
        <f t="shared" si="317"/>
        <v>0</v>
      </c>
      <c r="AB776" s="121">
        <f t="shared" si="310"/>
        <v>-13654.555650000002</v>
      </c>
      <c r="AC776" s="121">
        <v>-13654.555650000002</v>
      </c>
      <c r="AD776" s="121">
        <v>-13654.555650000002</v>
      </c>
      <c r="AE776" s="121">
        <v>-13654.555650000002</v>
      </c>
      <c r="AF776" s="121">
        <v>-13654.555650000002</v>
      </c>
      <c r="AG776" s="121">
        <v>-13654.555650000002</v>
      </c>
      <c r="AH776" s="121">
        <v>-13654.555650000002</v>
      </c>
      <c r="AI776" s="121">
        <v>-13654.555650000002</v>
      </c>
      <c r="AJ776" s="121">
        <v>-13654.555650000002</v>
      </c>
      <c r="AK776" s="121">
        <v>-13654.555650000002</v>
      </c>
      <c r="AL776" s="121">
        <v>-13654.555650000002</v>
      </c>
      <c r="AM776" s="121">
        <v>-13654.555650000002</v>
      </c>
      <c r="AN776" s="121">
        <v>-13654.555650000002</v>
      </c>
      <c r="AO776" s="121">
        <v>-13654.555650000002</v>
      </c>
      <c r="AP776" s="125" t="str">
        <f>CONCATENATE(A776,M776)</f>
        <v>Reg AssetR</v>
      </c>
      <c r="AQ776" s="125" t="str">
        <f>CONCATENATE(AP776,L776,H776)</f>
        <v>Reg AssetRR10Positive Benefit Adjustment</v>
      </c>
      <c r="AS776" s="125" t="str">
        <f>CONCATENATE(L776,H776,J776)</f>
        <v>R10Positive Benefit Adjustment</v>
      </c>
    </row>
    <row r="777" spans="1:45" s="125" customFormat="1" ht="25.5" customHeight="1">
      <c r="A777" s="216" t="s">
        <v>1442</v>
      </c>
      <c r="B777" s="217" t="str">
        <f t="shared" si="318"/>
        <v>Reg Asset254276808230BG030574</v>
      </c>
      <c r="C777" s="186">
        <v>254276</v>
      </c>
      <c r="D777" s="201" t="s">
        <v>129</v>
      </c>
      <c r="E777" s="162" t="s">
        <v>3807</v>
      </c>
      <c r="F777" s="169" t="s">
        <v>128</v>
      </c>
      <c r="G777" s="117" t="s">
        <v>130</v>
      </c>
      <c r="H777" s="118" t="s">
        <v>763</v>
      </c>
      <c r="I777" s="119"/>
      <c r="J777" s="120"/>
      <c r="K777" s="120" t="str">
        <f t="shared" si="311"/>
        <v/>
      </c>
      <c r="L777" s="170" t="s">
        <v>1893</v>
      </c>
      <c r="M777" s="122" t="str">
        <f t="shared" si="301"/>
        <v>R</v>
      </c>
      <c r="N777" s="116" t="str">
        <f>IF($L777&lt;&gt;"",VLOOKUP($L777,Categories!$E:$G,2,FALSE),IF($F777&lt;&gt;"","NO CAT",""))</f>
        <v>Rate Base</v>
      </c>
      <c r="O777" s="116" t="str">
        <f>IF($L777&lt;&gt;"",VLOOKUP($L777,Categories!$E:$G,3,FALSE),IF($F777&lt;&gt;"","NO CAT",""))</f>
        <v>Deferred Debits &amp; Credits</v>
      </c>
      <c r="P777" s="170" t="s">
        <v>1184</v>
      </c>
      <c r="Q777" s="123" t="s">
        <v>1178</v>
      </c>
      <c r="R777" s="124">
        <v>0</v>
      </c>
      <c r="S777" s="124">
        <v>1</v>
      </c>
      <c r="T777" s="124">
        <v>0</v>
      </c>
      <c r="U777" s="121">
        <f t="shared" si="312"/>
        <v>0</v>
      </c>
      <c r="V777" s="121">
        <f t="shared" si="313"/>
        <v>231.48803999999799</v>
      </c>
      <c r="W777" s="121">
        <f t="shared" si="314"/>
        <v>0</v>
      </c>
      <c r="X777" s="121">
        <f t="shared" si="309"/>
        <v>231.48803999999799</v>
      </c>
      <c r="Y777" s="121">
        <f t="shared" si="315"/>
        <v>0</v>
      </c>
      <c r="Z777" s="121">
        <f t="shared" si="316"/>
        <v>231.48804000000001</v>
      </c>
      <c r="AA777" s="121">
        <f t="shared" si="317"/>
        <v>0</v>
      </c>
      <c r="AB777" s="121">
        <f t="shared" si="310"/>
        <v>231.48804000000001</v>
      </c>
      <c r="AC777" s="121">
        <v>231.48804000000004</v>
      </c>
      <c r="AD777" s="121">
        <v>231.48803999997676</v>
      </c>
      <c r="AE777" s="121">
        <v>231.48804000000001</v>
      </c>
      <c r="AF777" s="121">
        <v>231.48804000000001</v>
      </c>
      <c r="AG777" s="121">
        <v>231.48804000000001</v>
      </c>
      <c r="AH777" s="121">
        <v>231.48804000000001</v>
      </c>
      <c r="AI777" s="121">
        <v>231.48804000000001</v>
      </c>
      <c r="AJ777" s="121">
        <v>231.48804000000001</v>
      </c>
      <c r="AK777" s="121">
        <v>231.48804000000001</v>
      </c>
      <c r="AL777" s="121">
        <v>231.48804000000001</v>
      </c>
      <c r="AM777" s="121">
        <v>231.48804000000001</v>
      </c>
      <c r="AN777" s="121">
        <v>231.48804000000001</v>
      </c>
      <c r="AO777" s="121">
        <v>231.48804000000001</v>
      </c>
      <c r="AP777" s="125" t="str">
        <f>CONCATENATE(A777,M777)</f>
        <v>Reg AssetR</v>
      </c>
      <c r="AQ777" s="125" t="str">
        <f>CONCATENATE(AP777,L777,H777)</f>
        <v>Reg AssetRR10Positive Benefit Adjustment</v>
      </c>
      <c r="AS777" s="125" t="str">
        <f>CONCATENATE(L777,H777,J777)</f>
        <v>R10Positive Benefit Adjustment</v>
      </c>
    </row>
    <row r="778" spans="1:45" s="125" customFormat="1" ht="25.5" customHeight="1">
      <c r="A778" s="216" t="s">
        <v>1442</v>
      </c>
      <c r="B778" s="217" t="str">
        <f>CONCATENATE(A778,C778,D778,E778)</f>
        <v>Reg Asset254367ReclassBE039999</v>
      </c>
      <c r="C778" s="186">
        <v>254367</v>
      </c>
      <c r="D778" s="201" t="s">
        <v>1961</v>
      </c>
      <c r="E778" s="162" t="s">
        <v>3291</v>
      </c>
      <c r="F778" s="169" t="s">
        <v>4539</v>
      </c>
      <c r="G778" s="117" t="s">
        <v>4546</v>
      </c>
      <c r="H778" s="118" t="s">
        <v>635</v>
      </c>
      <c r="I778" s="119"/>
      <c r="J778" s="120"/>
      <c r="K778" s="120" t="str">
        <f>IF(L778="N3","SFAS-109","")</f>
        <v/>
      </c>
      <c r="L778" s="170" t="s">
        <v>1893</v>
      </c>
      <c r="M778" s="122" t="str">
        <f>LEFT(L778,1)</f>
        <v>R</v>
      </c>
      <c r="N778" s="116" t="str">
        <f>IF($L778&lt;&gt;"",VLOOKUP($L778,Categories!$E:$G,2,FALSE),IF($F778&lt;&gt;"","NO CAT",""))</f>
        <v>Rate Base</v>
      </c>
      <c r="O778" s="116" t="str">
        <f>IF($L778&lt;&gt;"",VLOOKUP($L778,Categories!$E:$G,3,FALSE),IF($F778&lt;&gt;"","NO CAT",""))</f>
        <v>Deferred Debits &amp; Credits</v>
      </c>
      <c r="P778" s="170" t="s">
        <v>1183</v>
      </c>
      <c r="Q778" s="123" t="s">
        <v>1177</v>
      </c>
      <c r="R778" s="124">
        <v>1</v>
      </c>
      <c r="S778" s="124">
        <v>0</v>
      </c>
      <c r="T778" s="124">
        <v>0</v>
      </c>
      <c r="U778" s="121">
        <f>IF(ABS(X778)=0,"",IF($R778="NO ALLOC","NO ALLOC",ROUND($R778*X778,15)))</f>
        <v>-10104.06494</v>
      </c>
      <c r="V778" s="121">
        <f>IF(ABS(X778)=0,"",IF($S778="NO ALLOC","NO ALLOC",ROUND($S778*X778,15)))</f>
        <v>0</v>
      </c>
      <c r="W778" s="121">
        <f>IF(ABS(X778)=0,"",IF($T778="NO ALLOC","NO ALLOC",ROUND($T778*X778,15)))</f>
        <v>0</v>
      </c>
      <c r="X778" s="121">
        <f t="shared" si="309"/>
        <v>-10104.06494</v>
      </c>
      <c r="Y778" s="121">
        <f>IF(ABS(AB778)=0,"",IF($R778="NO ALLOC","NO ALLOC",ROUND($R778*AB778,15)))</f>
        <v>-2317.3980000000001</v>
      </c>
      <c r="Z778" s="121">
        <f>IF(ABS(AB778)=0,"",IF($S778="NO ALLOC","NO ALLOC",ROUND($S778*AB778,15)))</f>
        <v>0</v>
      </c>
      <c r="AA778" s="121">
        <f>IF(ABS(AB778)=0,"",IF($T778="NO ALLOC","NO ALLOC",ROUND($T778*AB778,15)))</f>
        <v>0</v>
      </c>
      <c r="AB778" s="121">
        <f t="shared" si="310"/>
        <v>-2317.3980000000001</v>
      </c>
      <c r="AC778" s="121">
        <v>0</v>
      </c>
      <c r="AD778" s="121">
        <v>-25993.258000000002</v>
      </c>
      <c r="AE778" s="121">
        <v>-37076.733</v>
      </c>
      <c r="AF778" s="121">
        <v>-42954.033369999997</v>
      </c>
      <c r="AG778" s="121">
        <v>-12504.770909999996</v>
      </c>
      <c r="AH778" s="121">
        <v>0</v>
      </c>
      <c r="AI778" s="121">
        <v>0</v>
      </c>
      <c r="AJ778" s="121">
        <v>0</v>
      </c>
      <c r="AK778" s="121">
        <v>0</v>
      </c>
      <c r="AL778" s="121">
        <v>0</v>
      </c>
      <c r="AM778" s="121">
        <v>0</v>
      </c>
      <c r="AN778" s="121">
        <v>-1561.2850000000001</v>
      </c>
      <c r="AO778" s="121">
        <v>-2317.3980000000001</v>
      </c>
      <c r="AP778" s="125" t="str">
        <f>CONCATENATE(A778,M778)</f>
        <v>Reg AssetR</v>
      </c>
      <c r="AQ778" s="125" t="str">
        <f>CONCATENATE(AP778,L778,H778)</f>
        <v>Reg AssetRR10NBWC True-up</v>
      </c>
      <c r="AS778" s="125" t="str">
        <f>CONCATENATE(L778,H778,J778)</f>
        <v>R10NBWC True-up</v>
      </c>
    </row>
    <row r="779" spans="1:45" s="125" customFormat="1" ht="25.5" customHeight="1">
      <c r="A779" s="216" t="s">
        <v>1442</v>
      </c>
      <c r="B779" s="217" t="str">
        <f t="shared" si="318"/>
        <v>Reg Asset254370801249BG030921</v>
      </c>
      <c r="C779" s="186">
        <v>254370</v>
      </c>
      <c r="D779" s="201" t="s">
        <v>830</v>
      </c>
      <c r="E779" s="162" t="s">
        <v>832</v>
      </c>
      <c r="F779" s="169" t="s">
        <v>835</v>
      </c>
      <c r="G779" s="117" t="s">
        <v>833</v>
      </c>
      <c r="H779" s="118" t="s">
        <v>792</v>
      </c>
      <c r="I779" s="120"/>
      <c r="J779" s="120" t="s">
        <v>105</v>
      </c>
      <c r="K779" s="120" t="str">
        <f>IF(L779="N3","SFAS-109","")</f>
        <v/>
      </c>
      <c r="L779" s="170" t="s">
        <v>2821</v>
      </c>
      <c r="M779" s="122" t="str">
        <f t="shared" si="301"/>
        <v>N</v>
      </c>
      <c r="N779" s="116" t="str">
        <f>IF($L779&lt;&gt;"",VLOOKUP($L779,Categories!$E:$G,2,FALSE),IF($F779&lt;&gt;"","NO CAT",""))</f>
        <v>Not in Rate Base</v>
      </c>
      <c r="O779" s="116" t="str">
        <f>IF($L779&lt;&gt;"",VLOOKUP($L779,Categories!$E:$G,3,FALSE),IF($F779&lt;&gt;"","NO CAT",""))</f>
        <v>Deferrals Accruing Non-Cash Return   (other than ASGA)</v>
      </c>
      <c r="P779" s="170" t="s">
        <v>1186</v>
      </c>
      <c r="Q779" s="123" t="s">
        <v>1187</v>
      </c>
      <c r="R779" s="124">
        <v>0</v>
      </c>
      <c r="S779" s="124">
        <v>0</v>
      </c>
      <c r="T779" s="124">
        <v>1</v>
      </c>
      <c r="U779" s="121">
        <f t="shared" si="312"/>
        <v>0</v>
      </c>
      <c r="V779" s="121">
        <f t="shared" si="313"/>
        <v>0</v>
      </c>
      <c r="W779" s="121">
        <f t="shared" si="314"/>
        <v>-2266.7649154166702</v>
      </c>
      <c r="X779" s="121">
        <f t="shared" si="309"/>
        <v>-2266.7649154166702</v>
      </c>
      <c r="Y779" s="121">
        <f t="shared" si="315"/>
        <v>0</v>
      </c>
      <c r="Z779" s="121">
        <f t="shared" si="316"/>
        <v>0</v>
      </c>
      <c r="AA779" s="121">
        <f t="shared" si="317"/>
        <v>791.45930999999996</v>
      </c>
      <c r="AB779" s="121">
        <f t="shared" si="310"/>
        <v>791.45931000000007</v>
      </c>
      <c r="AC779" s="121">
        <v>-6079.1995799999995</v>
      </c>
      <c r="AD779" s="121">
        <v>-4899.4617799999996</v>
      </c>
      <c r="AE779" s="121">
        <v>-3862.4071899999985</v>
      </c>
      <c r="AF779" s="121">
        <v>-2917.5661899999986</v>
      </c>
      <c r="AG779" s="121">
        <v>-2801.3535499999984</v>
      </c>
      <c r="AH779" s="121">
        <v>-2142.5094299999982</v>
      </c>
      <c r="AI779" s="121">
        <v>-1966.8466499999984</v>
      </c>
      <c r="AJ779" s="121">
        <v>-1816.7975899999999</v>
      </c>
      <c r="AK779" s="121">
        <v>-1564.0294799999981</v>
      </c>
      <c r="AL779" s="121">
        <v>-1337.16563</v>
      </c>
      <c r="AM779" s="121">
        <v>-1021.633549999998</v>
      </c>
      <c r="AN779" s="121">
        <v>-227.53780999999796</v>
      </c>
      <c r="AO779" s="121">
        <v>791.45931000000007</v>
      </c>
      <c r="AP779" s="125" t="str">
        <f>CONCATENATE(A779,M779)</f>
        <v>Reg AssetN</v>
      </c>
      <c r="AQ779" s="125" t="str">
        <f>CONCATENATE(AP779,L779,H779)</f>
        <v>Reg AssetNN10Seneca Sale Gain</v>
      </c>
      <c r="AS779" s="125" t="str">
        <f>CONCATENATE(L779,H779,J779)</f>
        <v>N10Seneca Sale GainNCR</v>
      </c>
    </row>
    <row r="780" spans="1:45" s="125" customFormat="1" ht="25.5" customHeight="1">
      <c r="A780" s="216" t="s">
        <v>1442</v>
      </c>
      <c r="B780" s="217" t="str">
        <f t="shared" si="318"/>
        <v>Reg Asset254370801250BG030921</v>
      </c>
      <c r="C780" s="186">
        <v>254370</v>
      </c>
      <c r="D780" s="201" t="s">
        <v>831</v>
      </c>
      <c r="E780" s="162" t="s">
        <v>832</v>
      </c>
      <c r="F780" s="169" t="s">
        <v>835</v>
      </c>
      <c r="G780" s="117" t="s">
        <v>834</v>
      </c>
      <c r="H780" s="118" t="s">
        <v>792</v>
      </c>
      <c r="I780" s="120"/>
      <c r="J780" s="120" t="s">
        <v>105</v>
      </c>
      <c r="K780" s="120" t="str">
        <f>IF(L780="N3","SFAS-109","")</f>
        <v/>
      </c>
      <c r="L780" s="170" t="s">
        <v>2821</v>
      </c>
      <c r="M780" s="122" t="str">
        <f t="shared" si="301"/>
        <v>N</v>
      </c>
      <c r="N780" s="116" t="str">
        <f>IF($L780&lt;&gt;"",VLOOKUP($L780,Categories!$E:$G,2,FALSE),IF($F780&lt;&gt;"","NO CAT",""))</f>
        <v>Not in Rate Base</v>
      </c>
      <c r="O780" s="116" t="str">
        <f>IF($L780&lt;&gt;"",VLOOKUP($L780,Categories!$E:$G,3,FALSE),IF($F780&lt;&gt;"","NO CAT",""))</f>
        <v>Deferrals Accruing Non-Cash Return   (other than ASGA)</v>
      </c>
      <c r="P780" s="170" t="s">
        <v>1186</v>
      </c>
      <c r="Q780" s="123" t="s">
        <v>1187</v>
      </c>
      <c r="R780" s="124">
        <v>0</v>
      </c>
      <c r="S780" s="124">
        <v>0</v>
      </c>
      <c r="T780" s="124">
        <v>1</v>
      </c>
      <c r="U780" s="121">
        <f t="shared" si="312"/>
        <v>0</v>
      </c>
      <c r="V780" s="121">
        <f t="shared" si="313"/>
        <v>0</v>
      </c>
      <c r="W780" s="121">
        <f t="shared" si="314"/>
        <v>-614.63900000000001</v>
      </c>
      <c r="X780" s="121">
        <f t="shared" si="309"/>
        <v>-614.63900000000001</v>
      </c>
      <c r="Y780" s="121">
        <f t="shared" si="315"/>
        <v>0</v>
      </c>
      <c r="Z780" s="121">
        <f t="shared" si="316"/>
        <v>0</v>
      </c>
      <c r="AA780" s="121">
        <f t="shared" si="317"/>
        <v>-614.63900000000001</v>
      </c>
      <c r="AB780" s="121">
        <f t="shared" si="310"/>
        <v>-614.63900000000001</v>
      </c>
      <c r="AC780" s="121">
        <v>-614.63900000000001</v>
      </c>
      <c r="AD780" s="121">
        <v>-614.63900000000001</v>
      </c>
      <c r="AE780" s="121">
        <v>-614.63900000000001</v>
      </c>
      <c r="AF780" s="121">
        <v>-614.63900000000001</v>
      </c>
      <c r="AG780" s="121">
        <v>-614.63900000000001</v>
      </c>
      <c r="AH780" s="121">
        <v>-614.63900000000001</v>
      </c>
      <c r="AI780" s="121">
        <v>-614.63900000000001</v>
      </c>
      <c r="AJ780" s="121">
        <v>-614.63900000000001</v>
      </c>
      <c r="AK780" s="121">
        <v>-614.63900000000001</v>
      </c>
      <c r="AL780" s="121">
        <v>-614.63900000000001</v>
      </c>
      <c r="AM780" s="121">
        <v>-614.63900000000001</v>
      </c>
      <c r="AN780" s="121">
        <v>-614.63900000000001</v>
      </c>
      <c r="AO780" s="121">
        <v>-614.63900000000001</v>
      </c>
      <c r="AP780" s="125" t="str">
        <f>CONCATENATE(A780,M780)</f>
        <v>Reg AssetN</v>
      </c>
      <c r="AQ780" s="125" t="str">
        <f>CONCATENATE(AP780,L780,H780)</f>
        <v>Reg AssetNN10Seneca Sale Gain</v>
      </c>
      <c r="AS780" s="125" t="str">
        <f>CONCATENATE(L780,H780,J780)</f>
        <v>N10Seneca Sale GainNCR</v>
      </c>
    </row>
    <row r="781" spans="1:45" s="125" customFormat="1" ht="25.5" customHeight="1">
      <c r="A781" s="216" t="s">
        <v>1442</v>
      </c>
      <c r="B781" s="217" t="str">
        <f t="shared" si="318"/>
        <v>Reg Asset25467002432600BG030131</v>
      </c>
      <c r="C781" s="186">
        <v>254670</v>
      </c>
      <c r="D781" s="201" t="s">
        <v>2479</v>
      </c>
      <c r="E781" s="162" t="s">
        <v>3187</v>
      </c>
      <c r="F781" s="169" t="s">
        <v>1225</v>
      </c>
      <c r="G781" s="117" t="s">
        <v>1226</v>
      </c>
      <c r="H781" s="118" t="s">
        <v>972</v>
      </c>
      <c r="I781" s="120"/>
      <c r="J781" s="120"/>
      <c r="K781" s="120" t="str">
        <f t="shared" si="311"/>
        <v/>
      </c>
      <c r="L781" s="170" t="s">
        <v>928</v>
      </c>
      <c r="M781" s="122" t="str">
        <f t="shared" si="301"/>
        <v>N</v>
      </c>
      <c r="N781" s="116" t="str">
        <f>IF($L781&lt;&gt;"",VLOOKUP($L781,Categories!$E:$G,2,FALSE),IF($F781&lt;&gt;"","NO CAT",""))</f>
        <v>Not in Rate Base</v>
      </c>
      <c r="O781" s="116" t="str">
        <f>IF($L781&lt;&gt;"",VLOOKUP($L781,Categories!$E:$G,3,FALSE),IF($F781&lt;&gt;"","NO CAT",""))</f>
        <v>Direct Assign Items Not in RB</v>
      </c>
      <c r="P781" s="170" t="s">
        <v>1186</v>
      </c>
      <c r="Q781" s="123" t="s">
        <v>1187</v>
      </c>
      <c r="R781" s="124">
        <v>0</v>
      </c>
      <c r="S781" s="124">
        <v>0</v>
      </c>
      <c r="T781" s="124">
        <v>1</v>
      </c>
      <c r="U781" s="121">
        <f t="shared" si="312"/>
        <v>0</v>
      </c>
      <c r="V781" s="121">
        <f t="shared" si="313"/>
        <v>0</v>
      </c>
      <c r="W781" s="121">
        <f t="shared" si="314"/>
        <v>-3000.98783</v>
      </c>
      <c r="X781" s="121">
        <f t="shared" si="309"/>
        <v>-3000.98783</v>
      </c>
      <c r="Y781" s="121">
        <f t="shared" si="315"/>
        <v>0</v>
      </c>
      <c r="Z781" s="121">
        <f t="shared" si="316"/>
        <v>0</v>
      </c>
      <c r="AA781" s="121">
        <f t="shared" si="317"/>
        <v>-3000.98783</v>
      </c>
      <c r="AB781" s="121">
        <f t="shared" si="310"/>
        <v>-3000.98783</v>
      </c>
      <c r="AC781" s="121">
        <v>-3000.98783</v>
      </c>
      <c r="AD781" s="121">
        <v>-3000.98783</v>
      </c>
      <c r="AE781" s="121">
        <v>-3000.98783</v>
      </c>
      <c r="AF781" s="121">
        <v>-3000.98783</v>
      </c>
      <c r="AG781" s="121">
        <v>-3000.98783</v>
      </c>
      <c r="AH781" s="121">
        <v>-3000.98783</v>
      </c>
      <c r="AI781" s="121">
        <v>-3000.98783</v>
      </c>
      <c r="AJ781" s="121">
        <v>-3000.98783</v>
      </c>
      <c r="AK781" s="121">
        <v>-3000.98783</v>
      </c>
      <c r="AL781" s="121">
        <v>-3000.98783</v>
      </c>
      <c r="AM781" s="121">
        <v>-3000.98783</v>
      </c>
      <c r="AN781" s="121">
        <v>-3000.98783</v>
      </c>
      <c r="AO781" s="121">
        <v>-3000.98783</v>
      </c>
      <c r="AP781" s="125" t="str">
        <f>CONCATENATE(A781,M781)</f>
        <v>Reg AssetN</v>
      </c>
      <c r="AQ781" s="125" t="str">
        <f>CONCATENATE(AP781,L781,H781)</f>
        <v>Reg AssetNN2Asset Retirement Obligation</v>
      </c>
      <c r="AS781" s="125" t="str">
        <f>CONCATENATE(L781,H781,J781)</f>
        <v>N2Asset Retirement Obligation</v>
      </c>
    </row>
    <row r="782" spans="1:45" s="125" customFormat="1" ht="25.5" customHeight="1">
      <c r="A782" s="216" t="s">
        <v>1442</v>
      </c>
      <c r="B782" s="217" t="str">
        <f t="shared" si="318"/>
        <v>Reg Asset254901GrossBE030469</v>
      </c>
      <c r="C782" s="186">
        <v>254901</v>
      </c>
      <c r="D782" s="201" t="s">
        <v>1465</v>
      </c>
      <c r="E782" s="162" t="s">
        <v>3808</v>
      </c>
      <c r="F782" s="169" t="s">
        <v>1168</v>
      </c>
      <c r="G782" s="117" t="s">
        <v>2945</v>
      </c>
      <c r="H782" s="118" t="s">
        <v>967</v>
      </c>
      <c r="I782" s="120"/>
      <c r="J782" s="120"/>
      <c r="K782" s="120" t="str">
        <f t="shared" si="311"/>
        <v/>
      </c>
      <c r="L782" s="170" t="s">
        <v>1893</v>
      </c>
      <c r="M782" s="122" t="str">
        <f t="shared" si="301"/>
        <v>R</v>
      </c>
      <c r="N782" s="116" t="str">
        <f>IF($L782&lt;&gt;"",VLOOKUP($L782,Categories!$E:$G,2,FALSE),IF($F782&lt;&gt;"","NO CAT",""))</f>
        <v>Rate Base</v>
      </c>
      <c r="O782" s="116" t="str">
        <f>IF($L782&lt;&gt;"",VLOOKUP($L782,Categories!$E:$G,3,FALSE),IF($F782&lt;&gt;"","NO CAT",""))</f>
        <v>Deferred Debits &amp; Credits</v>
      </c>
      <c r="P782" s="170" t="s">
        <v>1183</v>
      </c>
      <c r="Q782" s="123" t="s">
        <v>1177</v>
      </c>
      <c r="R782" s="124">
        <v>1</v>
      </c>
      <c r="S782" s="124">
        <v>0</v>
      </c>
      <c r="T782" s="124">
        <v>0</v>
      </c>
      <c r="U782" s="121">
        <f t="shared" si="312"/>
        <v>0.124057916666667</v>
      </c>
      <c r="V782" s="121">
        <f t="shared" si="313"/>
        <v>0</v>
      </c>
      <c r="W782" s="121">
        <f t="shared" si="314"/>
        <v>0</v>
      </c>
      <c r="X782" s="121">
        <f t="shared" si="309"/>
        <v>0.124057916666667</v>
      </c>
      <c r="Y782" s="121" t="str">
        <f t="shared" si="315"/>
        <v/>
      </c>
      <c r="Z782" s="121" t="str">
        <f t="shared" si="316"/>
        <v/>
      </c>
      <c r="AA782" s="121" t="str">
        <f t="shared" si="317"/>
        <v/>
      </c>
      <c r="AB782" s="121">
        <f t="shared" si="310"/>
        <v>0</v>
      </c>
      <c r="AC782" s="121">
        <v>2.9773899999999998</v>
      </c>
      <c r="AD782" s="121">
        <v>0</v>
      </c>
      <c r="AE782" s="121">
        <v>0</v>
      </c>
      <c r="AF782" s="121">
        <v>0</v>
      </c>
      <c r="AG782" s="121">
        <v>0</v>
      </c>
      <c r="AH782" s="121">
        <v>0</v>
      </c>
      <c r="AI782" s="121">
        <v>0</v>
      </c>
      <c r="AJ782" s="121">
        <v>0</v>
      </c>
      <c r="AK782" s="121">
        <v>0</v>
      </c>
      <c r="AL782" s="121">
        <v>0</v>
      </c>
      <c r="AM782" s="121">
        <v>0</v>
      </c>
      <c r="AN782" s="121">
        <v>0</v>
      </c>
      <c r="AO782" s="121">
        <v>0</v>
      </c>
      <c r="AP782" s="125" t="str">
        <f>CONCATENATE(A782,M782)</f>
        <v>Reg AssetR</v>
      </c>
      <c r="AQ782" s="125" t="str">
        <f>CONCATENATE(AP782,L782,H782)</f>
        <v>Reg AssetRR10Excess DIT &gt; 7.1% (NYS)</v>
      </c>
      <c r="AS782" s="125" t="str">
        <f>CONCATENATE(L782,H782,J782)</f>
        <v>R10Excess DIT &gt; 7.1% (NYS)</v>
      </c>
    </row>
    <row r="783" spans="1:45" s="125" customFormat="1" ht="25.5" customHeight="1">
      <c r="A783" s="216" t="s">
        <v>1442</v>
      </c>
      <c r="B783" s="217" t="str">
        <f t="shared" si="318"/>
        <v>Reg Asset254901Gross-UpBE030473</v>
      </c>
      <c r="C783" s="186">
        <v>254901</v>
      </c>
      <c r="D783" s="201" t="s">
        <v>1466</v>
      </c>
      <c r="E783" s="162" t="s">
        <v>3809</v>
      </c>
      <c r="F783" s="169" t="s">
        <v>1168</v>
      </c>
      <c r="G783" s="117" t="s">
        <v>2945</v>
      </c>
      <c r="H783" s="118" t="s">
        <v>967</v>
      </c>
      <c r="I783" s="120"/>
      <c r="J783" s="120"/>
      <c r="K783" s="120" t="str">
        <f t="shared" si="311"/>
        <v/>
      </c>
      <c r="L783" s="170" t="s">
        <v>1893</v>
      </c>
      <c r="M783" s="122" t="str">
        <f t="shared" si="301"/>
        <v>R</v>
      </c>
      <c r="N783" s="116" t="str">
        <f>IF($L783&lt;&gt;"",VLOOKUP($L783,Categories!$E:$G,2,FALSE),IF($F783&lt;&gt;"","NO CAT",""))</f>
        <v>Rate Base</v>
      </c>
      <c r="O783" s="116" t="str">
        <f>IF($L783&lt;&gt;"",VLOOKUP($L783,Categories!$E:$G,3,FALSE),IF($F783&lt;&gt;"","NO CAT",""))</f>
        <v>Deferred Debits &amp; Credits</v>
      </c>
      <c r="P783" s="170" t="s">
        <v>1183</v>
      </c>
      <c r="Q783" s="123" t="s">
        <v>1177</v>
      </c>
      <c r="R783" s="124">
        <v>1</v>
      </c>
      <c r="S783" s="124">
        <v>0</v>
      </c>
      <c r="T783" s="124">
        <v>0</v>
      </c>
      <c r="U783" s="121">
        <f t="shared" si="312"/>
        <v>-0.124057916666667</v>
      </c>
      <c r="V783" s="121">
        <f t="shared" si="313"/>
        <v>0</v>
      </c>
      <c r="W783" s="121">
        <f t="shared" si="314"/>
        <v>0</v>
      </c>
      <c r="X783" s="121">
        <f t="shared" si="309"/>
        <v>-0.124057916666667</v>
      </c>
      <c r="Y783" s="121" t="str">
        <f t="shared" si="315"/>
        <v/>
      </c>
      <c r="Z783" s="121" t="str">
        <f t="shared" si="316"/>
        <v/>
      </c>
      <c r="AA783" s="121" t="str">
        <f t="shared" si="317"/>
        <v/>
      </c>
      <c r="AB783" s="121">
        <f t="shared" si="310"/>
        <v>0</v>
      </c>
      <c r="AC783" s="121">
        <v>-2.9773899999999998</v>
      </c>
      <c r="AD783" s="121">
        <v>0</v>
      </c>
      <c r="AE783" s="121">
        <v>0</v>
      </c>
      <c r="AF783" s="121">
        <v>0</v>
      </c>
      <c r="AG783" s="121">
        <v>0</v>
      </c>
      <c r="AH783" s="121">
        <v>0</v>
      </c>
      <c r="AI783" s="121">
        <v>0</v>
      </c>
      <c r="AJ783" s="121">
        <v>0</v>
      </c>
      <c r="AK783" s="121">
        <v>0</v>
      </c>
      <c r="AL783" s="121">
        <v>0</v>
      </c>
      <c r="AM783" s="121">
        <v>0</v>
      </c>
      <c r="AN783" s="121">
        <v>0</v>
      </c>
      <c r="AO783" s="121">
        <v>0</v>
      </c>
      <c r="AP783" s="125" t="str">
        <f>CONCATENATE(A783,M783)</f>
        <v>Reg AssetR</v>
      </c>
      <c r="AQ783" s="125" t="str">
        <f>CONCATENATE(AP783,L783,H783)</f>
        <v>Reg AssetRR10Excess DIT &gt; 7.1% (NYS)</v>
      </c>
      <c r="AS783" s="125" t="str">
        <f>CONCATENATE(L783,H783,J783)</f>
        <v>R10Excess DIT &gt; 7.1% (NYS)</v>
      </c>
    </row>
    <row r="784" spans="1:45" s="125" customFormat="1" ht="25.5" customHeight="1">
      <c r="A784" s="216" t="s">
        <v>1442</v>
      </c>
      <c r="B784" s="217" t="str">
        <f t="shared" si="318"/>
        <v>Reg Asset254902GrossBG030470</v>
      </c>
      <c r="C784" s="186">
        <v>254902</v>
      </c>
      <c r="D784" s="201" t="s">
        <v>1465</v>
      </c>
      <c r="E784" s="162" t="s">
        <v>3810</v>
      </c>
      <c r="F784" s="169" t="s">
        <v>1169</v>
      </c>
      <c r="G784" s="117" t="s">
        <v>2946</v>
      </c>
      <c r="H784" s="118" t="s">
        <v>967</v>
      </c>
      <c r="I784" s="120"/>
      <c r="J784" s="120"/>
      <c r="K784" s="120" t="str">
        <f t="shared" si="311"/>
        <v/>
      </c>
      <c r="L784" s="170" t="s">
        <v>1893</v>
      </c>
      <c r="M784" s="122" t="str">
        <f t="shared" si="301"/>
        <v>R</v>
      </c>
      <c r="N784" s="116" t="str">
        <f>IF($L784&lt;&gt;"",VLOOKUP($L784,Categories!$E:$G,2,FALSE),IF($F784&lt;&gt;"","NO CAT",""))</f>
        <v>Rate Base</v>
      </c>
      <c r="O784" s="116" t="str">
        <f>IF($L784&lt;&gt;"",VLOOKUP($L784,Categories!$E:$G,3,FALSE),IF($F784&lt;&gt;"","NO CAT",""))</f>
        <v>Deferred Debits &amp; Credits</v>
      </c>
      <c r="P784" s="170" t="s">
        <v>1184</v>
      </c>
      <c r="Q784" s="123" t="s">
        <v>1178</v>
      </c>
      <c r="R784" s="124">
        <v>0</v>
      </c>
      <c r="S784" s="124">
        <v>1</v>
      </c>
      <c r="T784" s="124">
        <v>0</v>
      </c>
      <c r="U784" s="121">
        <f t="shared" si="312"/>
        <v>0</v>
      </c>
      <c r="V784" s="121">
        <f t="shared" si="313"/>
        <v>2.1669295833333302</v>
      </c>
      <c r="W784" s="121">
        <f t="shared" si="314"/>
        <v>0</v>
      </c>
      <c r="X784" s="121">
        <f t="shared" si="309"/>
        <v>2.1669295833333302</v>
      </c>
      <c r="Y784" s="121" t="str">
        <f t="shared" si="315"/>
        <v/>
      </c>
      <c r="Z784" s="121" t="str">
        <f t="shared" si="316"/>
        <v/>
      </c>
      <c r="AA784" s="121" t="str">
        <f t="shared" si="317"/>
        <v/>
      </c>
      <c r="AB784" s="121">
        <f t="shared" si="310"/>
        <v>0</v>
      </c>
      <c r="AC784" s="121">
        <v>52.006309999999999</v>
      </c>
      <c r="AD784" s="121">
        <v>0</v>
      </c>
      <c r="AE784" s="121">
        <v>0</v>
      </c>
      <c r="AF784" s="121">
        <v>0</v>
      </c>
      <c r="AG784" s="121">
        <v>0</v>
      </c>
      <c r="AH784" s="121">
        <v>0</v>
      </c>
      <c r="AI784" s="121">
        <v>0</v>
      </c>
      <c r="AJ784" s="121">
        <v>0</v>
      </c>
      <c r="AK784" s="121">
        <v>0</v>
      </c>
      <c r="AL784" s="121">
        <v>0</v>
      </c>
      <c r="AM784" s="121">
        <v>0</v>
      </c>
      <c r="AN784" s="121">
        <v>0</v>
      </c>
      <c r="AO784" s="121">
        <v>0</v>
      </c>
      <c r="AP784" s="125" t="str">
        <f>CONCATENATE(A784,M784)</f>
        <v>Reg AssetR</v>
      </c>
      <c r="AQ784" s="125" t="str">
        <f>CONCATENATE(AP784,L784,H784)</f>
        <v>Reg AssetRR10Excess DIT &gt; 7.1% (NYS)</v>
      </c>
      <c r="AS784" s="125" t="str">
        <f>CONCATENATE(L784,H784,J784)</f>
        <v>R10Excess DIT &gt; 7.1% (NYS)</v>
      </c>
    </row>
    <row r="785" spans="1:45" s="125" customFormat="1" ht="25.5" customHeight="1">
      <c r="A785" s="216" t="s">
        <v>1442</v>
      </c>
      <c r="B785" s="217" t="str">
        <f t="shared" si="318"/>
        <v>Reg Asset254902Gross-UpBG030474</v>
      </c>
      <c r="C785" s="186">
        <v>254902</v>
      </c>
      <c r="D785" s="201" t="s">
        <v>1466</v>
      </c>
      <c r="E785" s="162" t="s">
        <v>3811</v>
      </c>
      <c r="F785" s="169" t="s">
        <v>1169</v>
      </c>
      <c r="G785" s="117" t="s">
        <v>2946</v>
      </c>
      <c r="H785" s="118" t="s">
        <v>967</v>
      </c>
      <c r="I785" s="120"/>
      <c r="J785" s="120"/>
      <c r="K785" s="120" t="str">
        <f t="shared" si="311"/>
        <v/>
      </c>
      <c r="L785" s="170" t="s">
        <v>1893</v>
      </c>
      <c r="M785" s="122" t="str">
        <f t="shared" si="301"/>
        <v>R</v>
      </c>
      <c r="N785" s="116" t="str">
        <f>IF($L785&lt;&gt;"",VLOOKUP($L785,Categories!$E:$G,2,FALSE),IF($F785&lt;&gt;"","NO CAT",""))</f>
        <v>Rate Base</v>
      </c>
      <c r="O785" s="116" t="str">
        <f>IF($L785&lt;&gt;"",VLOOKUP($L785,Categories!$E:$G,3,FALSE),IF($F785&lt;&gt;"","NO CAT",""))</f>
        <v>Deferred Debits &amp; Credits</v>
      </c>
      <c r="P785" s="170" t="s">
        <v>1184</v>
      </c>
      <c r="Q785" s="123" t="s">
        <v>1178</v>
      </c>
      <c r="R785" s="124">
        <v>0</v>
      </c>
      <c r="S785" s="124">
        <v>1</v>
      </c>
      <c r="T785" s="124">
        <v>0</v>
      </c>
      <c r="U785" s="121">
        <f t="shared" si="312"/>
        <v>0</v>
      </c>
      <c r="V785" s="121">
        <f t="shared" si="313"/>
        <v>-2.1669295833333302</v>
      </c>
      <c r="W785" s="121">
        <f t="shared" si="314"/>
        <v>0</v>
      </c>
      <c r="X785" s="121">
        <f t="shared" si="309"/>
        <v>-2.1669295833333302</v>
      </c>
      <c r="Y785" s="121" t="str">
        <f t="shared" si="315"/>
        <v/>
      </c>
      <c r="Z785" s="121" t="str">
        <f t="shared" si="316"/>
        <v/>
      </c>
      <c r="AA785" s="121" t="str">
        <f t="shared" si="317"/>
        <v/>
      </c>
      <c r="AB785" s="121">
        <f t="shared" si="310"/>
        <v>0</v>
      </c>
      <c r="AC785" s="121">
        <v>-52.006309999999999</v>
      </c>
      <c r="AD785" s="121">
        <v>0</v>
      </c>
      <c r="AE785" s="121">
        <v>0</v>
      </c>
      <c r="AF785" s="121">
        <v>0</v>
      </c>
      <c r="AG785" s="121">
        <v>0</v>
      </c>
      <c r="AH785" s="121">
        <v>0</v>
      </c>
      <c r="AI785" s="121">
        <v>0</v>
      </c>
      <c r="AJ785" s="121">
        <v>0</v>
      </c>
      <c r="AK785" s="121">
        <v>0</v>
      </c>
      <c r="AL785" s="121">
        <v>0</v>
      </c>
      <c r="AM785" s="121">
        <v>0</v>
      </c>
      <c r="AN785" s="121">
        <v>0</v>
      </c>
      <c r="AO785" s="121">
        <v>0</v>
      </c>
      <c r="AP785" s="125" t="str">
        <f>CONCATENATE(A785,M785)</f>
        <v>Reg AssetR</v>
      </c>
      <c r="AQ785" s="125" t="str">
        <f>CONCATENATE(AP785,L785,H785)</f>
        <v>Reg AssetRR10Excess DIT &gt; 7.1% (NYS)</v>
      </c>
      <c r="AS785" s="125" t="str">
        <f>CONCATENATE(L785,H785,J785)</f>
        <v>R10Excess DIT &gt; 7.1% (NYS)</v>
      </c>
    </row>
    <row r="786" spans="1:45" s="125" customFormat="1" ht="25.5" customHeight="1">
      <c r="A786" s="216" t="s">
        <v>1442</v>
      </c>
      <c r="B786" s="217" t="str">
        <f t="shared" si="318"/>
        <v>Reg Asset254903GrossBE030470</v>
      </c>
      <c r="C786" s="186">
        <v>254903</v>
      </c>
      <c r="D786" s="201" t="s">
        <v>1465</v>
      </c>
      <c r="E786" s="162" t="s">
        <v>3812</v>
      </c>
      <c r="F786" s="169" t="s">
        <v>725</v>
      </c>
      <c r="G786" s="117" t="s">
        <v>2945</v>
      </c>
      <c r="H786" s="118" t="s">
        <v>967</v>
      </c>
      <c r="I786" s="120"/>
      <c r="J786" s="120"/>
      <c r="K786" s="120" t="str">
        <f t="shared" si="311"/>
        <v/>
      </c>
      <c r="L786" s="170" t="s">
        <v>1893</v>
      </c>
      <c r="M786" s="122" t="str">
        <f t="shared" si="301"/>
        <v>R</v>
      </c>
      <c r="N786" s="116" t="str">
        <f>IF($L786&lt;&gt;"",VLOOKUP($L786,Categories!$E:$G,2,FALSE),IF($F786&lt;&gt;"","NO CAT",""))</f>
        <v>Rate Base</v>
      </c>
      <c r="O786" s="116" t="str">
        <f>IF($L786&lt;&gt;"",VLOOKUP($L786,Categories!$E:$G,3,FALSE),IF($F786&lt;&gt;"","NO CAT",""))</f>
        <v>Deferred Debits &amp; Credits</v>
      </c>
      <c r="P786" s="170" t="s">
        <v>1183</v>
      </c>
      <c r="Q786" s="123" t="s">
        <v>1177</v>
      </c>
      <c r="R786" s="124">
        <v>1</v>
      </c>
      <c r="S786" s="124">
        <v>0</v>
      </c>
      <c r="T786" s="124">
        <v>0</v>
      </c>
      <c r="U786" s="121">
        <f t="shared" si="312"/>
        <v>19.264628333333299</v>
      </c>
      <c r="V786" s="121">
        <f t="shared" si="313"/>
        <v>0</v>
      </c>
      <c r="W786" s="121">
        <f t="shared" si="314"/>
        <v>0</v>
      </c>
      <c r="X786" s="121">
        <f t="shared" si="309"/>
        <v>19.264628333333299</v>
      </c>
      <c r="Y786" s="121" t="str">
        <f t="shared" si="315"/>
        <v/>
      </c>
      <c r="Z786" s="121" t="str">
        <f t="shared" si="316"/>
        <v/>
      </c>
      <c r="AA786" s="121" t="str">
        <f t="shared" si="317"/>
        <v/>
      </c>
      <c r="AB786" s="121">
        <f t="shared" si="310"/>
        <v>0</v>
      </c>
      <c r="AC786" s="121">
        <v>462.35108000000002</v>
      </c>
      <c r="AD786" s="121">
        <v>0</v>
      </c>
      <c r="AE786" s="121">
        <v>0</v>
      </c>
      <c r="AF786" s="121">
        <v>0</v>
      </c>
      <c r="AG786" s="121">
        <v>0</v>
      </c>
      <c r="AH786" s="121">
        <v>0</v>
      </c>
      <c r="AI786" s="121">
        <v>0</v>
      </c>
      <c r="AJ786" s="121">
        <v>0</v>
      </c>
      <c r="AK786" s="121">
        <v>0</v>
      </c>
      <c r="AL786" s="121">
        <v>0</v>
      </c>
      <c r="AM786" s="121">
        <v>0</v>
      </c>
      <c r="AN786" s="121">
        <v>0</v>
      </c>
      <c r="AO786" s="121">
        <v>0</v>
      </c>
      <c r="AP786" s="125" t="str">
        <f>CONCATENATE(A786,M786)</f>
        <v>Reg AssetR</v>
      </c>
      <c r="AQ786" s="125" t="str">
        <f>CONCATENATE(AP786,L786,H786)</f>
        <v>Reg AssetRR10Excess DIT &gt; 7.1% (NYS)</v>
      </c>
      <c r="AS786" s="125" t="str">
        <f>CONCATENATE(L786,H786,J786)</f>
        <v>R10Excess DIT &gt; 7.1% (NYS)</v>
      </c>
    </row>
    <row r="787" spans="1:45" s="125" customFormat="1" ht="25.5" customHeight="1">
      <c r="A787" s="216" t="s">
        <v>1442</v>
      </c>
      <c r="B787" s="217" t="str">
        <f t="shared" si="318"/>
        <v>Reg Asset254903Gross-UpBE030475</v>
      </c>
      <c r="C787" s="186">
        <v>254903</v>
      </c>
      <c r="D787" s="201" t="s">
        <v>1466</v>
      </c>
      <c r="E787" s="162" t="s">
        <v>3813</v>
      </c>
      <c r="F787" s="169" t="s">
        <v>725</v>
      </c>
      <c r="G787" s="117" t="s">
        <v>2945</v>
      </c>
      <c r="H787" s="118" t="s">
        <v>967</v>
      </c>
      <c r="I787" s="120"/>
      <c r="J787" s="120"/>
      <c r="K787" s="120" t="str">
        <f t="shared" si="311"/>
        <v/>
      </c>
      <c r="L787" s="170" t="s">
        <v>1893</v>
      </c>
      <c r="M787" s="122" t="str">
        <f t="shared" si="301"/>
        <v>R</v>
      </c>
      <c r="N787" s="116" t="str">
        <f>IF($L787&lt;&gt;"",VLOOKUP($L787,Categories!$E:$G,2,FALSE),IF($F787&lt;&gt;"","NO CAT",""))</f>
        <v>Rate Base</v>
      </c>
      <c r="O787" s="116" t="str">
        <f>IF($L787&lt;&gt;"",VLOOKUP($L787,Categories!$E:$G,3,FALSE),IF($F787&lt;&gt;"","NO CAT",""))</f>
        <v>Deferred Debits &amp; Credits</v>
      </c>
      <c r="P787" s="170" t="s">
        <v>1183</v>
      </c>
      <c r="Q787" s="123" t="s">
        <v>1177</v>
      </c>
      <c r="R787" s="124">
        <v>1</v>
      </c>
      <c r="S787" s="124">
        <v>0</v>
      </c>
      <c r="T787" s="124">
        <v>0</v>
      </c>
      <c r="U787" s="121">
        <f t="shared" si="312"/>
        <v>-19.264628333333299</v>
      </c>
      <c r="V787" s="121">
        <f t="shared" si="313"/>
        <v>0</v>
      </c>
      <c r="W787" s="121">
        <f t="shared" si="314"/>
        <v>0</v>
      </c>
      <c r="X787" s="121">
        <f t="shared" si="309"/>
        <v>-19.264628333333299</v>
      </c>
      <c r="Y787" s="121" t="str">
        <f t="shared" si="315"/>
        <v/>
      </c>
      <c r="Z787" s="121" t="str">
        <f t="shared" si="316"/>
        <v/>
      </c>
      <c r="AA787" s="121" t="str">
        <f t="shared" si="317"/>
        <v/>
      </c>
      <c r="AB787" s="121">
        <f t="shared" si="310"/>
        <v>0</v>
      </c>
      <c r="AC787" s="121">
        <v>-462.35108000000002</v>
      </c>
      <c r="AD787" s="121">
        <v>0</v>
      </c>
      <c r="AE787" s="121">
        <v>0</v>
      </c>
      <c r="AF787" s="121">
        <v>0</v>
      </c>
      <c r="AG787" s="121">
        <v>0</v>
      </c>
      <c r="AH787" s="121">
        <v>0</v>
      </c>
      <c r="AI787" s="121">
        <v>0</v>
      </c>
      <c r="AJ787" s="121">
        <v>0</v>
      </c>
      <c r="AK787" s="121">
        <v>0</v>
      </c>
      <c r="AL787" s="121">
        <v>0</v>
      </c>
      <c r="AM787" s="121">
        <v>0</v>
      </c>
      <c r="AN787" s="121">
        <v>0</v>
      </c>
      <c r="AO787" s="121">
        <v>0</v>
      </c>
      <c r="AP787" s="125" t="str">
        <f>CONCATENATE(A787,M787)</f>
        <v>Reg AssetR</v>
      </c>
      <c r="AQ787" s="125" t="str">
        <f>CONCATENATE(AP787,L787,H787)</f>
        <v>Reg AssetRR10Excess DIT &gt; 7.1% (NYS)</v>
      </c>
      <c r="AS787" s="125" t="str">
        <f>CONCATENATE(L787,H787,J787)</f>
        <v>R10Excess DIT &gt; 7.1% (NYS)</v>
      </c>
    </row>
    <row r="788" spans="1:45" s="125" customFormat="1" ht="25.5" customHeight="1">
      <c r="A788" s="216" t="s">
        <v>1442</v>
      </c>
      <c r="B788" s="217" t="str">
        <f t="shared" si="318"/>
        <v>Reg Asset254904GrossBG030472</v>
      </c>
      <c r="C788" s="186">
        <v>254904</v>
      </c>
      <c r="D788" s="201" t="s">
        <v>1465</v>
      </c>
      <c r="E788" s="162" t="s">
        <v>3814</v>
      </c>
      <c r="F788" s="169" t="s">
        <v>726</v>
      </c>
      <c r="G788" s="117" t="s">
        <v>2946</v>
      </c>
      <c r="H788" s="118" t="s">
        <v>967</v>
      </c>
      <c r="I788" s="120"/>
      <c r="J788" s="120"/>
      <c r="K788" s="120" t="str">
        <f t="shared" si="311"/>
        <v/>
      </c>
      <c r="L788" s="170" t="s">
        <v>1893</v>
      </c>
      <c r="M788" s="122" t="str">
        <f t="shared" si="301"/>
        <v>R</v>
      </c>
      <c r="N788" s="116" t="str">
        <f>IF($L788&lt;&gt;"",VLOOKUP($L788,Categories!$E:$G,2,FALSE),IF($F788&lt;&gt;"","NO CAT",""))</f>
        <v>Rate Base</v>
      </c>
      <c r="O788" s="116" t="str">
        <f>IF($L788&lt;&gt;"",VLOOKUP($L788,Categories!$E:$G,3,FALSE),IF($F788&lt;&gt;"","NO CAT",""))</f>
        <v>Deferred Debits &amp; Credits</v>
      </c>
      <c r="P788" s="170" t="s">
        <v>1184</v>
      </c>
      <c r="Q788" s="123" t="s">
        <v>1178</v>
      </c>
      <c r="R788" s="124">
        <v>0</v>
      </c>
      <c r="S788" s="124">
        <v>1</v>
      </c>
      <c r="T788" s="124">
        <v>0</v>
      </c>
      <c r="U788" s="121">
        <f t="shared" si="312"/>
        <v>0</v>
      </c>
      <c r="V788" s="121">
        <f t="shared" si="313"/>
        <v>5.88225</v>
      </c>
      <c r="W788" s="121">
        <f t="shared" si="314"/>
        <v>0</v>
      </c>
      <c r="X788" s="121">
        <f t="shared" si="309"/>
        <v>5.88225</v>
      </c>
      <c r="Y788" s="121" t="str">
        <f t="shared" si="315"/>
        <v/>
      </c>
      <c r="Z788" s="121" t="str">
        <f t="shared" si="316"/>
        <v/>
      </c>
      <c r="AA788" s="121" t="str">
        <f t="shared" si="317"/>
        <v/>
      </c>
      <c r="AB788" s="121">
        <f t="shared" si="310"/>
        <v>0</v>
      </c>
      <c r="AC788" s="121">
        <v>141.17400000000001</v>
      </c>
      <c r="AD788" s="121">
        <v>0</v>
      </c>
      <c r="AE788" s="121">
        <v>0</v>
      </c>
      <c r="AF788" s="121">
        <v>0</v>
      </c>
      <c r="AG788" s="121">
        <v>0</v>
      </c>
      <c r="AH788" s="121">
        <v>0</v>
      </c>
      <c r="AI788" s="121">
        <v>0</v>
      </c>
      <c r="AJ788" s="121">
        <v>0</v>
      </c>
      <c r="AK788" s="121">
        <v>0</v>
      </c>
      <c r="AL788" s="121">
        <v>0</v>
      </c>
      <c r="AM788" s="121">
        <v>0</v>
      </c>
      <c r="AN788" s="121">
        <v>0</v>
      </c>
      <c r="AO788" s="121">
        <v>0</v>
      </c>
      <c r="AP788" s="125" t="str">
        <f>CONCATENATE(A788,M788)</f>
        <v>Reg AssetR</v>
      </c>
      <c r="AQ788" s="125" t="str">
        <f>CONCATENATE(AP788,L788,H788)</f>
        <v>Reg AssetRR10Excess DIT &gt; 7.1% (NYS)</v>
      </c>
      <c r="AS788" s="125" t="str">
        <f>CONCATENATE(L788,H788,J788)</f>
        <v>R10Excess DIT &gt; 7.1% (NYS)</v>
      </c>
    </row>
    <row r="789" spans="1:45" s="125" customFormat="1" ht="25.5" customHeight="1">
      <c r="A789" s="216" t="s">
        <v>1442</v>
      </c>
      <c r="B789" s="217" t="str">
        <f t="shared" si="318"/>
        <v>Reg Asset254904Gross-UpBG030476</v>
      </c>
      <c r="C789" s="186">
        <v>254904</v>
      </c>
      <c r="D789" s="201" t="s">
        <v>1466</v>
      </c>
      <c r="E789" s="162" t="s">
        <v>3815</v>
      </c>
      <c r="F789" s="169" t="s">
        <v>726</v>
      </c>
      <c r="G789" s="117" t="s">
        <v>2946</v>
      </c>
      <c r="H789" s="118" t="s">
        <v>967</v>
      </c>
      <c r="I789" s="120"/>
      <c r="J789" s="120"/>
      <c r="K789" s="120" t="str">
        <f t="shared" si="311"/>
        <v/>
      </c>
      <c r="L789" s="170" t="s">
        <v>1893</v>
      </c>
      <c r="M789" s="122" t="str">
        <f t="shared" si="301"/>
        <v>R</v>
      </c>
      <c r="N789" s="116" t="str">
        <f>IF($L789&lt;&gt;"",VLOOKUP($L789,Categories!$E:$G,2,FALSE),IF($F789&lt;&gt;"","NO CAT",""))</f>
        <v>Rate Base</v>
      </c>
      <c r="O789" s="116" t="str">
        <f>IF($L789&lt;&gt;"",VLOOKUP($L789,Categories!$E:$G,3,FALSE),IF($F789&lt;&gt;"","NO CAT",""))</f>
        <v>Deferred Debits &amp; Credits</v>
      </c>
      <c r="P789" s="170" t="s">
        <v>1184</v>
      </c>
      <c r="Q789" s="123" t="s">
        <v>1178</v>
      </c>
      <c r="R789" s="124">
        <v>0</v>
      </c>
      <c r="S789" s="124">
        <v>1</v>
      </c>
      <c r="T789" s="124">
        <v>0</v>
      </c>
      <c r="U789" s="121">
        <f t="shared" si="312"/>
        <v>0</v>
      </c>
      <c r="V789" s="121">
        <f t="shared" si="313"/>
        <v>-5.88225</v>
      </c>
      <c r="W789" s="121">
        <f t="shared" si="314"/>
        <v>0</v>
      </c>
      <c r="X789" s="121">
        <f t="shared" si="309"/>
        <v>-5.88225</v>
      </c>
      <c r="Y789" s="121" t="str">
        <f t="shared" si="315"/>
        <v/>
      </c>
      <c r="Z789" s="121" t="str">
        <f t="shared" si="316"/>
        <v/>
      </c>
      <c r="AA789" s="121" t="str">
        <f t="shared" si="317"/>
        <v/>
      </c>
      <c r="AB789" s="121">
        <f t="shared" si="310"/>
        <v>0</v>
      </c>
      <c r="AC789" s="121">
        <v>-141.17400000000001</v>
      </c>
      <c r="AD789" s="121">
        <v>0</v>
      </c>
      <c r="AE789" s="121">
        <v>0</v>
      </c>
      <c r="AF789" s="121">
        <v>0</v>
      </c>
      <c r="AG789" s="121">
        <v>0</v>
      </c>
      <c r="AH789" s="121">
        <v>0</v>
      </c>
      <c r="AI789" s="121">
        <v>0</v>
      </c>
      <c r="AJ789" s="121">
        <v>0</v>
      </c>
      <c r="AK789" s="121">
        <v>0</v>
      </c>
      <c r="AL789" s="121">
        <v>0</v>
      </c>
      <c r="AM789" s="121">
        <v>0</v>
      </c>
      <c r="AN789" s="121">
        <v>0</v>
      </c>
      <c r="AO789" s="121">
        <v>0</v>
      </c>
      <c r="AP789" s="125" t="str">
        <f>CONCATENATE(A789,M789)</f>
        <v>Reg AssetR</v>
      </c>
      <c r="AQ789" s="125" t="str">
        <f>CONCATENATE(AP789,L789,H789)</f>
        <v>Reg AssetRR10Excess DIT &gt; 7.1% (NYS)</v>
      </c>
      <c r="AS789" s="125" t="str">
        <f>CONCATENATE(L789,H789,J789)</f>
        <v>R10Excess DIT &gt; 7.1% (NYS)</v>
      </c>
    </row>
    <row r="790" spans="1:45" s="125" customFormat="1" ht="25.5" customHeight="1">
      <c r="A790" s="216" t="s">
        <v>1442</v>
      </c>
      <c r="B790" s="217" t="str">
        <f t="shared" si="318"/>
        <v>Reg Asset254905GrossBE030469</v>
      </c>
      <c r="C790" s="186">
        <v>254905</v>
      </c>
      <c r="D790" s="201" t="s">
        <v>1465</v>
      </c>
      <c r="E790" s="162" t="s">
        <v>3808</v>
      </c>
      <c r="F790" s="169" t="s">
        <v>2945</v>
      </c>
      <c r="G790" s="117" t="s">
        <v>2945</v>
      </c>
      <c r="H790" s="118" t="s">
        <v>967</v>
      </c>
      <c r="I790" s="120"/>
      <c r="J790" s="120"/>
      <c r="K790" s="120" t="str">
        <f t="shared" si="311"/>
        <v/>
      </c>
      <c r="L790" s="170" t="s">
        <v>1893</v>
      </c>
      <c r="M790" s="122" t="str">
        <f t="shared" si="301"/>
        <v>R</v>
      </c>
      <c r="N790" s="116" t="str">
        <f>IF($L790&lt;&gt;"",VLOOKUP($L790,Categories!$E:$G,2,FALSE),IF($F790&lt;&gt;"","NO CAT",""))</f>
        <v>Rate Base</v>
      </c>
      <c r="O790" s="116" t="str">
        <f>IF($L790&lt;&gt;"",VLOOKUP($L790,Categories!$E:$G,3,FALSE),IF($F790&lt;&gt;"","NO CAT",""))</f>
        <v>Deferred Debits &amp; Credits</v>
      </c>
      <c r="P790" s="170" t="s">
        <v>1183</v>
      </c>
      <c r="Q790" s="123" t="s">
        <v>1177</v>
      </c>
      <c r="R790" s="124">
        <v>1</v>
      </c>
      <c r="S790" s="124">
        <v>0</v>
      </c>
      <c r="T790" s="124">
        <v>0</v>
      </c>
      <c r="U790" s="121">
        <f t="shared" si="312"/>
        <v>1.3139166666667E-2</v>
      </c>
      <c r="V790" s="121">
        <f t="shared" si="313"/>
        <v>0</v>
      </c>
      <c r="W790" s="121">
        <f t="shared" si="314"/>
        <v>0</v>
      </c>
      <c r="X790" s="121">
        <f t="shared" si="309"/>
        <v>1.3139166666667E-2</v>
      </c>
      <c r="Y790" s="121" t="str">
        <f t="shared" si="315"/>
        <v/>
      </c>
      <c r="Z790" s="121" t="str">
        <f t="shared" si="316"/>
        <v/>
      </c>
      <c r="AA790" s="121" t="str">
        <f t="shared" si="317"/>
        <v/>
      </c>
      <c r="AB790" s="121">
        <f t="shared" si="310"/>
        <v>0</v>
      </c>
      <c r="AC790" s="121">
        <v>0.31533999999999995</v>
      </c>
      <c r="AD790" s="121">
        <v>0</v>
      </c>
      <c r="AE790" s="121">
        <v>0</v>
      </c>
      <c r="AF790" s="121">
        <v>0</v>
      </c>
      <c r="AG790" s="121">
        <v>0</v>
      </c>
      <c r="AH790" s="121">
        <v>0</v>
      </c>
      <c r="AI790" s="121">
        <v>0</v>
      </c>
      <c r="AJ790" s="121">
        <v>0</v>
      </c>
      <c r="AK790" s="121">
        <v>0</v>
      </c>
      <c r="AL790" s="121">
        <v>0</v>
      </c>
      <c r="AM790" s="121">
        <v>0</v>
      </c>
      <c r="AN790" s="121">
        <v>0</v>
      </c>
      <c r="AO790" s="121">
        <v>0</v>
      </c>
      <c r="AP790" s="125" t="str">
        <f>CONCATENATE(A790,M790)</f>
        <v>Reg AssetR</v>
      </c>
      <c r="AQ790" s="125" t="str">
        <f>CONCATENATE(AP790,L790,H790)</f>
        <v>Reg AssetRR10Excess DIT &gt; 7.1% (NYS)</v>
      </c>
      <c r="AS790" s="125" t="str">
        <f>CONCATENATE(L790,H790,J790)</f>
        <v>R10Excess DIT &gt; 7.1% (NYS)</v>
      </c>
    </row>
    <row r="791" spans="1:45" s="125" customFormat="1" ht="25.5" customHeight="1">
      <c r="A791" s="216" t="s">
        <v>1442</v>
      </c>
      <c r="B791" s="217" t="str">
        <f t="shared" si="318"/>
        <v>Reg Asset254905Gross-UpBE030473</v>
      </c>
      <c r="C791" s="186">
        <v>254905</v>
      </c>
      <c r="D791" s="201" t="s">
        <v>1466</v>
      </c>
      <c r="E791" s="162" t="s">
        <v>3809</v>
      </c>
      <c r="F791" s="169" t="s">
        <v>2945</v>
      </c>
      <c r="G791" s="117" t="s">
        <v>2945</v>
      </c>
      <c r="H791" s="118" t="s">
        <v>967</v>
      </c>
      <c r="I791" s="120"/>
      <c r="J791" s="120"/>
      <c r="K791" s="120" t="str">
        <f t="shared" si="311"/>
        <v/>
      </c>
      <c r="L791" s="170" t="s">
        <v>1893</v>
      </c>
      <c r="M791" s="122" t="str">
        <f t="shared" si="301"/>
        <v>R</v>
      </c>
      <c r="N791" s="116" t="str">
        <f>IF($L791&lt;&gt;"",VLOOKUP($L791,Categories!$E:$G,2,FALSE),IF($F791&lt;&gt;"","NO CAT",""))</f>
        <v>Rate Base</v>
      </c>
      <c r="O791" s="116" t="str">
        <f>IF($L791&lt;&gt;"",VLOOKUP($L791,Categories!$E:$G,3,FALSE),IF($F791&lt;&gt;"","NO CAT",""))</f>
        <v>Deferred Debits &amp; Credits</v>
      </c>
      <c r="P791" s="170" t="s">
        <v>1183</v>
      </c>
      <c r="Q791" s="123" t="s">
        <v>1177</v>
      </c>
      <c r="R791" s="124">
        <v>1</v>
      </c>
      <c r="S791" s="124">
        <v>0</v>
      </c>
      <c r="T791" s="124">
        <v>0</v>
      </c>
      <c r="U791" s="121">
        <f t="shared" si="312"/>
        <v>-1.3139166666667E-2</v>
      </c>
      <c r="V791" s="121">
        <f t="shared" si="313"/>
        <v>0</v>
      </c>
      <c r="W791" s="121">
        <f t="shared" si="314"/>
        <v>0</v>
      </c>
      <c r="X791" s="121">
        <f t="shared" si="309"/>
        <v>-1.3139166666667E-2</v>
      </c>
      <c r="Y791" s="121" t="str">
        <f t="shared" si="315"/>
        <v/>
      </c>
      <c r="Z791" s="121" t="str">
        <f t="shared" si="316"/>
        <v/>
      </c>
      <c r="AA791" s="121" t="str">
        <f t="shared" si="317"/>
        <v/>
      </c>
      <c r="AB791" s="121">
        <f t="shared" si="310"/>
        <v>0</v>
      </c>
      <c r="AC791" s="121">
        <v>-0.31533999999999995</v>
      </c>
      <c r="AD791" s="121">
        <v>0</v>
      </c>
      <c r="AE791" s="121">
        <v>0</v>
      </c>
      <c r="AF791" s="121">
        <v>0</v>
      </c>
      <c r="AG791" s="121">
        <v>0</v>
      </c>
      <c r="AH791" s="121">
        <v>0</v>
      </c>
      <c r="AI791" s="121">
        <v>0</v>
      </c>
      <c r="AJ791" s="121">
        <v>0</v>
      </c>
      <c r="AK791" s="121">
        <v>0</v>
      </c>
      <c r="AL791" s="121">
        <v>0</v>
      </c>
      <c r="AM791" s="121">
        <v>0</v>
      </c>
      <c r="AN791" s="121">
        <v>0</v>
      </c>
      <c r="AO791" s="121">
        <v>0</v>
      </c>
      <c r="AP791" s="125" t="str">
        <f>CONCATENATE(A791,M791)</f>
        <v>Reg AssetR</v>
      </c>
      <c r="AQ791" s="125" t="str">
        <f>CONCATENATE(AP791,L791,H791)</f>
        <v>Reg AssetRR10Excess DIT &gt; 7.1% (NYS)</v>
      </c>
      <c r="AS791" s="125" t="str">
        <f>CONCATENATE(L791,H791,J791)</f>
        <v>R10Excess DIT &gt; 7.1% (NYS)</v>
      </c>
    </row>
    <row r="792" spans="1:45" s="125" customFormat="1" ht="25.5" customHeight="1">
      <c r="A792" s="216" t="s">
        <v>1442</v>
      </c>
      <c r="B792" s="217" t="str">
        <f t="shared" si="318"/>
        <v>Reg Asset254906GrossBG030470</v>
      </c>
      <c r="C792" s="186">
        <v>254906</v>
      </c>
      <c r="D792" s="201" t="s">
        <v>1465</v>
      </c>
      <c r="E792" s="162" t="s">
        <v>3810</v>
      </c>
      <c r="F792" s="169" t="s">
        <v>2946</v>
      </c>
      <c r="G792" s="117" t="s">
        <v>2946</v>
      </c>
      <c r="H792" s="118" t="s">
        <v>967</v>
      </c>
      <c r="I792" s="120"/>
      <c r="J792" s="120"/>
      <c r="K792" s="120" t="str">
        <f t="shared" si="311"/>
        <v/>
      </c>
      <c r="L792" s="170" t="s">
        <v>1893</v>
      </c>
      <c r="M792" s="122" t="str">
        <f t="shared" si="301"/>
        <v>R</v>
      </c>
      <c r="N792" s="116" t="str">
        <f>IF($L792&lt;&gt;"",VLOOKUP($L792,Categories!$E:$G,2,FALSE),IF($F792&lt;&gt;"","NO CAT",""))</f>
        <v>Rate Base</v>
      </c>
      <c r="O792" s="116" t="str">
        <f>IF($L792&lt;&gt;"",VLOOKUP($L792,Categories!$E:$G,3,FALSE),IF($F792&lt;&gt;"","NO CAT",""))</f>
        <v>Deferred Debits &amp; Credits</v>
      </c>
      <c r="P792" s="170" t="s">
        <v>1184</v>
      </c>
      <c r="Q792" s="123" t="s">
        <v>1178</v>
      </c>
      <c r="R792" s="124">
        <v>0</v>
      </c>
      <c r="S792" s="124">
        <v>1</v>
      </c>
      <c r="T792" s="124">
        <v>0</v>
      </c>
      <c r="U792" s="121">
        <f t="shared" si="312"/>
        <v>0</v>
      </c>
      <c r="V792" s="121">
        <f t="shared" si="313"/>
        <v>-6.7074320833333303</v>
      </c>
      <c r="W792" s="121">
        <f t="shared" si="314"/>
        <v>0</v>
      </c>
      <c r="X792" s="121">
        <f t="shared" si="309"/>
        <v>-6.7074320833333303</v>
      </c>
      <c r="Y792" s="121" t="str">
        <f t="shared" si="315"/>
        <v/>
      </c>
      <c r="Z792" s="121" t="str">
        <f t="shared" si="316"/>
        <v/>
      </c>
      <c r="AA792" s="121" t="str">
        <f t="shared" si="317"/>
        <v/>
      </c>
      <c r="AB792" s="121">
        <f t="shared" si="310"/>
        <v>0</v>
      </c>
      <c r="AC792" s="121">
        <v>-160.97836999999998</v>
      </c>
      <c r="AD792" s="121">
        <v>0</v>
      </c>
      <c r="AE792" s="121">
        <v>0</v>
      </c>
      <c r="AF792" s="121">
        <v>0</v>
      </c>
      <c r="AG792" s="121">
        <v>0</v>
      </c>
      <c r="AH792" s="121">
        <v>0</v>
      </c>
      <c r="AI792" s="121">
        <v>0</v>
      </c>
      <c r="AJ792" s="121">
        <v>0</v>
      </c>
      <c r="AK792" s="121">
        <v>0</v>
      </c>
      <c r="AL792" s="121">
        <v>0</v>
      </c>
      <c r="AM792" s="121">
        <v>0</v>
      </c>
      <c r="AN792" s="121">
        <v>0</v>
      </c>
      <c r="AO792" s="121">
        <v>0</v>
      </c>
      <c r="AP792" s="125" t="str">
        <f>CONCATENATE(A792,M792)</f>
        <v>Reg AssetR</v>
      </c>
      <c r="AQ792" s="125" t="str">
        <f>CONCATENATE(AP792,L792,H792)</f>
        <v>Reg AssetRR10Excess DIT &gt; 7.1% (NYS)</v>
      </c>
      <c r="AS792" s="125" t="str">
        <f>CONCATENATE(L792,H792,J792)</f>
        <v>R10Excess DIT &gt; 7.1% (NYS)</v>
      </c>
    </row>
    <row r="793" spans="1:45" s="125" customFormat="1" ht="25.5" customHeight="1">
      <c r="A793" s="216" t="s">
        <v>1442</v>
      </c>
      <c r="B793" s="217" t="str">
        <f t="shared" si="318"/>
        <v>Reg Asset254906Gross-UpBG030474</v>
      </c>
      <c r="C793" s="186">
        <v>254906</v>
      </c>
      <c r="D793" s="201" t="s">
        <v>1466</v>
      </c>
      <c r="E793" s="162" t="s">
        <v>3811</v>
      </c>
      <c r="F793" s="169" t="s">
        <v>2946</v>
      </c>
      <c r="G793" s="117" t="s">
        <v>2946</v>
      </c>
      <c r="H793" s="118" t="s">
        <v>967</v>
      </c>
      <c r="I793" s="120"/>
      <c r="J793" s="120"/>
      <c r="K793" s="120" t="str">
        <f t="shared" si="311"/>
        <v/>
      </c>
      <c r="L793" s="170" t="s">
        <v>1893</v>
      </c>
      <c r="M793" s="122" t="str">
        <f t="shared" si="301"/>
        <v>R</v>
      </c>
      <c r="N793" s="116" t="str">
        <f>IF($L793&lt;&gt;"",VLOOKUP($L793,Categories!$E:$G,2,FALSE),IF($F793&lt;&gt;"","NO CAT",""))</f>
        <v>Rate Base</v>
      </c>
      <c r="O793" s="116" t="str">
        <f>IF($L793&lt;&gt;"",VLOOKUP($L793,Categories!$E:$G,3,FALSE),IF($F793&lt;&gt;"","NO CAT",""))</f>
        <v>Deferred Debits &amp; Credits</v>
      </c>
      <c r="P793" s="170" t="s">
        <v>1184</v>
      </c>
      <c r="Q793" s="123" t="s">
        <v>1178</v>
      </c>
      <c r="R793" s="124">
        <v>0</v>
      </c>
      <c r="S793" s="124">
        <v>1</v>
      </c>
      <c r="T793" s="124">
        <v>0</v>
      </c>
      <c r="U793" s="121">
        <f t="shared" si="312"/>
        <v>0</v>
      </c>
      <c r="V793" s="121">
        <f t="shared" si="313"/>
        <v>6.7074320833333303</v>
      </c>
      <c r="W793" s="121">
        <f t="shared" si="314"/>
        <v>0</v>
      </c>
      <c r="X793" s="121">
        <f t="shared" si="309"/>
        <v>6.7074320833333303</v>
      </c>
      <c r="Y793" s="121" t="str">
        <f t="shared" si="315"/>
        <v/>
      </c>
      <c r="Z793" s="121" t="str">
        <f t="shared" si="316"/>
        <v/>
      </c>
      <c r="AA793" s="121" t="str">
        <f t="shared" si="317"/>
        <v/>
      </c>
      <c r="AB793" s="121">
        <f t="shared" si="310"/>
        <v>0</v>
      </c>
      <c r="AC793" s="121">
        <v>160.97836999999998</v>
      </c>
      <c r="AD793" s="121">
        <v>0</v>
      </c>
      <c r="AE793" s="121">
        <v>0</v>
      </c>
      <c r="AF793" s="121">
        <v>0</v>
      </c>
      <c r="AG793" s="121">
        <v>0</v>
      </c>
      <c r="AH793" s="121">
        <v>0</v>
      </c>
      <c r="AI793" s="121">
        <v>0</v>
      </c>
      <c r="AJ793" s="121">
        <v>0</v>
      </c>
      <c r="AK793" s="121">
        <v>0</v>
      </c>
      <c r="AL793" s="121">
        <v>0</v>
      </c>
      <c r="AM793" s="121">
        <v>0</v>
      </c>
      <c r="AN793" s="121">
        <v>0</v>
      </c>
      <c r="AO793" s="121">
        <v>0</v>
      </c>
      <c r="AP793" s="125" t="str">
        <f>CONCATENATE(A793,M793)</f>
        <v>Reg AssetR</v>
      </c>
      <c r="AQ793" s="125" t="str">
        <f>CONCATENATE(AP793,L793,H793)</f>
        <v>Reg AssetRR10Excess DIT &gt; 7.1% (NYS)</v>
      </c>
      <c r="AS793" s="125" t="str">
        <f>CONCATENATE(L793,H793,J793)</f>
        <v>R10Excess DIT &gt; 7.1% (NYS)</v>
      </c>
    </row>
    <row r="794" spans="1:45" s="125" customFormat="1" ht="25.5" customHeight="1">
      <c r="A794" s="216" t="s">
        <v>1442</v>
      </c>
      <c r="B794" s="217" t="str">
        <f t="shared" si="318"/>
        <v>Reg Asset254907GrossBE030470</v>
      </c>
      <c r="C794" s="186">
        <v>254907</v>
      </c>
      <c r="D794" s="201" t="s">
        <v>1465</v>
      </c>
      <c r="E794" s="162" t="s">
        <v>3812</v>
      </c>
      <c r="F794" s="169" t="s">
        <v>2947</v>
      </c>
      <c r="G794" s="117" t="s">
        <v>2947</v>
      </c>
      <c r="H794" s="118" t="s">
        <v>967</v>
      </c>
      <c r="I794" s="120"/>
      <c r="J794" s="120"/>
      <c r="K794" s="120" t="str">
        <f t="shared" si="311"/>
        <v/>
      </c>
      <c r="L794" s="170" t="s">
        <v>1893</v>
      </c>
      <c r="M794" s="122" t="str">
        <f t="shared" si="301"/>
        <v>R</v>
      </c>
      <c r="N794" s="116" t="str">
        <f>IF($L794&lt;&gt;"",VLOOKUP($L794,Categories!$E:$G,2,FALSE),IF($F794&lt;&gt;"","NO CAT",""))</f>
        <v>Rate Base</v>
      </c>
      <c r="O794" s="116" t="str">
        <f>IF($L794&lt;&gt;"",VLOOKUP($L794,Categories!$E:$G,3,FALSE),IF($F794&lt;&gt;"","NO CAT",""))</f>
        <v>Deferred Debits &amp; Credits</v>
      </c>
      <c r="P794" s="170" t="s">
        <v>1183</v>
      </c>
      <c r="Q794" s="123" t="s">
        <v>1177</v>
      </c>
      <c r="R794" s="124">
        <v>1</v>
      </c>
      <c r="S794" s="124">
        <v>0</v>
      </c>
      <c r="T794" s="124">
        <v>0</v>
      </c>
      <c r="U794" s="121" t="str">
        <f t="shared" si="312"/>
        <v/>
      </c>
      <c r="V794" s="121" t="str">
        <f t="shared" si="313"/>
        <v/>
      </c>
      <c r="W794" s="121" t="str">
        <f t="shared" si="314"/>
        <v/>
      </c>
      <c r="X794" s="121">
        <f t="shared" si="309"/>
        <v>0</v>
      </c>
      <c r="Y794" s="121" t="str">
        <f t="shared" si="315"/>
        <v/>
      </c>
      <c r="Z794" s="121" t="str">
        <f t="shared" si="316"/>
        <v/>
      </c>
      <c r="AA794" s="121" t="str">
        <f t="shared" si="317"/>
        <v/>
      </c>
      <c r="AB794" s="121">
        <f t="shared" si="310"/>
        <v>0</v>
      </c>
      <c r="AC794" s="121">
        <v>0</v>
      </c>
      <c r="AD794" s="121">
        <v>0</v>
      </c>
      <c r="AE794" s="121">
        <v>0</v>
      </c>
      <c r="AF794" s="121">
        <v>0</v>
      </c>
      <c r="AG794" s="121">
        <v>0</v>
      </c>
      <c r="AH794" s="121">
        <v>0</v>
      </c>
      <c r="AI794" s="121">
        <v>0</v>
      </c>
      <c r="AJ794" s="121">
        <v>0</v>
      </c>
      <c r="AK794" s="121">
        <v>0</v>
      </c>
      <c r="AL794" s="121">
        <v>0</v>
      </c>
      <c r="AM794" s="121">
        <v>0</v>
      </c>
      <c r="AN794" s="121">
        <v>0</v>
      </c>
      <c r="AO794" s="121">
        <v>0</v>
      </c>
      <c r="AP794" s="125" t="str">
        <f>CONCATENATE(A794,M794)</f>
        <v>Reg AssetR</v>
      </c>
      <c r="AQ794" s="125" t="str">
        <f>CONCATENATE(AP794,L794,H794)</f>
        <v>Reg AssetRR10Excess DIT &gt; 7.1% (NYS)</v>
      </c>
      <c r="AS794" s="125" t="str">
        <f>CONCATENATE(L794,H794,J794)</f>
        <v>R10Excess DIT &gt; 7.1% (NYS)</v>
      </c>
    </row>
    <row r="795" spans="1:45" s="125" customFormat="1" ht="25.5" customHeight="1">
      <c r="A795" s="216" t="s">
        <v>1442</v>
      </c>
      <c r="B795" s="217" t="str">
        <f t="shared" si="318"/>
        <v>Reg Asset254908GrossBG030472</v>
      </c>
      <c r="C795" s="186">
        <v>254908</v>
      </c>
      <c r="D795" s="201" t="s">
        <v>1465</v>
      </c>
      <c r="E795" s="162" t="s">
        <v>3814</v>
      </c>
      <c r="F795" s="169" t="s">
        <v>343</v>
      </c>
      <c r="G795" s="117" t="s">
        <v>2946</v>
      </c>
      <c r="H795" s="118" t="s">
        <v>967</v>
      </c>
      <c r="I795" s="120"/>
      <c r="J795" s="120"/>
      <c r="K795" s="120" t="str">
        <f t="shared" si="311"/>
        <v/>
      </c>
      <c r="L795" s="170" t="s">
        <v>1893</v>
      </c>
      <c r="M795" s="122" t="str">
        <f t="shared" si="301"/>
        <v>R</v>
      </c>
      <c r="N795" s="116" t="str">
        <f>IF($L795&lt;&gt;"",VLOOKUP($L795,Categories!$E:$G,2,FALSE),IF($F795&lt;&gt;"","NO CAT",""))</f>
        <v>Rate Base</v>
      </c>
      <c r="O795" s="116" t="str">
        <f>IF($L795&lt;&gt;"",VLOOKUP($L795,Categories!$E:$G,3,FALSE),IF($F795&lt;&gt;"","NO CAT",""))</f>
        <v>Deferred Debits &amp; Credits</v>
      </c>
      <c r="P795" s="170" t="s">
        <v>1184</v>
      </c>
      <c r="Q795" s="123" t="s">
        <v>1178</v>
      </c>
      <c r="R795" s="124">
        <v>0</v>
      </c>
      <c r="S795" s="124">
        <v>1</v>
      </c>
      <c r="T795" s="124">
        <v>0</v>
      </c>
      <c r="U795" s="121">
        <f t="shared" si="312"/>
        <v>0</v>
      </c>
      <c r="V795" s="121">
        <f t="shared" si="313"/>
        <v>-8.3333333300000003E-7</v>
      </c>
      <c r="W795" s="121">
        <f t="shared" si="314"/>
        <v>0</v>
      </c>
      <c r="X795" s="121">
        <f t="shared" si="309"/>
        <v>-8.3333333300000003E-7</v>
      </c>
      <c r="Y795" s="121" t="str">
        <f t="shared" si="315"/>
        <v/>
      </c>
      <c r="Z795" s="121" t="str">
        <f t="shared" si="316"/>
        <v/>
      </c>
      <c r="AA795" s="121" t="str">
        <f t="shared" si="317"/>
        <v/>
      </c>
      <c r="AB795" s="121">
        <f t="shared" si="310"/>
        <v>0</v>
      </c>
      <c r="AC795" s="121">
        <v>-1.9999999982246662E-5</v>
      </c>
      <c r="AD795" s="121">
        <v>0</v>
      </c>
      <c r="AE795" s="121">
        <v>0</v>
      </c>
      <c r="AF795" s="121">
        <v>0</v>
      </c>
      <c r="AG795" s="121">
        <v>0</v>
      </c>
      <c r="AH795" s="121">
        <v>0</v>
      </c>
      <c r="AI795" s="121">
        <v>0</v>
      </c>
      <c r="AJ795" s="121">
        <v>0</v>
      </c>
      <c r="AK795" s="121">
        <v>0</v>
      </c>
      <c r="AL795" s="121">
        <v>0</v>
      </c>
      <c r="AM795" s="121">
        <v>0</v>
      </c>
      <c r="AN795" s="121">
        <v>0</v>
      </c>
      <c r="AO795" s="121">
        <v>0</v>
      </c>
      <c r="AP795" s="125" t="str">
        <f>CONCATENATE(A795,M795)</f>
        <v>Reg AssetR</v>
      </c>
      <c r="AQ795" s="125" t="str">
        <f>CONCATENATE(AP795,L795,H795)</f>
        <v>Reg AssetRR10Excess DIT &gt; 7.1% (NYS)</v>
      </c>
      <c r="AS795" s="125" t="str">
        <f>CONCATENATE(L795,H795,J795)</f>
        <v>R10Excess DIT &gt; 7.1% (NYS)</v>
      </c>
    </row>
    <row r="796" spans="1:45" s="125" customFormat="1" ht="25.5" customHeight="1">
      <c r="A796" s="216" t="s">
        <v>1442</v>
      </c>
      <c r="B796" s="217" t="str">
        <f t="shared" si="318"/>
        <v>Reg Asset2549940-243.11.91BT010009</v>
      </c>
      <c r="C796" s="186">
        <v>254994</v>
      </c>
      <c r="D796" s="201" t="s">
        <v>2525</v>
      </c>
      <c r="E796" s="162" t="s">
        <v>1124</v>
      </c>
      <c r="F796" s="169" t="s">
        <v>1227</v>
      </c>
      <c r="G796" s="117" t="s">
        <v>1228</v>
      </c>
      <c r="H796" s="118" t="s">
        <v>1149</v>
      </c>
      <c r="I796" s="119"/>
      <c r="J796" s="120"/>
      <c r="K796" s="120" t="str">
        <f t="shared" si="311"/>
        <v>SFAS-109</v>
      </c>
      <c r="L796" s="170" t="s">
        <v>930</v>
      </c>
      <c r="M796" s="122" t="str">
        <f t="shared" si="301"/>
        <v>N</v>
      </c>
      <c r="N796" s="116" t="str">
        <f>IF($L796&lt;&gt;"",VLOOKUP($L796,Categories!$E:$G,2,FALSE),IF($F796&lt;&gt;"","NO CAT",""))</f>
        <v>Not in Rate Base</v>
      </c>
      <c r="O796" s="116" t="str">
        <f>IF($L796&lt;&gt;"",VLOOKUP($L796,Categories!$E:$G,3,FALSE),IF($F796&lt;&gt;"","NO CAT",""))</f>
        <v>SFAS-109   (offsetting)</v>
      </c>
      <c r="P796" s="170" t="s">
        <v>1186</v>
      </c>
      <c r="Q796" s="123" t="s">
        <v>1187</v>
      </c>
      <c r="R796" s="124">
        <v>0</v>
      </c>
      <c r="S796" s="124">
        <v>0</v>
      </c>
      <c r="T796" s="124">
        <v>1</v>
      </c>
      <c r="U796" s="121" t="str">
        <f t="shared" si="312"/>
        <v/>
      </c>
      <c r="V796" s="121" t="str">
        <f t="shared" si="313"/>
        <v/>
      </c>
      <c r="W796" s="121" t="str">
        <f t="shared" si="314"/>
        <v/>
      </c>
      <c r="X796" s="121">
        <f t="shared" si="309"/>
        <v>0</v>
      </c>
      <c r="Y796" s="121" t="str">
        <f t="shared" si="315"/>
        <v/>
      </c>
      <c r="Z796" s="121" t="str">
        <f t="shared" si="316"/>
        <v/>
      </c>
      <c r="AA796" s="121" t="str">
        <f t="shared" si="317"/>
        <v/>
      </c>
      <c r="AB796" s="121">
        <f t="shared" si="310"/>
        <v>0</v>
      </c>
      <c r="AC796" s="121">
        <v>0</v>
      </c>
      <c r="AD796" s="121">
        <v>0</v>
      </c>
      <c r="AE796" s="121">
        <v>0</v>
      </c>
      <c r="AF796" s="121">
        <v>0</v>
      </c>
      <c r="AG796" s="121">
        <v>0</v>
      </c>
      <c r="AH796" s="121">
        <v>0</v>
      </c>
      <c r="AI796" s="121">
        <v>0</v>
      </c>
      <c r="AJ796" s="121">
        <v>0</v>
      </c>
      <c r="AK796" s="121">
        <v>0</v>
      </c>
      <c r="AL796" s="121">
        <v>0</v>
      </c>
      <c r="AM796" s="121">
        <v>0</v>
      </c>
      <c r="AN796" s="121">
        <v>0</v>
      </c>
      <c r="AO796" s="121">
        <v>0</v>
      </c>
      <c r="AP796" s="125" t="str">
        <f>CONCATENATE(A796,M796)</f>
        <v>Reg AssetN</v>
      </c>
      <c r="AQ796" s="125" t="str">
        <f>CONCATENATE(AP796,L796,H796)</f>
        <v>Reg AssetNN3SFAS-109</v>
      </c>
      <c r="AS796" s="125" t="str">
        <f>CONCATENATE(L796,H796,J796)</f>
        <v>N3SFAS-109</v>
      </c>
    </row>
    <row r="797" spans="1:45" s="125" customFormat="1" ht="25.5" customHeight="1">
      <c r="A797" s="216" t="s">
        <v>1442</v>
      </c>
      <c r="B797" s="217" t="str">
        <f t="shared" si="318"/>
        <v>Reg Asset254994BE030959</v>
      </c>
      <c r="C797" s="186">
        <v>254994</v>
      </c>
      <c r="D797" s="201"/>
      <c r="E797" s="162" t="s">
        <v>1155</v>
      </c>
      <c r="F797" s="169" t="s">
        <v>343</v>
      </c>
      <c r="G797" s="117" t="s">
        <v>1228</v>
      </c>
      <c r="H797" s="118" t="s">
        <v>1149</v>
      </c>
      <c r="I797" s="119"/>
      <c r="J797" s="120"/>
      <c r="K797" s="120" t="str">
        <f>IF(L797="N3","SFAS-109","")</f>
        <v>SFAS-109</v>
      </c>
      <c r="L797" s="170" t="s">
        <v>930</v>
      </c>
      <c r="M797" s="122" t="str">
        <f t="shared" si="301"/>
        <v>N</v>
      </c>
      <c r="N797" s="116" t="str">
        <f>IF($L797&lt;&gt;"",VLOOKUP($L797,Categories!$E:$G,2,FALSE),IF($F797&lt;&gt;"","NO CAT",""))</f>
        <v>Not in Rate Base</v>
      </c>
      <c r="O797" s="116" t="str">
        <f>IF($L797&lt;&gt;"",VLOOKUP($L797,Categories!$E:$G,3,FALSE),IF($F797&lt;&gt;"","NO CAT",""))</f>
        <v>SFAS-109   (offsetting)</v>
      </c>
      <c r="P797" s="170" t="s">
        <v>1186</v>
      </c>
      <c r="Q797" s="123" t="s">
        <v>1187</v>
      </c>
      <c r="R797" s="124">
        <v>0</v>
      </c>
      <c r="S797" s="124">
        <v>0</v>
      </c>
      <c r="T797" s="124">
        <v>1</v>
      </c>
      <c r="U797" s="121">
        <f t="shared" si="312"/>
        <v>0</v>
      </c>
      <c r="V797" s="121">
        <f t="shared" si="313"/>
        <v>0</v>
      </c>
      <c r="W797" s="121">
        <f t="shared" si="314"/>
        <v>-11247.736045</v>
      </c>
      <c r="X797" s="121">
        <f t="shared" si="309"/>
        <v>-11247.736045</v>
      </c>
      <c r="Y797" s="121">
        <f t="shared" si="315"/>
        <v>0</v>
      </c>
      <c r="Z797" s="121">
        <f t="shared" si="316"/>
        <v>0</v>
      </c>
      <c r="AA797" s="121">
        <f t="shared" si="317"/>
        <v>-11575.720499999999</v>
      </c>
      <c r="AB797" s="121">
        <f t="shared" si="310"/>
        <v>-11575.720500000001</v>
      </c>
      <c r="AC797" s="121">
        <v>-10950.214179999999</v>
      </c>
      <c r="AD797" s="121">
        <v>-10948.934429999999</v>
      </c>
      <c r="AE797" s="121">
        <v>-10947.647499999999</v>
      </c>
      <c r="AF797" s="121">
        <v>-10945.50519</v>
      </c>
      <c r="AG797" s="121">
        <v>-10990.192369999999</v>
      </c>
      <c r="AH797" s="121">
        <v>-10990.89294</v>
      </c>
      <c r="AI797" s="121">
        <v>-10991.597159999999</v>
      </c>
      <c r="AJ797" s="121">
        <v>-11581.19706</v>
      </c>
      <c r="AK797" s="121">
        <v>-11580.11572</v>
      </c>
      <c r="AL797" s="121">
        <v>-11579.025449999999</v>
      </c>
      <c r="AM797" s="121">
        <v>-11577.929510000002</v>
      </c>
      <c r="AN797" s="121">
        <v>-11576.827870000001</v>
      </c>
      <c r="AO797" s="121">
        <v>-11575.720500000001</v>
      </c>
      <c r="AP797" s="125" t="str">
        <f>CONCATENATE(A797,M797)</f>
        <v>Reg AssetN</v>
      </c>
      <c r="AQ797" s="125" t="str">
        <f>CONCATENATE(AP797,L797,H797)</f>
        <v>Reg AssetNN3SFAS-109</v>
      </c>
      <c r="AS797" s="125" t="str">
        <f>CONCATENATE(L797,H797,J797)</f>
        <v>N3SFAS-109</v>
      </c>
    </row>
    <row r="798" spans="1:45" s="125" customFormat="1" ht="25.5" customHeight="1">
      <c r="A798" s="216" t="s">
        <v>1442</v>
      </c>
      <c r="B798" s="217" t="str">
        <f t="shared" si="318"/>
        <v>Reg Asset2549950-149.51.98BT010009</v>
      </c>
      <c r="C798" s="186">
        <v>254995</v>
      </c>
      <c r="D798" s="201" t="s">
        <v>172</v>
      </c>
      <c r="E798" s="162" t="s">
        <v>1124</v>
      </c>
      <c r="F798" s="169" t="s">
        <v>1229</v>
      </c>
      <c r="G798" s="117" t="s">
        <v>1228</v>
      </c>
      <c r="H798" s="118" t="s">
        <v>1149</v>
      </c>
      <c r="I798" s="119"/>
      <c r="J798" s="120"/>
      <c r="K798" s="120" t="str">
        <f t="shared" si="311"/>
        <v>SFAS-109</v>
      </c>
      <c r="L798" s="170" t="s">
        <v>930</v>
      </c>
      <c r="M798" s="122" t="str">
        <f t="shared" si="301"/>
        <v>N</v>
      </c>
      <c r="N798" s="116" t="str">
        <f>IF($L798&lt;&gt;"",VLOOKUP($L798,Categories!$E:$G,2,FALSE),IF($F798&lt;&gt;"","NO CAT",""))</f>
        <v>Not in Rate Base</v>
      </c>
      <c r="O798" s="116" t="str">
        <f>IF($L798&lt;&gt;"",VLOOKUP($L798,Categories!$E:$G,3,FALSE),IF($F798&lt;&gt;"","NO CAT",""))</f>
        <v>SFAS-109   (offsetting)</v>
      </c>
      <c r="P798" s="170" t="s">
        <v>1186</v>
      </c>
      <c r="Q798" s="123" t="s">
        <v>1187</v>
      </c>
      <c r="R798" s="124">
        <v>0</v>
      </c>
      <c r="S798" s="124">
        <v>0</v>
      </c>
      <c r="T798" s="124">
        <v>1</v>
      </c>
      <c r="U798" s="121" t="str">
        <f t="shared" si="312"/>
        <v/>
      </c>
      <c r="V798" s="121" t="str">
        <f t="shared" si="313"/>
        <v/>
      </c>
      <c r="W798" s="121" t="str">
        <f t="shared" si="314"/>
        <v/>
      </c>
      <c r="X798" s="121">
        <f t="shared" si="309"/>
        <v>0</v>
      </c>
      <c r="Y798" s="121" t="str">
        <f t="shared" si="315"/>
        <v/>
      </c>
      <c r="Z798" s="121" t="str">
        <f t="shared" si="316"/>
        <v/>
      </c>
      <c r="AA798" s="121" t="str">
        <f t="shared" si="317"/>
        <v/>
      </c>
      <c r="AB798" s="121">
        <f t="shared" si="310"/>
        <v>0</v>
      </c>
      <c r="AC798" s="121">
        <v>0</v>
      </c>
      <c r="AD798" s="121">
        <v>0</v>
      </c>
      <c r="AE798" s="121">
        <v>0</v>
      </c>
      <c r="AF798" s="121">
        <v>0</v>
      </c>
      <c r="AG798" s="121">
        <v>0</v>
      </c>
      <c r="AH798" s="121">
        <v>0</v>
      </c>
      <c r="AI798" s="121">
        <v>0</v>
      </c>
      <c r="AJ798" s="121">
        <v>0</v>
      </c>
      <c r="AK798" s="121">
        <v>0</v>
      </c>
      <c r="AL798" s="121">
        <v>0</v>
      </c>
      <c r="AM798" s="121">
        <v>0</v>
      </c>
      <c r="AN798" s="121">
        <v>0</v>
      </c>
      <c r="AO798" s="121">
        <v>0</v>
      </c>
      <c r="AP798" s="125" t="str">
        <f>CONCATENATE(A798,M798)</f>
        <v>Reg AssetN</v>
      </c>
      <c r="AQ798" s="125" t="str">
        <f>CONCATENATE(AP798,L798,H798)</f>
        <v>Reg AssetNN3SFAS-109</v>
      </c>
      <c r="AS798" s="125" t="str">
        <f>CONCATENATE(L798,H798,J798)</f>
        <v>N3SFAS-109</v>
      </c>
    </row>
    <row r="799" spans="1:45" s="125" customFormat="1" ht="25.5" customHeight="1">
      <c r="A799" s="216" t="s">
        <v>1442</v>
      </c>
      <c r="B799" s="217" t="str">
        <f t="shared" si="318"/>
        <v>Reg Asset254995BE030359</v>
      </c>
      <c r="C799" s="186">
        <v>254995</v>
      </c>
      <c r="D799" s="201"/>
      <c r="E799" s="162" t="s">
        <v>344</v>
      </c>
      <c r="F799" s="169" t="s">
        <v>1229</v>
      </c>
      <c r="G799" s="117" t="s">
        <v>1228</v>
      </c>
      <c r="H799" s="118" t="s">
        <v>1149</v>
      </c>
      <c r="I799" s="119"/>
      <c r="J799" s="120"/>
      <c r="K799" s="120" t="str">
        <f t="shared" si="311"/>
        <v>SFAS-109</v>
      </c>
      <c r="L799" s="170" t="s">
        <v>930</v>
      </c>
      <c r="M799" s="122" t="str">
        <f t="shared" si="301"/>
        <v>N</v>
      </c>
      <c r="N799" s="116" t="str">
        <f>IF($L799&lt;&gt;"",VLOOKUP($L799,Categories!$E:$G,2,FALSE),IF($F799&lt;&gt;"","NO CAT",""))</f>
        <v>Not in Rate Base</v>
      </c>
      <c r="O799" s="116" t="str">
        <f>IF($L799&lt;&gt;"",VLOOKUP($L799,Categories!$E:$G,3,FALSE),IF($F799&lt;&gt;"","NO CAT",""))</f>
        <v>SFAS-109   (offsetting)</v>
      </c>
      <c r="P799" s="170" t="s">
        <v>1186</v>
      </c>
      <c r="Q799" s="123" t="s">
        <v>1187</v>
      </c>
      <c r="R799" s="124">
        <v>0</v>
      </c>
      <c r="S799" s="124">
        <v>0</v>
      </c>
      <c r="T799" s="124">
        <v>1</v>
      </c>
      <c r="U799" s="121">
        <f t="shared" si="312"/>
        <v>0</v>
      </c>
      <c r="V799" s="121">
        <f t="shared" si="313"/>
        <v>0</v>
      </c>
      <c r="W799" s="121">
        <f t="shared" si="314"/>
        <v>11247.736045</v>
      </c>
      <c r="X799" s="121">
        <f t="shared" si="309"/>
        <v>11247.736045</v>
      </c>
      <c r="Y799" s="121">
        <f t="shared" si="315"/>
        <v>0</v>
      </c>
      <c r="Z799" s="121">
        <f t="shared" si="316"/>
        <v>0</v>
      </c>
      <c r="AA799" s="121">
        <f t="shared" si="317"/>
        <v>11575.720499999999</v>
      </c>
      <c r="AB799" s="121">
        <f t="shared" si="310"/>
        <v>11575.720500000001</v>
      </c>
      <c r="AC799" s="121">
        <v>10950.214179999999</v>
      </c>
      <c r="AD799" s="121">
        <v>10948.934429999999</v>
      </c>
      <c r="AE799" s="121">
        <v>10947.647499999999</v>
      </c>
      <c r="AF799" s="121">
        <v>10945.50519</v>
      </c>
      <c r="AG799" s="121">
        <v>10990.192369999999</v>
      </c>
      <c r="AH799" s="121">
        <v>10990.89294</v>
      </c>
      <c r="AI799" s="121">
        <v>10991.597159999999</v>
      </c>
      <c r="AJ799" s="121">
        <v>11581.19706</v>
      </c>
      <c r="AK799" s="121">
        <v>11580.11572</v>
      </c>
      <c r="AL799" s="121">
        <v>11579.025449999999</v>
      </c>
      <c r="AM799" s="121">
        <v>11577.92951</v>
      </c>
      <c r="AN799" s="121">
        <v>11576.827870000001</v>
      </c>
      <c r="AO799" s="121">
        <v>11575.720500000001</v>
      </c>
      <c r="AP799" s="125" t="str">
        <f>CONCATENATE(A799,M799)</f>
        <v>Reg AssetN</v>
      </c>
      <c r="AQ799" s="125" t="str">
        <f>CONCATENATE(AP799,L799,H799)</f>
        <v>Reg AssetNN3SFAS-109</v>
      </c>
      <c r="AS799" s="125" t="str">
        <f>CONCATENATE(L799,H799,J799)</f>
        <v>N3SFAS-109</v>
      </c>
    </row>
    <row r="800" spans="1:45" s="125" customFormat="1" ht="25.5" customHeight="1">
      <c r="A800" s="216" t="s">
        <v>1996</v>
      </c>
      <c r="B800" s="217" t="str">
        <f>CONCATENATE(A800,C800,D800,E800)</f>
        <v>Def Tax190000BT010143</v>
      </c>
      <c r="C800" s="186">
        <v>190000</v>
      </c>
      <c r="D800" s="201"/>
      <c r="E800" s="162" t="s">
        <v>4428</v>
      </c>
      <c r="F800" s="169" t="s">
        <v>861</v>
      </c>
      <c r="G800" s="117" t="s">
        <v>4441</v>
      </c>
      <c r="H800" s="118" t="s">
        <v>2860</v>
      </c>
      <c r="I800" s="119"/>
      <c r="J800" s="120"/>
      <c r="K800" s="120" t="str">
        <f t="shared" ref="K800:K805" si="319">IF(L800="N3","SFAS-109","")</f>
        <v/>
      </c>
      <c r="L800" s="170" t="s">
        <v>2811</v>
      </c>
      <c r="M800" s="122" t="str">
        <f>LEFT(L800,1)</f>
        <v>N</v>
      </c>
      <c r="N800" s="116" t="str">
        <f>IF($L800&lt;&gt;"",VLOOKUP($L800,Categories!$E:$G,2,FALSE),IF($F800&lt;&gt;"","NO CAT",""))</f>
        <v>Not in Rate Base</v>
      </c>
      <c r="O800" s="116" t="str">
        <f>IF($L800&lt;&gt;"",VLOOKUP($L800,Categories!$E:$G,3,FALSE),IF($F800&lt;&gt;"","NO CAT",""))</f>
        <v>Hedges &amp; OCI</v>
      </c>
      <c r="P800" s="170" t="s">
        <v>1186</v>
      </c>
      <c r="Q800" s="123" t="s">
        <v>1187</v>
      </c>
      <c r="R800" s="124">
        <v>0</v>
      </c>
      <c r="S800" s="124">
        <v>0</v>
      </c>
      <c r="T800" s="124">
        <v>1</v>
      </c>
      <c r="U800" s="121">
        <f>IF(ABS(X800)=0,"",IF($R800="NO ALLOC","NO ALLOC",ROUND($R800*X800,15)))</f>
        <v>0</v>
      </c>
      <c r="V800" s="121">
        <f>IF(ABS(X800)=0,"",IF($S800="NO ALLOC","NO ALLOC",ROUND($S800*X800,15)))</f>
        <v>0</v>
      </c>
      <c r="W800" s="121">
        <f>IF(ABS(X800)=0,"",IF($T800="NO ALLOC","NO ALLOC",ROUND($T800*X800,15)))</f>
        <v>-0.60965666666672302</v>
      </c>
      <c r="X800" s="121">
        <f t="shared" si="309"/>
        <v>-0.60965666666672302</v>
      </c>
      <c r="Y800" s="121">
        <f>IF(ABS(AB800)=0,"",IF($R800="NO ALLOC","NO ALLOC",ROUND($R800*AB800,15)))</f>
        <v>0</v>
      </c>
      <c r="Z800" s="121">
        <f>IF(ABS(AB800)=0,"",IF($S800="NO ALLOC","NO ALLOC",ROUND($S800*AB800,15)))</f>
        <v>0</v>
      </c>
      <c r="AA800" s="121">
        <f>IF(ABS(AB800)=0,"",IF($T800="NO ALLOC","NO ALLOC",ROUND($T800*AB800,15)))</f>
        <v>-5.8000000000000005E-14</v>
      </c>
      <c r="AB800" s="121">
        <f t="shared" si="310"/>
        <v>-5.8207660913467408E-14</v>
      </c>
      <c r="AC800" s="121">
        <v>0</v>
      </c>
      <c r="AD800" s="121">
        <v>-7.3158800000000586</v>
      </c>
      <c r="AE800" s="121">
        <v>-5.8207660913467408E-14</v>
      </c>
      <c r="AF800" s="121">
        <v>-5.8207660913467408E-14</v>
      </c>
      <c r="AG800" s="121">
        <v>-5.8207660913467408E-14</v>
      </c>
      <c r="AH800" s="121">
        <v>-5.8207660913467408E-14</v>
      </c>
      <c r="AI800" s="161">
        <v>-5.8207660913467408E-14</v>
      </c>
      <c r="AJ800" s="161">
        <v>-5.8207660913467408E-14</v>
      </c>
      <c r="AK800" s="161">
        <v>-5.8207660913467408E-14</v>
      </c>
      <c r="AL800" s="161">
        <v>-5.8207660913467408E-14</v>
      </c>
      <c r="AM800" s="161">
        <v>-5.8207660913467408E-14</v>
      </c>
      <c r="AN800" s="161">
        <v>-5.8207660913467408E-14</v>
      </c>
      <c r="AO800" s="161">
        <v>-5.8207660913467408E-14</v>
      </c>
      <c r="AP800" s="125" t="str">
        <f>CONCATENATE(A800,M800)</f>
        <v>Def TaxN</v>
      </c>
      <c r="AQ800" s="125" t="str">
        <f>CONCATENATE(AP800,L800,H800)</f>
        <v>Def TaxNN5Hedges &amp; OCI</v>
      </c>
      <c r="AS800" s="125" t="str">
        <f>CONCATENATE(L800,H800,J800)</f>
        <v>N5Hedges &amp; OCI</v>
      </c>
    </row>
    <row r="801" spans="1:45" s="125" customFormat="1" ht="25.5" customHeight="1">
      <c r="A801" s="216" t="s">
        <v>1996</v>
      </c>
      <c r="B801" s="217" t="str">
        <f t="shared" ref="B801:B806" si="320">CONCATENATE(A801,C801,D801,E801)</f>
        <v>Def Tax1900000-184.26.01BT010137</v>
      </c>
      <c r="C801" s="186">
        <v>190000</v>
      </c>
      <c r="D801" s="201" t="s">
        <v>2645</v>
      </c>
      <c r="E801" s="162" t="s">
        <v>1202</v>
      </c>
      <c r="F801" s="169" t="s">
        <v>861</v>
      </c>
      <c r="G801" s="117" t="s">
        <v>1201</v>
      </c>
      <c r="H801" s="118" t="s">
        <v>2860</v>
      </c>
      <c r="I801" s="119"/>
      <c r="J801" s="120"/>
      <c r="K801" s="120" t="str">
        <f t="shared" si="319"/>
        <v/>
      </c>
      <c r="L801" s="170" t="s">
        <v>2811</v>
      </c>
      <c r="M801" s="122" t="str">
        <f t="shared" ref="M801:M806" si="321">LEFT(L801,1)</f>
        <v>N</v>
      </c>
      <c r="N801" s="116" t="str">
        <f>IF($L801&lt;&gt;"",VLOOKUP($L801,Categories!$E:$G,2,FALSE),IF($F801&lt;&gt;"","NO CAT",""))</f>
        <v>Not in Rate Base</v>
      </c>
      <c r="O801" s="116" t="str">
        <f>IF($L801&lt;&gt;"",VLOOKUP($L801,Categories!$E:$G,3,FALSE),IF($F801&lt;&gt;"","NO CAT",""))</f>
        <v>Hedges &amp; OCI</v>
      </c>
      <c r="P801" s="170" t="s">
        <v>1186</v>
      </c>
      <c r="Q801" s="123" t="s">
        <v>1187</v>
      </c>
      <c r="R801" s="124">
        <v>0</v>
      </c>
      <c r="S801" s="124">
        <v>0</v>
      </c>
      <c r="T801" s="124">
        <v>1</v>
      </c>
      <c r="U801" s="121">
        <f t="shared" ref="U801:U806" si="322">IF(ABS(X801)=0,"",IF($R801="NO ALLOC","NO ALLOC",ROUND($R801*X801,15)))</f>
        <v>0</v>
      </c>
      <c r="V801" s="121">
        <f t="shared" ref="V801:V806" si="323">IF(ABS(X801)=0,"",IF($S801="NO ALLOC","NO ALLOC",ROUND($S801*X801,15)))</f>
        <v>0</v>
      </c>
      <c r="W801" s="121">
        <f t="shared" ref="W801:W806" si="324">IF(ABS(X801)=0,"",IF($T801="NO ALLOC","NO ALLOC",ROUND($T801*X801,15)))</f>
        <v>-41.200682916667603</v>
      </c>
      <c r="X801" s="121">
        <f t="shared" ref="X801:X824" si="325">IF(ISERROR(ROUND((SUM(AC801:AO801)-((AC801+AO801))/2)/12,15)),"",ROUND((SUM(AC801:AO801)-((AC801+AO801))/2)/12,15))</f>
        <v>-41.200682916667603</v>
      </c>
      <c r="Y801" s="121">
        <f t="shared" ref="Y801:Y806" si="326">IF(ABS(AB801)=0,"",IF($R801="NO ALLOC","NO ALLOC",ROUND($R801*AB801,15)))</f>
        <v>0</v>
      </c>
      <c r="Z801" s="121">
        <f t="shared" ref="Z801:Z806" si="327">IF(ABS(AB801)=0,"",IF($S801="NO ALLOC","NO ALLOC",ROUND($S801*AB801,15)))</f>
        <v>0</v>
      </c>
      <c r="AA801" s="121">
        <f t="shared" ref="AA801:AA806" si="328">IF(ABS(AB801)=0,"",IF($T801="NO ALLOC","NO ALLOC",ROUND($T801*AB801,15)))</f>
        <v>-121.683480000001</v>
      </c>
      <c r="AB801" s="121">
        <f t="shared" ref="AB801:AB824" si="329">IF(AO801="",0,+AO801)</f>
        <v>-121.68348000000094</v>
      </c>
      <c r="AC801" s="121">
        <v>-88.096510000000947</v>
      </c>
      <c r="AD801" s="121">
        <v>-9.25004000000094</v>
      </c>
      <c r="AE801" s="121">
        <v>-14.865410000000939</v>
      </c>
      <c r="AF801" s="160">
        <v>-20.006920000000935</v>
      </c>
      <c r="AG801" s="160">
        <v>-21.390730000000939</v>
      </c>
      <c r="AH801" s="121">
        <v>-22.3913100000009</v>
      </c>
      <c r="AI801" s="161">
        <v>-23.07212000000094</v>
      </c>
      <c r="AJ801" s="161">
        <v>-29.495910000000944</v>
      </c>
      <c r="AK801" s="161">
        <v>-44.468730000000939</v>
      </c>
      <c r="AL801" s="161">
        <v>-51.030060000000944</v>
      </c>
      <c r="AM801" s="161">
        <v>-65.439710000000943</v>
      </c>
      <c r="AN801" s="161">
        <v>-88.107260000000934</v>
      </c>
      <c r="AO801" s="161">
        <v>-121.68348000000094</v>
      </c>
      <c r="AP801" s="125" t="str">
        <f>CONCATENATE(A801,M801)</f>
        <v>Def TaxN</v>
      </c>
      <c r="AQ801" s="125" t="str">
        <f>CONCATENATE(AP801,L801,H801)</f>
        <v>Def TaxNN5Hedges &amp; OCI</v>
      </c>
      <c r="AS801" s="125" t="str">
        <f>CONCATENATE(L801,H801,J801)</f>
        <v>N5Hedges &amp; OCI</v>
      </c>
    </row>
    <row r="802" spans="1:45" s="125" customFormat="1" ht="25.5" customHeight="1">
      <c r="A802" s="216" t="s">
        <v>1996</v>
      </c>
      <c r="B802" s="217" t="str">
        <f>CONCATENATE(A802,C802,D802,E802)</f>
        <v>Def Tax190000BT010145</v>
      </c>
      <c r="C802" s="186">
        <v>190000</v>
      </c>
      <c r="D802" s="201"/>
      <c r="E802" s="162" t="s">
        <v>4541</v>
      </c>
      <c r="F802" s="169" t="s">
        <v>861</v>
      </c>
      <c r="G802" s="117" t="s">
        <v>4540</v>
      </c>
      <c r="H802" s="118" t="s">
        <v>2860</v>
      </c>
      <c r="I802" s="119"/>
      <c r="J802" s="120"/>
      <c r="K802" s="120" t="str">
        <f t="shared" si="319"/>
        <v/>
      </c>
      <c r="L802" s="170" t="s">
        <v>2811</v>
      </c>
      <c r="M802" s="122" t="str">
        <f>LEFT(L802,1)</f>
        <v>N</v>
      </c>
      <c r="N802" s="116" t="str">
        <f>IF($L802&lt;&gt;"",VLOOKUP($L802,Categories!$E:$G,2,FALSE),IF($F802&lt;&gt;"","NO CAT",""))</f>
        <v>Not in Rate Base</v>
      </c>
      <c r="O802" s="116" t="str">
        <f>IF($L802&lt;&gt;"",VLOOKUP($L802,Categories!$E:$G,3,FALSE),IF($F802&lt;&gt;"","NO CAT",""))</f>
        <v>Hedges &amp; OCI</v>
      </c>
      <c r="P802" s="170" t="s">
        <v>1186</v>
      </c>
      <c r="Q802" s="123" t="s">
        <v>1187</v>
      </c>
      <c r="R802" s="124">
        <v>0</v>
      </c>
      <c r="S802" s="124">
        <v>0</v>
      </c>
      <c r="T802" s="124">
        <v>1</v>
      </c>
      <c r="U802" s="121" t="str">
        <f>IF(ABS(X802)=0,"",IF($R802="NO ALLOC","NO ALLOC",ROUND($R802*X802,15)))</f>
        <v/>
      </c>
      <c r="V802" s="121" t="str">
        <f>IF(ABS(X802)=0,"",IF($S802="NO ALLOC","NO ALLOC",ROUND($S802*X802,15)))</f>
        <v/>
      </c>
      <c r="W802" s="121" t="str">
        <f>IF(ABS(X802)=0,"",IF($T802="NO ALLOC","NO ALLOC",ROUND($T802*X802,15)))</f>
        <v/>
      </c>
      <c r="X802" s="121">
        <f t="shared" si="325"/>
        <v>0</v>
      </c>
      <c r="Y802" s="121" t="str">
        <f>IF(ABS(AB802)=0,"",IF($R802="NO ALLOC","NO ALLOC",ROUND($R802*AB802,15)))</f>
        <v/>
      </c>
      <c r="Z802" s="121" t="str">
        <f>IF(ABS(AB802)=0,"",IF($S802="NO ALLOC","NO ALLOC",ROUND($S802*AB802,15)))</f>
        <v/>
      </c>
      <c r="AA802" s="121" t="str">
        <f>IF(ABS(AB802)=0,"",IF($T802="NO ALLOC","NO ALLOC",ROUND($T802*AB802,15)))</f>
        <v/>
      </c>
      <c r="AB802" s="121">
        <f t="shared" si="329"/>
        <v>0</v>
      </c>
      <c r="AC802" s="121">
        <v>0</v>
      </c>
      <c r="AD802" s="121">
        <v>0</v>
      </c>
      <c r="AE802" s="121">
        <v>0</v>
      </c>
      <c r="AF802" s="125">
        <v>0</v>
      </c>
      <c r="AG802" s="125">
        <v>0</v>
      </c>
      <c r="AH802" s="121">
        <v>0</v>
      </c>
      <c r="AI802" s="161">
        <v>0</v>
      </c>
      <c r="AJ802" s="161">
        <f>IF(AI802=0,0,0)</f>
        <v>0</v>
      </c>
      <c r="AK802" s="161">
        <v>0</v>
      </c>
      <c r="AL802" s="161">
        <v>0</v>
      </c>
      <c r="AM802" s="161">
        <v>0</v>
      </c>
      <c r="AN802" s="161">
        <v>0</v>
      </c>
      <c r="AO802" s="161">
        <v>0</v>
      </c>
      <c r="AP802" s="125" t="str">
        <f>CONCATENATE(A802,M802)</f>
        <v>Def TaxN</v>
      </c>
      <c r="AQ802" s="125" t="str">
        <f>CONCATENATE(AP802,L802,H802)</f>
        <v>Def TaxNN5Hedges &amp; OCI</v>
      </c>
      <c r="AS802" s="125" t="str">
        <f>CONCATENATE(L802,H802,J802)</f>
        <v>N5Hedges &amp; OCI</v>
      </c>
    </row>
    <row r="803" spans="1:45" s="125" customFormat="1" ht="25.5" customHeight="1">
      <c r="A803" s="216" t="s">
        <v>1996</v>
      </c>
      <c r="B803" s="217" t="str">
        <f t="shared" si="320"/>
        <v>Def Tax1900000-184.26.01BT010140</v>
      </c>
      <c r="C803" s="186">
        <v>190000</v>
      </c>
      <c r="D803" s="201" t="s">
        <v>2645</v>
      </c>
      <c r="E803" s="162" t="s">
        <v>1206</v>
      </c>
      <c r="F803" s="169" t="s">
        <v>861</v>
      </c>
      <c r="G803" s="117" t="s">
        <v>1205</v>
      </c>
      <c r="H803" s="118" t="s">
        <v>2860</v>
      </c>
      <c r="I803" s="119"/>
      <c r="J803" s="120"/>
      <c r="K803" s="120" t="str">
        <f t="shared" si="319"/>
        <v/>
      </c>
      <c r="L803" s="170" t="s">
        <v>2811</v>
      </c>
      <c r="M803" s="122" t="str">
        <f t="shared" si="321"/>
        <v>N</v>
      </c>
      <c r="N803" s="116" t="str">
        <f>IF($L803&lt;&gt;"",VLOOKUP($L803,Categories!$E:$G,2,FALSE),IF($F803&lt;&gt;"","NO CAT",""))</f>
        <v>Not in Rate Base</v>
      </c>
      <c r="O803" s="116" t="str">
        <f>IF($L803&lt;&gt;"",VLOOKUP($L803,Categories!$E:$G,3,FALSE),IF($F803&lt;&gt;"","NO CAT",""))</f>
        <v>Hedges &amp; OCI</v>
      </c>
      <c r="P803" s="170" t="s">
        <v>1186</v>
      </c>
      <c r="Q803" s="123" t="s">
        <v>1187</v>
      </c>
      <c r="R803" s="124">
        <v>0</v>
      </c>
      <c r="S803" s="124">
        <v>0</v>
      </c>
      <c r="T803" s="124">
        <v>1</v>
      </c>
      <c r="U803" s="121">
        <f t="shared" si="322"/>
        <v>0</v>
      </c>
      <c r="V803" s="121">
        <f t="shared" si="323"/>
        <v>0</v>
      </c>
      <c r="W803" s="121">
        <f t="shared" si="324"/>
        <v>-196.20826766666701</v>
      </c>
      <c r="X803" s="121">
        <f t="shared" si="325"/>
        <v>-196.20826766666701</v>
      </c>
      <c r="Y803" s="121">
        <f t="shared" si="326"/>
        <v>0</v>
      </c>
      <c r="Z803" s="121">
        <f t="shared" si="327"/>
        <v>0</v>
      </c>
      <c r="AA803" s="121">
        <f t="shared" si="328"/>
        <v>-303.435586</v>
      </c>
      <c r="AB803" s="121">
        <f t="shared" si="329"/>
        <v>-303.43558600000034</v>
      </c>
      <c r="AC803" s="121">
        <v>-1067.7708460000003</v>
      </c>
      <c r="AD803" s="121">
        <v>-25.286346000000368</v>
      </c>
      <c r="AE803" s="121">
        <v>-50.572636000000372</v>
      </c>
      <c r="AF803" s="160">
        <v>-75.858936000000369</v>
      </c>
      <c r="AG803" s="160">
        <v>-101.14522600000038</v>
      </c>
      <c r="AH803" s="121">
        <v>-126.43152600000001</v>
      </c>
      <c r="AI803" s="161">
        <v>-151.71781600000037</v>
      </c>
      <c r="AJ803" s="161">
        <v>-177.00411600000035</v>
      </c>
      <c r="AK803" s="161">
        <v>-202.29040600000036</v>
      </c>
      <c r="AL803" s="161">
        <v>-227.57670600000034</v>
      </c>
      <c r="AM803" s="161">
        <v>-252.86299600000035</v>
      </c>
      <c r="AN803" s="161">
        <v>-278.14928600000036</v>
      </c>
      <c r="AO803" s="161">
        <v>-303.43558600000034</v>
      </c>
      <c r="AP803" s="125" t="str">
        <f>CONCATENATE(A803,M803)</f>
        <v>Def TaxN</v>
      </c>
      <c r="AQ803" s="125" t="str">
        <f>CONCATENATE(AP803,L803,H803)</f>
        <v>Def TaxNN5Hedges &amp; OCI</v>
      </c>
      <c r="AS803" s="125" t="str">
        <f>CONCATENATE(L803,H803,J803)</f>
        <v>N5Hedges &amp; OCI</v>
      </c>
    </row>
    <row r="804" spans="1:45" s="125" customFormat="1" ht="25.5" customHeight="1">
      <c r="A804" s="216" t="s">
        <v>1996</v>
      </c>
      <c r="B804" s="217" t="str">
        <f t="shared" si="320"/>
        <v>Def Tax1900000-184.26.01BT010141</v>
      </c>
      <c r="C804" s="186">
        <v>190000</v>
      </c>
      <c r="D804" s="201" t="s">
        <v>2645</v>
      </c>
      <c r="E804" s="162" t="s">
        <v>1208</v>
      </c>
      <c r="F804" s="169" t="s">
        <v>861</v>
      </c>
      <c r="G804" s="117" t="s">
        <v>1207</v>
      </c>
      <c r="H804" s="118" t="s">
        <v>2860</v>
      </c>
      <c r="I804" s="119"/>
      <c r="J804" s="120"/>
      <c r="K804" s="120" t="str">
        <f t="shared" si="319"/>
        <v/>
      </c>
      <c r="L804" s="170" t="s">
        <v>2811</v>
      </c>
      <c r="M804" s="122" t="str">
        <f t="shared" si="321"/>
        <v>N</v>
      </c>
      <c r="N804" s="116" t="str">
        <f>IF($L804&lt;&gt;"",VLOOKUP($L804,Categories!$E:$G,2,FALSE),IF($F804&lt;&gt;"","NO CAT",""))</f>
        <v>Not in Rate Base</v>
      </c>
      <c r="O804" s="116" t="str">
        <f>IF($L804&lt;&gt;"",VLOOKUP($L804,Categories!$E:$G,3,FALSE),IF($F804&lt;&gt;"","NO CAT",""))</f>
        <v>Hedges &amp; OCI</v>
      </c>
      <c r="P804" s="170" t="s">
        <v>1186</v>
      </c>
      <c r="Q804" s="123" t="s">
        <v>1187</v>
      </c>
      <c r="R804" s="124">
        <v>0</v>
      </c>
      <c r="S804" s="124">
        <v>0</v>
      </c>
      <c r="T804" s="124">
        <v>1</v>
      </c>
      <c r="U804" s="121" t="str">
        <f t="shared" si="322"/>
        <v/>
      </c>
      <c r="V804" s="121" t="str">
        <f t="shared" si="323"/>
        <v/>
      </c>
      <c r="W804" s="121" t="str">
        <f t="shared" si="324"/>
        <v/>
      </c>
      <c r="X804" s="121">
        <f t="shared" si="325"/>
        <v>0</v>
      </c>
      <c r="Y804" s="121" t="str">
        <f t="shared" si="326"/>
        <v/>
      </c>
      <c r="Z804" s="121" t="str">
        <f t="shared" si="327"/>
        <v/>
      </c>
      <c r="AA804" s="121" t="str">
        <f t="shared" si="328"/>
        <v/>
      </c>
      <c r="AB804" s="121">
        <f t="shared" si="329"/>
        <v>0</v>
      </c>
      <c r="AC804" s="121">
        <v>0</v>
      </c>
      <c r="AD804" s="121">
        <v>0</v>
      </c>
      <c r="AE804" s="121">
        <v>0</v>
      </c>
      <c r="AF804" s="125">
        <v>0</v>
      </c>
      <c r="AG804" s="125">
        <v>0</v>
      </c>
      <c r="AH804" s="121">
        <v>0</v>
      </c>
      <c r="AI804" s="161">
        <v>0</v>
      </c>
      <c r="AJ804" s="161">
        <f>IF(AI804=0,0,0)</f>
        <v>0</v>
      </c>
      <c r="AK804" s="161">
        <v>0</v>
      </c>
      <c r="AL804" s="161">
        <v>0</v>
      </c>
      <c r="AM804" s="161">
        <v>0</v>
      </c>
      <c r="AN804" s="161">
        <v>0</v>
      </c>
      <c r="AO804" s="161">
        <v>0</v>
      </c>
      <c r="AP804" s="125" t="str">
        <f>CONCATENATE(A804,M804)</f>
        <v>Def TaxN</v>
      </c>
      <c r="AQ804" s="125" t="str">
        <f>CONCATENATE(AP804,L804,H804)</f>
        <v>Def TaxNN5Hedges &amp; OCI</v>
      </c>
      <c r="AS804" s="125" t="str">
        <f>CONCATENATE(L804,H804,J804)</f>
        <v>N5Hedges &amp; OCI</v>
      </c>
    </row>
    <row r="805" spans="1:45" s="125" customFormat="1" ht="25.5" customHeight="1">
      <c r="A805" s="216" t="s">
        <v>1996</v>
      </c>
      <c r="B805" s="217" t="str">
        <f t="shared" si="320"/>
        <v>Def Tax1900000-184.26.01BT010138</v>
      </c>
      <c r="C805" s="186">
        <v>190000</v>
      </c>
      <c r="D805" s="201" t="s">
        <v>2645</v>
      </c>
      <c r="E805" s="162" t="s">
        <v>1204</v>
      </c>
      <c r="F805" s="169" t="s">
        <v>861</v>
      </c>
      <c r="G805" s="117" t="s">
        <v>1203</v>
      </c>
      <c r="H805" s="118" t="s">
        <v>2860</v>
      </c>
      <c r="I805" s="119"/>
      <c r="J805" s="120"/>
      <c r="K805" s="120" t="str">
        <f t="shared" si="319"/>
        <v/>
      </c>
      <c r="L805" s="170" t="s">
        <v>2811</v>
      </c>
      <c r="M805" s="122" t="str">
        <f t="shared" si="321"/>
        <v>N</v>
      </c>
      <c r="N805" s="116" t="str">
        <f>IF($L805&lt;&gt;"",VLOOKUP($L805,Categories!$E:$G,2,FALSE),IF($F805&lt;&gt;"","NO CAT",""))</f>
        <v>Not in Rate Base</v>
      </c>
      <c r="O805" s="116" t="str">
        <f>IF($L805&lt;&gt;"",VLOOKUP($L805,Categories!$E:$G,3,FALSE),IF($F805&lt;&gt;"","NO CAT",""))</f>
        <v>Hedges &amp; OCI</v>
      </c>
      <c r="P805" s="170" t="s">
        <v>1186</v>
      </c>
      <c r="Q805" s="123" t="s">
        <v>1187</v>
      </c>
      <c r="R805" s="124">
        <v>0</v>
      </c>
      <c r="S805" s="124">
        <v>0</v>
      </c>
      <c r="T805" s="124">
        <v>1</v>
      </c>
      <c r="U805" s="121">
        <f t="shared" si="322"/>
        <v>0</v>
      </c>
      <c r="V805" s="121">
        <f t="shared" si="323"/>
        <v>0</v>
      </c>
      <c r="W805" s="121">
        <f t="shared" si="324"/>
        <v>805.15783208333403</v>
      </c>
      <c r="X805" s="121">
        <f t="shared" si="325"/>
        <v>805.15783208333403</v>
      </c>
      <c r="Y805" s="121">
        <f t="shared" si="326"/>
        <v>0</v>
      </c>
      <c r="Z805" s="121">
        <f t="shared" si="327"/>
        <v>0</v>
      </c>
      <c r="AA805" s="121">
        <f t="shared" si="328"/>
        <v>760.66737999999998</v>
      </c>
      <c r="AB805" s="121">
        <f t="shared" si="329"/>
        <v>760.66738000000009</v>
      </c>
      <c r="AC805" s="121">
        <v>1828.4382300000002</v>
      </c>
      <c r="AD805" s="121">
        <v>760.66738000000009</v>
      </c>
      <c r="AE805" s="121">
        <v>760.66738000000009</v>
      </c>
      <c r="AF805" s="121">
        <v>760.66738000000009</v>
      </c>
      <c r="AG805" s="121">
        <v>760.66738000000009</v>
      </c>
      <c r="AH805" s="121">
        <v>760.66738000000009</v>
      </c>
      <c r="AI805" s="161">
        <v>760.66738000000009</v>
      </c>
      <c r="AJ805" s="161">
        <v>760.66738000000009</v>
      </c>
      <c r="AK805" s="161">
        <v>760.66738000000009</v>
      </c>
      <c r="AL805" s="161">
        <v>760.66738000000009</v>
      </c>
      <c r="AM805" s="161">
        <v>760.66738000000009</v>
      </c>
      <c r="AN805" s="161">
        <v>760.66738000000009</v>
      </c>
      <c r="AO805" s="161">
        <v>760.66738000000009</v>
      </c>
      <c r="AP805" s="125" t="str">
        <f>CONCATENATE(A805,M805)</f>
        <v>Def TaxN</v>
      </c>
      <c r="AQ805" s="125" t="str">
        <f>CONCATENATE(AP805,L805,H805)</f>
        <v>Def TaxNN5Hedges &amp; OCI</v>
      </c>
      <c r="AS805" s="125" t="str">
        <f>CONCATENATE(L805,H805,J805)</f>
        <v>N5Hedges &amp; OCI</v>
      </c>
    </row>
    <row r="806" spans="1:45" s="125" customFormat="1" ht="25.5" customHeight="1">
      <c r="A806" s="216" t="s">
        <v>1996</v>
      </c>
      <c r="B806" s="217" t="str">
        <f t="shared" si="320"/>
        <v>Def Tax1900000-184.26.01BT010136</v>
      </c>
      <c r="C806" s="186">
        <v>190000</v>
      </c>
      <c r="D806" s="201" t="s">
        <v>2645</v>
      </c>
      <c r="E806" s="162" t="s">
        <v>1408</v>
      </c>
      <c r="F806" s="169" t="s">
        <v>861</v>
      </c>
      <c r="G806" s="117" t="s">
        <v>2646</v>
      </c>
      <c r="H806" s="118" t="s">
        <v>2860</v>
      </c>
      <c r="I806" s="119"/>
      <c r="J806" s="120"/>
      <c r="K806" s="120" t="str">
        <f t="shared" ref="K806:K814" si="330">IF(L806="N3","SFAS-109","")</f>
        <v/>
      </c>
      <c r="L806" s="170" t="s">
        <v>2811</v>
      </c>
      <c r="M806" s="122" t="str">
        <f t="shared" si="321"/>
        <v>N</v>
      </c>
      <c r="N806" s="116" t="str">
        <f>IF($L806&lt;&gt;"",VLOOKUP($L806,Categories!$E:$G,2,FALSE),IF($F806&lt;&gt;"","NO CAT",""))</f>
        <v>Not in Rate Base</v>
      </c>
      <c r="O806" s="116" t="str">
        <f>IF($L806&lt;&gt;"",VLOOKUP($L806,Categories!$E:$G,3,FALSE),IF($F806&lt;&gt;"","NO CAT",""))</f>
        <v>Hedges &amp; OCI</v>
      </c>
      <c r="P806" s="170" t="s">
        <v>1186</v>
      </c>
      <c r="Q806" s="123" t="s">
        <v>1187</v>
      </c>
      <c r="R806" s="124">
        <v>0</v>
      </c>
      <c r="S806" s="124">
        <v>0</v>
      </c>
      <c r="T806" s="124">
        <v>1</v>
      </c>
      <c r="U806" s="121">
        <f t="shared" si="322"/>
        <v>0</v>
      </c>
      <c r="V806" s="121">
        <f t="shared" si="323"/>
        <v>0</v>
      </c>
      <c r="W806" s="121">
        <f t="shared" si="324"/>
        <v>222.64491124999699</v>
      </c>
      <c r="X806" s="121">
        <f t="shared" si="325"/>
        <v>222.64491124999699</v>
      </c>
      <c r="Y806" s="121">
        <f t="shared" si="326"/>
        <v>0</v>
      </c>
      <c r="Z806" s="121">
        <f t="shared" si="327"/>
        <v>0</v>
      </c>
      <c r="AA806" s="121">
        <f t="shared" si="328"/>
        <v>680.71890999999698</v>
      </c>
      <c r="AB806" s="121">
        <f t="shared" si="329"/>
        <v>680.71890999999664</v>
      </c>
      <c r="AC806" s="121">
        <v>165.63119999999671</v>
      </c>
      <c r="AD806" s="121">
        <v>145.84073999999674</v>
      </c>
      <c r="AE806" s="121">
        <v>102.93476999999673</v>
      </c>
      <c r="AF806" s="160">
        <v>126.47066999999673</v>
      </c>
      <c r="AG806" s="160">
        <v>126.78439999999672</v>
      </c>
      <c r="AH806" s="121">
        <v>129.22447999999699</v>
      </c>
      <c r="AI806" s="161">
        <v>87.363909999996721</v>
      </c>
      <c r="AJ806" s="161">
        <v>154.26703999999671</v>
      </c>
      <c r="AK806" s="161">
        <v>186.34632999999673</v>
      </c>
      <c r="AL806" s="161">
        <v>275.44226999999677</v>
      </c>
      <c r="AM806" s="161">
        <v>373.42707999999675</v>
      </c>
      <c r="AN806" s="161">
        <v>540.46218999999667</v>
      </c>
      <c r="AO806" s="161">
        <v>680.71890999999664</v>
      </c>
      <c r="AP806" s="125" t="str">
        <f>CONCATENATE(A806,M806)</f>
        <v>Def TaxN</v>
      </c>
      <c r="AQ806" s="125" t="str">
        <f>CONCATENATE(AP806,L806,H806)</f>
        <v>Def TaxNN5Hedges &amp; OCI</v>
      </c>
      <c r="AS806" s="125" t="str">
        <f>CONCATENATE(L806,H806,J806)</f>
        <v>N5Hedges &amp; OCI</v>
      </c>
    </row>
    <row r="807" spans="1:45" s="125" customFormat="1" ht="25.5" customHeight="1">
      <c r="A807" s="216" t="s">
        <v>1996</v>
      </c>
      <c r="B807" s="217" t="str">
        <f t="shared" ref="B807:B828" si="331">CONCATENATE(A807,C807,D807,E807)</f>
        <v>Def Tax190001AROBT010303</v>
      </c>
      <c r="C807" s="186">
        <v>190001</v>
      </c>
      <c r="D807" s="201" t="s">
        <v>993</v>
      </c>
      <c r="E807" s="162" t="s">
        <v>994</v>
      </c>
      <c r="F807" s="169" t="s">
        <v>861</v>
      </c>
      <c r="G807" s="117" t="s">
        <v>992</v>
      </c>
      <c r="H807" s="118" t="s">
        <v>972</v>
      </c>
      <c r="I807" s="119"/>
      <c r="J807" s="120"/>
      <c r="K807" s="120" t="str">
        <f t="shared" si="330"/>
        <v/>
      </c>
      <c r="L807" s="170" t="s">
        <v>928</v>
      </c>
      <c r="M807" s="122" t="str">
        <f t="shared" ref="M807:M824" si="332">LEFT(L807,1)</f>
        <v>N</v>
      </c>
      <c r="N807" s="116" t="str">
        <f>IF($L807&lt;&gt;"",VLOOKUP($L807,Categories!$E:$G,2,FALSE),IF($F807&lt;&gt;"","NO CAT",""))</f>
        <v>Not in Rate Base</v>
      </c>
      <c r="O807" s="116" t="str">
        <f>IF($L807&lt;&gt;"",VLOOKUP($L807,Categories!$E:$G,3,FALSE),IF($F807&lt;&gt;"","NO CAT",""))</f>
        <v>Direct Assign Items Not in RB</v>
      </c>
      <c r="P807" s="170" t="s">
        <v>1186</v>
      </c>
      <c r="Q807" s="123" t="s">
        <v>1187</v>
      </c>
      <c r="R807" s="124">
        <v>0</v>
      </c>
      <c r="S807" s="124">
        <v>0</v>
      </c>
      <c r="T807" s="124">
        <v>1</v>
      </c>
      <c r="U807" s="121">
        <f t="shared" ref="U807:U818" si="333">IF(ABS(X807)=0,"",IF($R807="NO ALLOC","NO ALLOC",ROUND($R807*X807,15)))</f>
        <v>0</v>
      </c>
      <c r="V807" s="121">
        <f t="shared" ref="V807:V818" si="334">IF(ABS(X807)=0,"",IF($S807="NO ALLOC","NO ALLOC",ROUND($S807*X807,15)))</f>
        <v>0</v>
      </c>
      <c r="W807" s="121">
        <f t="shared" ref="W807:W818" si="335">IF(ABS(X807)=0,"",IF($T807="NO ALLOC","NO ALLOC",ROUND($T807*X807,15)))</f>
        <v>2224.9454616666699</v>
      </c>
      <c r="X807" s="121">
        <f t="shared" si="325"/>
        <v>2224.9454616666699</v>
      </c>
      <c r="Y807" s="121">
        <f t="shared" ref="Y807:Y818" si="336">IF(ABS(AB807)=0,"",IF($R807="NO ALLOC","NO ALLOC",ROUND($R807*AB807,15)))</f>
        <v>0</v>
      </c>
      <c r="Z807" s="121">
        <f t="shared" ref="Z807:Z818" si="337">IF(ABS(AB807)=0,"",IF($S807="NO ALLOC","NO ALLOC",ROUND($S807*AB807,15)))</f>
        <v>0</v>
      </c>
      <c r="AA807" s="121">
        <f t="shared" ref="AA807:AA818" si="338">IF(ABS(AB807)=0,"",IF($T807="NO ALLOC","NO ALLOC",ROUND($T807*AB807,15)))</f>
        <v>2218.2527599999999</v>
      </c>
      <c r="AB807" s="121">
        <f t="shared" si="329"/>
        <v>2218.2527599999999</v>
      </c>
      <c r="AC807" s="121">
        <v>2177.4327199999998</v>
      </c>
      <c r="AD807" s="121">
        <v>2186.7371699999999</v>
      </c>
      <c r="AE807" s="121">
        <v>2196.0813800000001</v>
      </c>
      <c r="AF807" s="121">
        <v>2205.46551</v>
      </c>
      <c r="AG807" s="121">
        <v>2214.8897499999998</v>
      </c>
      <c r="AH807" s="121">
        <v>2224.3542599999996</v>
      </c>
      <c r="AI807" s="161">
        <v>2233.8592100000001</v>
      </c>
      <c r="AJ807" s="161">
        <v>2243.4047799999998</v>
      </c>
      <c r="AK807" s="161">
        <v>2252.9911499999998</v>
      </c>
      <c r="AL807" s="161">
        <v>2262.6184600000001</v>
      </c>
      <c r="AM807" s="161">
        <v>2272.28692</v>
      </c>
      <c r="AN807" s="161">
        <v>2208.81421</v>
      </c>
      <c r="AO807" s="161">
        <v>2218.2527599999999</v>
      </c>
      <c r="AP807" s="125" t="str">
        <f>CONCATENATE(A807,M807)</f>
        <v>Def TaxN</v>
      </c>
      <c r="AQ807" s="125" t="str">
        <f>CONCATENATE(AP807,L807,H807)</f>
        <v>Def TaxNN2Asset Retirement Obligation</v>
      </c>
      <c r="AS807" s="125" t="str">
        <f>CONCATENATE(L807,H807,J807)</f>
        <v>N2Asset Retirement Obligation</v>
      </c>
    </row>
    <row r="808" spans="1:45" s="125" customFormat="1" ht="25.5" customHeight="1">
      <c r="A808" s="216" t="s">
        <v>1996</v>
      </c>
      <c r="B808" s="217" t="str">
        <f>CONCATENATE(A808,C808,D808,E808)</f>
        <v>Def Tax190001BT010041</v>
      </c>
      <c r="C808" s="186">
        <v>190001</v>
      </c>
      <c r="D808" s="201"/>
      <c r="E808" s="162" t="s">
        <v>4436</v>
      </c>
      <c r="F808" s="169" t="s">
        <v>861</v>
      </c>
      <c r="G808" s="117" t="s">
        <v>4421</v>
      </c>
      <c r="H808" s="118" t="s">
        <v>4435</v>
      </c>
      <c r="I808" s="119"/>
      <c r="J808" s="120"/>
      <c r="K808" s="120" t="str">
        <f>IF(L808="N3","SFAS-109","")</f>
        <v/>
      </c>
      <c r="L808" s="170" t="s">
        <v>1895</v>
      </c>
      <c r="M808" s="122" t="str">
        <f>LEFT(L808,1)</f>
        <v>R</v>
      </c>
      <c r="N808" s="116" t="str">
        <f>IF($L808&lt;&gt;"",VLOOKUP($L808,Categories!$E:$G,2,FALSE),IF($F808&lt;&gt;"","NO CAT",""))</f>
        <v>Rate Base</v>
      </c>
      <c r="O808" s="116" t="str">
        <f>IF($L808&lt;&gt;"",VLOOKUP($L808,Categories!$E:$G,3,FALSE),IF($F808&lt;&gt;"","NO CAT",""))</f>
        <v>Deferred Income Taxes</v>
      </c>
      <c r="P808" s="170" t="s">
        <v>1183</v>
      </c>
      <c r="Q808" s="123" t="s">
        <v>1177</v>
      </c>
      <c r="R808" s="124">
        <v>1</v>
      </c>
      <c r="S808" s="124">
        <v>0</v>
      </c>
      <c r="T808" s="124">
        <v>0</v>
      </c>
      <c r="U808" s="121">
        <f>IF(ABS(X808)=0,"",IF($R808="NO ALLOC","NO ALLOC",ROUND($R808*X808,15)))</f>
        <v>223.73246</v>
      </c>
      <c r="V808" s="121">
        <f>IF(ABS(X808)=0,"",IF($S808="NO ALLOC","NO ALLOC",ROUND($S808*X808,15)))</f>
        <v>0</v>
      </c>
      <c r="W808" s="121">
        <f>IF(ABS(X808)=0,"",IF($T808="NO ALLOC","NO ALLOC",ROUND($T808*X808,15)))</f>
        <v>0</v>
      </c>
      <c r="X808" s="121">
        <f t="shared" si="325"/>
        <v>223.73246</v>
      </c>
      <c r="Y808" s="121">
        <f>IF(ABS(AB808)=0,"",IF($R808="NO ALLOC","NO ALLOC",ROUND($R808*AB808,15)))</f>
        <v>223.73246</v>
      </c>
      <c r="Z808" s="121">
        <f>IF(ABS(AB808)=0,"",IF($S808="NO ALLOC","NO ALLOC",ROUND($S808*AB808,15)))</f>
        <v>0</v>
      </c>
      <c r="AA808" s="121">
        <f>IF(ABS(AB808)=0,"",IF($T808="NO ALLOC","NO ALLOC",ROUND($T808*AB808,15)))</f>
        <v>0</v>
      </c>
      <c r="AB808" s="121">
        <f t="shared" si="329"/>
        <v>223.73246</v>
      </c>
      <c r="AC808" s="121">
        <v>223.73246</v>
      </c>
      <c r="AD808" s="121">
        <v>223.73246</v>
      </c>
      <c r="AE808" s="121">
        <v>223.73246</v>
      </c>
      <c r="AF808" s="121">
        <v>223.73246</v>
      </c>
      <c r="AG808" s="121">
        <v>223.73246</v>
      </c>
      <c r="AH808" s="121">
        <v>223.73246</v>
      </c>
      <c r="AI808" s="161">
        <v>223.73246</v>
      </c>
      <c r="AJ808" s="161">
        <v>223.73246</v>
      </c>
      <c r="AK808" s="161">
        <v>223.73246</v>
      </c>
      <c r="AL808" s="161">
        <v>223.73246</v>
      </c>
      <c r="AM808" s="161">
        <v>223.73246</v>
      </c>
      <c r="AN808" s="161">
        <v>223.73246</v>
      </c>
      <c r="AO808" s="161">
        <v>223.73246</v>
      </c>
      <c r="AP808" s="125" t="str">
        <f>CONCATENATE(A808,M808)</f>
        <v>Def TaxR</v>
      </c>
      <c r="AQ808" s="125" t="str">
        <f>CONCATENATE(AP808,L808,H808)</f>
        <v>Def TaxRR11Contract Reserve</v>
      </c>
      <c r="AS808" s="125" t="str">
        <f>CONCATENATE(L808,H808,J808)</f>
        <v>R11Contract Reserve</v>
      </c>
    </row>
    <row r="809" spans="1:45" s="125" customFormat="1" ht="25.5" customHeight="1">
      <c r="A809" s="216" t="s">
        <v>1996</v>
      </c>
      <c r="B809" s="217" t="str">
        <f t="shared" si="331"/>
        <v>Def Tax1900010-183.88.00BT010043</v>
      </c>
      <c r="C809" s="186">
        <v>190001</v>
      </c>
      <c r="D809" s="201" t="s">
        <v>217</v>
      </c>
      <c r="E809" s="162" t="s">
        <v>615</v>
      </c>
      <c r="F809" s="169" t="s">
        <v>861</v>
      </c>
      <c r="G809" s="117" t="s">
        <v>1474</v>
      </c>
      <c r="H809" s="118" t="s">
        <v>218</v>
      </c>
      <c r="I809" s="119"/>
      <c r="J809" s="120"/>
      <c r="K809" s="120" t="str">
        <f t="shared" si="330"/>
        <v/>
      </c>
      <c r="L809" s="170" t="s">
        <v>1895</v>
      </c>
      <c r="M809" s="122" t="str">
        <f t="shared" si="332"/>
        <v>R</v>
      </c>
      <c r="N809" s="116" t="str">
        <f>IF($L809&lt;&gt;"",VLOOKUP($L809,Categories!$E:$G,2,FALSE),IF($F809&lt;&gt;"","NO CAT",""))</f>
        <v>Rate Base</v>
      </c>
      <c r="O809" s="116" t="str">
        <f>IF($L809&lt;&gt;"",VLOOKUP($L809,Categories!$E:$G,3,FALSE),IF($F809&lt;&gt;"","NO CAT",""))</f>
        <v>Deferred Income Taxes</v>
      </c>
      <c r="P809" s="170" t="s">
        <v>1183</v>
      </c>
      <c r="Q809" s="123" t="s">
        <v>1177</v>
      </c>
      <c r="R809" s="124">
        <v>1</v>
      </c>
      <c r="S809" s="124">
        <v>0</v>
      </c>
      <c r="T809" s="124">
        <v>0</v>
      </c>
      <c r="U809" s="121">
        <f t="shared" si="333"/>
        <v>-8.1959999999999994E-12</v>
      </c>
      <c r="V809" s="121">
        <f t="shared" si="334"/>
        <v>0</v>
      </c>
      <c r="W809" s="121">
        <f t="shared" si="335"/>
        <v>0</v>
      </c>
      <c r="X809" s="121">
        <f t="shared" si="325"/>
        <v>-8.1959999999999994E-12</v>
      </c>
      <c r="Y809" s="121">
        <f t="shared" si="336"/>
        <v>-8.1959999999999994E-12</v>
      </c>
      <c r="Z809" s="121">
        <f t="shared" si="337"/>
        <v>0</v>
      </c>
      <c r="AA809" s="121">
        <f t="shared" si="338"/>
        <v>0</v>
      </c>
      <c r="AB809" s="121">
        <f t="shared" si="329"/>
        <v>-8.1956386677184406E-12</v>
      </c>
      <c r="AC809" s="121">
        <v>-8.1956386677184406E-12</v>
      </c>
      <c r="AD809" s="121">
        <v>-8.1956386677184406E-12</v>
      </c>
      <c r="AE809" s="121">
        <v>-8.1956386677184406E-12</v>
      </c>
      <c r="AF809" s="121">
        <v>-8.1956386677184406E-12</v>
      </c>
      <c r="AG809" s="121">
        <v>-8.1956386677184406E-12</v>
      </c>
      <c r="AH809" s="121">
        <v>-8.1956386677184406E-12</v>
      </c>
      <c r="AI809" s="161">
        <v>-8.1956386677184406E-12</v>
      </c>
      <c r="AJ809" s="161">
        <v>-8.1956386677184406E-12</v>
      </c>
      <c r="AK809" s="161">
        <v>-8.1956386677184406E-12</v>
      </c>
      <c r="AL809" s="161">
        <v>-8.1956386677184406E-12</v>
      </c>
      <c r="AM809" s="161">
        <v>-8.1956386677184406E-12</v>
      </c>
      <c r="AN809" s="161">
        <v>-8.1956386677184406E-12</v>
      </c>
      <c r="AO809" s="161">
        <v>-8.1956386677184406E-12</v>
      </c>
      <c r="AP809" s="125" t="str">
        <f>CONCATENATE(A809,M809)</f>
        <v>Def TaxR</v>
      </c>
      <c r="AQ809" s="125" t="str">
        <f>CONCATENATE(AP809,L809,H809)</f>
        <v>Def TaxRR11Contributions in Aid of Construction</v>
      </c>
      <c r="AS809" s="125" t="str">
        <f>CONCATENATE(L809,H809,J809)</f>
        <v>R11Contributions in Aid of Construction</v>
      </c>
    </row>
    <row r="810" spans="1:45" s="125" customFormat="1" ht="25.5" customHeight="1">
      <c r="A810" s="216" t="s">
        <v>1996</v>
      </c>
      <c r="B810" s="217" t="str">
        <f t="shared" si="331"/>
        <v>Def Tax190001Reacq Debt AdjBDEFAULT</v>
      </c>
      <c r="C810" s="186">
        <v>190001</v>
      </c>
      <c r="D810" s="201" t="s">
        <v>427</v>
      </c>
      <c r="E810" s="162" t="s">
        <v>1569</v>
      </c>
      <c r="F810" s="169" t="s">
        <v>861</v>
      </c>
      <c r="G810" s="117" t="s">
        <v>426</v>
      </c>
      <c r="H810" s="118" t="s">
        <v>45</v>
      </c>
      <c r="I810" s="119"/>
      <c r="J810" s="120"/>
      <c r="K810" s="120" t="str">
        <f t="shared" si="330"/>
        <v/>
      </c>
      <c r="L810" s="170" t="s">
        <v>1895</v>
      </c>
      <c r="M810" s="122" t="str">
        <f t="shared" si="332"/>
        <v>R</v>
      </c>
      <c r="N810" s="116" t="str">
        <f>IF($L810&lt;&gt;"",VLOOKUP($L810,Categories!$E:$G,2,FALSE),IF($F810&lt;&gt;"","NO CAT",""))</f>
        <v>Rate Base</v>
      </c>
      <c r="O810" s="116" t="str">
        <f>IF($L810&lt;&gt;"",VLOOKUP($L810,Categories!$E:$G,3,FALSE),IF($F810&lt;&gt;"","NO CAT",""))</f>
        <v>Deferred Income Taxes</v>
      </c>
      <c r="P810" s="170" t="s">
        <v>1183</v>
      </c>
      <c r="Q810" s="123" t="s">
        <v>1177</v>
      </c>
      <c r="R810" s="124">
        <v>1</v>
      </c>
      <c r="S810" s="124">
        <v>0</v>
      </c>
      <c r="T810" s="124">
        <v>0</v>
      </c>
      <c r="U810" s="121">
        <f t="shared" si="333"/>
        <v>800.39256999999998</v>
      </c>
      <c r="V810" s="121">
        <f t="shared" si="334"/>
        <v>0</v>
      </c>
      <c r="W810" s="121">
        <f t="shared" si="335"/>
        <v>0</v>
      </c>
      <c r="X810" s="121">
        <f t="shared" si="325"/>
        <v>800.39256999999998</v>
      </c>
      <c r="Y810" s="121">
        <f t="shared" si="336"/>
        <v>800.39256999999998</v>
      </c>
      <c r="Z810" s="121">
        <f t="shared" si="337"/>
        <v>0</v>
      </c>
      <c r="AA810" s="121">
        <f t="shared" si="338"/>
        <v>0</v>
      </c>
      <c r="AB810" s="121">
        <f>IF(AO810="",0,+AO810)</f>
        <v>800.39257000000032</v>
      </c>
      <c r="AC810" s="121">
        <v>800.39257000000032</v>
      </c>
      <c r="AD810" s="121">
        <v>800.39257000000032</v>
      </c>
      <c r="AE810" s="121">
        <v>800.39257000000032</v>
      </c>
      <c r="AF810" s="121">
        <v>800.39257000000032</v>
      </c>
      <c r="AG810" s="121">
        <v>800.39257000000032</v>
      </c>
      <c r="AH810" s="121">
        <v>800.39257000000032</v>
      </c>
      <c r="AI810" s="161">
        <v>800.39257000000032</v>
      </c>
      <c r="AJ810" s="161">
        <v>800.39257000000032</v>
      </c>
      <c r="AK810" s="161">
        <v>800.39257000000032</v>
      </c>
      <c r="AL810" s="161">
        <v>800.39257000000032</v>
      </c>
      <c r="AM810" s="161">
        <v>800.39257000000032</v>
      </c>
      <c r="AN810" s="161">
        <v>800.39257000000032</v>
      </c>
      <c r="AO810" s="161">
        <v>800.39257000000032</v>
      </c>
      <c r="AP810" s="125" t="str">
        <f>CONCATENATE(A810,M810)</f>
        <v>Def TaxR</v>
      </c>
      <c r="AQ810" s="125" t="str">
        <f>CONCATENATE(AP810,L810,H810)</f>
        <v>Def TaxRR11Gain / Loss on Reacquired Debt</v>
      </c>
      <c r="AS810" s="125" t="str">
        <f>CONCATENATE(L810,H810,J810)</f>
        <v>R11Gain / Loss on Reacquired Debt</v>
      </c>
    </row>
    <row r="811" spans="1:45" s="125" customFormat="1" ht="25.5" customHeight="1">
      <c r="A811" s="216" t="s">
        <v>1996</v>
      </c>
      <c r="B811" s="217" t="str">
        <f t="shared" si="331"/>
        <v>Def Tax190001182.18.01/183.39.00BT010049</v>
      </c>
      <c r="C811" s="186">
        <v>190001</v>
      </c>
      <c r="D811" s="201" t="s">
        <v>957</v>
      </c>
      <c r="E811" s="162" t="s">
        <v>1744</v>
      </c>
      <c r="F811" s="169" t="s">
        <v>861</v>
      </c>
      <c r="G811" s="117" t="s">
        <v>2512</v>
      </c>
      <c r="H811" s="118" t="s">
        <v>1218</v>
      </c>
      <c r="I811" s="119"/>
      <c r="J811" s="120"/>
      <c r="K811" s="120" t="str">
        <f t="shared" si="330"/>
        <v/>
      </c>
      <c r="L811" s="170" t="s">
        <v>1419</v>
      </c>
      <c r="M811" s="122" t="str">
        <f t="shared" si="332"/>
        <v>A</v>
      </c>
      <c r="N811" s="116" t="str">
        <f>IF($L811&lt;&gt;"",VLOOKUP($L811,Categories!$E:$G,2,FALSE),IF($F811&lt;&gt;"","NO CAT",""))</f>
        <v>All Other</v>
      </c>
      <c r="O811" s="116" t="str">
        <f>IF($L811&lt;&gt;"",VLOOKUP($L811,Categories!$E:$G,3,FALSE),IF($F811&lt;&gt;"","NO CAT",""))</f>
        <v>EB-Cap</v>
      </c>
      <c r="P811" s="170" t="s">
        <v>1557</v>
      </c>
      <c r="Q811" s="123" t="s">
        <v>1891</v>
      </c>
      <c r="R811" s="124">
        <v>0.77544352505021785</v>
      </c>
      <c r="S811" s="124">
        <v>0.22455647494978223</v>
      </c>
      <c r="T811" s="124">
        <v>0</v>
      </c>
      <c r="U811" s="121">
        <f t="shared" si="333"/>
        <v>4E-14</v>
      </c>
      <c r="V811" s="121">
        <f t="shared" si="334"/>
        <v>1.1E-14</v>
      </c>
      <c r="W811" s="121">
        <f t="shared" si="335"/>
        <v>0</v>
      </c>
      <c r="X811" s="121">
        <f t="shared" si="325"/>
        <v>5.0999999999999997E-14</v>
      </c>
      <c r="Y811" s="121">
        <f t="shared" si="336"/>
        <v>4E-14</v>
      </c>
      <c r="Z811" s="121">
        <f t="shared" si="337"/>
        <v>1.1999999999999999E-14</v>
      </c>
      <c r="AA811" s="121">
        <f t="shared" si="338"/>
        <v>0</v>
      </c>
      <c r="AB811" s="121">
        <f t="shared" si="329"/>
        <v>5.1222692754038234E-14</v>
      </c>
      <c r="AC811" s="121">
        <v>5.1222692754038234E-14</v>
      </c>
      <c r="AD811" s="121">
        <v>5.1222692754038234E-14</v>
      </c>
      <c r="AE811" s="121">
        <v>5.1222692754038234E-14</v>
      </c>
      <c r="AF811" s="121">
        <v>5.1222692754038234E-14</v>
      </c>
      <c r="AG811" s="121">
        <v>5.1222692754038234E-14</v>
      </c>
      <c r="AH811" s="121">
        <v>5.1222692754038234E-14</v>
      </c>
      <c r="AI811" s="161">
        <v>5.1222692754038234E-14</v>
      </c>
      <c r="AJ811" s="161">
        <v>5.1222692754038234E-14</v>
      </c>
      <c r="AK811" s="161">
        <v>5.1222692754038234E-14</v>
      </c>
      <c r="AL811" s="161">
        <v>5.1222692754038234E-14</v>
      </c>
      <c r="AM811" s="161">
        <v>5.1222692754038234E-14</v>
      </c>
      <c r="AN811" s="161">
        <v>5.1222692754038234E-14</v>
      </c>
      <c r="AO811" s="161">
        <v>5.1222692754038234E-14</v>
      </c>
      <c r="AP811" s="125" t="str">
        <f>CONCATENATE(A811,M811)</f>
        <v>Def TaxA</v>
      </c>
      <c r="AQ811" s="125" t="str">
        <f>CONCATENATE(AP811,L811,H811)</f>
        <v>Def TaxAA2Tracks 253040</v>
      </c>
      <c r="AS811" s="125" t="str">
        <f>CONCATENATE(L811,H811,J811)</f>
        <v>A2Tracks 253040</v>
      </c>
    </row>
    <row r="812" spans="1:45" s="125" customFormat="1" ht="25.5" customHeight="1">
      <c r="A812" s="216" t="s">
        <v>1996</v>
      </c>
      <c r="B812" s="217" t="str">
        <f t="shared" si="331"/>
        <v>Def Tax1900010-183.80.00BT010120</v>
      </c>
      <c r="C812" s="186">
        <v>190001</v>
      </c>
      <c r="D812" s="201" t="s">
        <v>2226</v>
      </c>
      <c r="E812" s="162" t="s">
        <v>352</v>
      </c>
      <c r="F812" s="169" t="s">
        <v>861</v>
      </c>
      <c r="G812" s="117" t="s">
        <v>2521</v>
      </c>
      <c r="H812" s="118" t="s">
        <v>713</v>
      </c>
      <c r="I812" s="119"/>
      <c r="J812" s="120"/>
      <c r="K812" s="120" t="str">
        <f t="shared" si="330"/>
        <v/>
      </c>
      <c r="L812" s="170" t="s">
        <v>1895</v>
      </c>
      <c r="M812" s="122" t="str">
        <f t="shared" si="332"/>
        <v>R</v>
      </c>
      <c r="N812" s="116" t="str">
        <f>IF($L812&lt;&gt;"",VLOOKUP($L812,Categories!$E:$G,2,FALSE),IF($F812&lt;&gt;"","NO CAT",""))</f>
        <v>Rate Base</v>
      </c>
      <c r="O812" s="116" t="str">
        <f>IF($L812&lt;&gt;"",VLOOKUP($L812,Categories!$E:$G,3,FALSE),IF($F812&lt;&gt;"","NO CAT",""))</f>
        <v>Deferred Income Taxes</v>
      </c>
      <c r="P812" s="170" t="s">
        <v>1183</v>
      </c>
      <c r="Q812" s="123" t="s">
        <v>1177</v>
      </c>
      <c r="R812" s="124">
        <v>1</v>
      </c>
      <c r="S812" s="124">
        <v>0</v>
      </c>
      <c r="T812" s="124">
        <v>0</v>
      </c>
      <c r="U812" s="121">
        <f t="shared" si="333"/>
        <v>4457.1183737500096</v>
      </c>
      <c r="V812" s="121">
        <f t="shared" si="334"/>
        <v>0</v>
      </c>
      <c r="W812" s="121">
        <f t="shared" si="335"/>
        <v>0</v>
      </c>
      <c r="X812" s="121">
        <f t="shared" si="325"/>
        <v>4457.1183737500096</v>
      </c>
      <c r="Y812" s="121">
        <f t="shared" si="336"/>
        <v>4399.7168700000102</v>
      </c>
      <c r="Z812" s="121">
        <f t="shared" si="337"/>
        <v>0</v>
      </c>
      <c r="AA812" s="121">
        <f t="shared" si="338"/>
        <v>0</v>
      </c>
      <c r="AB812" s="121">
        <f t="shared" si="329"/>
        <v>4399.7168700000066</v>
      </c>
      <c r="AC812" s="121">
        <v>4524.9565200000052</v>
      </c>
      <c r="AD812" s="121">
        <v>4513.5711000000056</v>
      </c>
      <c r="AE812" s="121">
        <v>4502.1856700000053</v>
      </c>
      <c r="AF812" s="121">
        <v>4490.8002500000057</v>
      </c>
      <c r="AG812" s="121">
        <v>4479.4148300000061</v>
      </c>
      <c r="AH812" s="121">
        <v>4468.0294000000058</v>
      </c>
      <c r="AI812" s="161">
        <v>4456.6439800000062</v>
      </c>
      <c r="AJ812" s="161">
        <v>4445.2585600000057</v>
      </c>
      <c r="AK812" s="161">
        <v>4433.8731300000063</v>
      </c>
      <c r="AL812" s="161">
        <v>4422.4877100000067</v>
      </c>
      <c r="AM812" s="161">
        <v>4411.1022900000062</v>
      </c>
      <c r="AN812" s="161">
        <v>4399.7168700000066</v>
      </c>
      <c r="AO812" s="161">
        <v>4399.7168700000066</v>
      </c>
      <c r="AP812" s="125" t="str">
        <f>CONCATENATE(A812,M812)</f>
        <v>Def TaxR</v>
      </c>
      <c r="AQ812" s="125" t="str">
        <f>CONCATENATE(AP812,L812,H812)</f>
        <v>Def TaxRR11Marcy South</v>
      </c>
      <c r="AS812" s="125" t="str">
        <f>CONCATENATE(L812,H812,J812)</f>
        <v>R11Marcy South</v>
      </c>
    </row>
    <row r="813" spans="1:45" s="125" customFormat="1" ht="25.5" customHeight="1">
      <c r="A813" s="216" t="s">
        <v>1996</v>
      </c>
      <c r="B813" s="217" t="str">
        <f t="shared" si="331"/>
        <v>Def Tax1900010-184.22.28BT010226</v>
      </c>
      <c r="C813" s="186">
        <v>190001</v>
      </c>
      <c r="D813" s="201" t="s">
        <v>136</v>
      </c>
      <c r="E813" s="162" t="s">
        <v>985</v>
      </c>
      <c r="F813" s="169" t="s">
        <v>861</v>
      </c>
      <c r="G813" s="117" t="s">
        <v>137</v>
      </c>
      <c r="H813" s="118" t="s">
        <v>2496</v>
      </c>
      <c r="I813" s="119"/>
      <c r="J813" s="120"/>
      <c r="K813" s="120" t="str">
        <f t="shared" si="330"/>
        <v/>
      </c>
      <c r="L813" s="170" t="s">
        <v>1419</v>
      </c>
      <c r="M813" s="122" t="str">
        <f t="shared" si="332"/>
        <v>A</v>
      </c>
      <c r="N813" s="116" t="str">
        <f>IF($L813&lt;&gt;"",VLOOKUP($L813,Categories!$E:$G,2,FALSE),IF($F813&lt;&gt;"","NO CAT",""))</f>
        <v>All Other</v>
      </c>
      <c r="O813" s="116" t="str">
        <f>IF($L813&lt;&gt;"",VLOOKUP($L813,Categories!$E:$G,3,FALSE),IF($F813&lt;&gt;"","NO CAT",""))</f>
        <v>EB-Cap</v>
      </c>
      <c r="P813" s="170" t="s">
        <v>1557</v>
      </c>
      <c r="Q813" s="123" t="s">
        <v>1891</v>
      </c>
      <c r="R813" s="124">
        <v>0.77544352505021785</v>
      </c>
      <c r="S813" s="124">
        <v>0.22455647494978223</v>
      </c>
      <c r="T813" s="124">
        <v>0</v>
      </c>
      <c r="U813" s="121">
        <f t="shared" si="333"/>
        <v>3.7477185565676998</v>
      </c>
      <c r="V813" s="121">
        <f t="shared" si="334"/>
        <v>1.0852814434322999</v>
      </c>
      <c r="W813" s="121">
        <f t="shared" si="335"/>
        <v>0</v>
      </c>
      <c r="X813" s="121">
        <f t="shared" si="325"/>
        <v>4.8330000000000002</v>
      </c>
      <c r="Y813" s="121">
        <f t="shared" si="336"/>
        <v>3.7477185565676998</v>
      </c>
      <c r="Z813" s="121">
        <f t="shared" si="337"/>
        <v>1.0852814434322999</v>
      </c>
      <c r="AA813" s="121">
        <f t="shared" si="338"/>
        <v>0</v>
      </c>
      <c r="AB813" s="121">
        <f t="shared" si="329"/>
        <v>4.8330000000000002</v>
      </c>
      <c r="AC813" s="121">
        <v>4.8330000000000002</v>
      </c>
      <c r="AD813" s="121">
        <v>4.8330000000000002</v>
      </c>
      <c r="AE813" s="121">
        <v>4.8330000000000002</v>
      </c>
      <c r="AF813" s="121">
        <v>4.8330000000000002</v>
      </c>
      <c r="AG813" s="121">
        <v>4.8330000000000002</v>
      </c>
      <c r="AH813" s="121">
        <v>4.8330000000000002</v>
      </c>
      <c r="AI813" s="161">
        <v>4.8330000000000002</v>
      </c>
      <c r="AJ813" s="161">
        <v>4.8330000000000002</v>
      </c>
      <c r="AK813" s="161">
        <v>4.8330000000000002</v>
      </c>
      <c r="AL813" s="161">
        <v>4.8330000000000002</v>
      </c>
      <c r="AM813" s="161">
        <v>4.8330000000000002</v>
      </c>
      <c r="AN813" s="161">
        <v>4.8330000000000002</v>
      </c>
      <c r="AO813" s="161">
        <v>4.8330000000000002</v>
      </c>
      <c r="AP813" s="125" t="str">
        <f>CONCATENATE(A813,M813)</f>
        <v>Def TaxA</v>
      </c>
      <c r="AQ813" s="125" t="str">
        <f>CONCATENATE(AP813,L813,H813)</f>
        <v>Def TaxAA2System Benefits Charge</v>
      </c>
      <c r="AS813" s="125" t="str">
        <f>CONCATENATE(L813,H813,J813)</f>
        <v>A2System Benefits Charge</v>
      </c>
    </row>
    <row r="814" spans="1:45" s="125" customFormat="1" ht="25.5" customHeight="1">
      <c r="A814" s="216" t="s">
        <v>1996</v>
      </c>
      <c r="B814" s="217" t="str">
        <f t="shared" si="331"/>
        <v>Def Tax190001AEIPBT010356</v>
      </c>
      <c r="C814" s="186">
        <v>190001</v>
      </c>
      <c r="D814" s="201" t="s">
        <v>1432</v>
      </c>
      <c r="E814" s="162" t="s">
        <v>2700</v>
      </c>
      <c r="F814" s="169" t="s">
        <v>861</v>
      </c>
      <c r="G814" s="117" t="s">
        <v>1009</v>
      </c>
      <c r="H814" s="118" t="s">
        <v>790</v>
      </c>
      <c r="I814" s="119"/>
      <c r="J814" s="120"/>
      <c r="K814" s="120" t="str">
        <f t="shared" si="330"/>
        <v/>
      </c>
      <c r="L814" s="170" t="s">
        <v>928</v>
      </c>
      <c r="M814" s="122" t="str">
        <f t="shared" si="332"/>
        <v>N</v>
      </c>
      <c r="N814" s="116" t="str">
        <f>IF($L814&lt;&gt;"",VLOOKUP($L814,Categories!$E:$G,2,FALSE),IF($F814&lt;&gt;"","NO CAT",""))</f>
        <v>Not in Rate Base</v>
      </c>
      <c r="O814" s="116" t="str">
        <f>IF($L814&lt;&gt;"",VLOOKUP($L814,Categories!$E:$G,3,FALSE),IF($F814&lt;&gt;"","NO CAT",""))</f>
        <v>Direct Assign Items Not in RB</v>
      </c>
      <c r="P814" s="170" t="s">
        <v>1186</v>
      </c>
      <c r="Q814" s="123" t="s">
        <v>1187</v>
      </c>
      <c r="R814" s="124">
        <v>0</v>
      </c>
      <c r="S814" s="124">
        <v>0</v>
      </c>
      <c r="T814" s="124">
        <v>1</v>
      </c>
      <c r="U814" s="121" t="str">
        <f t="shared" si="333"/>
        <v/>
      </c>
      <c r="V814" s="121" t="str">
        <f t="shared" si="334"/>
        <v/>
      </c>
      <c r="W814" s="121" t="str">
        <f t="shared" si="335"/>
        <v/>
      </c>
      <c r="X814" s="121">
        <f t="shared" si="325"/>
        <v>0</v>
      </c>
      <c r="Y814" s="121" t="str">
        <f t="shared" si="336"/>
        <v/>
      </c>
      <c r="Z814" s="121" t="str">
        <f t="shared" si="337"/>
        <v/>
      </c>
      <c r="AA814" s="121" t="str">
        <f t="shared" si="338"/>
        <v/>
      </c>
      <c r="AB814" s="121">
        <f t="shared" si="329"/>
        <v>0</v>
      </c>
      <c r="AC814" s="121">
        <v>0</v>
      </c>
      <c r="AD814" s="121">
        <v>0</v>
      </c>
      <c r="AE814" s="121">
        <v>0</v>
      </c>
      <c r="AF814" s="121">
        <v>0</v>
      </c>
      <c r="AG814" s="121">
        <v>0</v>
      </c>
      <c r="AH814" s="121">
        <v>0</v>
      </c>
      <c r="AI814" s="161">
        <v>0</v>
      </c>
      <c r="AJ814" s="161">
        <f t="shared" ref="AJ814:AK816" si="339">IF(AI814=0,0,0)</f>
        <v>0</v>
      </c>
      <c r="AK814" s="161">
        <f t="shared" si="339"/>
        <v>0</v>
      </c>
      <c r="AL814" s="161">
        <v>0</v>
      </c>
      <c r="AM814" s="161">
        <v>0</v>
      </c>
      <c r="AN814" s="161">
        <v>0</v>
      </c>
      <c r="AO814" s="161">
        <v>0</v>
      </c>
      <c r="AP814" s="125" t="str">
        <f>CONCATENATE(A814,M814)</f>
        <v>Def TaxN</v>
      </c>
      <c r="AQ814" s="125" t="str">
        <f>CONCATENATE(AP814,L814,H814)</f>
        <v>Def TaxNN2Executive Compensation</v>
      </c>
      <c r="AS814" s="125" t="str">
        <f>CONCATENATE(L814,H814,J814)</f>
        <v>N2Executive Compensation</v>
      </c>
    </row>
    <row r="815" spans="1:45" s="125" customFormat="1" ht="25.5" customHeight="1">
      <c r="A815" s="216" t="s">
        <v>1996</v>
      </c>
      <c r="B815" s="217" t="str">
        <f t="shared" si="331"/>
        <v>Def Tax190001Env OLBT010071</v>
      </c>
      <c r="C815" s="186">
        <v>190001</v>
      </c>
      <c r="D815" s="201" t="s">
        <v>75</v>
      </c>
      <c r="E815" s="162" t="s">
        <v>222</v>
      </c>
      <c r="F815" s="169" t="s">
        <v>861</v>
      </c>
      <c r="G815" s="117" t="s">
        <v>74</v>
      </c>
      <c r="H815" s="118" t="s">
        <v>2369</v>
      </c>
      <c r="I815" s="119"/>
      <c r="J815" s="120"/>
      <c r="K815" s="120" t="str">
        <f t="shared" ref="K815" si="340">IF(L815="N3","SFAS-109","")</f>
        <v/>
      </c>
      <c r="L815" s="170" t="s">
        <v>928</v>
      </c>
      <c r="M815" s="122" t="str">
        <f t="shared" si="332"/>
        <v>N</v>
      </c>
      <c r="N815" s="116" t="str">
        <f>IF($L815&lt;&gt;"",VLOOKUP($L815,Categories!$E:$G,2,FALSE),IF($F815&lt;&gt;"","NO CAT",""))</f>
        <v>Not in Rate Base</v>
      </c>
      <c r="O815" s="116" t="str">
        <f>IF($L815&lt;&gt;"",VLOOKUP($L815,Categories!$E:$G,3,FALSE),IF($F815&lt;&gt;"","NO CAT",""))</f>
        <v>Direct Assign Items Not in RB</v>
      </c>
      <c r="P815" s="170" t="s">
        <v>1186</v>
      </c>
      <c r="Q815" s="123" t="s">
        <v>1187</v>
      </c>
      <c r="R815" s="124">
        <v>0</v>
      </c>
      <c r="S815" s="124">
        <v>0</v>
      </c>
      <c r="T815" s="124">
        <v>1</v>
      </c>
      <c r="U815" s="121">
        <f t="shared" si="333"/>
        <v>0</v>
      </c>
      <c r="V815" s="121">
        <f t="shared" si="334"/>
        <v>0</v>
      </c>
      <c r="W815" s="121">
        <f t="shared" si="335"/>
        <v>42274.236154166698</v>
      </c>
      <c r="X815" s="121">
        <f t="shared" si="325"/>
        <v>42274.236154166698</v>
      </c>
      <c r="Y815" s="121">
        <f t="shared" si="336"/>
        <v>0</v>
      </c>
      <c r="Z815" s="121">
        <f t="shared" si="337"/>
        <v>0</v>
      </c>
      <c r="AA815" s="121">
        <f t="shared" si="338"/>
        <v>49743.6</v>
      </c>
      <c r="AB815" s="121">
        <f t="shared" si="329"/>
        <v>49743.600000000006</v>
      </c>
      <c r="AC815" s="121">
        <v>31851.813999999998</v>
      </c>
      <c r="AD815" s="121">
        <v>31851.813999999998</v>
      </c>
      <c r="AE815" s="121">
        <v>31851.813999999998</v>
      </c>
      <c r="AF815" s="121">
        <v>31851.813999999998</v>
      </c>
      <c r="AG815" s="121">
        <v>31851.813999999998</v>
      </c>
      <c r="AH815" s="121">
        <v>31851.813999999998</v>
      </c>
      <c r="AI815" s="161">
        <v>51498.091370000002</v>
      </c>
      <c r="AJ815" s="161">
        <v>51498.091370000002</v>
      </c>
      <c r="AK815" s="161">
        <v>51498.091370000002</v>
      </c>
      <c r="AL815" s="161">
        <v>51498.091370000002</v>
      </c>
      <c r="AM815" s="161">
        <v>51498.091370000002</v>
      </c>
      <c r="AN815" s="161">
        <v>49743.600000000006</v>
      </c>
      <c r="AO815" s="161">
        <v>49743.600000000006</v>
      </c>
      <c r="AP815" s="125" t="str">
        <f>CONCATENATE(A815,M815)</f>
        <v>Def TaxN</v>
      </c>
      <c r="AQ815" s="125" t="str">
        <f>CONCATENATE(AP815,L815,H815)</f>
        <v>Def TaxNN2Environmental</v>
      </c>
      <c r="AS815" s="125" t="str">
        <f>CONCATENATE(L815,H815,J815)</f>
        <v>N2Environmental</v>
      </c>
    </row>
    <row r="816" spans="1:45" s="125" customFormat="1" ht="25.5" customHeight="1">
      <c r="A816" s="216" t="s">
        <v>1996</v>
      </c>
      <c r="B816" s="217" t="str">
        <f t="shared" si="331"/>
        <v>Def Tax190001183.43.00/283.22.26BT010089</v>
      </c>
      <c r="C816" s="186">
        <v>190001</v>
      </c>
      <c r="D816" s="201" t="s">
        <v>959</v>
      </c>
      <c r="E816" s="162" t="s">
        <v>1916</v>
      </c>
      <c r="F816" s="169" t="s">
        <v>861</v>
      </c>
      <c r="G816" s="117" t="s">
        <v>2537</v>
      </c>
      <c r="H816" s="118" t="s">
        <v>170</v>
      </c>
      <c r="I816" s="119"/>
      <c r="J816" s="120"/>
      <c r="K816" s="120" t="str">
        <f>IF(L816="N3","SFAS-109","")</f>
        <v/>
      </c>
      <c r="L816" s="170" t="s">
        <v>1895</v>
      </c>
      <c r="M816" s="122" t="str">
        <f t="shared" si="332"/>
        <v>R</v>
      </c>
      <c r="N816" s="116" t="str">
        <f>IF($L816&lt;&gt;"",VLOOKUP($L816,Categories!$E:$G,2,FALSE),IF($F816&lt;&gt;"","NO CAT",""))</f>
        <v>Rate Base</v>
      </c>
      <c r="O816" s="116" t="str">
        <f>IF($L816&lt;&gt;"",VLOOKUP($L816,Categories!$E:$G,3,FALSE),IF($F816&lt;&gt;"","NO CAT",""))</f>
        <v>Deferred Income Taxes</v>
      </c>
      <c r="P816" s="170" t="s">
        <v>1553</v>
      </c>
      <c r="Q816" s="123" t="s">
        <v>2587</v>
      </c>
      <c r="R816" s="124">
        <v>0.81899999999999995</v>
      </c>
      <c r="S816" s="124">
        <v>0.18099999999999999</v>
      </c>
      <c r="T816" s="124">
        <v>0</v>
      </c>
      <c r="U816" s="121" t="str">
        <f t="shared" si="333"/>
        <v/>
      </c>
      <c r="V816" s="121" t="str">
        <f t="shared" si="334"/>
        <v/>
      </c>
      <c r="W816" s="121" t="str">
        <f t="shared" si="335"/>
        <v/>
      </c>
      <c r="X816" s="121">
        <f t="shared" si="325"/>
        <v>0</v>
      </c>
      <c r="Y816" s="121" t="str">
        <f t="shared" si="336"/>
        <v/>
      </c>
      <c r="Z816" s="121" t="str">
        <f t="shared" si="337"/>
        <v/>
      </c>
      <c r="AA816" s="121" t="str">
        <f t="shared" si="338"/>
        <v/>
      </c>
      <c r="AB816" s="121">
        <f t="shared" si="329"/>
        <v>0</v>
      </c>
      <c r="AC816" s="121">
        <v>0</v>
      </c>
      <c r="AD816" s="121">
        <v>0</v>
      </c>
      <c r="AE816" s="121">
        <v>0</v>
      </c>
      <c r="AF816" s="121">
        <v>0</v>
      </c>
      <c r="AG816" s="121">
        <v>0</v>
      </c>
      <c r="AH816" s="121">
        <v>0</v>
      </c>
      <c r="AI816" s="161">
        <v>0</v>
      </c>
      <c r="AJ816" s="161">
        <f t="shared" ref="AJ816" si="341">IF(AI816=0,0,0)</f>
        <v>0</v>
      </c>
      <c r="AK816" s="161">
        <f t="shared" si="339"/>
        <v>0</v>
      </c>
      <c r="AL816" s="161">
        <v>0</v>
      </c>
      <c r="AM816" s="161">
        <v>0</v>
      </c>
      <c r="AN816" s="161">
        <v>0</v>
      </c>
      <c r="AO816" s="161">
        <v>0</v>
      </c>
      <c r="AP816" s="125" t="str">
        <f>CONCATENATE(A816,M816)</f>
        <v>Def TaxR</v>
      </c>
      <c r="AQ816" s="125" t="str">
        <f>CONCATENATE(AP816,L816,H816)</f>
        <v>Def TaxRR11OPEBs</v>
      </c>
      <c r="AS816" s="125" t="str">
        <f>CONCATENATE(L816,H816,J816)</f>
        <v>R11OPEBs</v>
      </c>
    </row>
    <row r="817" spans="1:45" s="125" customFormat="1" ht="25.5" customHeight="1">
      <c r="A817" s="216" t="s">
        <v>1996</v>
      </c>
      <c r="B817" s="217" t="str">
        <f>CONCATENATE(A817,C817,D817,E817)</f>
        <v>Def Tax190001BT010119</v>
      </c>
      <c r="C817" s="186">
        <v>190001</v>
      </c>
      <c r="D817" s="201"/>
      <c r="E817" s="162" t="s">
        <v>4591</v>
      </c>
      <c r="F817" s="169" t="s">
        <v>861</v>
      </c>
      <c r="G817" s="117" t="s">
        <v>4590</v>
      </c>
      <c r="H817" s="118" t="s">
        <v>596</v>
      </c>
      <c r="I817" s="119"/>
      <c r="J817" s="120"/>
      <c r="K817" s="120" t="str">
        <f t="shared" ref="K817:K825" si="342">IF(L817="N3","SFAS-109","")</f>
        <v/>
      </c>
      <c r="L817" s="170" t="s">
        <v>928</v>
      </c>
      <c r="M817" s="122" t="str">
        <f t="shared" si="332"/>
        <v>N</v>
      </c>
      <c r="N817" s="116" t="str">
        <f>IF($L817&lt;&gt;"",VLOOKUP($L817,Categories!$E:$G,2,FALSE),IF($F817&lt;&gt;"","NO CAT",""))</f>
        <v>Not in Rate Base</v>
      </c>
      <c r="O817" s="116" t="str">
        <f>IF($L817&lt;&gt;"",VLOOKUP($L817,Categories!$E:$G,3,FALSE),IF($F817&lt;&gt;"","NO CAT",""))</f>
        <v>Direct Assign Items Not in RB</v>
      </c>
      <c r="P817" s="170" t="s">
        <v>1186</v>
      </c>
      <c r="Q817" s="123" t="s">
        <v>1187</v>
      </c>
      <c r="R817" s="124">
        <v>0</v>
      </c>
      <c r="S817" s="124">
        <v>0</v>
      </c>
      <c r="T817" s="124">
        <v>1</v>
      </c>
      <c r="U817" s="121">
        <f t="shared" si="333"/>
        <v>0</v>
      </c>
      <c r="V817" s="121">
        <f t="shared" si="334"/>
        <v>0</v>
      </c>
      <c r="W817" s="121">
        <f t="shared" si="335"/>
        <v>-291.13118125</v>
      </c>
      <c r="X817" s="121">
        <f t="shared" si="325"/>
        <v>-291.13118125</v>
      </c>
      <c r="Y817" s="121">
        <f t="shared" si="336"/>
        <v>0</v>
      </c>
      <c r="Z817" s="121">
        <f t="shared" si="337"/>
        <v>0</v>
      </c>
      <c r="AA817" s="121">
        <f t="shared" si="338"/>
        <v>-1044.70695</v>
      </c>
      <c r="AB817" s="121">
        <f t="shared" si="329"/>
        <v>-1044.70695</v>
      </c>
      <c r="AC817" s="121">
        <v>555.35619999999994</v>
      </c>
      <c r="AD817" s="121">
        <v>580.39274999999998</v>
      </c>
      <c r="AE817" s="121">
        <v>601.52750000000003</v>
      </c>
      <c r="AF817" s="121">
        <v>625.26344999999992</v>
      </c>
      <c r="AG817" s="121">
        <v>625.26344999999992</v>
      </c>
      <c r="AH817" s="121">
        <v>674.36109999999996</v>
      </c>
      <c r="AI817" s="161">
        <v>-1073.32015</v>
      </c>
      <c r="AJ817" s="161">
        <v>-1073.32015</v>
      </c>
      <c r="AK817" s="161">
        <v>-1073.32015</v>
      </c>
      <c r="AL817" s="161">
        <v>-1048.9339</v>
      </c>
      <c r="AM817" s="161">
        <v>-1044.05665</v>
      </c>
      <c r="AN817" s="161">
        <v>-1042.75605</v>
      </c>
      <c r="AO817" s="161">
        <v>-1044.70695</v>
      </c>
      <c r="AP817" s="125" t="str">
        <f>CONCATENATE(A817,M817)</f>
        <v>Def TaxN</v>
      </c>
      <c r="AQ817" s="125" t="str">
        <f>CONCATENATE(AP817,L817,H817)</f>
        <v>Def TaxNN2FIN 48 Reclass</v>
      </c>
      <c r="AS817" s="125" t="str">
        <f>CONCATENATE(L817,H817,J817)</f>
        <v>N2FIN 48 Reclass</v>
      </c>
    </row>
    <row r="818" spans="1:45" s="125" customFormat="1" ht="25.5" customHeight="1">
      <c r="A818" s="216" t="s">
        <v>1996</v>
      </c>
      <c r="B818" s="217" t="str">
        <f t="shared" si="331"/>
        <v>Def Tax1900010-283.21.33BT010272</v>
      </c>
      <c r="C818" s="186">
        <v>190001</v>
      </c>
      <c r="D818" s="201" t="s">
        <v>1284</v>
      </c>
      <c r="E818" s="162" t="s">
        <v>1066</v>
      </c>
      <c r="F818" s="169" t="s">
        <v>861</v>
      </c>
      <c r="G818" s="117" t="s">
        <v>2638</v>
      </c>
      <c r="H818" s="118" t="s">
        <v>1662</v>
      </c>
      <c r="I818" s="119"/>
      <c r="J818" s="120"/>
      <c r="K818" s="120" t="str">
        <f t="shared" si="342"/>
        <v/>
      </c>
      <c r="L818" s="170" t="s">
        <v>1895</v>
      </c>
      <c r="M818" s="122" t="str">
        <f t="shared" si="332"/>
        <v>R</v>
      </c>
      <c r="N818" s="116" t="str">
        <f>IF($L818&lt;&gt;"",VLOOKUP($L818,Categories!$E:$G,2,FALSE),IF($F818&lt;&gt;"","NO CAT",""))</f>
        <v>Rate Base</v>
      </c>
      <c r="O818" s="116" t="str">
        <f>IF($L818&lt;&gt;"",VLOOKUP($L818,Categories!$E:$G,3,FALSE),IF($F818&lt;&gt;"","NO CAT",""))</f>
        <v>Deferred Income Taxes</v>
      </c>
      <c r="P818" s="170" t="s">
        <v>1183</v>
      </c>
      <c r="Q818" s="123" t="s">
        <v>1177</v>
      </c>
      <c r="R818" s="124">
        <v>1</v>
      </c>
      <c r="S818" s="124">
        <v>0</v>
      </c>
      <c r="T818" s="124">
        <v>0</v>
      </c>
      <c r="U818" s="121">
        <f t="shared" si="333"/>
        <v>49.695</v>
      </c>
      <c r="V818" s="121">
        <f t="shared" si="334"/>
        <v>0</v>
      </c>
      <c r="W818" s="121">
        <f t="shared" si="335"/>
        <v>0</v>
      </c>
      <c r="X818" s="121">
        <f t="shared" si="325"/>
        <v>49.695</v>
      </c>
      <c r="Y818" s="121">
        <f t="shared" si="336"/>
        <v>49.695</v>
      </c>
      <c r="Z818" s="121">
        <f t="shared" si="337"/>
        <v>0</v>
      </c>
      <c r="AA818" s="121">
        <f t="shared" si="338"/>
        <v>0</v>
      </c>
      <c r="AB818" s="121">
        <f t="shared" si="329"/>
        <v>49.694999999999993</v>
      </c>
      <c r="AC818" s="121">
        <v>49.694999999999993</v>
      </c>
      <c r="AD818" s="121">
        <v>49.694999999999993</v>
      </c>
      <c r="AE818" s="121">
        <v>49.694999999999993</v>
      </c>
      <c r="AF818" s="121">
        <v>49.694999999999993</v>
      </c>
      <c r="AG818" s="121">
        <v>49.694999999999993</v>
      </c>
      <c r="AH818" s="121">
        <v>49.694999999999993</v>
      </c>
      <c r="AI818" s="161">
        <v>49.694999999999993</v>
      </c>
      <c r="AJ818" s="161">
        <v>49.694999999999993</v>
      </c>
      <c r="AK818" s="161">
        <v>49.694999999999993</v>
      </c>
      <c r="AL818" s="161">
        <v>49.694999999999993</v>
      </c>
      <c r="AM818" s="161">
        <v>49.694999999999993</v>
      </c>
      <c r="AN818" s="161">
        <v>49.694999999999993</v>
      </c>
      <c r="AO818" s="161">
        <v>49.694999999999993</v>
      </c>
      <c r="AP818" s="125" t="str">
        <f>CONCATENATE(A818,M818)</f>
        <v>Def TaxR</v>
      </c>
      <c r="AQ818" s="125" t="str">
        <f>CONCATENATE(AP818,L818,H818)</f>
        <v>Def TaxRR11Deferred Unbilled Revenue</v>
      </c>
      <c r="AS818" s="125" t="str">
        <f>CONCATENATE(L818,H818,J818)</f>
        <v>R11Deferred Unbilled Revenue</v>
      </c>
    </row>
    <row r="819" spans="1:45" s="125" customFormat="1" ht="25.5" customHeight="1">
      <c r="A819" s="216" t="s">
        <v>1996</v>
      </c>
      <c r="B819" s="217" t="str">
        <f>CONCATENATE(A819,C819,D819,E819)</f>
        <v>Def Tax190001BT010272</v>
      </c>
      <c r="C819" s="186">
        <v>190001</v>
      </c>
      <c r="D819" s="201"/>
      <c r="E819" s="162" t="s">
        <v>1066</v>
      </c>
      <c r="F819" s="169" t="s">
        <v>861</v>
      </c>
      <c r="G819" s="117" t="s">
        <v>4422</v>
      </c>
      <c r="H819" s="118" t="s">
        <v>4424</v>
      </c>
      <c r="I819" s="119"/>
      <c r="J819" s="120"/>
      <c r="K819" s="120" t="str">
        <f>IF(L819="N3","SFAS-109","")</f>
        <v/>
      </c>
      <c r="L819" s="170" t="s">
        <v>1895</v>
      </c>
      <c r="M819" s="122" t="str">
        <f>LEFT(L819,1)</f>
        <v>R</v>
      </c>
      <c r="N819" s="116" t="str">
        <f>IF($L819&lt;&gt;"",VLOOKUP($L819,Categories!$E:$G,2,FALSE),IF($F819&lt;&gt;"","NO CAT",""))</f>
        <v>Rate Base</v>
      </c>
      <c r="O819" s="116" t="str">
        <f>IF($L819&lt;&gt;"",VLOOKUP($L819,Categories!$E:$G,3,FALSE),IF($F819&lt;&gt;"","NO CAT",""))</f>
        <v>Deferred Income Taxes</v>
      </c>
      <c r="P819" s="170" t="s">
        <v>1183</v>
      </c>
      <c r="Q819" s="123" t="s">
        <v>1177</v>
      </c>
      <c r="R819" s="124">
        <v>1</v>
      </c>
      <c r="S819" s="124">
        <v>0</v>
      </c>
      <c r="T819" s="124">
        <v>0</v>
      </c>
      <c r="U819" s="121">
        <f>IF(ABS(X819)=0,"",IF($R819="NO ALLOC","NO ALLOC",ROUND($R819*X819,15)))</f>
        <v>45.530167499999997</v>
      </c>
      <c r="V819" s="121">
        <f>IF(ABS(X819)=0,"",IF($S819="NO ALLOC","NO ALLOC",ROUND($S819*X819,15)))</f>
        <v>0</v>
      </c>
      <c r="W819" s="121">
        <f>IF(ABS(X819)=0,"",IF($T819="NO ALLOC","NO ALLOC",ROUND($T819*X819,15)))</f>
        <v>0</v>
      </c>
      <c r="X819" s="121">
        <f t="shared" si="325"/>
        <v>45.530167499999997</v>
      </c>
      <c r="Y819" s="121">
        <f>IF(ABS(AB819)=0,"",IF($R819="NO ALLOC","NO ALLOC",ROUND($R819*AB819,15)))</f>
        <v>25.08736</v>
      </c>
      <c r="Z819" s="121">
        <f>IF(ABS(AB819)=0,"",IF($S819="NO ALLOC","NO ALLOC",ROUND($S819*AB819,15)))</f>
        <v>0</v>
      </c>
      <c r="AA819" s="121">
        <f>IF(ABS(AB819)=0,"",IF($T819="NO ALLOC","NO ALLOC",ROUND($T819*AB819,15)))</f>
        <v>0</v>
      </c>
      <c r="AB819" s="121">
        <f t="shared" si="329"/>
        <v>25.087360000000007</v>
      </c>
      <c r="AC819" s="121">
        <v>63.48554</v>
      </c>
      <c r="AD819" s="121">
        <v>63.48554</v>
      </c>
      <c r="AE819" s="121">
        <v>66.25582</v>
      </c>
      <c r="AF819" s="121">
        <v>66.25582</v>
      </c>
      <c r="AG819" s="121">
        <v>46.163260000000008</v>
      </c>
      <c r="AH819" s="121">
        <v>46.163260000000008</v>
      </c>
      <c r="AI819" s="161">
        <v>46.163260000000008</v>
      </c>
      <c r="AJ819" s="161">
        <v>46.163260000000008</v>
      </c>
      <c r="AK819" s="161">
        <v>46.163260000000008</v>
      </c>
      <c r="AL819" s="161">
        <v>25.087360000000007</v>
      </c>
      <c r="AM819" s="161">
        <v>25.087360000000007</v>
      </c>
      <c r="AN819" s="161">
        <v>25.087360000000007</v>
      </c>
      <c r="AO819" s="161">
        <v>25.087360000000007</v>
      </c>
      <c r="AP819" s="125" t="str">
        <f>CONCATENATE(A819,M819)</f>
        <v>Def TaxR</v>
      </c>
      <c r="AQ819" s="125" t="str">
        <f>CONCATENATE(AP819,L819,H819)</f>
        <v>Def TaxRR11GRT Audit Reserve</v>
      </c>
      <c r="AS819" s="125" t="str">
        <f>CONCATENATE(L819,H819,J819)</f>
        <v>R11GRT Audit Reserve</v>
      </c>
    </row>
    <row r="820" spans="1:45" s="125" customFormat="1" ht="25.5" customHeight="1">
      <c r="A820" s="216" t="s">
        <v>1996</v>
      </c>
      <c r="B820" s="217" t="str">
        <f t="shared" si="331"/>
        <v>Def Tax1900010-283.21.46BTHUNGDT</v>
      </c>
      <c r="C820" s="186">
        <v>190001</v>
      </c>
      <c r="D820" s="201" t="s">
        <v>2639</v>
      </c>
      <c r="E820" s="162" t="s">
        <v>616</v>
      </c>
      <c r="F820" s="169" t="s">
        <v>861</v>
      </c>
      <c r="G820" s="117" t="s">
        <v>2640</v>
      </c>
      <c r="H820" s="118" t="s">
        <v>1167</v>
      </c>
      <c r="I820" s="119"/>
      <c r="J820" s="120"/>
      <c r="K820" s="120" t="str">
        <f t="shared" si="342"/>
        <v/>
      </c>
      <c r="L820" s="170" t="s">
        <v>1895</v>
      </c>
      <c r="M820" s="122" t="str">
        <f t="shared" si="332"/>
        <v>R</v>
      </c>
      <c r="N820" s="116" t="str">
        <f>IF($L820&lt;&gt;"",VLOOKUP($L820,Categories!$E:$G,2,FALSE),IF($F820&lt;&gt;"","NO CAT",""))</f>
        <v>Rate Base</v>
      </c>
      <c r="O820" s="116" t="str">
        <f>IF($L820&lt;&gt;"",VLOOKUP($L820,Categories!$E:$G,3,FALSE),IF($F820&lt;&gt;"","NO CAT",""))</f>
        <v>Deferred Income Taxes</v>
      </c>
      <c r="P820" s="170" t="s">
        <v>1183</v>
      </c>
      <c r="Q820" s="123" t="s">
        <v>1177</v>
      </c>
      <c r="R820" s="124">
        <v>1</v>
      </c>
      <c r="S820" s="124">
        <v>0</v>
      </c>
      <c r="T820" s="124">
        <v>0</v>
      </c>
      <c r="U820" s="121">
        <f t="shared" ref="U820:U836" si="343">IF(ABS(X820)=0,"",IF($R820="NO ALLOC","NO ALLOC",ROUND($R820*X820,15)))</f>
        <v>2.113</v>
      </c>
      <c r="V820" s="121">
        <f t="shared" ref="V820:V836" si="344">IF(ABS(X820)=0,"",IF($S820="NO ALLOC","NO ALLOC",ROUND($S820*X820,15)))</f>
        <v>0</v>
      </c>
      <c r="W820" s="121">
        <f t="shared" ref="W820:W836" si="345">IF(ABS(X820)=0,"",IF($T820="NO ALLOC","NO ALLOC",ROUND($T820*X820,15)))</f>
        <v>0</v>
      </c>
      <c r="X820" s="121">
        <f t="shared" si="325"/>
        <v>2.113</v>
      </c>
      <c r="Y820" s="121">
        <f t="shared" ref="Y820:Y836" si="346">IF(ABS(AB820)=0,"",IF($R820="NO ALLOC","NO ALLOC",ROUND($R820*AB820,15)))</f>
        <v>2.113</v>
      </c>
      <c r="Z820" s="121">
        <f t="shared" ref="Z820:Z836" si="347">IF(ABS(AB820)=0,"",IF($S820="NO ALLOC","NO ALLOC",ROUND($S820*AB820,15)))</f>
        <v>0</v>
      </c>
      <c r="AA820" s="121">
        <f t="shared" ref="AA820:AA836" si="348">IF(ABS(AB820)=0,"",IF($T820="NO ALLOC","NO ALLOC",ROUND($T820*AB820,15)))</f>
        <v>0</v>
      </c>
      <c r="AB820" s="121">
        <f t="shared" si="329"/>
        <v>2.113</v>
      </c>
      <c r="AC820" s="121">
        <v>2.113</v>
      </c>
      <c r="AD820" s="121">
        <v>2.113</v>
      </c>
      <c r="AE820" s="121">
        <v>2.113</v>
      </c>
      <c r="AF820" s="121">
        <v>2.113</v>
      </c>
      <c r="AG820" s="121">
        <v>2.113</v>
      </c>
      <c r="AH820" s="121">
        <v>2.113</v>
      </c>
      <c r="AI820" s="161">
        <v>2.113</v>
      </c>
      <c r="AJ820" s="161">
        <v>2.113</v>
      </c>
      <c r="AK820" s="161">
        <v>2.113</v>
      </c>
      <c r="AL820" s="161">
        <v>2.113</v>
      </c>
      <c r="AM820" s="161">
        <v>2.113</v>
      </c>
      <c r="AN820" s="161">
        <v>2.113</v>
      </c>
      <c r="AO820" s="161">
        <v>2.113</v>
      </c>
      <c r="AP820" s="125" t="str">
        <f>CONCATENATE(A820,M820)</f>
        <v>Def TaxR</v>
      </c>
      <c r="AQ820" s="125" t="str">
        <f>CONCATENATE(AP820,L820,H820)</f>
        <v>Def TaxRR11Hung Deferred Taxes</v>
      </c>
      <c r="AS820" s="125" t="str">
        <f>CONCATENATE(L820,H820,J820)</f>
        <v>R11Hung Deferred Taxes</v>
      </c>
    </row>
    <row r="821" spans="1:45" s="125" customFormat="1" ht="25.5" customHeight="1">
      <c r="A821" s="216" t="s">
        <v>1996</v>
      </c>
      <c r="B821" s="217" t="str">
        <f t="shared" si="331"/>
        <v>Def Tax1900010-183.38.00BT010107</v>
      </c>
      <c r="C821" s="186">
        <v>190001</v>
      </c>
      <c r="D821" s="201" t="s">
        <v>1152</v>
      </c>
      <c r="E821" s="162" t="s">
        <v>1745</v>
      </c>
      <c r="F821" s="169" t="s">
        <v>861</v>
      </c>
      <c r="G821" s="117" t="s">
        <v>1153</v>
      </c>
      <c r="H821" s="118" t="s">
        <v>1154</v>
      </c>
      <c r="I821" s="119"/>
      <c r="J821" s="120"/>
      <c r="K821" s="120" t="str">
        <f t="shared" si="342"/>
        <v/>
      </c>
      <c r="L821" s="170" t="s">
        <v>1895</v>
      </c>
      <c r="M821" s="122" t="str">
        <f t="shared" si="332"/>
        <v>R</v>
      </c>
      <c r="N821" s="116" t="str">
        <f>IF($L821&lt;&gt;"",VLOOKUP($L821,Categories!$E:$G,2,FALSE),IF($F821&lt;&gt;"","NO CAT",""))</f>
        <v>Rate Base</v>
      </c>
      <c r="O821" s="116" t="str">
        <f>IF($L821&lt;&gt;"",VLOOKUP($L821,Categories!$E:$G,3,FALSE),IF($F821&lt;&gt;"","NO CAT",""))</f>
        <v>Deferred Income Taxes</v>
      </c>
      <c r="P821" s="170" t="s">
        <v>1183</v>
      </c>
      <c r="Q821" s="123" t="s">
        <v>1177</v>
      </c>
      <c r="R821" s="124">
        <v>1</v>
      </c>
      <c r="S821" s="124">
        <v>0</v>
      </c>
      <c r="T821" s="124">
        <v>0</v>
      </c>
      <c r="U821" s="121">
        <f t="shared" si="343"/>
        <v>2.7164999999999999</v>
      </c>
      <c r="V821" s="121">
        <f t="shared" si="344"/>
        <v>0</v>
      </c>
      <c r="W821" s="121">
        <f t="shared" si="345"/>
        <v>0</v>
      </c>
      <c r="X821" s="121">
        <f t="shared" si="325"/>
        <v>2.7164999999999999</v>
      </c>
      <c r="Y821" s="121">
        <f t="shared" si="346"/>
        <v>-13.887</v>
      </c>
      <c r="Z821" s="121">
        <f t="shared" si="347"/>
        <v>0</v>
      </c>
      <c r="AA821" s="121">
        <f t="shared" si="348"/>
        <v>0</v>
      </c>
      <c r="AB821" s="121">
        <f t="shared" si="329"/>
        <v>-13.887</v>
      </c>
      <c r="AC821" s="121">
        <v>19.32</v>
      </c>
      <c r="AD821" s="121">
        <v>16.55275</v>
      </c>
      <c r="AE821" s="121">
        <v>13.785500000000001</v>
      </c>
      <c r="AF821" s="121">
        <v>11.01825</v>
      </c>
      <c r="AG821" s="121">
        <v>8.2509999999999994</v>
      </c>
      <c r="AH821" s="121">
        <v>5.4837499999999997</v>
      </c>
      <c r="AI821" s="161">
        <v>2.7164999999999999</v>
      </c>
      <c r="AJ821" s="161">
        <v>-5.0750000000000003E-2</v>
      </c>
      <c r="AK821" s="161">
        <v>-2.8180000000000001</v>
      </c>
      <c r="AL821" s="161">
        <v>-5.5852500000000003</v>
      </c>
      <c r="AM821" s="161">
        <v>-8.3524999999999991</v>
      </c>
      <c r="AN821" s="161">
        <v>-11.11975</v>
      </c>
      <c r="AO821" s="161">
        <v>-13.887</v>
      </c>
      <c r="AP821" s="125" t="str">
        <f>CONCATENATE(A821,M821)</f>
        <v>Def TaxR</v>
      </c>
      <c r="AQ821" s="125" t="str">
        <f>CONCATENATE(AP821,L821,H821)</f>
        <v>Def TaxRR11Interest on Pollution Control Notes</v>
      </c>
      <c r="AS821" s="125" t="str">
        <f>CONCATENATE(L821,H821,J821)</f>
        <v>R11Interest on Pollution Control Notes</v>
      </c>
    </row>
    <row r="822" spans="1:45" s="125" customFormat="1" ht="25.5" customHeight="1">
      <c r="A822" s="216" t="s">
        <v>1996</v>
      </c>
      <c r="B822" s="217" t="str">
        <f t="shared" si="331"/>
        <v>Def Tax1900010-184.22.17BT010116</v>
      </c>
      <c r="C822" s="186">
        <v>190001</v>
      </c>
      <c r="D822" s="201" t="s">
        <v>1293</v>
      </c>
      <c r="E822" s="162" t="s">
        <v>1746</v>
      </c>
      <c r="F822" s="169" t="s">
        <v>861</v>
      </c>
      <c r="G822" s="117" t="s">
        <v>4</v>
      </c>
      <c r="H822" s="118" t="s">
        <v>1218</v>
      </c>
      <c r="I822" s="119"/>
      <c r="J822" s="120"/>
      <c r="K822" s="120" t="str">
        <f t="shared" si="342"/>
        <v/>
      </c>
      <c r="L822" s="170" t="s">
        <v>1419</v>
      </c>
      <c r="M822" s="122" t="str">
        <f t="shared" si="332"/>
        <v>A</v>
      </c>
      <c r="N822" s="116" t="str">
        <f>IF($L822&lt;&gt;"",VLOOKUP($L822,Categories!$E:$G,2,FALSE),IF($F822&lt;&gt;"","NO CAT",""))</f>
        <v>All Other</v>
      </c>
      <c r="O822" s="116" t="str">
        <f>IF($L822&lt;&gt;"",VLOOKUP($L822,Categories!$E:$G,3,FALSE),IF($F822&lt;&gt;"","NO CAT",""))</f>
        <v>EB-Cap</v>
      </c>
      <c r="P822" s="170" t="s">
        <v>1557</v>
      </c>
      <c r="Q822" s="123" t="s">
        <v>1891</v>
      </c>
      <c r="R822" s="124">
        <v>0.77544352505021785</v>
      </c>
      <c r="S822" s="124">
        <v>0.22455647494978223</v>
      </c>
      <c r="T822" s="124">
        <v>0</v>
      </c>
      <c r="U822" s="121">
        <f t="shared" si="343"/>
        <v>548.76393842974096</v>
      </c>
      <c r="V822" s="121">
        <f t="shared" si="344"/>
        <v>158.91356573692701</v>
      </c>
      <c r="W822" s="121">
        <f t="shared" si="345"/>
        <v>0</v>
      </c>
      <c r="X822" s="121">
        <f t="shared" si="325"/>
        <v>707.67750416666695</v>
      </c>
      <c r="Y822" s="121">
        <f t="shared" si="346"/>
        <v>543.15638513724195</v>
      </c>
      <c r="Z822" s="121">
        <f t="shared" si="347"/>
        <v>157.28970486275799</v>
      </c>
      <c r="AA822" s="121">
        <f t="shared" si="348"/>
        <v>0</v>
      </c>
      <c r="AB822" s="121">
        <f t="shared" si="329"/>
        <v>700.44608999999991</v>
      </c>
      <c r="AC822" s="121">
        <v>710.53115000000003</v>
      </c>
      <c r="AD822" s="121">
        <v>710.53115000000003</v>
      </c>
      <c r="AE822" s="121">
        <v>710.53115000000003</v>
      </c>
      <c r="AF822" s="121">
        <v>709.33010000000002</v>
      </c>
      <c r="AG822" s="121">
        <v>709.24966999999992</v>
      </c>
      <c r="AH822" s="121">
        <v>707.35181999999998</v>
      </c>
      <c r="AI822" s="161">
        <v>707.43224999999995</v>
      </c>
      <c r="AJ822" s="161">
        <v>707.43224999999995</v>
      </c>
      <c r="AK822" s="161">
        <v>707.43224999999995</v>
      </c>
      <c r="AL822" s="161">
        <v>707.43224999999995</v>
      </c>
      <c r="AM822" s="161">
        <v>706.61989000000005</v>
      </c>
      <c r="AN822" s="161">
        <v>703.29865000000007</v>
      </c>
      <c r="AO822" s="161">
        <v>700.44608999999991</v>
      </c>
      <c r="AP822" s="125" t="str">
        <f>CONCATENATE(A822,M822)</f>
        <v>Def TaxA</v>
      </c>
      <c r="AQ822" s="125" t="str">
        <f>CONCATENATE(AP822,L822,H822)</f>
        <v>Def TaxAA2Tracks 253040</v>
      </c>
      <c r="AS822" s="125" t="str">
        <f>CONCATENATE(L822,H822,J822)</f>
        <v>A2Tracks 253040</v>
      </c>
    </row>
    <row r="823" spans="1:45" s="125" customFormat="1" ht="25.5" customHeight="1">
      <c r="A823" s="216" t="s">
        <v>1996</v>
      </c>
      <c r="B823" s="217" t="str">
        <f t="shared" si="331"/>
        <v>Def Tax1900010-183.98.00BTHUNGDT</v>
      </c>
      <c r="C823" s="186">
        <v>190001</v>
      </c>
      <c r="D823" s="201" t="s">
        <v>2978</v>
      </c>
      <c r="E823" s="162" t="s">
        <v>616</v>
      </c>
      <c r="F823" s="169" t="s">
        <v>861</v>
      </c>
      <c r="G823" s="117" t="s">
        <v>2979</v>
      </c>
      <c r="H823" s="118" t="s">
        <v>1167</v>
      </c>
      <c r="I823" s="119"/>
      <c r="J823" s="120"/>
      <c r="K823" s="120" t="str">
        <f t="shared" si="342"/>
        <v/>
      </c>
      <c r="L823" s="170" t="s">
        <v>928</v>
      </c>
      <c r="M823" s="122" t="str">
        <f t="shared" si="332"/>
        <v>N</v>
      </c>
      <c r="N823" s="116" t="str">
        <f>IF($L823&lt;&gt;"",VLOOKUP($L823,Categories!$E:$G,2,FALSE),IF($F823&lt;&gt;"","NO CAT",""))</f>
        <v>Not in Rate Base</v>
      </c>
      <c r="O823" s="116" t="str">
        <f>IF($L823&lt;&gt;"",VLOOKUP($L823,Categories!$E:$G,3,FALSE),IF($F823&lt;&gt;"","NO CAT",""))</f>
        <v>Direct Assign Items Not in RB</v>
      </c>
      <c r="P823" s="170" t="s">
        <v>1186</v>
      </c>
      <c r="Q823" s="123" t="s">
        <v>1187</v>
      </c>
      <c r="R823" s="124">
        <v>0</v>
      </c>
      <c r="S823" s="124">
        <v>0</v>
      </c>
      <c r="T823" s="124">
        <v>1</v>
      </c>
      <c r="U823" s="121">
        <f t="shared" si="343"/>
        <v>0</v>
      </c>
      <c r="V823" s="121">
        <f t="shared" si="344"/>
        <v>0</v>
      </c>
      <c r="W823" s="121">
        <f t="shared" si="345"/>
        <v>2.1250000000000002E-3</v>
      </c>
      <c r="X823" s="121">
        <f t="shared" si="325"/>
        <v>2.1250000000000002E-3</v>
      </c>
      <c r="Y823" s="121" t="str">
        <f t="shared" si="346"/>
        <v/>
      </c>
      <c r="Z823" s="121" t="str">
        <f t="shared" si="347"/>
        <v/>
      </c>
      <c r="AA823" s="121" t="str">
        <f t="shared" si="348"/>
        <v/>
      </c>
      <c r="AB823" s="121">
        <f t="shared" si="329"/>
        <v>0</v>
      </c>
      <c r="AC823" s="121">
        <v>3.0000000000000001E-3</v>
      </c>
      <c r="AD823" s="121">
        <v>3.0000000000000001E-3</v>
      </c>
      <c r="AE823" s="121">
        <v>3.0000000000000001E-3</v>
      </c>
      <c r="AF823" s="121">
        <v>3.0000000000000001E-3</v>
      </c>
      <c r="AG823" s="121">
        <v>3.0000000000000001E-3</v>
      </c>
      <c r="AH823" s="121">
        <v>3.0000000000000001E-3</v>
      </c>
      <c r="AI823" s="161">
        <v>9.0000000000000011E-3</v>
      </c>
      <c r="AJ823" s="161">
        <v>0</v>
      </c>
      <c r="AK823" s="161">
        <f t="shared" ref="AK823" si="349">IF(AJ823=0,0,0)</f>
        <v>0</v>
      </c>
      <c r="AL823" s="161">
        <v>0</v>
      </c>
      <c r="AM823" s="161">
        <v>0</v>
      </c>
      <c r="AN823" s="161">
        <v>0</v>
      </c>
      <c r="AO823" s="161">
        <v>0</v>
      </c>
      <c r="AP823" s="125" t="str">
        <f>CONCATENATE(A823,M823)</f>
        <v>Def TaxN</v>
      </c>
      <c r="AQ823" s="125" t="str">
        <f>CONCATENATE(AP823,L823,H823)</f>
        <v>Def TaxNN2Hung Deferred Taxes</v>
      </c>
      <c r="AS823" s="125" t="str">
        <f>CONCATENATE(L823,H823,J823)</f>
        <v>N2Hung Deferred Taxes</v>
      </c>
    </row>
    <row r="824" spans="1:45" s="125" customFormat="1" ht="25.5" customHeight="1">
      <c r="A824" s="216" t="s">
        <v>1996</v>
      </c>
      <c r="B824" s="217" t="str">
        <f t="shared" si="331"/>
        <v>Def Tax1900010-283.21.52BTHUNGDT</v>
      </c>
      <c r="C824" s="186">
        <v>190001</v>
      </c>
      <c r="D824" s="201" t="s">
        <v>2641</v>
      </c>
      <c r="E824" s="162" t="s">
        <v>616</v>
      </c>
      <c r="F824" s="169" t="s">
        <v>861</v>
      </c>
      <c r="G824" s="117" t="s">
        <v>2642</v>
      </c>
      <c r="H824" s="118" t="s">
        <v>1167</v>
      </c>
      <c r="I824" s="119"/>
      <c r="J824" s="120"/>
      <c r="K824" s="120" t="str">
        <f t="shared" si="342"/>
        <v/>
      </c>
      <c r="L824" s="170" t="s">
        <v>2819</v>
      </c>
      <c r="M824" s="122" t="str">
        <f t="shared" si="332"/>
        <v>N</v>
      </c>
      <c r="N824" s="116" t="str">
        <f>IF($L824&lt;&gt;"",VLOOKUP($L824,Categories!$E:$G,2,FALSE),IF($F824&lt;&gt;"","NO CAT",""))</f>
        <v>Not in Rate Base</v>
      </c>
      <c r="O824" s="116" t="str">
        <f>IF($L824&lt;&gt;"",VLOOKUP($L824,Categories!$E:$G,3,FALSE),IF($F824&lt;&gt;"","NO CAT",""))</f>
        <v>Nine Mile Costs</v>
      </c>
      <c r="P824" s="170" t="s">
        <v>1186</v>
      </c>
      <c r="Q824" s="123" t="s">
        <v>1187</v>
      </c>
      <c r="R824" s="124">
        <v>0</v>
      </c>
      <c r="S824" s="124">
        <v>0</v>
      </c>
      <c r="T824" s="124">
        <v>1</v>
      </c>
      <c r="U824" s="121">
        <f t="shared" si="343"/>
        <v>0</v>
      </c>
      <c r="V824" s="121">
        <f t="shared" si="344"/>
        <v>0</v>
      </c>
      <c r="W824" s="121">
        <f t="shared" si="345"/>
        <v>13.754</v>
      </c>
      <c r="X824" s="121">
        <f t="shared" si="325"/>
        <v>13.754</v>
      </c>
      <c r="Y824" s="121">
        <f t="shared" si="346"/>
        <v>0</v>
      </c>
      <c r="Z824" s="121">
        <f t="shared" si="347"/>
        <v>0</v>
      </c>
      <c r="AA824" s="121">
        <f t="shared" si="348"/>
        <v>13.754</v>
      </c>
      <c r="AB824" s="121">
        <f t="shared" si="329"/>
        <v>13.754</v>
      </c>
      <c r="AC824" s="121">
        <v>13.754</v>
      </c>
      <c r="AD824" s="121">
        <v>13.754</v>
      </c>
      <c r="AE824" s="121">
        <v>13.754</v>
      </c>
      <c r="AF824" s="121">
        <v>13.754</v>
      </c>
      <c r="AG824" s="121">
        <v>13.754</v>
      </c>
      <c r="AH824" s="121">
        <v>13.754</v>
      </c>
      <c r="AI824" s="161">
        <v>13.754</v>
      </c>
      <c r="AJ824" s="161">
        <v>13.754</v>
      </c>
      <c r="AK824" s="161">
        <v>13.754</v>
      </c>
      <c r="AL824" s="161">
        <v>13.754</v>
      </c>
      <c r="AM824" s="161">
        <v>13.754</v>
      </c>
      <c r="AN824" s="161">
        <v>13.754</v>
      </c>
      <c r="AO824" s="161">
        <v>13.754</v>
      </c>
      <c r="AP824" s="125" t="str">
        <f>CONCATENATE(A824,M824)</f>
        <v>Def TaxN</v>
      </c>
      <c r="AQ824" s="125" t="str">
        <f>CONCATENATE(AP824,L824,H824)</f>
        <v>Def TaxNN9Hung Deferred Taxes</v>
      </c>
      <c r="AS824" s="125" t="str">
        <f>CONCATENATE(L824,H824,J824)</f>
        <v>N9Hung Deferred Taxes</v>
      </c>
    </row>
    <row r="825" spans="1:45" s="125" customFormat="1" ht="25.5" customHeight="1">
      <c r="A825" s="216" t="s">
        <v>1996</v>
      </c>
      <c r="B825" s="217" t="str">
        <f t="shared" si="331"/>
        <v>Def Tax1900010-184.22.13BT010128</v>
      </c>
      <c r="C825" s="186">
        <v>190001</v>
      </c>
      <c r="D825" s="201" t="s">
        <v>1824</v>
      </c>
      <c r="E825" s="162" t="s">
        <v>353</v>
      </c>
      <c r="F825" s="169" t="s">
        <v>861</v>
      </c>
      <c r="G825" s="117" t="s">
        <v>1288</v>
      </c>
      <c r="H825" s="118" t="s">
        <v>2762</v>
      </c>
      <c r="I825" s="119"/>
      <c r="J825" s="120"/>
      <c r="K825" s="120" t="str">
        <f t="shared" si="342"/>
        <v/>
      </c>
      <c r="L825" s="170" t="s">
        <v>2819</v>
      </c>
      <c r="M825" s="122" t="str">
        <f t="shared" ref="M825:M848" si="350">LEFT(L825,1)</f>
        <v>N</v>
      </c>
      <c r="N825" s="116" t="str">
        <f>IF($L825&lt;&gt;"",VLOOKUP($L825,Categories!$E:$G,2,FALSE),IF($F825&lt;&gt;"","NO CAT",""))</f>
        <v>Not in Rate Base</v>
      </c>
      <c r="O825" s="116" t="str">
        <f>IF($L825&lt;&gt;"",VLOOKUP($L825,Categories!$E:$G,3,FALSE),IF($F825&lt;&gt;"","NO CAT",""))</f>
        <v>Nine Mile Costs</v>
      </c>
      <c r="P825" s="170" t="s">
        <v>1186</v>
      </c>
      <c r="Q825" s="123" t="s">
        <v>1187</v>
      </c>
      <c r="R825" s="124">
        <v>0</v>
      </c>
      <c r="S825" s="124">
        <v>0</v>
      </c>
      <c r="T825" s="124">
        <v>1</v>
      </c>
      <c r="U825" s="121">
        <f t="shared" si="343"/>
        <v>0</v>
      </c>
      <c r="V825" s="121">
        <f t="shared" si="344"/>
        <v>0</v>
      </c>
      <c r="W825" s="121">
        <f t="shared" si="345"/>
        <v>2086.0909999999999</v>
      </c>
      <c r="X825" s="121">
        <f t="shared" ref="X825:X851" si="351">IF(ISERROR(ROUND((SUM(AC825:AO825)-((AC825+AO825))/2)/12,15)),"",ROUND((SUM(AC825:AO825)-((AC825+AO825))/2)/12,15))</f>
        <v>2086.0909999999999</v>
      </c>
      <c r="Y825" s="121">
        <f t="shared" si="346"/>
        <v>0</v>
      </c>
      <c r="Z825" s="121">
        <f t="shared" si="347"/>
        <v>0</v>
      </c>
      <c r="AA825" s="121">
        <f t="shared" si="348"/>
        <v>2086.0909999999999</v>
      </c>
      <c r="AB825" s="121">
        <f t="shared" ref="AB825:AB850" si="352">IF(AO825="",0,+AO825)</f>
        <v>2086.0909999999999</v>
      </c>
      <c r="AC825" s="121">
        <v>2086.0909999999999</v>
      </c>
      <c r="AD825" s="121">
        <v>2086.0909999999999</v>
      </c>
      <c r="AE825" s="121">
        <v>2086.0909999999999</v>
      </c>
      <c r="AF825" s="121">
        <v>2086.0909999999999</v>
      </c>
      <c r="AG825" s="121">
        <v>2086.0909999999999</v>
      </c>
      <c r="AH825" s="121">
        <v>2086.0909999999999</v>
      </c>
      <c r="AI825" s="161">
        <v>2086.0909999999999</v>
      </c>
      <c r="AJ825" s="161">
        <v>2086.0909999999999</v>
      </c>
      <c r="AK825" s="161">
        <v>2086.0909999999999</v>
      </c>
      <c r="AL825" s="161">
        <v>2086.0909999999999</v>
      </c>
      <c r="AM825" s="161">
        <v>2086.0909999999999</v>
      </c>
      <c r="AN825" s="161">
        <v>2086.0909999999999</v>
      </c>
      <c r="AO825" s="161">
        <v>2086.0909999999999</v>
      </c>
      <c r="AP825" s="125" t="str">
        <f>CONCATENATE(A825,M825)</f>
        <v>Def TaxN</v>
      </c>
      <c r="AQ825" s="125" t="str">
        <f>CONCATENATE(AP825,L825,H825)</f>
        <v>Def TaxNN9Nine Mile 2 Costs</v>
      </c>
      <c r="AS825" s="125" t="str">
        <f>CONCATENATE(L825,H825,J825)</f>
        <v>N9Nine Mile 2 Costs</v>
      </c>
    </row>
    <row r="826" spans="1:45" s="125" customFormat="1" ht="25.5" customHeight="1">
      <c r="A826" s="216" t="s">
        <v>1996</v>
      </c>
      <c r="B826" s="217" t="str">
        <f t="shared" si="331"/>
        <v>Def Tax1900010-183.82.010</v>
      </c>
      <c r="C826" s="186">
        <v>190001</v>
      </c>
      <c r="D826" s="201" t="s">
        <v>2949</v>
      </c>
      <c r="E826" s="162">
        <v>0</v>
      </c>
      <c r="F826" s="169" t="s">
        <v>861</v>
      </c>
      <c r="G826" s="117" t="s">
        <v>2401</v>
      </c>
      <c r="H826" s="118" t="s">
        <v>1149</v>
      </c>
      <c r="I826" s="119"/>
      <c r="J826" s="120"/>
      <c r="K826" s="120" t="str">
        <f>IF(L826="N3","SFAS-109","")</f>
        <v>SFAS-109</v>
      </c>
      <c r="L826" s="170" t="s">
        <v>930</v>
      </c>
      <c r="M826" s="122" t="str">
        <f t="shared" si="350"/>
        <v>N</v>
      </c>
      <c r="N826" s="116" t="str">
        <f>IF($L826&lt;&gt;"",VLOOKUP($L826,Categories!$E:$G,2,FALSE),IF($F826&lt;&gt;"","NO CAT",""))</f>
        <v>Not in Rate Base</v>
      </c>
      <c r="O826" s="116" t="str">
        <f>IF($L826&lt;&gt;"",VLOOKUP($L826,Categories!$E:$G,3,FALSE),IF($F826&lt;&gt;"","NO CAT",""))</f>
        <v>SFAS-109   (offsetting)</v>
      </c>
      <c r="P826" s="170" t="s">
        <v>1186</v>
      </c>
      <c r="Q826" s="123" t="s">
        <v>1187</v>
      </c>
      <c r="R826" s="124">
        <v>0</v>
      </c>
      <c r="S826" s="124">
        <v>0</v>
      </c>
      <c r="T826" s="124">
        <v>1</v>
      </c>
      <c r="U826" s="121" t="str">
        <f t="shared" si="343"/>
        <v/>
      </c>
      <c r="V826" s="121" t="str">
        <f t="shared" si="344"/>
        <v/>
      </c>
      <c r="W826" s="121" t="str">
        <f t="shared" si="345"/>
        <v/>
      </c>
      <c r="X826" s="121">
        <f t="shared" si="351"/>
        <v>0</v>
      </c>
      <c r="Y826" s="121" t="str">
        <f t="shared" si="346"/>
        <v/>
      </c>
      <c r="Z826" s="121" t="str">
        <f t="shared" si="347"/>
        <v/>
      </c>
      <c r="AA826" s="121" t="str">
        <f t="shared" si="348"/>
        <v/>
      </c>
      <c r="AB826" s="121">
        <f t="shared" si="352"/>
        <v>0</v>
      </c>
      <c r="AC826" s="121">
        <v>0</v>
      </c>
      <c r="AD826" s="121">
        <v>0</v>
      </c>
      <c r="AE826" s="121">
        <v>0</v>
      </c>
      <c r="AF826" s="121">
        <v>0</v>
      </c>
      <c r="AG826" s="121">
        <v>0</v>
      </c>
      <c r="AH826" s="121">
        <v>0</v>
      </c>
      <c r="AI826" s="161">
        <v>0</v>
      </c>
      <c r="AJ826" s="161">
        <f t="shared" ref="AJ826:AK826" si="353">IF(AI826=0,0,0)</f>
        <v>0</v>
      </c>
      <c r="AK826" s="161">
        <f t="shared" si="353"/>
        <v>0</v>
      </c>
      <c r="AL826" s="161">
        <v>0</v>
      </c>
      <c r="AM826" s="161">
        <v>0</v>
      </c>
      <c r="AN826" s="161">
        <v>0</v>
      </c>
      <c r="AO826" s="161">
        <v>0</v>
      </c>
      <c r="AP826" s="125" t="str">
        <f>CONCATENATE(A826,M826)</f>
        <v>Def TaxN</v>
      </c>
      <c r="AQ826" s="125" t="str">
        <f>CONCATENATE(AP826,L826,H826)</f>
        <v>Def TaxNN3SFAS-109</v>
      </c>
      <c r="AS826" s="125" t="str">
        <f>CONCATENATE(L826,H826,J826)</f>
        <v>N3SFAS-109</v>
      </c>
    </row>
    <row r="827" spans="1:45" s="125" customFormat="1" ht="25.5" customHeight="1">
      <c r="A827" s="216" t="s">
        <v>1996</v>
      </c>
      <c r="B827" s="217" t="str">
        <f t="shared" si="331"/>
        <v>Def Tax1900010-184.21.10BT010174</v>
      </c>
      <c r="C827" s="186">
        <v>190001</v>
      </c>
      <c r="D827" s="201" t="s">
        <v>1339</v>
      </c>
      <c r="E827" s="162" t="s">
        <v>354</v>
      </c>
      <c r="F827" s="169" t="s">
        <v>861</v>
      </c>
      <c r="G827" s="117" t="s">
        <v>1340</v>
      </c>
      <c r="H827" s="118" t="s">
        <v>1218</v>
      </c>
      <c r="I827" s="119"/>
      <c r="J827" s="120"/>
      <c r="K827" s="120" t="str">
        <f t="shared" ref="K827:K851" si="354">IF(L827="N3","SFAS-109","")</f>
        <v/>
      </c>
      <c r="L827" s="170" t="s">
        <v>1419</v>
      </c>
      <c r="M827" s="122" t="str">
        <f t="shared" si="350"/>
        <v>A</v>
      </c>
      <c r="N827" s="116" t="str">
        <f>IF($L827&lt;&gt;"",VLOOKUP($L827,Categories!$E:$G,2,FALSE),IF($F827&lt;&gt;"","NO CAT",""))</f>
        <v>All Other</v>
      </c>
      <c r="O827" s="116" t="str">
        <f>IF($L827&lt;&gt;"",VLOOKUP($L827,Categories!$E:$G,3,FALSE),IF($F827&lt;&gt;"","NO CAT",""))</f>
        <v>EB-Cap</v>
      </c>
      <c r="P827" s="170" t="s">
        <v>1557</v>
      </c>
      <c r="Q827" s="123" t="s">
        <v>1891</v>
      </c>
      <c r="R827" s="124">
        <v>0.77544352505021785</v>
      </c>
      <c r="S827" s="124">
        <v>0.22455647494978223</v>
      </c>
      <c r="T827" s="124">
        <v>0</v>
      </c>
      <c r="U827" s="121">
        <f t="shared" si="343"/>
        <v>74.314622468752404</v>
      </c>
      <c r="V827" s="121">
        <f t="shared" si="344"/>
        <v>21.520367531247601</v>
      </c>
      <c r="W827" s="121">
        <f t="shared" si="345"/>
        <v>0</v>
      </c>
      <c r="X827" s="121">
        <f t="shared" si="351"/>
        <v>95.834990000000005</v>
      </c>
      <c r="Y827" s="121">
        <f t="shared" si="346"/>
        <v>74.314622468752404</v>
      </c>
      <c r="Z827" s="121">
        <f t="shared" si="347"/>
        <v>21.520367531247601</v>
      </c>
      <c r="AA827" s="121">
        <f t="shared" si="348"/>
        <v>0</v>
      </c>
      <c r="AB827" s="121">
        <f t="shared" si="352"/>
        <v>95.834990000000005</v>
      </c>
      <c r="AC827" s="121">
        <v>95.834990000000005</v>
      </c>
      <c r="AD827" s="121">
        <v>95.834990000000005</v>
      </c>
      <c r="AE827" s="121">
        <v>95.834990000000005</v>
      </c>
      <c r="AF827" s="121">
        <v>95.834990000000005</v>
      </c>
      <c r="AG827" s="121">
        <v>95.834990000000005</v>
      </c>
      <c r="AH827" s="121">
        <v>95.834990000000005</v>
      </c>
      <c r="AI827" s="161">
        <v>95.834990000000005</v>
      </c>
      <c r="AJ827" s="161">
        <v>95.834990000000005</v>
      </c>
      <c r="AK827" s="161">
        <v>95.834990000000005</v>
      </c>
      <c r="AL827" s="161">
        <v>95.834990000000005</v>
      </c>
      <c r="AM827" s="161">
        <v>95.834990000000005</v>
      </c>
      <c r="AN827" s="161">
        <v>95.834990000000005</v>
      </c>
      <c r="AO827" s="161">
        <v>95.834990000000005</v>
      </c>
      <c r="AP827" s="125" t="str">
        <f>CONCATENATE(A827,M827)</f>
        <v>Def TaxA</v>
      </c>
      <c r="AQ827" s="125" t="str">
        <f>CONCATENATE(AP827,L827,H827)</f>
        <v>Def TaxAA2Tracks 253040</v>
      </c>
      <c r="AS827" s="125" t="str">
        <f>CONCATENATE(L827,H827,J827)</f>
        <v>A2Tracks 253040</v>
      </c>
    </row>
    <row r="828" spans="1:45" s="125" customFormat="1" ht="25.5" customHeight="1">
      <c r="A828" s="216" t="s">
        <v>1996</v>
      </c>
      <c r="B828" s="217" t="str">
        <f t="shared" si="331"/>
        <v>Def Tax190001Ptax pd v acBT010175</v>
      </c>
      <c r="C828" s="186">
        <v>190001</v>
      </c>
      <c r="D828" s="201" t="s">
        <v>141</v>
      </c>
      <c r="E828" s="162" t="s">
        <v>393</v>
      </c>
      <c r="F828" s="169" t="s">
        <v>861</v>
      </c>
      <c r="G828" s="117" t="s">
        <v>392</v>
      </c>
      <c r="H828" s="118" t="s">
        <v>1084</v>
      </c>
      <c r="I828" s="119"/>
      <c r="J828" s="120"/>
      <c r="K828" s="120" t="str">
        <f t="shared" si="354"/>
        <v/>
      </c>
      <c r="L828" s="170" t="s">
        <v>1895</v>
      </c>
      <c r="M828" s="122" t="str">
        <f t="shared" si="350"/>
        <v>R</v>
      </c>
      <c r="N828" s="116" t="str">
        <f>IF($L828&lt;&gt;"",VLOOKUP($L828,Categories!$E:$G,2,FALSE),IF($F828&lt;&gt;"","NO CAT",""))</f>
        <v>Rate Base</v>
      </c>
      <c r="O828" s="116" t="str">
        <f>IF($L828&lt;&gt;"",VLOOKUP($L828,Categories!$E:$G,3,FALSE),IF($F828&lt;&gt;"","NO CAT",""))</f>
        <v>Deferred Income Taxes</v>
      </c>
      <c r="P828" s="170" t="s">
        <v>1554</v>
      </c>
      <c r="Q828" s="123" t="s">
        <v>1555</v>
      </c>
      <c r="R828" s="124">
        <v>0.80958645835662735</v>
      </c>
      <c r="S828" s="124">
        <v>0.19041354164337276</v>
      </c>
      <c r="T828" s="124">
        <v>0</v>
      </c>
      <c r="U828" s="121">
        <f t="shared" si="343"/>
        <v>265.23432518278003</v>
      </c>
      <c r="V828" s="121">
        <f t="shared" si="344"/>
        <v>62.3827223172201</v>
      </c>
      <c r="W828" s="121">
        <f t="shared" si="345"/>
        <v>0</v>
      </c>
      <c r="X828" s="121">
        <f t="shared" si="351"/>
        <v>327.61704750000001</v>
      </c>
      <c r="Y828" s="121">
        <f t="shared" si="346"/>
        <v>229.98078772723201</v>
      </c>
      <c r="Z828" s="121">
        <f t="shared" si="347"/>
        <v>54.091142272768302</v>
      </c>
      <c r="AA828" s="121">
        <f t="shared" si="348"/>
        <v>0</v>
      </c>
      <c r="AB828" s="121">
        <f t="shared" si="352"/>
        <v>284.07192999999995</v>
      </c>
      <c r="AC828" s="121">
        <v>345.54738999999995</v>
      </c>
      <c r="AD828" s="121">
        <v>345.54738999999995</v>
      </c>
      <c r="AE828" s="121">
        <v>345.54738999999995</v>
      </c>
      <c r="AF828" s="121">
        <v>345.54738999999995</v>
      </c>
      <c r="AG828" s="121">
        <v>345.54738999999995</v>
      </c>
      <c r="AH828" s="121">
        <v>345.54738999999995</v>
      </c>
      <c r="AI828" s="161">
        <v>345.54738999999995</v>
      </c>
      <c r="AJ828" s="161">
        <v>345.54738999999995</v>
      </c>
      <c r="AK828" s="161">
        <v>345.54738999999995</v>
      </c>
      <c r="AL828" s="161">
        <v>284.07192999999995</v>
      </c>
      <c r="AM828" s="161">
        <v>284.07192999999995</v>
      </c>
      <c r="AN828" s="161">
        <v>284.07192999999995</v>
      </c>
      <c r="AO828" s="161">
        <v>284.07192999999995</v>
      </c>
      <c r="AP828" s="125" t="str">
        <f>CONCATENATE(A828,M828)</f>
        <v>Def TaxR</v>
      </c>
      <c r="AQ828" s="125" t="str">
        <f>CONCATENATE(AP828,L828,H828)</f>
        <v>Def TaxRR11Property Tax Pd vs Accrued</v>
      </c>
      <c r="AS828" s="125" t="str">
        <f>CONCATENATE(L828,H828,J828)</f>
        <v>R11Property Tax Pd vs Accrued</v>
      </c>
    </row>
    <row r="829" spans="1:45" s="125" customFormat="1" ht="25.5" customHeight="1">
      <c r="A829" s="216" t="s">
        <v>1996</v>
      </c>
      <c r="B829" s="217" t="str">
        <f t="shared" ref="B829:B856" si="355">CONCATENATE(A829,C829,D829,E829)</f>
        <v>Def Tax1900010-183.66.00BT010016</v>
      </c>
      <c r="C829" s="186">
        <v>190001</v>
      </c>
      <c r="D829" s="201" t="s">
        <v>1315</v>
      </c>
      <c r="E829" s="162" t="s">
        <v>610</v>
      </c>
      <c r="F829" s="169" t="s">
        <v>861</v>
      </c>
      <c r="G829" s="117" t="s">
        <v>2220</v>
      </c>
      <c r="H829" s="118" t="s">
        <v>2221</v>
      </c>
      <c r="I829" s="119"/>
      <c r="J829" s="120"/>
      <c r="K829" s="120" t="str">
        <f t="shared" si="354"/>
        <v/>
      </c>
      <c r="L829" s="170" t="s">
        <v>1419</v>
      </c>
      <c r="M829" s="122" t="str">
        <f t="shared" si="350"/>
        <v>A</v>
      </c>
      <c r="N829" s="116" t="str">
        <f>IF($L829&lt;&gt;"",VLOOKUP($L829,Categories!$E:$G,2,FALSE),IF($F829&lt;&gt;"","NO CAT",""))</f>
        <v>All Other</v>
      </c>
      <c r="O829" s="116" t="str">
        <f>IF($L829&lt;&gt;"",VLOOKUP($L829,Categories!$E:$G,3,FALSE),IF($F829&lt;&gt;"","NO CAT",""))</f>
        <v>EB-Cap</v>
      </c>
      <c r="P829" s="170" t="s">
        <v>1557</v>
      </c>
      <c r="Q829" s="123" t="s">
        <v>1891</v>
      </c>
      <c r="R829" s="124">
        <v>0.77544352505021785</v>
      </c>
      <c r="S829" s="124">
        <v>0.22455647494978223</v>
      </c>
      <c r="T829" s="124">
        <v>0</v>
      </c>
      <c r="U829" s="121">
        <f t="shared" si="343"/>
        <v>-1.7999999999999999E-13</v>
      </c>
      <c r="V829" s="121">
        <f t="shared" si="344"/>
        <v>-5.1999999999999999E-14</v>
      </c>
      <c r="W829" s="121">
        <f t="shared" si="345"/>
        <v>0</v>
      </c>
      <c r="X829" s="121">
        <f t="shared" si="351"/>
        <v>-2.3200000000000002E-13</v>
      </c>
      <c r="Y829" s="121">
        <f t="shared" si="346"/>
        <v>-1.8800000000000001E-13</v>
      </c>
      <c r="Z829" s="121">
        <f t="shared" si="347"/>
        <v>-5.3999999999999997E-14</v>
      </c>
      <c r="AA829" s="121">
        <f t="shared" si="348"/>
        <v>0</v>
      </c>
      <c r="AB829" s="121">
        <f t="shared" si="352"/>
        <v>-2.4214386919185761E-13</v>
      </c>
      <c r="AC829" s="121">
        <v>0</v>
      </c>
      <c r="AD829" s="121">
        <v>-2.4214386919185761E-13</v>
      </c>
      <c r="AE829" s="121">
        <v>-2.4214386919185761E-13</v>
      </c>
      <c r="AF829" s="121">
        <v>-2.4214386919185761E-13</v>
      </c>
      <c r="AG829" s="121">
        <v>-2.4214386919185761E-13</v>
      </c>
      <c r="AH829" s="121">
        <v>-2.4214386919185761E-13</v>
      </c>
      <c r="AI829" s="161">
        <v>-2.4214386919185761E-13</v>
      </c>
      <c r="AJ829" s="161">
        <v>-2.4214386919185761E-13</v>
      </c>
      <c r="AK829" s="161">
        <v>-2.4214386919185761E-13</v>
      </c>
      <c r="AL829" s="161">
        <v>-2.4214386919185761E-13</v>
      </c>
      <c r="AM829" s="161">
        <v>-2.4214386919185761E-13</v>
      </c>
      <c r="AN829" s="161">
        <v>-2.4214386919185761E-13</v>
      </c>
      <c r="AO829" s="161">
        <v>-2.4214386919185761E-13</v>
      </c>
      <c r="AP829" s="125" t="str">
        <f>CONCATENATE(A829,M829)</f>
        <v>Def TaxA</v>
      </c>
      <c r="AQ829" s="125" t="str">
        <f>CONCATENATE(AP829,L829,H829)</f>
        <v>Def TaxAA2Bad Debts</v>
      </c>
      <c r="AS829" s="125" t="str">
        <f>CONCATENATE(L829,H829,J829)</f>
        <v>A2Bad Debts</v>
      </c>
    </row>
    <row r="830" spans="1:45" s="125" customFormat="1" ht="25.5" customHeight="1">
      <c r="A830" s="216" t="s">
        <v>1996</v>
      </c>
      <c r="B830" s="217" t="str">
        <f t="shared" si="355"/>
        <v>Def Tax190001PURTA Refund</v>
      </c>
      <c r="C830" s="186">
        <v>190001</v>
      </c>
      <c r="D830" s="201" t="s">
        <v>919</v>
      </c>
      <c r="E830" s="162"/>
      <c r="F830" s="169" t="s">
        <v>861</v>
      </c>
      <c r="G830" s="117" t="s">
        <v>919</v>
      </c>
      <c r="H830" s="118" t="s">
        <v>919</v>
      </c>
      <c r="I830" s="119"/>
      <c r="J830" s="120"/>
      <c r="K830" s="120" t="str">
        <f t="shared" si="354"/>
        <v/>
      </c>
      <c r="L830" s="170" t="s">
        <v>1419</v>
      </c>
      <c r="M830" s="122" t="str">
        <f t="shared" si="350"/>
        <v>A</v>
      </c>
      <c r="N830" s="116" t="str">
        <f>IF($L830&lt;&gt;"",VLOOKUP($L830,Categories!$E:$G,2,FALSE),IF($F830&lt;&gt;"","NO CAT",""))</f>
        <v>All Other</v>
      </c>
      <c r="O830" s="116" t="str">
        <f>IF($L830&lt;&gt;"",VLOOKUP($L830,Categories!$E:$G,3,FALSE),IF($F830&lt;&gt;"","NO CAT",""))</f>
        <v>EB-Cap</v>
      </c>
      <c r="P830" s="170" t="s">
        <v>1557</v>
      </c>
      <c r="Q830" s="123" t="s">
        <v>1891</v>
      </c>
      <c r="R830" s="124">
        <v>0.77544352505021785</v>
      </c>
      <c r="S830" s="124">
        <v>0.22455647494978223</v>
      </c>
      <c r="T830" s="124">
        <v>0</v>
      </c>
      <c r="U830" s="121">
        <f t="shared" si="343"/>
        <v>79.806422075251504</v>
      </c>
      <c r="V830" s="121">
        <f t="shared" si="344"/>
        <v>23.1107079247485</v>
      </c>
      <c r="W830" s="121">
        <f t="shared" si="345"/>
        <v>0</v>
      </c>
      <c r="X830" s="121">
        <f t="shared" si="351"/>
        <v>102.91713</v>
      </c>
      <c r="Y830" s="121">
        <f t="shared" si="346"/>
        <v>79.806422075251504</v>
      </c>
      <c r="Z830" s="121">
        <f t="shared" si="347"/>
        <v>23.1107079247485</v>
      </c>
      <c r="AA830" s="121">
        <f t="shared" si="348"/>
        <v>0</v>
      </c>
      <c r="AB830" s="121">
        <f t="shared" si="352"/>
        <v>102.91713</v>
      </c>
      <c r="AC830" s="121">
        <v>102.91713</v>
      </c>
      <c r="AD830" s="121">
        <v>102.91713</v>
      </c>
      <c r="AE830" s="121">
        <v>102.91713</v>
      </c>
      <c r="AF830" s="121">
        <v>102.91713</v>
      </c>
      <c r="AG830" s="121">
        <v>102.91713</v>
      </c>
      <c r="AH830" s="121">
        <v>102.91713</v>
      </c>
      <c r="AI830" s="161">
        <v>102.91713</v>
      </c>
      <c r="AJ830" s="161">
        <v>102.91713</v>
      </c>
      <c r="AK830" s="161">
        <v>102.91713</v>
      </c>
      <c r="AL830" s="161">
        <v>102.91713</v>
      </c>
      <c r="AM830" s="161">
        <v>102.91713</v>
      </c>
      <c r="AN830" s="161">
        <v>102.91713</v>
      </c>
      <c r="AO830" s="161">
        <v>102.91713</v>
      </c>
      <c r="AP830" s="125" t="str">
        <f>CONCATENATE(A830,M830)</f>
        <v>Def TaxA</v>
      </c>
      <c r="AQ830" s="125" t="str">
        <f>CONCATENATE(AP830,L830,H830)</f>
        <v>Def TaxAA2PURTA Refund</v>
      </c>
      <c r="AS830" s="125" t="str">
        <f>CONCATENATE(L830,H830,J830)</f>
        <v>A2PURTA Refund</v>
      </c>
    </row>
    <row r="831" spans="1:45" s="125" customFormat="1" ht="25.5" customHeight="1">
      <c r="A831" s="216" t="s">
        <v>1996</v>
      </c>
      <c r="B831" s="217" t="str">
        <f t="shared" si="355"/>
        <v>Def Tax190001Multiple: 184.22.32/184.22.33/186.01.50/186.01.51/183.68.00/183.69.00/186.01.11/186.01.12BT010188</v>
      </c>
      <c r="C831" s="186">
        <v>190001</v>
      </c>
      <c r="D831" s="201" t="s">
        <v>1209</v>
      </c>
      <c r="E831" s="162" t="s">
        <v>355</v>
      </c>
      <c r="F831" s="169" t="s">
        <v>861</v>
      </c>
      <c r="G831" s="117" t="s">
        <v>841</v>
      </c>
      <c r="H831" s="118" t="s">
        <v>1002</v>
      </c>
      <c r="I831" s="119"/>
      <c r="J831" s="120"/>
      <c r="K831" s="120" t="str">
        <f t="shared" si="354"/>
        <v/>
      </c>
      <c r="L831" s="170" t="s">
        <v>1895</v>
      </c>
      <c r="M831" s="122" t="str">
        <f t="shared" si="350"/>
        <v>R</v>
      </c>
      <c r="N831" s="116" t="str">
        <f>IF($L831&lt;&gt;"",VLOOKUP($L831,Categories!$E:$G,2,FALSE),IF($F831&lt;&gt;"","NO CAT",""))</f>
        <v>Rate Base</v>
      </c>
      <c r="O831" s="116" t="str">
        <f>IF($L831&lt;&gt;"",VLOOKUP($L831,Categories!$E:$G,3,FALSE),IF($F831&lt;&gt;"","NO CAT",""))</f>
        <v>Deferred Income Taxes</v>
      </c>
      <c r="P831" s="170" t="s">
        <v>1553</v>
      </c>
      <c r="Q831" s="123" t="s">
        <v>2587</v>
      </c>
      <c r="R831" s="124">
        <v>0.81899999999999995</v>
      </c>
      <c r="S831" s="124">
        <v>0.18099999999999999</v>
      </c>
      <c r="T831" s="124">
        <v>0</v>
      </c>
      <c r="U831" s="121">
        <f t="shared" si="343"/>
        <v>2.0000000000000002E-15</v>
      </c>
      <c r="V831" s="121">
        <f t="shared" si="344"/>
        <v>1.0000000000000001E-15</v>
      </c>
      <c r="W831" s="121">
        <f t="shared" si="345"/>
        <v>0</v>
      </c>
      <c r="X831" s="121">
        <f t="shared" si="351"/>
        <v>2.9999999999999998E-15</v>
      </c>
      <c r="Y831" s="121">
        <f t="shared" si="346"/>
        <v>2.9999999999999998E-15</v>
      </c>
      <c r="Z831" s="121">
        <f t="shared" si="347"/>
        <v>1.0000000000000001E-15</v>
      </c>
      <c r="AA831" s="121">
        <f t="shared" si="348"/>
        <v>0</v>
      </c>
      <c r="AB831" s="121">
        <f t="shared" si="352"/>
        <v>3.4923175462608924E-15</v>
      </c>
      <c r="AC831" s="121">
        <v>0</v>
      </c>
      <c r="AD831" s="121">
        <v>3.4923175462608924E-15</v>
      </c>
      <c r="AE831" s="121">
        <v>3.4923175462608924E-15</v>
      </c>
      <c r="AF831" s="121">
        <v>3.4923175462608924E-15</v>
      </c>
      <c r="AG831" s="121">
        <v>3.4923175462608924E-15</v>
      </c>
      <c r="AH831" s="121">
        <v>3.4923175462608924E-15</v>
      </c>
      <c r="AI831" s="161">
        <v>3.4923175462608924E-15</v>
      </c>
      <c r="AJ831" s="161">
        <v>3.4923175462608924E-15</v>
      </c>
      <c r="AK831" s="161">
        <v>3.4923175462608924E-15</v>
      </c>
      <c r="AL831" s="161">
        <v>3.4923175462608924E-15</v>
      </c>
      <c r="AM831" s="161">
        <v>3.4923175462608924E-15</v>
      </c>
      <c r="AN831" s="161">
        <v>3.4923175462608924E-15</v>
      </c>
      <c r="AO831" s="161">
        <v>3.4923175462608924E-15</v>
      </c>
      <c r="AP831" s="125" t="str">
        <f>CONCATENATE(A831,M831)</f>
        <v>Def TaxR</v>
      </c>
      <c r="AQ831" s="125" t="str">
        <f>CONCATENATE(AP831,L831,H831)</f>
        <v>Def TaxRR11Accrued Pension</v>
      </c>
      <c r="AS831" s="125" t="str">
        <f>CONCATENATE(L831,H831,J831)</f>
        <v>R11Accrued Pension</v>
      </c>
    </row>
    <row r="832" spans="1:45" s="125" customFormat="1" ht="25.5" customHeight="1">
      <c r="A832" s="216" t="s">
        <v>1996</v>
      </c>
      <c r="B832" s="217" t="str">
        <f t="shared" si="355"/>
        <v>Def Tax1900010-183.75.00BT010204</v>
      </c>
      <c r="C832" s="186">
        <v>190001</v>
      </c>
      <c r="D832" s="201" t="s">
        <v>2981</v>
      </c>
      <c r="E832" s="162" t="s">
        <v>718</v>
      </c>
      <c r="F832" s="169" t="s">
        <v>861</v>
      </c>
      <c r="G832" s="117" t="s">
        <v>2982</v>
      </c>
      <c r="H832" s="118" t="s">
        <v>2983</v>
      </c>
      <c r="I832" s="119"/>
      <c r="J832" s="120"/>
      <c r="K832" s="120" t="str">
        <f t="shared" si="354"/>
        <v/>
      </c>
      <c r="L832" s="170" t="s">
        <v>928</v>
      </c>
      <c r="M832" s="122" t="str">
        <f t="shared" si="350"/>
        <v>N</v>
      </c>
      <c r="N832" s="116" t="str">
        <f>IF($L832&lt;&gt;"",VLOOKUP($L832,Categories!$E:$G,2,FALSE),IF($F832&lt;&gt;"","NO CAT",""))</f>
        <v>Not in Rate Base</v>
      </c>
      <c r="O832" s="116" t="str">
        <f>IF($L832&lt;&gt;"",VLOOKUP($L832,Categories!$E:$G,3,FALSE),IF($F832&lt;&gt;"","NO CAT",""))</f>
        <v>Direct Assign Items Not in RB</v>
      </c>
      <c r="P832" s="170" t="s">
        <v>1186</v>
      </c>
      <c r="Q832" s="123" t="s">
        <v>1187</v>
      </c>
      <c r="R832" s="124">
        <v>0</v>
      </c>
      <c r="S832" s="124">
        <v>0</v>
      </c>
      <c r="T832" s="124">
        <v>1</v>
      </c>
      <c r="U832" s="121">
        <f t="shared" si="343"/>
        <v>0</v>
      </c>
      <c r="V832" s="121">
        <f t="shared" si="344"/>
        <v>0</v>
      </c>
      <c r="W832" s="121">
        <f t="shared" si="345"/>
        <v>25.364018333333298</v>
      </c>
      <c r="X832" s="121">
        <f t="shared" si="351"/>
        <v>25.364018333333298</v>
      </c>
      <c r="Y832" s="121">
        <f t="shared" si="346"/>
        <v>0</v>
      </c>
      <c r="Z832" s="121">
        <f t="shared" si="347"/>
        <v>0</v>
      </c>
      <c r="AA832" s="121">
        <f t="shared" si="348"/>
        <v>22.8659999999999</v>
      </c>
      <c r="AB832" s="121">
        <f t="shared" si="352"/>
        <v>22.865999999999943</v>
      </c>
      <c r="AC832" s="121">
        <v>27.861999999999959</v>
      </c>
      <c r="AD832" s="121">
        <v>27.445669999999957</v>
      </c>
      <c r="AE832" s="121">
        <v>27.029339999999955</v>
      </c>
      <c r="AF832" s="121">
        <v>26.613009999999953</v>
      </c>
      <c r="AG832" s="121">
        <v>26.196679999999954</v>
      </c>
      <c r="AH832" s="121">
        <v>25.780349999999952</v>
      </c>
      <c r="AI832" s="161">
        <v>25.36401999999995</v>
      </c>
      <c r="AJ832" s="161">
        <v>24.947689999999948</v>
      </c>
      <c r="AK832" s="161">
        <v>24.531359999999946</v>
      </c>
      <c r="AL832" s="161">
        <v>24.115029999999944</v>
      </c>
      <c r="AM832" s="161">
        <v>23.698699999999942</v>
      </c>
      <c r="AN832" s="161">
        <v>23.28236999999994</v>
      </c>
      <c r="AO832" s="161">
        <v>22.865999999999943</v>
      </c>
      <c r="AP832" s="125" t="str">
        <f>CONCATENATE(A832,M832)</f>
        <v>Def TaxN</v>
      </c>
      <c r="AQ832" s="125" t="str">
        <f>CONCATENATE(AP832,L832,H832)</f>
        <v>Def TaxNN2Saranac</v>
      </c>
      <c r="AS832" s="125" t="str">
        <f>CONCATENATE(L832,H832,J832)</f>
        <v>N2Saranac</v>
      </c>
    </row>
    <row r="833" spans="1:45" s="125" customFormat="1" ht="25.5" customHeight="1">
      <c r="A833" s="216" t="s">
        <v>1996</v>
      </c>
      <c r="B833" s="217" t="str">
        <f t="shared" si="355"/>
        <v>Def Tax190001183.43.00/283.22.26BT010031</v>
      </c>
      <c r="C833" s="186">
        <v>190001</v>
      </c>
      <c r="D833" s="201" t="s">
        <v>959</v>
      </c>
      <c r="E833" s="162" t="s">
        <v>613</v>
      </c>
      <c r="F833" s="169" t="s">
        <v>861</v>
      </c>
      <c r="G833" s="117" t="s">
        <v>245</v>
      </c>
      <c r="H833" s="118" t="s">
        <v>170</v>
      </c>
      <c r="I833" s="119"/>
      <c r="J833" s="120"/>
      <c r="K833" s="120" t="str">
        <f t="shared" si="354"/>
        <v/>
      </c>
      <c r="L833" s="170" t="s">
        <v>1895</v>
      </c>
      <c r="M833" s="122" t="str">
        <f t="shared" si="350"/>
        <v>R</v>
      </c>
      <c r="N833" s="116" t="str">
        <f>IF($L833&lt;&gt;"",VLOOKUP($L833,Categories!$E:$G,2,FALSE),IF($F833&lt;&gt;"","NO CAT",""))</f>
        <v>Rate Base</v>
      </c>
      <c r="O833" s="116" t="str">
        <f>IF($L833&lt;&gt;"",VLOOKUP($L833,Categories!$E:$G,3,FALSE),IF($F833&lt;&gt;"","NO CAT",""))</f>
        <v>Deferred Income Taxes</v>
      </c>
      <c r="P833" s="170" t="s">
        <v>1553</v>
      </c>
      <c r="Q833" s="123" t="s">
        <v>2587</v>
      </c>
      <c r="R833" s="124">
        <v>0.81899999999999995</v>
      </c>
      <c r="S833" s="124">
        <v>0.18099999999999999</v>
      </c>
      <c r="T833" s="124">
        <v>0</v>
      </c>
      <c r="U833" s="121" t="str">
        <f t="shared" si="343"/>
        <v/>
      </c>
      <c r="V833" s="121" t="str">
        <f t="shared" si="344"/>
        <v/>
      </c>
      <c r="W833" s="121" t="str">
        <f t="shared" si="345"/>
        <v/>
      </c>
      <c r="X833" s="121">
        <f t="shared" si="351"/>
        <v>0</v>
      </c>
      <c r="Y833" s="121" t="str">
        <f t="shared" si="346"/>
        <v/>
      </c>
      <c r="Z833" s="121" t="str">
        <f t="shared" si="347"/>
        <v/>
      </c>
      <c r="AA833" s="121" t="str">
        <f t="shared" si="348"/>
        <v/>
      </c>
      <c r="AB833" s="121">
        <f t="shared" si="352"/>
        <v>0</v>
      </c>
      <c r="AC833" s="121">
        <v>0</v>
      </c>
      <c r="AD833" s="121">
        <v>0</v>
      </c>
      <c r="AE833" s="121">
        <v>0</v>
      </c>
      <c r="AF833" s="121">
        <v>0</v>
      </c>
      <c r="AG833" s="121">
        <v>0</v>
      </c>
      <c r="AH833" s="121">
        <v>0</v>
      </c>
      <c r="AI833" s="161">
        <v>0</v>
      </c>
      <c r="AJ833" s="161">
        <f t="shared" ref="AJ833:AK833" si="356">IF(AI833=0,0,0)</f>
        <v>0</v>
      </c>
      <c r="AK833" s="161">
        <f t="shared" si="356"/>
        <v>0</v>
      </c>
      <c r="AL833" s="161">
        <v>0</v>
      </c>
      <c r="AM833" s="161">
        <v>0</v>
      </c>
      <c r="AN833" s="161">
        <v>0</v>
      </c>
      <c r="AO833" s="161">
        <v>0</v>
      </c>
      <c r="AP833" s="125" t="str">
        <f>CONCATENATE(A833,M833)</f>
        <v>Def TaxR</v>
      </c>
      <c r="AQ833" s="125" t="str">
        <f>CONCATENATE(AP833,L833,H833)</f>
        <v>Def TaxRR11OPEBs</v>
      </c>
      <c r="AS833" s="125" t="str">
        <f>CONCATENATE(L833,H833,J833)</f>
        <v>R11OPEBs</v>
      </c>
    </row>
    <row r="834" spans="1:45" s="125" customFormat="1" ht="25.5" customHeight="1">
      <c r="A834" s="216" t="s">
        <v>1996</v>
      </c>
      <c r="B834" s="217" t="str">
        <f t="shared" si="355"/>
        <v>Def Tax1900010-283.21.89BTHUNGDT</v>
      </c>
      <c r="C834" s="186">
        <v>190001</v>
      </c>
      <c r="D834" s="201" t="s">
        <v>2238</v>
      </c>
      <c r="E834" s="162" t="s">
        <v>616</v>
      </c>
      <c r="F834" s="169" t="s">
        <v>861</v>
      </c>
      <c r="G834" s="117" t="s">
        <v>2972</v>
      </c>
      <c r="H834" s="118" t="s">
        <v>1167</v>
      </c>
      <c r="I834" s="119"/>
      <c r="J834" s="120"/>
      <c r="K834" s="120" t="str">
        <f t="shared" si="354"/>
        <v/>
      </c>
      <c r="L834" s="170" t="s">
        <v>1895</v>
      </c>
      <c r="M834" s="122" t="str">
        <f t="shared" si="350"/>
        <v>R</v>
      </c>
      <c r="N834" s="116" t="str">
        <f>IF($L834&lt;&gt;"",VLOOKUP($L834,Categories!$E:$G,2,FALSE),IF($F834&lt;&gt;"","NO CAT",""))</f>
        <v>Rate Base</v>
      </c>
      <c r="O834" s="116" t="str">
        <f>IF($L834&lt;&gt;"",VLOOKUP($L834,Categories!$E:$G,3,FALSE),IF($F834&lt;&gt;"","NO CAT",""))</f>
        <v>Deferred Income Taxes</v>
      </c>
      <c r="P834" s="170" t="s">
        <v>1183</v>
      </c>
      <c r="Q834" s="123" t="s">
        <v>1177</v>
      </c>
      <c r="R834" s="124">
        <v>1</v>
      </c>
      <c r="S834" s="124">
        <v>0</v>
      </c>
      <c r="T834" s="124">
        <v>0</v>
      </c>
      <c r="U834" s="121">
        <f t="shared" si="343"/>
        <v>2.1</v>
      </c>
      <c r="V834" s="121">
        <f t="shared" si="344"/>
        <v>0</v>
      </c>
      <c r="W834" s="121">
        <f t="shared" si="345"/>
        <v>0</v>
      </c>
      <c r="X834" s="121">
        <f t="shared" si="351"/>
        <v>2.1</v>
      </c>
      <c r="Y834" s="121">
        <f t="shared" si="346"/>
        <v>2.1</v>
      </c>
      <c r="Z834" s="121">
        <f t="shared" si="347"/>
        <v>0</v>
      </c>
      <c r="AA834" s="121">
        <f t="shared" si="348"/>
        <v>0</v>
      </c>
      <c r="AB834" s="121">
        <f t="shared" si="352"/>
        <v>2.1</v>
      </c>
      <c r="AC834" s="121">
        <v>2.1</v>
      </c>
      <c r="AD834" s="121">
        <v>2.1</v>
      </c>
      <c r="AE834" s="121">
        <v>2.1</v>
      </c>
      <c r="AF834" s="121">
        <v>2.1</v>
      </c>
      <c r="AG834" s="121">
        <v>2.1</v>
      </c>
      <c r="AH834" s="121">
        <v>2.1</v>
      </c>
      <c r="AI834" s="161">
        <v>2.1</v>
      </c>
      <c r="AJ834" s="161">
        <v>2.1</v>
      </c>
      <c r="AK834" s="161">
        <v>2.1</v>
      </c>
      <c r="AL834" s="161">
        <v>2.1</v>
      </c>
      <c r="AM834" s="161">
        <v>2.1</v>
      </c>
      <c r="AN834" s="161">
        <v>2.1</v>
      </c>
      <c r="AO834" s="161">
        <v>2.1</v>
      </c>
      <c r="AP834" s="125" t="str">
        <f>CONCATENATE(A834,M834)</f>
        <v>Def TaxR</v>
      </c>
      <c r="AQ834" s="125" t="str">
        <f>CONCATENATE(AP834,L834,H834)</f>
        <v>Def TaxRR11Hung Deferred Taxes</v>
      </c>
      <c r="AS834" s="125" t="str">
        <f>CONCATENATE(L834,H834,J834)</f>
        <v>R11Hung Deferred Taxes</v>
      </c>
    </row>
    <row r="835" spans="1:45" s="125" customFormat="1" ht="25.5" customHeight="1">
      <c r="A835" s="216" t="s">
        <v>1996</v>
      </c>
      <c r="B835" s="217" t="str">
        <f t="shared" si="355"/>
        <v>Def Tax1900010-183.82.00BT010103</v>
      </c>
      <c r="C835" s="186">
        <v>190001</v>
      </c>
      <c r="D835" s="201" t="s">
        <v>2775</v>
      </c>
      <c r="E835" s="162" t="s">
        <v>1613</v>
      </c>
      <c r="F835" s="169" t="s">
        <v>861</v>
      </c>
      <c r="G835" s="117" t="s">
        <v>2939</v>
      </c>
      <c r="H835" s="118" t="s">
        <v>1149</v>
      </c>
      <c r="I835" s="119"/>
      <c r="J835" s="120"/>
      <c r="K835" s="120" t="str">
        <f t="shared" si="354"/>
        <v>SFAS-109</v>
      </c>
      <c r="L835" s="170" t="s">
        <v>930</v>
      </c>
      <c r="M835" s="122" t="str">
        <f t="shared" si="350"/>
        <v>N</v>
      </c>
      <c r="N835" s="116" t="str">
        <f>IF($L835&lt;&gt;"",VLOOKUP($L835,Categories!$E:$G,2,FALSE),IF($F835&lt;&gt;"","NO CAT",""))</f>
        <v>Not in Rate Base</v>
      </c>
      <c r="O835" s="116" t="str">
        <f>IF($L835&lt;&gt;"",VLOOKUP($L835,Categories!$E:$G,3,FALSE),IF($F835&lt;&gt;"","NO CAT",""))</f>
        <v>SFAS-109   (offsetting)</v>
      </c>
      <c r="P835" s="170" t="s">
        <v>1186</v>
      </c>
      <c r="Q835" s="123" t="s">
        <v>1187</v>
      </c>
      <c r="R835" s="124">
        <v>0</v>
      </c>
      <c r="S835" s="124">
        <v>0</v>
      </c>
      <c r="T835" s="124">
        <v>1</v>
      </c>
      <c r="U835" s="121">
        <f t="shared" si="343"/>
        <v>0</v>
      </c>
      <c r="V835" s="121">
        <f t="shared" si="344"/>
        <v>0</v>
      </c>
      <c r="W835" s="121">
        <f t="shared" si="345"/>
        <v>5743.9985999999999</v>
      </c>
      <c r="X835" s="121">
        <f t="shared" si="351"/>
        <v>5743.9985999999999</v>
      </c>
      <c r="Y835" s="121">
        <f t="shared" si="346"/>
        <v>0</v>
      </c>
      <c r="Z835" s="121">
        <f t="shared" si="347"/>
        <v>0</v>
      </c>
      <c r="AA835" s="121">
        <f t="shared" si="348"/>
        <v>5622.2345999999998</v>
      </c>
      <c r="AB835" s="121">
        <f t="shared" si="352"/>
        <v>5622.2345999999998</v>
      </c>
      <c r="AC835" s="121">
        <v>5865.7626</v>
      </c>
      <c r="AD835" s="121">
        <v>5845.4685999999992</v>
      </c>
      <c r="AE835" s="121">
        <v>5825.1745999999994</v>
      </c>
      <c r="AF835" s="121">
        <v>5804.8805999999995</v>
      </c>
      <c r="AG835" s="121">
        <v>5784.5865999999996</v>
      </c>
      <c r="AH835" s="121">
        <v>5764.2925999999998</v>
      </c>
      <c r="AI835" s="161">
        <v>5743.9985999999999</v>
      </c>
      <c r="AJ835" s="161">
        <v>5723.7046</v>
      </c>
      <c r="AK835" s="161">
        <v>5703.4105999999992</v>
      </c>
      <c r="AL835" s="161">
        <v>5683.1165999999994</v>
      </c>
      <c r="AM835" s="161">
        <v>5662.8225999999995</v>
      </c>
      <c r="AN835" s="161">
        <v>5642.5285999999996</v>
      </c>
      <c r="AO835" s="161">
        <v>5622.2345999999998</v>
      </c>
      <c r="AP835" s="125" t="str">
        <f>CONCATENATE(A835,M835)</f>
        <v>Def TaxN</v>
      </c>
      <c r="AQ835" s="125" t="str">
        <f>CONCATENATE(AP835,L835,H835)</f>
        <v>Def TaxNN3SFAS-109</v>
      </c>
      <c r="AS835" s="125" t="str">
        <f>CONCATENATE(L835,H835,J835)</f>
        <v>N3SFAS-109</v>
      </c>
    </row>
    <row r="836" spans="1:45" s="125" customFormat="1" ht="25.5" customHeight="1">
      <c r="A836" s="216" t="s">
        <v>1996</v>
      </c>
      <c r="B836" s="217" t="str">
        <f t="shared" si="355"/>
        <v>Def Tax190001Use Tax ResBT010240</v>
      </c>
      <c r="C836" s="186">
        <v>190001</v>
      </c>
      <c r="D836" s="201" t="s">
        <v>721</v>
      </c>
      <c r="E836" s="162" t="s">
        <v>986</v>
      </c>
      <c r="F836" s="169" t="s">
        <v>861</v>
      </c>
      <c r="G836" s="117" t="s">
        <v>720</v>
      </c>
      <c r="H836" s="118" t="s">
        <v>1839</v>
      </c>
      <c r="I836" s="119"/>
      <c r="J836" s="120"/>
      <c r="K836" s="120" t="str">
        <f t="shared" si="354"/>
        <v/>
      </c>
      <c r="L836" s="170" t="s">
        <v>928</v>
      </c>
      <c r="M836" s="122" t="str">
        <f t="shared" si="350"/>
        <v>N</v>
      </c>
      <c r="N836" s="116" t="str">
        <f>IF($L836&lt;&gt;"",VLOOKUP($L836,Categories!$E:$G,2,FALSE),IF($F836&lt;&gt;"","NO CAT",""))</f>
        <v>Not in Rate Base</v>
      </c>
      <c r="O836" s="116" t="str">
        <f>IF($L836&lt;&gt;"",VLOOKUP($L836,Categories!$E:$G,3,FALSE),IF($F836&lt;&gt;"","NO CAT",""))</f>
        <v>Direct Assign Items Not in RB</v>
      </c>
      <c r="P836" s="170" t="s">
        <v>1186</v>
      </c>
      <c r="Q836" s="123" t="s">
        <v>1187</v>
      </c>
      <c r="R836" s="124">
        <v>0</v>
      </c>
      <c r="S836" s="124">
        <v>0</v>
      </c>
      <c r="T836" s="124">
        <v>1</v>
      </c>
      <c r="U836" s="121">
        <f t="shared" si="343"/>
        <v>0</v>
      </c>
      <c r="V836" s="121">
        <f t="shared" si="344"/>
        <v>0</v>
      </c>
      <c r="W836" s="121">
        <f t="shared" si="345"/>
        <v>203.43560541666699</v>
      </c>
      <c r="X836" s="121">
        <f t="shared" si="351"/>
        <v>203.43560541666699</v>
      </c>
      <c r="Y836" s="121">
        <f t="shared" si="346"/>
        <v>0</v>
      </c>
      <c r="Z836" s="121">
        <f t="shared" si="347"/>
        <v>0</v>
      </c>
      <c r="AA836" s="121">
        <f t="shared" si="348"/>
        <v>474.84102000000001</v>
      </c>
      <c r="AB836" s="121">
        <f t="shared" si="352"/>
        <v>474.84102000000001</v>
      </c>
      <c r="AC836" s="121">
        <v>191.63536999999997</v>
      </c>
      <c r="AD836" s="121">
        <v>191.63536999999997</v>
      </c>
      <c r="AE836" s="121">
        <v>191.63536999999997</v>
      </c>
      <c r="AF836" s="121">
        <v>191.63536999999997</v>
      </c>
      <c r="AG836" s="121">
        <v>191.63536999999997</v>
      </c>
      <c r="AH836" s="121">
        <v>191.63536999999997</v>
      </c>
      <c r="AI836" s="161">
        <v>191.63536999999997</v>
      </c>
      <c r="AJ836" s="161">
        <v>191.63536999999997</v>
      </c>
      <c r="AK836" s="161">
        <v>191.63536999999997</v>
      </c>
      <c r="AL836" s="161">
        <v>191.63536999999997</v>
      </c>
      <c r="AM836" s="161">
        <v>191.63536999999997</v>
      </c>
      <c r="AN836" s="161">
        <v>191.63536999999997</v>
      </c>
      <c r="AO836" s="161">
        <v>474.84102000000001</v>
      </c>
      <c r="AP836" s="125" t="str">
        <f>CONCATENATE(A836,M836)</f>
        <v>Def TaxN</v>
      </c>
      <c r="AQ836" s="125" t="str">
        <f>CONCATENATE(AP836,L836,H836)</f>
        <v>Def TaxNN2Use Tax Reserve</v>
      </c>
      <c r="AS836" s="125" t="str">
        <f>CONCATENATE(L836,H836,J836)</f>
        <v>N2Use Tax Reserve</v>
      </c>
    </row>
    <row r="837" spans="1:45" s="125" customFormat="1" ht="25.5" customHeight="1">
      <c r="A837" s="216" t="s">
        <v>1996</v>
      </c>
      <c r="B837" s="217" t="str">
        <f t="shared" si="355"/>
        <v>Def Tax1900010-184.05.00-aBT010244</v>
      </c>
      <c r="C837" s="186">
        <v>190001</v>
      </c>
      <c r="D837" s="201" t="s">
        <v>2560</v>
      </c>
      <c r="E837" s="162" t="s">
        <v>989</v>
      </c>
      <c r="F837" s="169" t="s">
        <v>861</v>
      </c>
      <c r="G837" s="117" t="s">
        <v>386</v>
      </c>
      <c r="H837" s="118" t="s">
        <v>1217</v>
      </c>
      <c r="I837" s="119"/>
      <c r="J837" s="120"/>
      <c r="K837" s="120" t="str">
        <f>IF(L837="N3","SFAS-109","")</f>
        <v/>
      </c>
      <c r="L837" s="170" t="s">
        <v>1895</v>
      </c>
      <c r="M837" s="122" t="str">
        <f t="shared" si="350"/>
        <v>R</v>
      </c>
      <c r="N837" s="116" t="str">
        <f>IF($L837&lt;&gt;"",VLOOKUP($L837,Categories!$E:$G,2,FALSE),IF($F837&lt;&gt;"","NO CAT",""))</f>
        <v>Rate Base</v>
      </c>
      <c r="O837" s="116" t="str">
        <f>IF($L837&lt;&gt;"",VLOOKUP($L837,Categories!$E:$G,3,FALSE),IF($F837&lt;&gt;"","NO CAT",""))</f>
        <v>Deferred Income Taxes</v>
      </c>
      <c r="P837" s="170" t="s">
        <v>1188</v>
      </c>
      <c r="Q837" s="123" t="s">
        <v>1843</v>
      </c>
      <c r="R837" s="124">
        <v>0.76071990262269951</v>
      </c>
      <c r="S837" s="124">
        <v>0.23928009737730072</v>
      </c>
      <c r="T837" s="124">
        <v>0</v>
      </c>
      <c r="U837" s="121">
        <f t="shared" ref="U837:U864" si="357">IF(ABS(X837)=0,"",IF($R837="NO ALLOC","NO ALLOC",ROUND($R837*X837,15)))</f>
        <v>1.0000000000000001E-15</v>
      </c>
      <c r="V837" s="121">
        <f t="shared" ref="V837:V864" si="358">IF(ABS(X837)=0,"",IF($S837="NO ALLOC","NO ALLOC",ROUND($S837*X837,15)))</f>
        <v>0</v>
      </c>
      <c r="W837" s="121">
        <f t="shared" ref="W837:W864" si="359">IF(ABS(X837)=0,"",IF($T837="NO ALLOC","NO ALLOC",ROUND($T837*X837,15)))</f>
        <v>0</v>
      </c>
      <c r="X837" s="121">
        <f t="shared" si="351"/>
        <v>1.0000000000000001E-15</v>
      </c>
      <c r="Y837" s="121">
        <f t="shared" ref="Y837:Y864" si="360">IF(ABS(AB837)=0,"",IF($R837="NO ALLOC","NO ALLOC",ROUND($R837*AB837,15)))</f>
        <v>1.0000000000000001E-15</v>
      </c>
      <c r="Z837" s="121">
        <f t="shared" ref="Z837:Z864" si="361">IF(ABS(AB837)=0,"",IF($S837="NO ALLOC","NO ALLOC",ROUND($S837*AB837,15)))</f>
        <v>0</v>
      </c>
      <c r="AA837" s="121">
        <f t="shared" ref="AA837:AA864" si="362">IF(ABS(AB837)=0,"",IF($T837="NO ALLOC","NO ALLOC",ROUND($T837*AB837,15)))</f>
        <v>0</v>
      </c>
      <c r="AB837" s="121">
        <f t="shared" si="352"/>
        <v>1.1368683772161603E-15</v>
      </c>
      <c r="AC837" s="121">
        <v>0</v>
      </c>
      <c r="AD837" s="121">
        <v>1.1368683772161603E-15</v>
      </c>
      <c r="AE837" s="121">
        <v>1.1368683772161603E-15</v>
      </c>
      <c r="AF837" s="121">
        <v>1.1368683772161603E-15</v>
      </c>
      <c r="AG837" s="121">
        <v>1.1368683772161603E-15</v>
      </c>
      <c r="AH837" s="121">
        <v>1.1368683772161603E-15</v>
      </c>
      <c r="AI837" s="161">
        <v>1.1368683772161603E-15</v>
      </c>
      <c r="AJ837" s="161">
        <v>1.1368683772161603E-15</v>
      </c>
      <c r="AK837" s="161">
        <v>1.1368683772161603E-15</v>
      </c>
      <c r="AL837" s="161">
        <v>1.1368683772161603E-15</v>
      </c>
      <c r="AM837" s="161">
        <v>1.1368683772161603E-15</v>
      </c>
      <c r="AN837" s="161">
        <v>1.1368683772161603E-15</v>
      </c>
      <c r="AO837" s="161">
        <v>1.1368683772161603E-15</v>
      </c>
      <c r="AP837" s="125" t="str">
        <f>CONCATENATE(A837,M837)</f>
        <v>Def TaxR</v>
      </c>
      <c r="AQ837" s="125" t="str">
        <f>CONCATENATE(AP837,L837,H837)</f>
        <v>Def TaxRR11Workman's Comp Reserve</v>
      </c>
      <c r="AS837" s="125" t="str">
        <f>CONCATENATE(L837,H837,J837)</f>
        <v>R11Workman's Comp Reserve</v>
      </c>
    </row>
    <row r="838" spans="1:45" s="125" customFormat="1" ht="25.5" customHeight="1">
      <c r="A838" s="216" t="s">
        <v>1996</v>
      </c>
      <c r="B838" s="217" t="str">
        <f t="shared" si="355"/>
        <v>Def Tax1900010-184.05.00-bBT010244</v>
      </c>
      <c r="C838" s="186">
        <v>190001</v>
      </c>
      <c r="D838" s="201" t="s">
        <v>2561</v>
      </c>
      <c r="E838" s="162" t="s">
        <v>989</v>
      </c>
      <c r="F838" s="169" t="s">
        <v>861</v>
      </c>
      <c r="G838" s="117" t="s">
        <v>385</v>
      </c>
      <c r="H838" s="118" t="s">
        <v>1217</v>
      </c>
      <c r="I838" s="119"/>
      <c r="J838" s="120"/>
      <c r="K838" s="120" t="str">
        <f t="shared" si="354"/>
        <v/>
      </c>
      <c r="L838" s="170" t="s">
        <v>1895</v>
      </c>
      <c r="M838" s="122" t="str">
        <f t="shared" si="350"/>
        <v>R</v>
      </c>
      <c r="N838" s="116" t="str">
        <f>IF($L838&lt;&gt;"",VLOOKUP($L838,Categories!$E:$G,2,FALSE),IF($F838&lt;&gt;"","NO CAT",""))</f>
        <v>Rate Base</v>
      </c>
      <c r="O838" s="116" t="str">
        <f>IF($L838&lt;&gt;"",VLOOKUP($L838,Categories!$E:$G,3,FALSE),IF($F838&lt;&gt;"","NO CAT",""))</f>
        <v>Deferred Income Taxes</v>
      </c>
      <c r="P838" s="170" t="s">
        <v>1188</v>
      </c>
      <c r="Q838" s="123" t="s">
        <v>1843</v>
      </c>
      <c r="R838" s="124">
        <v>0.76071990262269951</v>
      </c>
      <c r="S838" s="124">
        <v>0.23928009737730072</v>
      </c>
      <c r="T838" s="124">
        <v>0</v>
      </c>
      <c r="U838" s="121">
        <f t="shared" si="357"/>
        <v>1.0000000000000001E-15</v>
      </c>
      <c r="V838" s="121">
        <f t="shared" si="358"/>
        <v>0</v>
      </c>
      <c r="W838" s="121">
        <f t="shared" si="359"/>
        <v>0</v>
      </c>
      <c r="X838" s="121">
        <f t="shared" si="351"/>
        <v>1.0000000000000001E-15</v>
      </c>
      <c r="Y838" s="121">
        <f t="shared" si="360"/>
        <v>1.0000000000000001E-15</v>
      </c>
      <c r="Z838" s="121">
        <f t="shared" si="361"/>
        <v>0</v>
      </c>
      <c r="AA838" s="121">
        <f t="shared" si="362"/>
        <v>0</v>
      </c>
      <c r="AB838" s="121">
        <f t="shared" si="352"/>
        <v>1.1368683772161603E-15</v>
      </c>
      <c r="AC838" s="121">
        <v>1.1368683772161603E-15</v>
      </c>
      <c r="AD838" s="121">
        <v>1.1368683772161603E-15</v>
      </c>
      <c r="AE838" s="121">
        <v>1.1368683772161603E-15</v>
      </c>
      <c r="AF838" s="121">
        <v>1.1368683772161603E-15</v>
      </c>
      <c r="AG838" s="121">
        <v>1.1368683772161603E-15</v>
      </c>
      <c r="AH838" s="121">
        <v>1.1368683772161603E-15</v>
      </c>
      <c r="AI838" s="161">
        <v>1.1368683772161603E-15</v>
      </c>
      <c r="AJ838" s="161">
        <v>1.1368683772161603E-15</v>
      </c>
      <c r="AK838" s="161">
        <v>1.1368683772161603E-15</v>
      </c>
      <c r="AL838" s="161">
        <v>1.1368683772161603E-15</v>
      </c>
      <c r="AM838" s="161">
        <v>1.1368683772161603E-15</v>
      </c>
      <c r="AN838" s="161">
        <v>1.1368683772161603E-15</v>
      </c>
      <c r="AO838" s="161">
        <v>1.1368683772161603E-15</v>
      </c>
      <c r="AP838" s="125" t="str">
        <f>CONCATENATE(A838,M838)</f>
        <v>Def TaxR</v>
      </c>
      <c r="AQ838" s="125" t="str">
        <f>CONCATENATE(AP838,L838,H838)</f>
        <v>Def TaxRR11Workman's Comp Reserve</v>
      </c>
      <c r="AS838" s="125" t="str">
        <f>CONCATENATE(L838,H838,J838)</f>
        <v>R11Workman's Comp Reserve</v>
      </c>
    </row>
    <row r="839" spans="1:45" s="125" customFormat="1" ht="25.5" customHeight="1">
      <c r="A839" s="216" t="s">
        <v>1996</v>
      </c>
      <c r="B839" s="217" t="str">
        <f t="shared" si="355"/>
        <v>Def Tax190001Medicare Sub-bBT010125</v>
      </c>
      <c r="C839" s="186">
        <v>190001</v>
      </c>
      <c r="D839" s="201" t="s">
        <v>2563</v>
      </c>
      <c r="E839" s="162" t="s">
        <v>1024</v>
      </c>
      <c r="F839" s="169" t="s">
        <v>861</v>
      </c>
      <c r="G839" s="117" t="s">
        <v>1531</v>
      </c>
      <c r="H839" s="118" t="s">
        <v>914</v>
      </c>
      <c r="I839" s="119"/>
      <c r="J839" s="120"/>
      <c r="K839" s="120" t="str">
        <f t="shared" si="354"/>
        <v/>
      </c>
      <c r="L839" s="170" t="s">
        <v>1895</v>
      </c>
      <c r="M839" s="122" t="str">
        <f t="shared" si="350"/>
        <v>R</v>
      </c>
      <c r="N839" s="116" t="str">
        <f>IF($L839&lt;&gt;"",VLOOKUP($L839,Categories!$E:$G,2,FALSE),IF($F839&lt;&gt;"","NO CAT",""))</f>
        <v>Rate Base</v>
      </c>
      <c r="O839" s="116" t="str">
        <f>IF($L839&lt;&gt;"",VLOOKUP($L839,Categories!$E:$G,3,FALSE),IF($F839&lt;&gt;"","NO CAT",""))</f>
        <v>Deferred Income Taxes</v>
      </c>
      <c r="P839" s="170" t="s">
        <v>1553</v>
      </c>
      <c r="Q839" s="123" t="s">
        <v>2587</v>
      </c>
      <c r="R839" s="124">
        <v>0.81899999999999995</v>
      </c>
      <c r="S839" s="124">
        <v>0.18099999999999999</v>
      </c>
      <c r="T839" s="124">
        <v>0</v>
      </c>
      <c r="U839" s="121" t="str">
        <f t="shared" si="357"/>
        <v/>
      </c>
      <c r="V839" s="121" t="str">
        <f t="shared" si="358"/>
        <v/>
      </c>
      <c r="W839" s="121" t="str">
        <f t="shared" si="359"/>
        <v/>
      </c>
      <c r="X839" s="121">
        <f t="shared" si="351"/>
        <v>0</v>
      </c>
      <c r="Y839" s="121" t="str">
        <f t="shared" si="360"/>
        <v/>
      </c>
      <c r="Z839" s="121" t="str">
        <f t="shared" si="361"/>
        <v/>
      </c>
      <c r="AA839" s="121" t="str">
        <f t="shared" si="362"/>
        <v/>
      </c>
      <c r="AB839" s="121">
        <f t="shared" si="352"/>
        <v>0</v>
      </c>
      <c r="AC839" s="121">
        <v>0</v>
      </c>
      <c r="AD839" s="121">
        <v>0</v>
      </c>
      <c r="AE839" s="121">
        <v>0</v>
      </c>
      <c r="AF839" s="121">
        <v>0</v>
      </c>
      <c r="AG839" s="121">
        <v>0</v>
      </c>
      <c r="AH839" s="121">
        <v>0</v>
      </c>
      <c r="AI839" s="161">
        <v>0</v>
      </c>
      <c r="AJ839" s="161">
        <f>IF(AI839=0,0,0)</f>
        <v>0</v>
      </c>
      <c r="AK839" s="161">
        <f>IF(AJ839=0,0,0)</f>
        <v>0</v>
      </c>
      <c r="AL839" s="161">
        <v>0</v>
      </c>
      <c r="AM839" s="161">
        <v>0</v>
      </c>
      <c r="AN839" s="161">
        <v>0</v>
      </c>
      <c r="AO839" s="161">
        <v>0</v>
      </c>
      <c r="AP839" s="125" t="str">
        <f>CONCATENATE(A839,M839)</f>
        <v>Def TaxR</v>
      </c>
      <c r="AQ839" s="125" t="str">
        <f>CONCATENATE(AP839,L839,H839)</f>
        <v>Def TaxRR11Medicare Subsidy</v>
      </c>
      <c r="AS839" s="125" t="str">
        <f>CONCATENATE(L839,H839,J839)</f>
        <v>R11Medicare Subsidy</v>
      </c>
    </row>
    <row r="840" spans="1:45" s="125" customFormat="1" ht="25.5" customHeight="1">
      <c r="A840" s="216" t="s">
        <v>1996</v>
      </c>
      <c r="B840" s="217" t="str">
        <f t="shared" si="355"/>
        <v>Def Tax190001Medicare Sub-aBT010125</v>
      </c>
      <c r="C840" s="186">
        <v>190001</v>
      </c>
      <c r="D840" s="201" t="s">
        <v>2562</v>
      </c>
      <c r="E840" s="162" t="s">
        <v>1024</v>
      </c>
      <c r="F840" s="169" t="s">
        <v>861</v>
      </c>
      <c r="G840" s="117" t="s">
        <v>279</v>
      </c>
      <c r="H840" s="118" t="s">
        <v>914</v>
      </c>
      <c r="I840" s="119"/>
      <c r="J840" s="120"/>
      <c r="K840" s="120" t="str">
        <f t="shared" si="354"/>
        <v/>
      </c>
      <c r="L840" s="170" t="s">
        <v>1895</v>
      </c>
      <c r="M840" s="122" t="str">
        <f t="shared" si="350"/>
        <v>R</v>
      </c>
      <c r="N840" s="116" t="str">
        <f>IF($L840&lt;&gt;"",VLOOKUP($L840,Categories!$E:$G,2,FALSE),IF($F840&lt;&gt;"","NO CAT",""))</f>
        <v>Rate Base</v>
      </c>
      <c r="O840" s="116" t="str">
        <f>IF($L840&lt;&gt;"",VLOOKUP($L840,Categories!$E:$G,3,FALSE),IF($F840&lt;&gt;"","NO CAT",""))</f>
        <v>Deferred Income Taxes</v>
      </c>
      <c r="P840" s="170" t="s">
        <v>1553</v>
      </c>
      <c r="Q840" s="123" t="s">
        <v>2587</v>
      </c>
      <c r="R840" s="124">
        <v>0.81899999999999995</v>
      </c>
      <c r="S840" s="124">
        <v>0.18099999999999999</v>
      </c>
      <c r="T840" s="124">
        <v>0</v>
      </c>
      <c r="U840" s="121" t="str">
        <f t="shared" si="357"/>
        <v/>
      </c>
      <c r="V840" s="121" t="str">
        <f t="shared" si="358"/>
        <v/>
      </c>
      <c r="W840" s="121" t="str">
        <f t="shared" si="359"/>
        <v/>
      </c>
      <c r="X840" s="121">
        <f t="shared" si="351"/>
        <v>0</v>
      </c>
      <c r="Y840" s="121" t="str">
        <f t="shared" si="360"/>
        <v/>
      </c>
      <c r="Z840" s="121" t="str">
        <f t="shared" si="361"/>
        <v/>
      </c>
      <c r="AA840" s="121" t="str">
        <f t="shared" si="362"/>
        <v/>
      </c>
      <c r="AB840" s="121">
        <f t="shared" si="352"/>
        <v>0</v>
      </c>
      <c r="AC840" s="121">
        <v>0</v>
      </c>
      <c r="AD840" s="121">
        <v>0</v>
      </c>
      <c r="AE840" s="121">
        <v>0</v>
      </c>
      <c r="AF840" s="121">
        <v>0</v>
      </c>
      <c r="AG840" s="121">
        <v>0</v>
      </c>
      <c r="AH840" s="121">
        <v>0</v>
      </c>
      <c r="AI840" s="161">
        <v>0</v>
      </c>
      <c r="AJ840" s="161">
        <f>IF(AI840=0,0,0)</f>
        <v>0</v>
      </c>
      <c r="AK840" s="161">
        <f>IF(AJ840=0,0,0)</f>
        <v>0</v>
      </c>
      <c r="AL840" s="161">
        <v>0</v>
      </c>
      <c r="AM840" s="161">
        <v>0</v>
      </c>
      <c r="AN840" s="161">
        <v>0</v>
      </c>
      <c r="AO840" s="161">
        <v>0</v>
      </c>
      <c r="AP840" s="125" t="str">
        <f>CONCATENATE(A840,M840)</f>
        <v>Def TaxR</v>
      </c>
      <c r="AQ840" s="125" t="str">
        <f>CONCATENATE(AP840,L840,H840)</f>
        <v>Def TaxRR11Medicare Subsidy</v>
      </c>
      <c r="AS840" s="125" t="str">
        <f>CONCATENATE(L840,H840,J840)</f>
        <v>R11Medicare Subsidy</v>
      </c>
    </row>
    <row r="841" spans="1:45" s="125" customFormat="1" ht="25.5" customHeight="1">
      <c r="A841" s="216" t="s">
        <v>1996</v>
      </c>
      <c r="B841" s="217" t="str">
        <f t="shared" si="355"/>
        <v>Def Tax190001NOLBT010129</v>
      </c>
      <c r="C841" s="186">
        <v>190001</v>
      </c>
      <c r="D841" s="201" t="s">
        <v>2676</v>
      </c>
      <c r="E841" s="162" t="s">
        <v>2677</v>
      </c>
      <c r="F841" s="169" t="s">
        <v>861</v>
      </c>
      <c r="G841" s="117" t="s">
        <v>2230</v>
      </c>
      <c r="H841" s="118" t="s">
        <v>2674</v>
      </c>
      <c r="I841" s="119"/>
      <c r="J841" s="120"/>
      <c r="K841" s="120" t="str">
        <f>IF(L841="N3","SFAS-109","")</f>
        <v/>
      </c>
      <c r="L841" s="170" t="s">
        <v>2821</v>
      </c>
      <c r="M841" s="122" t="str">
        <f t="shared" si="350"/>
        <v>N</v>
      </c>
      <c r="N841" s="116" t="str">
        <f>IF($L841&lt;&gt;"",VLOOKUP($L841,Categories!$E:$G,2,FALSE),IF($F841&lt;&gt;"","NO CAT",""))</f>
        <v>Not in Rate Base</v>
      </c>
      <c r="O841" s="116" t="str">
        <f>IF($L841&lt;&gt;"",VLOOKUP($L841,Categories!$E:$G,3,FALSE),IF($F841&lt;&gt;"","NO CAT",""))</f>
        <v>Deferrals Accruing Non-Cash Return   (other than ASGA)</v>
      </c>
      <c r="P841" s="170" t="s">
        <v>1186</v>
      </c>
      <c r="Q841" s="123" t="s">
        <v>1187</v>
      </c>
      <c r="R841" s="124">
        <v>0</v>
      </c>
      <c r="S841" s="124">
        <v>0</v>
      </c>
      <c r="T841" s="124">
        <v>1</v>
      </c>
      <c r="U841" s="121">
        <f t="shared" si="357"/>
        <v>0</v>
      </c>
      <c r="V841" s="121">
        <f t="shared" si="358"/>
        <v>0</v>
      </c>
      <c r="W841" s="121">
        <f t="shared" si="359"/>
        <v>3063.8420000000001</v>
      </c>
      <c r="X841" s="121">
        <f t="shared" si="351"/>
        <v>3063.8420000000001</v>
      </c>
      <c r="Y841" s="121">
        <f t="shared" si="360"/>
        <v>0</v>
      </c>
      <c r="Z841" s="121">
        <f t="shared" si="361"/>
        <v>0</v>
      </c>
      <c r="AA841" s="121">
        <f t="shared" si="362"/>
        <v>3063.8420000000001</v>
      </c>
      <c r="AB841" s="121">
        <f t="shared" si="352"/>
        <v>3063.8420000000001</v>
      </c>
      <c r="AC841" s="121">
        <v>3063.8420000000001</v>
      </c>
      <c r="AD841" s="121">
        <v>3063.8420000000001</v>
      </c>
      <c r="AE841" s="121">
        <v>3063.8420000000001</v>
      </c>
      <c r="AF841" s="121">
        <v>3063.8420000000001</v>
      </c>
      <c r="AG841" s="121">
        <v>3063.8420000000001</v>
      </c>
      <c r="AH841" s="121">
        <v>3063.8420000000001</v>
      </c>
      <c r="AI841" s="161">
        <v>3063.8420000000001</v>
      </c>
      <c r="AJ841" s="161">
        <v>3063.8420000000001</v>
      </c>
      <c r="AK841" s="161">
        <v>3063.8420000000001</v>
      </c>
      <c r="AL841" s="161">
        <v>3063.8420000000001</v>
      </c>
      <c r="AM841" s="161">
        <v>3063.8420000000001</v>
      </c>
      <c r="AN841" s="161">
        <v>3063.8420000000001</v>
      </c>
      <c r="AO841" s="161">
        <v>3063.8420000000001</v>
      </c>
      <c r="AP841" s="125" t="str">
        <f>CONCATENATE(A841,M841)</f>
        <v>Def TaxN</v>
      </c>
      <c r="AQ841" s="125" t="str">
        <f>CONCATENATE(AP841,L841,H841)</f>
        <v>Def TaxNN10NOL Def Tax Asset</v>
      </c>
      <c r="AS841" s="125" t="str">
        <f>CONCATENATE(L841,H841,J841)</f>
        <v>N10NOL Def Tax Asset</v>
      </c>
    </row>
    <row r="842" spans="1:45" s="125" customFormat="1" ht="25.5" customHeight="1">
      <c r="A842" s="216" t="s">
        <v>1996</v>
      </c>
      <c r="B842" s="217" t="str">
        <f t="shared" si="355"/>
        <v>Def Tax190001R&amp;D CreditBT010177</v>
      </c>
      <c r="C842" s="186">
        <v>190001</v>
      </c>
      <c r="D842" s="201" t="s">
        <v>1467</v>
      </c>
      <c r="E842" s="162" t="s">
        <v>398</v>
      </c>
      <c r="F842" s="169" t="s">
        <v>861</v>
      </c>
      <c r="G842" s="117" t="s">
        <v>2231</v>
      </c>
      <c r="H842" s="118" t="s">
        <v>341</v>
      </c>
      <c r="I842" s="119"/>
      <c r="J842" s="120"/>
      <c r="K842" s="120" t="str">
        <f>IF(L842="N3","SFAS-109","")</f>
        <v/>
      </c>
      <c r="L842" s="170" t="s">
        <v>1895</v>
      </c>
      <c r="M842" s="122" t="str">
        <f t="shared" si="350"/>
        <v>R</v>
      </c>
      <c r="N842" s="116" t="str">
        <f>IF($L842&lt;&gt;"",VLOOKUP($L842,Categories!$E:$G,2,FALSE),IF($F842&lt;&gt;"","NO CAT",""))</f>
        <v>Rate Base</v>
      </c>
      <c r="O842" s="116" t="str">
        <f>IF($L842&lt;&gt;"",VLOOKUP($L842,Categories!$E:$G,3,FALSE),IF($F842&lt;&gt;"","NO CAT",""))</f>
        <v>Deferred Income Taxes</v>
      </c>
      <c r="P842" s="170" t="s">
        <v>1183</v>
      </c>
      <c r="Q842" s="123" t="s">
        <v>1177</v>
      </c>
      <c r="R842" s="124">
        <v>1</v>
      </c>
      <c r="S842" s="124">
        <v>0</v>
      </c>
      <c r="T842" s="124">
        <v>0</v>
      </c>
      <c r="U842" s="121">
        <f t="shared" si="357"/>
        <v>1210.645</v>
      </c>
      <c r="V842" s="121">
        <f t="shared" si="358"/>
        <v>0</v>
      </c>
      <c r="W842" s="121">
        <f t="shared" si="359"/>
        <v>0</v>
      </c>
      <c r="X842" s="121">
        <f t="shared" si="351"/>
        <v>1210.645</v>
      </c>
      <c r="Y842" s="121">
        <f t="shared" si="360"/>
        <v>1210.645</v>
      </c>
      <c r="Z842" s="121">
        <f t="shared" si="361"/>
        <v>0</v>
      </c>
      <c r="AA842" s="121">
        <f t="shared" si="362"/>
        <v>0</v>
      </c>
      <c r="AB842" s="121">
        <f t="shared" si="352"/>
        <v>1210.645</v>
      </c>
      <c r="AC842" s="121">
        <v>1210.645</v>
      </c>
      <c r="AD842" s="121">
        <v>1210.645</v>
      </c>
      <c r="AE842" s="121">
        <v>1210.645</v>
      </c>
      <c r="AF842" s="121">
        <v>1210.645</v>
      </c>
      <c r="AG842" s="121">
        <v>1210.645</v>
      </c>
      <c r="AH842" s="121">
        <v>1210.645</v>
      </c>
      <c r="AI842" s="161">
        <v>1210.645</v>
      </c>
      <c r="AJ842" s="161">
        <v>1210.645</v>
      </c>
      <c r="AK842" s="161">
        <v>1210.645</v>
      </c>
      <c r="AL842" s="161">
        <v>1210.645</v>
      </c>
      <c r="AM842" s="161">
        <v>1210.645</v>
      </c>
      <c r="AN842" s="161">
        <v>1210.645</v>
      </c>
      <c r="AO842" s="161">
        <v>1210.645</v>
      </c>
      <c r="AP842" s="125" t="str">
        <f>CONCATENATE(A842,M842)</f>
        <v>Def TaxR</v>
      </c>
      <c r="AQ842" s="125" t="str">
        <f>CONCATENATE(AP842,L842,H842)</f>
        <v>Def TaxRR11R&amp;D Tax Credit</v>
      </c>
      <c r="AS842" s="125" t="str">
        <f>CONCATENATE(L842,H842,J842)</f>
        <v>R11R&amp;D Tax Credit</v>
      </c>
    </row>
    <row r="843" spans="1:45" s="125" customFormat="1" ht="25.5" customHeight="1">
      <c r="A843" s="216" t="s">
        <v>1996</v>
      </c>
      <c r="B843" s="217" t="str">
        <f>CONCATENATE(A843,C843,D843,E843)</f>
        <v>Def Tax190001BTCTTXCF</v>
      </c>
      <c r="C843" s="186">
        <v>190001</v>
      </c>
      <c r="D843" s="201"/>
      <c r="E843" s="162" t="s">
        <v>4650</v>
      </c>
      <c r="F843" s="169" t="s">
        <v>861</v>
      </c>
      <c r="G843" s="117" t="s">
        <v>4649</v>
      </c>
      <c r="H843" s="118" t="s">
        <v>2674</v>
      </c>
      <c r="I843" s="119"/>
      <c r="J843" s="120"/>
      <c r="K843" s="120"/>
      <c r="L843" s="170" t="s">
        <v>1895</v>
      </c>
      <c r="M843" s="122" t="str">
        <f>LEFT(L843,1)</f>
        <v>R</v>
      </c>
      <c r="N843" s="116" t="str">
        <f>IF($L843&lt;&gt;"",VLOOKUP($L843,Categories!$E:$G,2,FALSE),IF($F843&lt;&gt;"","NO CAT",""))</f>
        <v>Rate Base</v>
      </c>
      <c r="O843" s="116" t="str">
        <f>IF($L843&lt;&gt;"",VLOOKUP($L843,Categories!$E:$G,3,FALSE),IF($F843&lt;&gt;"","NO CAT",""))</f>
        <v>Deferred Income Taxes</v>
      </c>
      <c r="P843" s="170" t="s">
        <v>1183</v>
      </c>
      <c r="Q843" s="123" t="s">
        <v>1177</v>
      </c>
      <c r="R843" s="124">
        <v>1</v>
      </c>
      <c r="S843" s="124">
        <v>0</v>
      </c>
      <c r="T843" s="124">
        <v>0</v>
      </c>
      <c r="U843" s="121" t="str">
        <f>IF(ABS(X843)=0,"",IF($R843="NO ALLOC","NO ALLOC",ROUND($R843*X843,15)))</f>
        <v/>
      </c>
      <c r="V843" s="121" t="str">
        <f>IF(ABS(X843)=0,"",IF($S843="NO ALLOC","NO ALLOC",ROUND($S843*X843,15)))</f>
        <v/>
      </c>
      <c r="W843" s="121" t="str">
        <f>IF(ABS(X843)=0,"",IF($T843="NO ALLOC","NO ALLOC",ROUND($T843*X843,15)))</f>
        <v/>
      </c>
      <c r="X843" s="121">
        <f t="shared" si="351"/>
        <v>0</v>
      </c>
      <c r="Y843" s="121" t="str">
        <f>IF(ABS(AB843)=0,"",IF($R843="NO ALLOC","NO ALLOC",ROUND($R843*AB843,15)))</f>
        <v/>
      </c>
      <c r="Z843" s="121" t="str">
        <f>IF(ABS(AB843)=0,"",IF($S843="NO ALLOC","NO ALLOC",ROUND($S843*AB843,15)))</f>
        <v/>
      </c>
      <c r="AA843" s="121" t="str">
        <f>IF(ABS(AB843)=0,"",IF($T843="NO ALLOC","NO ALLOC",ROUND($T843*AB843,15)))</f>
        <v/>
      </c>
      <c r="AB843" s="121">
        <f t="shared" si="352"/>
        <v>0</v>
      </c>
      <c r="AC843" s="121">
        <v>0</v>
      </c>
      <c r="AD843" s="121">
        <v>0</v>
      </c>
      <c r="AE843" s="121">
        <v>0</v>
      </c>
      <c r="AF843" s="121">
        <v>0</v>
      </c>
      <c r="AG843" s="121">
        <v>0</v>
      </c>
      <c r="AH843" s="121">
        <v>0</v>
      </c>
      <c r="AI843" s="161">
        <v>0</v>
      </c>
      <c r="AJ843" s="161">
        <f>IF(AI843=0,0,0)</f>
        <v>0</v>
      </c>
      <c r="AK843" s="161">
        <f>IF(AJ843=0,0,0)</f>
        <v>0</v>
      </c>
      <c r="AL843" s="161">
        <v>0</v>
      </c>
      <c r="AM843" s="161">
        <v>0</v>
      </c>
      <c r="AN843" s="161">
        <v>0</v>
      </c>
      <c r="AO843" s="161">
        <v>0</v>
      </c>
      <c r="AP843" s="125" t="str">
        <f>CONCATENATE(A843,M843)</f>
        <v>Def TaxR</v>
      </c>
      <c r="AQ843" s="125" t="str">
        <f>CONCATENATE(AP843,L843,H843)</f>
        <v>Def TaxRR11NOL Def Tax Asset</v>
      </c>
      <c r="AS843" s="125" t="str">
        <f>CONCATENATE(L843,H843,J843)</f>
        <v>R11NOL Def Tax Asset</v>
      </c>
    </row>
    <row r="844" spans="1:45" s="125" customFormat="1" ht="25.5" customHeight="1">
      <c r="A844" s="216" t="s">
        <v>1996</v>
      </c>
      <c r="B844" s="217" t="str">
        <f t="shared" si="355"/>
        <v>Def Tax190001BT010167</v>
      </c>
      <c r="C844" s="186">
        <v>190001</v>
      </c>
      <c r="D844" s="201"/>
      <c r="E844" s="162" t="s">
        <v>286</v>
      </c>
      <c r="F844" s="169" t="s">
        <v>861</v>
      </c>
      <c r="G844" s="117" t="s">
        <v>3141</v>
      </c>
      <c r="H844" s="118" t="s">
        <v>1002</v>
      </c>
      <c r="I844" s="119"/>
      <c r="J844" s="120"/>
      <c r="K844" s="120" t="str">
        <f>IF(L844="N3","SFAS-109","")</f>
        <v/>
      </c>
      <c r="L844" s="170" t="s">
        <v>1895</v>
      </c>
      <c r="M844" s="122" t="str">
        <f t="shared" si="350"/>
        <v>R</v>
      </c>
      <c r="N844" s="116" t="str">
        <f>IF($L844&lt;&gt;"",VLOOKUP($L844,Categories!$E:$G,2,FALSE),IF($F844&lt;&gt;"","NO CAT",""))</f>
        <v>Rate Base</v>
      </c>
      <c r="O844" s="116" t="str">
        <f>IF($L844&lt;&gt;"",VLOOKUP($L844,Categories!$E:$G,3,FALSE),IF($F844&lt;&gt;"","NO CAT",""))</f>
        <v>Deferred Income Taxes</v>
      </c>
      <c r="P844" s="170" t="s">
        <v>1553</v>
      </c>
      <c r="Q844" s="123" t="s">
        <v>2587</v>
      </c>
      <c r="R844" s="124">
        <v>0.81899999999999995</v>
      </c>
      <c r="S844" s="124">
        <v>0.18099999999999999</v>
      </c>
      <c r="T844" s="124">
        <v>0</v>
      </c>
      <c r="U844" s="121" t="str">
        <f t="shared" si="357"/>
        <v/>
      </c>
      <c r="V844" s="121" t="str">
        <f t="shared" si="358"/>
        <v/>
      </c>
      <c r="W844" s="121" t="str">
        <f t="shared" si="359"/>
        <v/>
      </c>
      <c r="X844" s="121">
        <f t="shared" si="351"/>
        <v>0</v>
      </c>
      <c r="Y844" s="121" t="str">
        <f t="shared" si="360"/>
        <v/>
      </c>
      <c r="Z844" s="121" t="str">
        <f t="shared" si="361"/>
        <v/>
      </c>
      <c r="AA844" s="121" t="str">
        <f t="shared" si="362"/>
        <v/>
      </c>
      <c r="AB844" s="121">
        <f t="shared" si="352"/>
        <v>0</v>
      </c>
      <c r="AC844" s="121">
        <v>0</v>
      </c>
      <c r="AD844" s="121">
        <v>0</v>
      </c>
      <c r="AE844" s="121">
        <v>0</v>
      </c>
      <c r="AF844" s="121">
        <v>0</v>
      </c>
      <c r="AG844" s="121">
        <v>0</v>
      </c>
      <c r="AH844" s="121">
        <v>0</v>
      </c>
      <c r="AI844" s="161">
        <v>0</v>
      </c>
      <c r="AJ844" s="161">
        <f>IF(AI844=0,0,0)</f>
        <v>0</v>
      </c>
      <c r="AK844" s="161">
        <f>IF(AJ844=0,0,0)</f>
        <v>0</v>
      </c>
      <c r="AL844" s="161">
        <v>0</v>
      </c>
      <c r="AM844" s="161">
        <v>0</v>
      </c>
      <c r="AN844" s="161">
        <v>0</v>
      </c>
      <c r="AO844" s="161">
        <v>0</v>
      </c>
      <c r="AP844" s="125" t="str">
        <f>CONCATENATE(A844,M844)</f>
        <v>Def TaxR</v>
      </c>
      <c r="AQ844" s="125" t="str">
        <f>CONCATENATE(AP844,L844,H844)</f>
        <v>Def TaxRR11Accrued Pension</v>
      </c>
      <c r="AS844" s="125" t="str">
        <f>CONCATENATE(L844,H844,J844)</f>
        <v>R11Accrued Pension</v>
      </c>
    </row>
    <row r="845" spans="1:45" s="125" customFormat="1" ht="25.5" customHeight="1">
      <c r="A845" s="216" t="s">
        <v>1996</v>
      </c>
      <c r="B845" s="217" t="str">
        <f t="shared" si="355"/>
        <v>Def Tax190002GSC RefundBG030586</v>
      </c>
      <c r="C845" s="186">
        <v>190002</v>
      </c>
      <c r="D845" s="201" t="s">
        <v>2704</v>
      </c>
      <c r="E845" s="162" t="s">
        <v>2705</v>
      </c>
      <c r="F845" s="169" t="s">
        <v>861</v>
      </c>
      <c r="G845" s="117" t="s">
        <v>1116</v>
      </c>
      <c r="H845" s="118" t="s">
        <v>2704</v>
      </c>
      <c r="I845" s="119"/>
      <c r="J845" s="120"/>
      <c r="K845" s="120" t="str">
        <f t="shared" si="354"/>
        <v/>
      </c>
      <c r="L845" s="170" t="s">
        <v>928</v>
      </c>
      <c r="M845" s="122" t="str">
        <f t="shared" si="350"/>
        <v>N</v>
      </c>
      <c r="N845" s="116" t="str">
        <f>IF($L845&lt;&gt;"",VLOOKUP($L845,Categories!$E:$G,2,FALSE),IF($F845&lt;&gt;"","NO CAT",""))</f>
        <v>Not in Rate Base</v>
      </c>
      <c r="O845" s="116" t="str">
        <f>IF($L845&lt;&gt;"",VLOOKUP($L845,Categories!$E:$G,3,FALSE),IF($F845&lt;&gt;"","NO CAT",""))</f>
        <v>Direct Assign Items Not in RB</v>
      </c>
      <c r="P845" s="170" t="s">
        <v>1186</v>
      </c>
      <c r="Q845" s="123" t="s">
        <v>1187</v>
      </c>
      <c r="R845" s="124">
        <v>0</v>
      </c>
      <c r="S845" s="124">
        <v>0</v>
      </c>
      <c r="T845" s="124">
        <v>1</v>
      </c>
      <c r="U845" s="121">
        <f t="shared" si="357"/>
        <v>0</v>
      </c>
      <c r="V845" s="121">
        <f t="shared" si="358"/>
        <v>0</v>
      </c>
      <c r="W845" s="121">
        <f t="shared" si="359"/>
        <v>-284.72766999999999</v>
      </c>
      <c r="X845" s="121">
        <f t="shared" si="351"/>
        <v>-284.72766999999999</v>
      </c>
      <c r="Y845" s="121">
        <f t="shared" si="360"/>
        <v>0</v>
      </c>
      <c r="Z845" s="121">
        <f t="shared" si="361"/>
        <v>0</v>
      </c>
      <c r="AA845" s="121">
        <f t="shared" si="362"/>
        <v>-284.72766999999999</v>
      </c>
      <c r="AB845" s="121">
        <f t="shared" si="352"/>
        <v>-284.72766999999999</v>
      </c>
      <c r="AC845" s="121">
        <v>-284.72766999999999</v>
      </c>
      <c r="AD845" s="121">
        <v>-284.72766999999999</v>
      </c>
      <c r="AE845" s="121">
        <v>-284.72766999999999</v>
      </c>
      <c r="AF845" s="121">
        <v>-284.72766999999999</v>
      </c>
      <c r="AG845" s="121">
        <v>-284.72766999999999</v>
      </c>
      <c r="AH845" s="121">
        <v>-284.72766999999999</v>
      </c>
      <c r="AI845" s="161">
        <v>-284.72766999999999</v>
      </c>
      <c r="AJ845" s="161">
        <v>-284.72766999999999</v>
      </c>
      <c r="AK845" s="161">
        <v>-284.72766999999999</v>
      </c>
      <c r="AL845" s="161">
        <v>-284.72766999999999</v>
      </c>
      <c r="AM845" s="161">
        <v>-284.72766999999999</v>
      </c>
      <c r="AN845" s="161">
        <v>-284.72766999999999</v>
      </c>
      <c r="AO845" s="161">
        <v>-284.72766999999999</v>
      </c>
      <c r="AP845" s="125" t="str">
        <f>CONCATENATE(A845,M845)</f>
        <v>Def TaxN</v>
      </c>
      <c r="AQ845" s="125" t="str">
        <f>CONCATENATE(AP845,L845,H845)</f>
        <v>Def TaxNN2GSC Refund</v>
      </c>
      <c r="AS845" s="125" t="str">
        <f>CONCATENATE(L845,H845,J845)</f>
        <v>N2GSC Refund</v>
      </c>
    </row>
    <row r="846" spans="1:45" s="125" customFormat="1" ht="25.5" customHeight="1">
      <c r="A846" s="216" t="s">
        <v>1996</v>
      </c>
      <c r="B846" s="217" t="str">
        <f t="shared" si="355"/>
        <v>Def Tax190002182.02.00/182.04.00BT010011</v>
      </c>
      <c r="C846" s="186">
        <v>190002</v>
      </c>
      <c r="D846" s="201" t="s">
        <v>956</v>
      </c>
      <c r="E846" s="162" t="s">
        <v>609</v>
      </c>
      <c r="F846" s="169" t="s">
        <v>861</v>
      </c>
      <c r="G846" s="117" t="s">
        <v>758</v>
      </c>
      <c r="H846" s="118" t="s">
        <v>1405</v>
      </c>
      <c r="I846" s="119"/>
      <c r="J846" s="120"/>
      <c r="K846" s="120" t="str">
        <f t="shared" si="354"/>
        <v/>
      </c>
      <c r="L846" s="170" t="s">
        <v>1895</v>
      </c>
      <c r="M846" s="122" t="str">
        <f t="shared" si="350"/>
        <v>R</v>
      </c>
      <c r="N846" s="116" t="str">
        <f>IF($L846&lt;&gt;"",VLOOKUP($L846,Categories!$E:$G,2,FALSE),IF($F846&lt;&gt;"","NO CAT",""))</f>
        <v>Rate Base</v>
      </c>
      <c r="O846" s="116" t="str">
        <f>IF($L846&lt;&gt;"",VLOOKUP($L846,Categories!$E:$G,3,FALSE),IF($F846&lt;&gt;"","NO CAT",""))</f>
        <v>Deferred Income Taxes</v>
      </c>
      <c r="P846" s="170" t="s">
        <v>1188</v>
      </c>
      <c r="Q846" s="123" t="s">
        <v>1843</v>
      </c>
      <c r="R846" s="124">
        <v>0.76071990262269951</v>
      </c>
      <c r="S846" s="124">
        <v>0.23928009737730072</v>
      </c>
      <c r="T846" s="124">
        <v>0</v>
      </c>
      <c r="U846" s="121" t="str">
        <f t="shared" si="357"/>
        <v/>
      </c>
      <c r="V846" s="121" t="str">
        <f t="shared" si="358"/>
        <v/>
      </c>
      <c r="W846" s="121" t="str">
        <f t="shared" si="359"/>
        <v/>
      </c>
      <c r="X846" s="121">
        <f t="shared" si="351"/>
        <v>0</v>
      </c>
      <c r="Y846" s="121" t="str">
        <f t="shared" si="360"/>
        <v/>
      </c>
      <c r="Z846" s="121" t="str">
        <f t="shared" si="361"/>
        <v/>
      </c>
      <c r="AA846" s="121" t="str">
        <f t="shared" si="362"/>
        <v/>
      </c>
      <c r="AB846" s="121">
        <f t="shared" si="352"/>
        <v>0</v>
      </c>
      <c r="AC846" s="121">
        <v>0</v>
      </c>
      <c r="AD846" s="121">
        <v>0</v>
      </c>
      <c r="AE846" s="121">
        <v>0</v>
      </c>
      <c r="AF846" s="121">
        <v>0</v>
      </c>
      <c r="AG846" s="121">
        <v>0</v>
      </c>
      <c r="AH846" s="121">
        <v>0</v>
      </c>
      <c r="AI846" s="161">
        <v>0</v>
      </c>
      <c r="AJ846" s="161">
        <f>IF(AI846=0,0,0)</f>
        <v>0</v>
      </c>
      <c r="AK846" s="161">
        <v>0</v>
      </c>
      <c r="AL846" s="161">
        <v>0</v>
      </c>
      <c r="AM846" s="161">
        <v>0</v>
      </c>
      <c r="AN846" s="161">
        <v>0</v>
      </c>
      <c r="AO846" s="161">
        <v>0</v>
      </c>
      <c r="AP846" s="125" t="str">
        <f>CONCATENATE(A846,M846)</f>
        <v>Def TaxR</v>
      </c>
      <c r="AQ846" s="125" t="str">
        <f>CONCATENATE(AP846,L846,H846)</f>
        <v>Def TaxRR11A&amp;S CHIP</v>
      </c>
      <c r="AS846" s="125" t="str">
        <f>CONCATENATE(L846,H846,J846)</f>
        <v>R11A&amp;S CHIP</v>
      </c>
    </row>
    <row r="847" spans="1:45" s="125" customFormat="1" ht="25.5" customHeight="1">
      <c r="A847" s="216" t="s">
        <v>1996</v>
      </c>
      <c r="B847" s="217" t="str">
        <f t="shared" si="355"/>
        <v>Def Tax190002Multiple: 184.22.32/184.22.33/186.01.50/186.01.51/183.68.00/183.69.00/186.01.11/186.01.12BT010188</v>
      </c>
      <c r="C847" s="186">
        <v>190002</v>
      </c>
      <c r="D847" s="201" t="s">
        <v>1209</v>
      </c>
      <c r="E847" s="162" t="s">
        <v>355</v>
      </c>
      <c r="F847" s="169" t="s">
        <v>861</v>
      </c>
      <c r="G847" s="117" t="s">
        <v>2980</v>
      </c>
      <c r="H847" s="118" t="s">
        <v>1002</v>
      </c>
      <c r="I847" s="119"/>
      <c r="J847" s="120"/>
      <c r="K847" s="120" t="str">
        <f t="shared" si="354"/>
        <v/>
      </c>
      <c r="L847" s="170" t="s">
        <v>1895</v>
      </c>
      <c r="M847" s="122" t="str">
        <f t="shared" si="350"/>
        <v>R</v>
      </c>
      <c r="N847" s="116" t="str">
        <f>IF($L847&lt;&gt;"",VLOOKUP($L847,Categories!$E:$G,2,FALSE),IF($F847&lt;&gt;"","NO CAT",""))</f>
        <v>Rate Base</v>
      </c>
      <c r="O847" s="116" t="str">
        <f>IF($L847&lt;&gt;"",VLOOKUP($L847,Categories!$E:$G,3,FALSE),IF($F847&lt;&gt;"","NO CAT",""))</f>
        <v>Deferred Income Taxes</v>
      </c>
      <c r="P847" s="170" t="s">
        <v>1553</v>
      </c>
      <c r="Q847" s="123" t="s">
        <v>2587</v>
      </c>
      <c r="R847" s="124">
        <v>0.81899999999999995</v>
      </c>
      <c r="S847" s="124">
        <v>0.18099999999999999</v>
      </c>
      <c r="T847" s="124">
        <v>0</v>
      </c>
      <c r="U847" s="121" t="str">
        <f t="shared" si="357"/>
        <v/>
      </c>
      <c r="V847" s="121" t="str">
        <f t="shared" si="358"/>
        <v/>
      </c>
      <c r="W847" s="121" t="str">
        <f t="shared" si="359"/>
        <v/>
      </c>
      <c r="X847" s="121">
        <f t="shared" si="351"/>
        <v>0</v>
      </c>
      <c r="Y847" s="121" t="str">
        <f t="shared" si="360"/>
        <v/>
      </c>
      <c r="Z847" s="121" t="str">
        <f t="shared" si="361"/>
        <v/>
      </c>
      <c r="AA847" s="121" t="str">
        <f t="shared" si="362"/>
        <v/>
      </c>
      <c r="AB847" s="121">
        <f t="shared" si="352"/>
        <v>0</v>
      </c>
      <c r="AC847" s="121">
        <v>0</v>
      </c>
      <c r="AD847" s="121">
        <v>1.4566126083082054E-16</v>
      </c>
      <c r="AE847" s="121">
        <v>4.3698378249246161E-16</v>
      </c>
      <c r="AF847" s="121">
        <v>1.4566126083082054E-16</v>
      </c>
      <c r="AG847" s="121">
        <v>1.4566126083082054E-16</v>
      </c>
      <c r="AH847" s="121">
        <v>1.4566126083082054E-16</v>
      </c>
      <c r="AI847" s="161">
        <v>1.4566126083082054E-16</v>
      </c>
      <c r="AJ847" s="161">
        <v>4.3698378249246161E-16</v>
      </c>
      <c r="AK847" s="161">
        <v>0</v>
      </c>
      <c r="AL847" s="161">
        <v>0</v>
      </c>
      <c r="AM847" s="161">
        <v>0</v>
      </c>
      <c r="AN847" s="161">
        <v>0</v>
      </c>
      <c r="AO847" s="161">
        <v>0</v>
      </c>
      <c r="AP847" s="125" t="str">
        <f>CONCATENATE(A847,M847)</f>
        <v>Def TaxR</v>
      </c>
      <c r="AQ847" s="125" t="str">
        <f>CONCATENATE(AP847,L847,H847)</f>
        <v>Def TaxRR11Accrued Pension</v>
      </c>
      <c r="AS847" s="125" t="str">
        <f>CONCATENATE(L847,H847,J847)</f>
        <v>R11Accrued Pension</v>
      </c>
    </row>
    <row r="848" spans="1:45" s="125" customFormat="1" ht="25.5" customHeight="1">
      <c r="A848" s="216" t="s">
        <v>1996</v>
      </c>
      <c r="B848" s="217" t="str">
        <f t="shared" si="355"/>
        <v>Def Tax190002AROBT010303</v>
      </c>
      <c r="C848" s="186">
        <v>190002</v>
      </c>
      <c r="D848" s="201" t="s">
        <v>993</v>
      </c>
      <c r="E848" s="162" t="s">
        <v>994</v>
      </c>
      <c r="F848" s="169" t="s">
        <v>861</v>
      </c>
      <c r="G848" s="117" t="s">
        <v>659</v>
      </c>
      <c r="H848" s="118" t="s">
        <v>972</v>
      </c>
      <c r="I848" s="119"/>
      <c r="J848" s="120"/>
      <c r="K848" s="120" t="str">
        <f t="shared" si="354"/>
        <v/>
      </c>
      <c r="L848" s="170" t="s">
        <v>928</v>
      </c>
      <c r="M848" s="122" t="str">
        <f t="shared" si="350"/>
        <v>N</v>
      </c>
      <c r="N848" s="116" t="str">
        <f>IF($L848&lt;&gt;"",VLOOKUP($L848,Categories!$E:$G,2,FALSE),IF($F848&lt;&gt;"","NO CAT",""))</f>
        <v>Not in Rate Base</v>
      </c>
      <c r="O848" s="116" t="str">
        <f>IF($L848&lt;&gt;"",VLOOKUP($L848,Categories!$E:$G,3,FALSE),IF($F848&lt;&gt;"","NO CAT",""))</f>
        <v>Direct Assign Items Not in RB</v>
      </c>
      <c r="P848" s="170" t="s">
        <v>1186</v>
      </c>
      <c r="Q848" s="123" t="s">
        <v>1187</v>
      </c>
      <c r="R848" s="124">
        <v>0</v>
      </c>
      <c r="S848" s="124">
        <v>0</v>
      </c>
      <c r="T848" s="124">
        <v>1</v>
      </c>
      <c r="U848" s="121">
        <f t="shared" si="357"/>
        <v>0</v>
      </c>
      <c r="V848" s="121">
        <f t="shared" si="358"/>
        <v>0</v>
      </c>
      <c r="W848" s="121">
        <f t="shared" si="359"/>
        <v>2925.6708441666701</v>
      </c>
      <c r="X848" s="121">
        <f t="shared" si="351"/>
        <v>2925.6708441666701</v>
      </c>
      <c r="Y848" s="121">
        <f t="shared" si="360"/>
        <v>0</v>
      </c>
      <c r="Z848" s="121">
        <f t="shared" si="361"/>
        <v>0</v>
      </c>
      <c r="AA848" s="121">
        <f t="shared" si="362"/>
        <v>2743.66282</v>
      </c>
      <c r="AB848" s="121">
        <f t="shared" si="352"/>
        <v>2743.66282</v>
      </c>
      <c r="AC848" s="121">
        <v>2884.7054200000007</v>
      </c>
      <c r="AD848" s="121">
        <v>2897.5372100000009</v>
      </c>
      <c r="AE848" s="121">
        <v>2910.4262200000007</v>
      </c>
      <c r="AF848" s="121">
        <v>2923.3727400000007</v>
      </c>
      <c r="AG848" s="121">
        <v>2936.3770000000004</v>
      </c>
      <c r="AH848" s="121">
        <v>2949.4392900000007</v>
      </c>
      <c r="AI848" s="161">
        <v>2962.5598300000006</v>
      </c>
      <c r="AJ848" s="161">
        <v>2975.7388900000005</v>
      </c>
      <c r="AK848" s="161">
        <v>2988.9767500000003</v>
      </c>
      <c r="AL848" s="161">
        <v>3002.2736700000005</v>
      </c>
      <c r="AM848" s="161">
        <v>3015.6299300000001</v>
      </c>
      <c r="AN848" s="161">
        <v>2731.5344799999998</v>
      </c>
      <c r="AO848" s="161">
        <v>2743.66282</v>
      </c>
      <c r="AP848" s="125" t="str">
        <f>CONCATENATE(A848,M848)</f>
        <v>Def TaxN</v>
      </c>
      <c r="AQ848" s="125" t="str">
        <f>CONCATENATE(AP848,L848,H848)</f>
        <v>Def TaxNN2Asset Retirement Obligation</v>
      </c>
      <c r="AS848" s="125" t="str">
        <f>CONCATENATE(L848,H848,J848)</f>
        <v>N2Asset Retirement Obligation</v>
      </c>
    </row>
    <row r="849" spans="1:45" s="125" customFormat="1" ht="25.5" customHeight="1">
      <c r="A849" s="216" t="s">
        <v>1996</v>
      </c>
      <c r="B849" s="217" t="str">
        <f>CONCATENATE(A849,C849,D849,E849)</f>
        <v>Def Tax1900020-182.06.00BT010041</v>
      </c>
      <c r="C849" s="186">
        <v>190002</v>
      </c>
      <c r="D849" s="201" t="s">
        <v>759</v>
      </c>
      <c r="E849" s="162" t="s">
        <v>4436</v>
      </c>
      <c r="F849" s="169" t="s">
        <v>861</v>
      </c>
      <c r="G849" s="117" t="s">
        <v>4421</v>
      </c>
      <c r="H849" s="118" t="s">
        <v>4435</v>
      </c>
      <c r="I849" s="119"/>
      <c r="J849" s="120"/>
      <c r="K849" s="120" t="str">
        <f>IF(L849="N3","SFAS-109","")</f>
        <v/>
      </c>
      <c r="L849" s="170" t="s">
        <v>1895</v>
      </c>
      <c r="M849" s="122" t="str">
        <f>LEFT(L849,1)</f>
        <v>R</v>
      </c>
      <c r="N849" s="116" t="str">
        <f>IF($L849&lt;&gt;"",VLOOKUP($L849,Categories!$E:$G,2,FALSE),IF($F849&lt;&gt;"","NO CAT",""))</f>
        <v>Rate Base</v>
      </c>
      <c r="O849" s="116" t="str">
        <f>IF($L849&lt;&gt;"",VLOOKUP($L849,Categories!$E:$G,3,FALSE),IF($F849&lt;&gt;"","NO CAT",""))</f>
        <v>Deferred Income Taxes</v>
      </c>
      <c r="P849" s="170" t="s">
        <v>1184</v>
      </c>
      <c r="Q849" s="123" t="s">
        <v>1178</v>
      </c>
      <c r="R849" s="124">
        <v>0</v>
      </c>
      <c r="S849" s="124">
        <v>1</v>
      </c>
      <c r="T849" s="124">
        <v>0</v>
      </c>
      <c r="U849" s="121">
        <f>IF(ABS(X849)=0,"",IF($R849="NO ALLOC","NO ALLOC",ROUND($R849*X849,15)))</f>
        <v>0</v>
      </c>
      <c r="V849" s="121">
        <f>IF(ABS(X849)=0,"",IF($S849="NO ALLOC","NO ALLOC",ROUND($S849*X849,15)))</f>
        <v>33.136040000000001</v>
      </c>
      <c r="W849" s="121">
        <f>IF(ABS(X849)=0,"",IF($T849="NO ALLOC","NO ALLOC",ROUND($T849*X849,15)))</f>
        <v>0</v>
      </c>
      <c r="X849" s="121">
        <f t="shared" si="351"/>
        <v>33.136040000000001</v>
      </c>
      <c r="Y849" s="121">
        <f>IF(ABS(AB849)=0,"",IF($R849="NO ALLOC","NO ALLOC",ROUND($R849*AB849,15)))</f>
        <v>0</v>
      </c>
      <c r="Z849" s="121">
        <f>IF(ABS(AB849)=0,"",IF($S849="NO ALLOC","NO ALLOC",ROUND($S849*AB849,15)))</f>
        <v>33.136040000000001</v>
      </c>
      <c r="AA849" s="121">
        <f>IF(ABS(AB849)=0,"",IF($T849="NO ALLOC","NO ALLOC",ROUND($T849*AB849,15)))</f>
        <v>0</v>
      </c>
      <c r="AB849" s="121">
        <f t="shared" si="352"/>
        <v>33.136040000000001</v>
      </c>
      <c r="AC849" s="121">
        <v>33.136040000000001</v>
      </c>
      <c r="AD849" s="121">
        <v>33.136040000000001</v>
      </c>
      <c r="AE849" s="121">
        <v>33.136040000000001</v>
      </c>
      <c r="AF849" s="121">
        <v>33.136040000000001</v>
      </c>
      <c r="AG849" s="121">
        <v>33.136040000000001</v>
      </c>
      <c r="AH849" s="121">
        <v>33.136040000000001</v>
      </c>
      <c r="AI849" s="161">
        <v>33.136040000000001</v>
      </c>
      <c r="AJ849" s="161">
        <v>33.136040000000001</v>
      </c>
      <c r="AK849" s="161">
        <v>33.136040000000001</v>
      </c>
      <c r="AL849" s="161">
        <v>33.136040000000001</v>
      </c>
      <c r="AM849" s="161">
        <v>33.136040000000001</v>
      </c>
      <c r="AN849" s="161">
        <v>33.136040000000001</v>
      </c>
      <c r="AO849" s="161">
        <v>33.136040000000001</v>
      </c>
      <c r="AP849" s="125" t="str">
        <f>CONCATENATE(A849,M849)</f>
        <v>Def TaxR</v>
      </c>
      <c r="AQ849" s="125" t="str">
        <f>CONCATENATE(AP849,L849,H849)</f>
        <v>Def TaxRR11Contract Reserve</v>
      </c>
      <c r="AS849" s="125" t="str">
        <f>CONCATENATE(L849,H849,J849)</f>
        <v>R11Contract Reserve</v>
      </c>
    </row>
    <row r="850" spans="1:45" s="125" customFormat="1" ht="25.5" customHeight="1">
      <c r="A850" s="216" t="s">
        <v>1996</v>
      </c>
      <c r="B850" s="217" t="str">
        <f t="shared" si="355"/>
        <v>Def Tax1900020-183.89.00BT010043</v>
      </c>
      <c r="C850" s="186">
        <v>190002</v>
      </c>
      <c r="D850" s="201" t="s">
        <v>219</v>
      </c>
      <c r="E850" s="162" t="s">
        <v>615</v>
      </c>
      <c r="F850" s="169" t="s">
        <v>861</v>
      </c>
      <c r="G850" s="117" t="s">
        <v>1474</v>
      </c>
      <c r="H850" s="118" t="s">
        <v>218</v>
      </c>
      <c r="I850" s="119"/>
      <c r="J850" s="120"/>
      <c r="K850" s="120" t="str">
        <f t="shared" si="354"/>
        <v/>
      </c>
      <c r="L850" s="170" t="s">
        <v>1895</v>
      </c>
      <c r="M850" s="122" t="str">
        <f>LEFT(L850,1)</f>
        <v>R</v>
      </c>
      <c r="N850" s="116" t="str">
        <f>IF($L850&lt;&gt;"",VLOOKUP($L850,Categories!$E:$G,2,FALSE),IF($F850&lt;&gt;"","NO CAT",""))</f>
        <v>Rate Base</v>
      </c>
      <c r="O850" s="116" t="str">
        <f>IF($L850&lt;&gt;"",VLOOKUP($L850,Categories!$E:$G,3,FALSE),IF($F850&lt;&gt;"","NO CAT",""))</f>
        <v>Deferred Income Taxes</v>
      </c>
      <c r="P850" s="170" t="s">
        <v>1184</v>
      </c>
      <c r="Q850" s="123" t="s">
        <v>1178</v>
      </c>
      <c r="R850" s="124">
        <v>0</v>
      </c>
      <c r="S850" s="124">
        <v>1</v>
      </c>
      <c r="T850" s="124">
        <v>0</v>
      </c>
      <c r="U850" s="121" t="str">
        <f t="shared" si="357"/>
        <v/>
      </c>
      <c r="V850" s="121" t="str">
        <f t="shared" si="358"/>
        <v/>
      </c>
      <c r="W850" s="121" t="str">
        <f t="shared" si="359"/>
        <v/>
      </c>
      <c r="X850" s="121">
        <f t="shared" si="351"/>
        <v>0</v>
      </c>
      <c r="Y850" s="121" t="str">
        <f t="shared" si="360"/>
        <v/>
      </c>
      <c r="Z850" s="121" t="str">
        <f t="shared" si="361"/>
        <v/>
      </c>
      <c r="AA850" s="121" t="str">
        <f t="shared" si="362"/>
        <v/>
      </c>
      <c r="AB850" s="121">
        <f t="shared" si="352"/>
        <v>0</v>
      </c>
      <c r="AC850" s="121">
        <v>0</v>
      </c>
      <c r="AD850" s="121">
        <v>0</v>
      </c>
      <c r="AE850" s="121">
        <v>0</v>
      </c>
      <c r="AF850" s="121">
        <v>0</v>
      </c>
      <c r="AG850" s="121">
        <v>0</v>
      </c>
      <c r="AH850" s="121">
        <v>0</v>
      </c>
      <c r="AI850" s="161">
        <v>0</v>
      </c>
      <c r="AJ850" s="161">
        <f t="shared" ref="AJ850" si="363">IF(AI850=0,0,0)</f>
        <v>0</v>
      </c>
      <c r="AK850" s="161">
        <v>0</v>
      </c>
      <c r="AL850" s="161">
        <v>0</v>
      </c>
      <c r="AM850" s="161">
        <v>0</v>
      </c>
      <c r="AN850" s="161">
        <v>0</v>
      </c>
      <c r="AO850" s="161">
        <v>0</v>
      </c>
      <c r="AP850" s="125" t="str">
        <f>CONCATENATE(A850,M850)</f>
        <v>Def TaxR</v>
      </c>
      <c r="AQ850" s="125" t="str">
        <f>CONCATENATE(AP850,L850,H850)</f>
        <v>Def TaxRR11Contributions in Aid of Construction</v>
      </c>
      <c r="AS850" s="125" t="str">
        <f>CONCATENATE(L850,H850,J850)</f>
        <v>R11Contributions in Aid of Construction</v>
      </c>
    </row>
    <row r="851" spans="1:45" s="125" customFormat="1" ht="25.5" customHeight="1">
      <c r="A851" s="216" t="s">
        <v>1996</v>
      </c>
      <c r="B851" s="217" t="str">
        <f t="shared" si="355"/>
        <v>Def Tax190002Reacq Debt AdjBDEFAULT</v>
      </c>
      <c r="C851" s="186">
        <v>190002</v>
      </c>
      <c r="D851" s="201" t="s">
        <v>427</v>
      </c>
      <c r="E851" s="162" t="s">
        <v>1569</v>
      </c>
      <c r="F851" s="169" t="s">
        <v>861</v>
      </c>
      <c r="G851" s="117" t="s">
        <v>426</v>
      </c>
      <c r="H851" s="118" t="s">
        <v>45</v>
      </c>
      <c r="I851" s="119"/>
      <c r="J851" s="120"/>
      <c r="K851" s="120" t="str">
        <f t="shared" si="354"/>
        <v/>
      </c>
      <c r="L851" s="170" t="s">
        <v>1895</v>
      </c>
      <c r="M851" s="122" t="str">
        <f t="shared" ref="M851:M873" si="364">LEFT(L851,1)</f>
        <v>R</v>
      </c>
      <c r="N851" s="116" t="str">
        <f>IF($L851&lt;&gt;"",VLOOKUP($L851,Categories!$E:$G,2,FALSE),IF($F851&lt;&gt;"","NO CAT",""))</f>
        <v>Rate Base</v>
      </c>
      <c r="O851" s="116" t="str">
        <f>IF($L851&lt;&gt;"",VLOOKUP($L851,Categories!$E:$G,3,FALSE),IF($F851&lt;&gt;"","NO CAT",""))</f>
        <v>Deferred Income Taxes</v>
      </c>
      <c r="P851" s="170" t="s">
        <v>1184</v>
      </c>
      <c r="Q851" s="123" t="s">
        <v>1178</v>
      </c>
      <c r="R851" s="124">
        <v>0</v>
      </c>
      <c r="S851" s="124">
        <v>1</v>
      </c>
      <c r="T851" s="124">
        <v>0</v>
      </c>
      <c r="U851" s="121">
        <f t="shared" si="357"/>
        <v>0</v>
      </c>
      <c r="V851" s="121">
        <f t="shared" si="358"/>
        <v>266.78306666666703</v>
      </c>
      <c r="W851" s="121">
        <f t="shared" si="359"/>
        <v>0</v>
      </c>
      <c r="X851" s="121">
        <f t="shared" si="351"/>
        <v>266.78306666666703</v>
      </c>
      <c r="Y851" s="121">
        <f t="shared" si="360"/>
        <v>0</v>
      </c>
      <c r="Z851" s="121">
        <f t="shared" si="361"/>
        <v>266.78316000000001</v>
      </c>
      <c r="AA851" s="121">
        <f t="shared" si="362"/>
        <v>0</v>
      </c>
      <c r="AB851" s="121">
        <f>IF(AO851="",0,+AO851)</f>
        <v>266.78315999999995</v>
      </c>
      <c r="AC851" s="121">
        <v>266.78284000000002</v>
      </c>
      <c r="AD851" s="121">
        <v>266.78284000000002</v>
      </c>
      <c r="AE851" s="121">
        <v>266.78284000000002</v>
      </c>
      <c r="AF851" s="121">
        <v>266.78284000000002</v>
      </c>
      <c r="AG851" s="121">
        <v>266.78315999999995</v>
      </c>
      <c r="AH851" s="121">
        <v>266.78315999999995</v>
      </c>
      <c r="AI851" s="161">
        <v>266.78315999999995</v>
      </c>
      <c r="AJ851" s="161">
        <v>266.78315999999995</v>
      </c>
      <c r="AK851" s="161">
        <v>266.78315999999995</v>
      </c>
      <c r="AL851" s="161">
        <v>266.78315999999995</v>
      </c>
      <c r="AM851" s="161">
        <v>266.78315999999995</v>
      </c>
      <c r="AN851" s="161">
        <v>266.78315999999995</v>
      </c>
      <c r="AO851" s="161">
        <v>266.78315999999995</v>
      </c>
      <c r="AP851" s="125" t="str">
        <f>CONCATENATE(A851,M851)</f>
        <v>Def TaxR</v>
      </c>
      <c r="AQ851" s="125" t="str">
        <f>CONCATENATE(AP851,L851,H851)</f>
        <v>Def TaxRR11Gain / Loss on Reacquired Debt</v>
      </c>
      <c r="AS851" s="125" t="str">
        <f>CONCATENATE(L851,H851,J851)</f>
        <v>R11Gain / Loss on Reacquired Debt</v>
      </c>
    </row>
    <row r="852" spans="1:45" s="125" customFormat="1" ht="25.5" customHeight="1">
      <c r="A852" s="216" t="s">
        <v>1996</v>
      </c>
      <c r="B852" s="217" t="str">
        <f t="shared" si="355"/>
        <v>Def Tax190002AEIPBT010356</v>
      </c>
      <c r="C852" s="186">
        <v>190002</v>
      </c>
      <c r="D852" s="201" t="s">
        <v>1432</v>
      </c>
      <c r="E852" s="162" t="s">
        <v>2700</v>
      </c>
      <c r="F852" s="169" t="s">
        <v>861</v>
      </c>
      <c r="G852" s="117" t="s">
        <v>1009</v>
      </c>
      <c r="H852" s="118" t="s">
        <v>790</v>
      </c>
      <c r="I852" s="119"/>
      <c r="J852" s="120"/>
      <c r="K852" s="120" t="str">
        <f t="shared" ref="K852:K860" si="365">IF(L852="N3","SFAS-109","")</f>
        <v/>
      </c>
      <c r="L852" s="170" t="s">
        <v>928</v>
      </c>
      <c r="M852" s="122" t="str">
        <f t="shared" si="364"/>
        <v>N</v>
      </c>
      <c r="N852" s="116" t="str">
        <f>IF($L852&lt;&gt;"",VLOOKUP($L852,Categories!$E:$G,2,FALSE),IF($F852&lt;&gt;"","NO CAT",""))</f>
        <v>Not in Rate Base</v>
      </c>
      <c r="O852" s="116" t="str">
        <f>IF($L852&lt;&gt;"",VLOOKUP($L852,Categories!$E:$G,3,FALSE),IF($F852&lt;&gt;"","NO CAT",""))</f>
        <v>Direct Assign Items Not in RB</v>
      </c>
      <c r="P852" s="170" t="s">
        <v>1186</v>
      </c>
      <c r="Q852" s="123" t="s">
        <v>1187</v>
      </c>
      <c r="R852" s="124">
        <v>0</v>
      </c>
      <c r="S852" s="124">
        <v>0</v>
      </c>
      <c r="T852" s="124">
        <v>1</v>
      </c>
      <c r="U852" s="121" t="str">
        <f t="shared" si="357"/>
        <v/>
      </c>
      <c r="V852" s="121" t="str">
        <f t="shared" si="358"/>
        <v/>
      </c>
      <c r="W852" s="121" t="str">
        <f t="shared" si="359"/>
        <v/>
      </c>
      <c r="X852" s="121">
        <f t="shared" ref="X852:X874" si="366">IF(ISERROR(ROUND((SUM(AC852:AO852)-((AC852+AO852))/2)/12,15)),"",ROUND((SUM(AC852:AO852)-((AC852+AO852))/2)/12,15))</f>
        <v>0</v>
      </c>
      <c r="Y852" s="121" t="str">
        <f t="shared" si="360"/>
        <v/>
      </c>
      <c r="Z852" s="121" t="str">
        <f t="shared" si="361"/>
        <v/>
      </c>
      <c r="AA852" s="121" t="str">
        <f t="shared" si="362"/>
        <v/>
      </c>
      <c r="AB852" s="121">
        <f t="shared" ref="AB852:AB874" si="367">IF(AO852="",0,+AO852)</f>
        <v>0</v>
      </c>
      <c r="AC852" s="121">
        <v>0</v>
      </c>
      <c r="AD852" s="121">
        <v>0</v>
      </c>
      <c r="AE852" s="121">
        <v>0</v>
      </c>
      <c r="AF852" s="121">
        <v>0</v>
      </c>
      <c r="AG852" s="121">
        <v>0</v>
      </c>
      <c r="AH852" s="121">
        <v>0</v>
      </c>
      <c r="AI852" s="161">
        <v>0</v>
      </c>
      <c r="AJ852" s="161">
        <f t="shared" ref="AJ852" si="368">IF(AI852=0,0,0)</f>
        <v>0</v>
      </c>
      <c r="AK852" s="161">
        <v>0</v>
      </c>
      <c r="AL852" s="161">
        <v>0</v>
      </c>
      <c r="AM852" s="161">
        <v>0</v>
      </c>
      <c r="AN852" s="161">
        <v>0</v>
      </c>
      <c r="AO852" s="161">
        <v>0</v>
      </c>
      <c r="AP852" s="125" t="str">
        <f>CONCATENATE(A852,M852)</f>
        <v>Def TaxN</v>
      </c>
      <c r="AQ852" s="125" t="str">
        <f>CONCATENATE(AP852,L852,H852)</f>
        <v>Def TaxNN2Executive Compensation</v>
      </c>
      <c r="AS852" s="125" t="str">
        <f>CONCATENATE(L852,H852,J852)</f>
        <v>N2Executive Compensation</v>
      </c>
    </row>
    <row r="853" spans="1:45" s="125" customFormat="1" ht="25.5" customHeight="1">
      <c r="A853" s="216" t="s">
        <v>1996</v>
      </c>
      <c r="B853" s="217" t="str">
        <f t="shared" si="355"/>
        <v>Def Tax190002Env OLBT010071</v>
      </c>
      <c r="C853" s="186">
        <v>190002</v>
      </c>
      <c r="D853" s="201" t="s">
        <v>75</v>
      </c>
      <c r="E853" s="162" t="s">
        <v>222</v>
      </c>
      <c r="F853" s="169" t="s">
        <v>861</v>
      </c>
      <c r="G853" s="117" t="s">
        <v>74</v>
      </c>
      <c r="H853" s="118" t="s">
        <v>2369</v>
      </c>
      <c r="I853" s="119"/>
      <c r="J853" s="120"/>
      <c r="K853" s="120" t="str">
        <f t="shared" si="365"/>
        <v/>
      </c>
      <c r="L853" s="170" t="s">
        <v>928</v>
      </c>
      <c r="M853" s="122" t="str">
        <f t="shared" si="364"/>
        <v>N</v>
      </c>
      <c r="N853" s="116" t="str">
        <f>IF($L853&lt;&gt;"",VLOOKUP($L853,Categories!$E:$G,2,FALSE),IF($F853&lt;&gt;"","NO CAT",""))</f>
        <v>Not in Rate Base</v>
      </c>
      <c r="O853" s="116" t="str">
        <f>IF($L853&lt;&gt;"",VLOOKUP($L853,Categories!$E:$G,3,FALSE),IF($F853&lt;&gt;"","NO CAT",""))</f>
        <v>Direct Assign Items Not in RB</v>
      </c>
      <c r="P853" s="170" t="s">
        <v>1186</v>
      </c>
      <c r="Q853" s="123" t="s">
        <v>1187</v>
      </c>
      <c r="R853" s="124">
        <v>0</v>
      </c>
      <c r="S853" s="124">
        <v>0</v>
      </c>
      <c r="T853" s="124">
        <v>1</v>
      </c>
      <c r="U853" s="121">
        <f t="shared" si="357"/>
        <v>0</v>
      </c>
      <c r="V853" s="121">
        <f t="shared" si="358"/>
        <v>0</v>
      </c>
      <c r="W853" s="121">
        <f t="shared" si="359"/>
        <v>6120.9666012500002</v>
      </c>
      <c r="X853" s="121">
        <f t="shared" si="366"/>
        <v>6120.9666012500002</v>
      </c>
      <c r="Y853" s="121">
        <f t="shared" si="360"/>
        <v>0</v>
      </c>
      <c r="Z853" s="121">
        <f t="shared" si="361"/>
        <v>0</v>
      </c>
      <c r="AA853" s="121">
        <f t="shared" si="362"/>
        <v>5431.3127100000002</v>
      </c>
      <c r="AB853" s="121">
        <f t="shared" si="367"/>
        <v>5431.3127100000002</v>
      </c>
      <c r="AC853" s="121">
        <v>5176.9489999999996</v>
      </c>
      <c r="AD853" s="121">
        <v>5176.9489999999996</v>
      </c>
      <c r="AE853" s="121">
        <v>5176.9489999999996</v>
      </c>
      <c r="AF853" s="121">
        <v>5176.9489999999996</v>
      </c>
      <c r="AG853" s="121">
        <v>5176.9489999999996</v>
      </c>
      <c r="AH853" s="121">
        <v>5176.9489999999996</v>
      </c>
      <c r="AI853" s="161">
        <v>7366.2821299999996</v>
      </c>
      <c r="AJ853" s="161">
        <v>7366.2821299999996</v>
      </c>
      <c r="AK853" s="161">
        <v>7366.2821299999996</v>
      </c>
      <c r="AL853" s="161">
        <v>7366.2821299999996</v>
      </c>
      <c r="AM853" s="161">
        <v>7366.2821299999996</v>
      </c>
      <c r="AN853" s="161">
        <v>5431.3127100000002</v>
      </c>
      <c r="AO853" s="161">
        <v>5431.3127100000002</v>
      </c>
      <c r="AP853" s="125" t="str">
        <f>CONCATENATE(A853,M853)</f>
        <v>Def TaxN</v>
      </c>
      <c r="AQ853" s="125" t="str">
        <f>CONCATENATE(AP853,L853,H853)</f>
        <v>Def TaxNN2Environmental</v>
      </c>
      <c r="AS853" s="125" t="str">
        <f>CONCATENATE(L853,H853,J853)</f>
        <v>N2Environmental</v>
      </c>
    </row>
    <row r="854" spans="1:45" s="125" customFormat="1" ht="25.5" customHeight="1">
      <c r="A854" s="216" t="s">
        <v>1996</v>
      </c>
      <c r="B854" s="217" t="str">
        <f t="shared" si="355"/>
        <v>Def Tax1900020-183.53.00BTHUNGDT</v>
      </c>
      <c r="C854" s="186">
        <v>190002</v>
      </c>
      <c r="D854" s="201" t="s">
        <v>1389</v>
      </c>
      <c r="E854" s="162" t="s">
        <v>616</v>
      </c>
      <c r="F854" s="169" t="s">
        <v>861</v>
      </c>
      <c r="G854" s="117" t="s">
        <v>1390</v>
      </c>
      <c r="H854" s="118" t="s">
        <v>1167</v>
      </c>
      <c r="I854" s="119"/>
      <c r="J854" s="120"/>
      <c r="K854" s="120" t="str">
        <f t="shared" si="365"/>
        <v/>
      </c>
      <c r="L854" s="170" t="s">
        <v>1895</v>
      </c>
      <c r="M854" s="122" t="str">
        <f t="shared" si="364"/>
        <v>R</v>
      </c>
      <c r="N854" s="116" t="str">
        <f>IF($L854&lt;&gt;"",VLOOKUP($L854,Categories!$E:$G,2,FALSE),IF($F854&lt;&gt;"","NO CAT",""))</f>
        <v>Rate Base</v>
      </c>
      <c r="O854" s="116" t="str">
        <f>IF($L854&lt;&gt;"",VLOOKUP($L854,Categories!$E:$G,3,FALSE),IF($F854&lt;&gt;"","NO CAT",""))</f>
        <v>Deferred Income Taxes</v>
      </c>
      <c r="P854" s="170" t="s">
        <v>1184</v>
      </c>
      <c r="Q854" s="123" t="s">
        <v>1178</v>
      </c>
      <c r="R854" s="124">
        <v>0</v>
      </c>
      <c r="S854" s="124">
        <v>1</v>
      </c>
      <c r="T854" s="124">
        <v>0</v>
      </c>
      <c r="U854" s="121">
        <f t="shared" si="357"/>
        <v>0</v>
      </c>
      <c r="V854" s="121">
        <f t="shared" si="358"/>
        <v>4.0000000000000001E-3</v>
      </c>
      <c r="W854" s="121">
        <f t="shared" si="359"/>
        <v>0</v>
      </c>
      <c r="X854" s="121">
        <f t="shared" si="366"/>
        <v>4.0000000000000001E-3</v>
      </c>
      <c r="Y854" s="121">
        <f t="shared" si="360"/>
        <v>0</v>
      </c>
      <c r="Z854" s="121">
        <f t="shared" si="361"/>
        <v>4.0000000000000001E-3</v>
      </c>
      <c r="AA854" s="121">
        <f t="shared" si="362"/>
        <v>0</v>
      </c>
      <c r="AB854" s="121">
        <f t="shared" si="367"/>
        <v>4.0000000000000001E-3</v>
      </c>
      <c r="AC854" s="121">
        <v>4.0000000000000001E-3</v>
      </c>
      <c r="AD854" s="121">
        <v>4.0000000000000001E-3</v>
      </c>
      <c r="AE854" s="121">
        <v>4.0000000000000001E-3</v>
      </c>
      <c r="AF854" s="121">
        <v>4.0000000000000001E-3</v>
      </c>
      <c r="AG854" s="121">
        <v>4.0000000000000001E-3</v>
      </c>
      <c r="AH854" s="121">
        <v>4.0000000000000001E-3</v>
      </c>
      <c r="AI854" s="161">
        <v>4.0000000000000001E-3</v>
      </c>
      <c r="AJ854" s="161">
        <v>4.0000000000000001E-3</v>
      </c>
      <c r="AK854" s="161">
        <v>4.0000000000000001E-3</v>
      </c>
      <c r="AL854" s="161">
        <v>4.0000000000000001E-3</v>
      </c>
      <c r="AM854" s="161">
        <v>4.0000000000000001E-3</v>
      </c>
      <c r="AN854" s="161">
        <v>4.0000000000000001E-3</v>
      </c>
      <c r="AO854" s="161">
        <v>4.0000000000000001E-3</v>
      </c>
      <c r="AP854" s="125" t="str">
        <f>CONCATENATE(A854,M854)</f>
        <v>Def TaxR</v>
      </c>
      <c r="AQ854" s="125" t="str">
        <f>CONCATENATE(AP854,L854,H854)</f>
        <v>Def TaxRR11Hung Deferred Taxes</v>
      </c>
      <c r="AS854" s="125" t="str">
        <f>CONCATENATE(L854,H854,J854)</f>
        <v>R11Hung Deferred Taxes</v>
      </c>
    </row>
    <row r="855" spans="1:45" s="125" customFormat="1" ht="25.5" customHeight="1">
      <c r="A855" s="216" t="s">
        <v>1996</v>
      </c>
      <c r="B855" s="217" t="str">
        <f>CONCATENATE(A855,C855,D855,E855)</f>
        <v>Def Tax1900020-182.06.00BTHUNGDT</v>
      </c>
      <c r="C855" s="186">
        <v>190002</v>
      </c>
      <c r="D855" s="201" t="s">
        <v>759</v>
      </c>
      <c r="E855" s="162" t="s">
        <v>616</v>
      </c>
      <c r="F855" s="169" t="s">
        <v>861</v>
      </c>
      <c r="G855" s="117" t="s">
        <v>4385</v>
      </c>
      <c r="H855" s="118" t="s">
        <v>4438</v>
      </c>
      <c r="I855" s="119"/>
      <c r="J855" s="120"/>
      <c r="K855" s="120" t="str">
        <f>IF(L855="N3","SFAS-109","")</f>
        <v/>
      </c>
      <c r="L855" s="170" t="s">
        <v>1895</v>
      </c>
      <c r="M855" s="122" t="str">
        <f>LEFT(L855,1)</f>
        <v>R</v>
      </c>
      <c r="N855" s="116" t="str">
        <f>IF($L855&lt;&gt;"",VLOOKUP($L855,Categories!$E:$G,2,FALSE),IF($F855&lt;&gt;"","NO CAT",""))</f>
        <v>Rate Base</v>
      </c>
      <c r="O855" s="116" t="str">
        <f>IF($L855&lt;&gt;"",VLOOKUP($L855,Categories!$E:$G,3,FALSE),IF($F855&lt;&gt;"","NO CAT",""))</f>
        <v>Deferred Income Taxes</v>
      </c>
      <c r="P855" s="170" t="s">
        <v>1184</v>
      </c>
      <c r="Q855" s="123" t="s">
        <v>1178</v>
      </c>
      <c r="R855" s="124">
        <v>0</v>
      </c>
      <c r="S855" s="124">
        <v>1</v>
      </c>
      <c r="T855" s="124">
        <v>0</v>
      </c>
      <c r="U855" s="121">
        <f>IF(ABS(X855)=0,"",IF($R855="NO ALLOC","NO ALLOC",ROUND($R855*X855,15)))</f>
        <v>0</v>
      </c>
      <c r="V855" s="121">
        <f>IF(ABS(X855)=0,"",IF($S855="NO ALLOC","NO ALLOC",ROUND($S855*X855,15)))</f>
        <v>30.055</v>
      </c>
      <c r="W855" s="121">
        <f>IF(ABS(X855)=0,"",IF($T855="NO ALLOC","NO ALLOC",ROUND($T855*X855,15)))</f>
        <v>0</v>
      </c>
      <c r="X855" s="121">
        <f t="shared" si="366"/>
        <v>30.055</v>
      </c>
      <c r="Y855" s="121">
        <f>IF(ABS(AB855)=0,"",IF($R855="NO ALLOC","NO ALLOC",ROUND($R855*AB855,15)))</f>
        <v>0</v>
      </c>
      <c r="Z855" s="121">
        <f>IF(ABS(AB855)=0,"",IF($S855="NO ALLOC","NO ALLOC",ROUND($S855*AB855,15)))</f>
        <v>30.055</v>
      </c>
      <c r="AA855" s="121">
        <f>IF(ABS(AB855)=0,"",IF($T855="NO ALLOC","NO ALLOC",ROUND($T855*AB855,15)))</f>
        <v>0</v>
      </c>
      <c r="AB855" s="121">
        <f t="shared" si="367"/>
        <v>30.055</v>
      </c>
      <c r="AC855" s="121">
        <v>30.055</v>
      </c>
      <c r="AD855" s="121">
        <v>30.055</v>
      </c>
      <c r="AE855" s="121">
        <v>30.055</v>
      </c>
      <c r="AF855" s="121">
        <v>30.055</v>
      </c>
      <c r="AG855" s="121">
        <v>30.055</v>
      </c>
      <c r="AH855" s="121">
        <v>30.055</v>
      </c>
      <c r="AI855" s="161">
        <v>30.055</v>
      </c>
      <c r="AJ855" s="161">
        <v>30.055</v>
      </c>
      <c r="AK855" s="161">
        <v>30.055</v>
      </c>
      <c r="AL855" s="161">
        <v>30.055</v>
      </c>
      <c r="AM855" s="161">
        <v>30.055</v>
      </c>
      <c r="AN855" s="161">
        <v>30.055</v>
      </c>
      <c r="AO855" s="161">
        <v>30.055</v>
      </c>
      <c r="AP855" s="125" t="str">
        <f>CONCATENATE(A855,M855)</f>
        <v>Def TaxR</v>
      </c>
      <c r="AQ855" s="125" t="str">
        <f>CONCATENATE(AP855,L855,H855)</f>
        <v>Def TaxRR11Excess Interruptible Sales</v>
      </c>
      <c r="AS855" s="125" t="str">
        <f>CONCATENATE(L855,H855,J855)</f>
        <v>R11Excess Interruptible Sales</v>
      </c>
    </row>
    <row r="856" spans="1:45" s="125" customFormat="1" ht="25.5" customHeight="1">
      <c r="A856" s="216" t="s">
        <v>1996</v>
      </c>
      <c r="B856" s="217" t="str">
        <f t="shared" si="355"/>
        <v>Def Tax1900020-183.43.01BT010089</v>
      </c>
      <c r="C856" s="186">
        <v>190002</v>
      </c>
      <c r="D856" s="201" t="s">
        <v>246</v>
      </c>
      <c r="E856" s="162" t="s">
        <v>1916</v>
      </c>
      <c r="F856" s="169" t="s">
        <v>861</v>
      </c>
      <c r="G856" s="117" t="s">
        <v>2537</v>
      </c>
      <c r="H856" s="118" t="s">
        <v>170</v>
      </c>
      <c r="I856" s="119"/>
      <c r="J856" s="120"/>
      <c r="K856" s="120" t="str">
        <f t="shared" si="365"/>
        <v/>
      </c>
      <c r="L856" s="170" t="s">
        <v>1895</v>
      </c>
      <c r="M856" s="122" t="str">
        <f t="shared" si="364"/>
        <v>R</v>
      </c>
      <c r="N856" s="116" t="str">
        <f>IF($L856&lt;&gt;"",VLOOKUP($L856,Categories!$E:$G,2,FALSE),IF($F856&lt;&gt;"","NO CAT",""))</f>
        <v>Rate Base</v>
      </c>
      <c r="O856" s="116" t="str">
        <f>IF($L856&lt;&gt;"",VLOOKUP($L856,Categories!$E:$G,3,FALSE),IF($F856&lt;&gt;"","NO CAT",""))</f>
        <v>Deferred Income Taxes</v>
      </c>
      <c r="P856" s="170" t="s">
        <v>1553</v>
      </c>
      <c r="Q856" s="123" t="s">
        <v>2587</v>
      </c>
      <c r="R856" s="124">
        <v>0.81899999999999995</v>
      </c>
      <c r="S856" s="124">
        <v>0.18099999999999999</v>
      </c>
      <c r="T856" s="124">
        <v>0</v>
      </c>
      <c r="U856" s="121" t="str">
        <f t="shared" si="357"/>
        <v/>
      </c>
      <c r="V856" s="121" t="str">
        <f t="shared" si="358"/>
        <v/>
      </c>
      <c r="W856" s="121" t="str">
        <f t="shared" si="359"/>
        <v/>
      </c>
      <c r="X856" s="121">
        <f t="shared" si="366"/>
        <v>0</v>
      </c>
      <c r="Y856" s="121" t="str">
        <f t="shared" si="360"/>
        <v/>
      </c>
      <c r="Z856" s="121" t="str">
        <f t="shared" si="361"/>
        <v/>
      </c>
      <c r="AA856" s="121" t="str">
        <f t="shared" si="362"/>
        <v/>
      </c>
      <c r="AB856" s="121">
        <f t="shared" si="367"/>
        <v>0</v>
      </c>
      <c r="AC856" s="121">
        <v>0</v>
      </c>
      <c r="AD856" s="121">
        <v>0</v>
      </c>
      <c r="AE856" s="121">
        <v>0</v>
      </c>
      <c r="AF856" s="121">
        <v>0</v>
      </c>
      <c r="AG856" s="121">
        <v>0</v>
      </c>
      <c r="AH856" s="121">
        <v>0</v>
      </c>
      <c r="AI856" s="161">
        <v>0</v>
      </c>
      <c r="AJ856" s="161">
        <f>IF(AI856=0,0,0)</f>
        <v>0</v>
      </c>
      <c r="AK856" s="161">
        <v>0</v>
      </c>
      <c r="AL856" s="161">
        <v>0</v>
      </c>
      <c r="AM856" s="161">
        <v>0</v>
      </c>
      <c r="AN856" s="161">
        <v>0</v>
      </c>
      <c r="AO856" s="161">
        <v>0</v>
      </c>
      <c r="AP856" s="125" t="str">
        <f>CONCATENATE(A856,M856)</f>
        <v>Def TaxR</v>
      </c>
      <c r="AQ856" s="125" t="str">
        <f>CONCATENATE(AP856,L856,H856)</f>
        <v>Def TaxRR11OPEBs</v>
      </c>
      <c r="AS856" s="125" t="str">
        <f>CONCATENATE(L856,H856,J856)</f>
        <v>R11OPEBs</v>
      </c>
    </row>
    <row r="857" spans="1:45" s="125" customFormat="1" ht="25.5" customHeight="1">
      <c r="A857" s="216" t="s">
        <v>1996</v>
      </c>
      <c r="B857" s="217" t="str">
        <f>CONCATENATE(A857,C857,D857,E857)</f>
        <v>Def Tax190002BT010119</v>
      </c>
      <c r="C857" s="186">
        <v>190002</v>
      </c>
      <c r="D857" s="201"/>
      <c r="E857" s="162" t="s">
        <v>4591</v>
      </c>
      <c r="F857" s="169" t="s">
        <v>861</v>
      </c>
      <c r="G857" s="117" t="s">
        <v>4590</v>
      </c>
      <c r="H857" s="118" t="s">
        <v>596</v>
      </c>
      <c r="I857" s="119"/>
      <c r="J857" s="120"/>
      <c r="K857" s="120" t="str">
        <f t="shared" si="365"/>
        <v/>
      </c>
      <c r="L857" s="170" t="s">
        <v>928</v>
      </c>
      <c r="M857" s="122" t="str">
        <f t="shared" si="364"/>
        <v>N</v>
      </c>
      <c r="N857" s="116" t="str">
        <f>IF($L857&lt;&gt;"",VLOOKUP($L857,Categories!$E:$G,2,FALSE),IF($F857&lt;&gt;"","NO CAT",""))</f>
        <v>Not in Rate Base</v>
      </c>
      <c r="O857" s="116" t="str">
        <f>IF($L857&lt;&gt;"",VLOOKUP($L857,Categories!$E:$G,3,FALSE),IF($F857&lt;&gt;"","NO CAT",""))</f>
        <v>Direct Assign Items Not in RB</v>
      </c>
      <c r="P857" s="170" t="s">
        <v>1186</v>
      </c>
      <c r="Q857" s="123" t="s">
        <v>1187</v>
      </c>
      <c r="R857" s="124">
        <v>0</v>
      </c>
      <c r="S857" s="124">
        <v>0</v>
      </c>
      <c r="T857" s="124">
        <v>1</v>
      </c>
      <c r="U857" s="121">
        <f t="shared" si="357"/>
        <v>0</v>
      </c>
      <c r="V857" s="121">
        <f t="shared" si="358"/>
        <v>0</v>
      </c>
      <c r="W857" s="121">
        <f t="shared" si="359"/>
        <v>169.091547916667</v>
      </c>
      <c r="X857" s="121">
        <f t="shared" si="366"/>
        <v>169.091547916667</v>
      </c>
      <c r="Y857" s="121">
        <f t="shared" si="360"/>
        <v>0</v>
      </c>
      <c r="Z857" s="121">
        <f t="shared" si="361"/>
        <v>0</v>
      </c>
      <c r="AA857" s="121">
        <f t="shared" si="362"/>
        <v>235.40860000000001</v>
      </c>
      <c r="AB857" s="121">
        <f t="shared" si="367"/>
        <v>235.40859999999998</v>
      </c>
      <c r="AC857" s="121">
        <v>110.87615</v>
      </c>
      <c r="AD857" s="121">
        <v>120.63064999999999</v>
      </c>
      <c r="AE857" s="121">
        <v>130.71029999999999</v>
      </c>
      <c r="AF857" s="121">
        <v>140.78994999999998</v>
      </c>
      <c r="AG857" s="121">
        <v>140.78994999999998</v>
      </c>
      <c r="AH857" s="121">
        <v>161.92469999999997</v>
      </c>
      <c r="AI857" s="161">
        <v>172.32949999999997</v>
      </c>
      <c r="AJ857" s="161">
        <v>172.32949999999997</v>
      </c>
      <c r="AK857" s="161">
        <v>172.32949999999997</v>
      </c>
      <c r="AL857" s="161">
        <v>182.73429999999996</v>
      </c>
      <c r="AM857" s="161">
        <v>225.32894999999996</v>
      </c>
      <c r="AN857" s="161">
        <v>236.05889999999997</v>
      </c>
      <c r="AO857" s="161">
        <v>235.40859999999998</v>
      </c>
      <c r="AP857" s="125" t="str">
        <f>CONCATENATE(A857,M857)</f>
        <v>Def TaxN</v>
      </c>
      <c r="AQ857" s="125" t="str">
        <f>CONCATENATE(AP857,L857,H857)</f>
        <v>Def TaxNN2FIN 48 Reclass</v>
      </c>
      <c r="AS857" s="125" t="str">
        <f>CONCATENATE(L857,H857,J857)</f>
        <v>N2FIN 48 Reclass</v>
      </c>
    </row>
    <row r="858" spans="1:45" s="125" customFormat="1" ht="25.5" customHeight="1">
      <c r="A858" s="216" t="s">
        <v>1996</v>
      </c>
      <c r="B858" s="217" t="str">
        <f>CONCATENATE(A858,C858,D858,E858)</f>
        <v>Def Tax1900020-182.06.00BT010271</v>
      </c>
      <c r="C858" s="186">
        <v>190002</v>
      </c>
      <c r="D858" s="201" t="s">
        <v>759</v>
      </c>
      <c r="E858" s="162" t="s">
        <v>4437</v>
      </c>
      <c r="F858" s="169" t="s">
        <v>861</v>
      </c>
      <c r="G858" s="117" t="s">
        <v>4422</v>
      </c>
      <c r="H858" s="118" t="s">
        <v>4424</v>
      </c>
      <c r="I858" s="119"/>
      <c r="J858" s="120"/>
      <c r="K858" s="120" t="str">
        <f>IF(L858="N3","SFAS-109","")</f>
        <v/>
      </c>
      <c r="L858" s="170" t="s">
        <v>1895</v>
      </c>
      <c r="M858" s="122" t="str">
        <f>LEFT(L858,1)</f>
        <v>R</v>
      </c>
      <c r="N858" s="116" t="str">
        <f>IF($L858&lt;&gt;"",VLOOKUP($L858,Categories!$E:$G,2,FALSE),IF($F858&lt;&gt;"","NO CAT",""))</f>
        <v>Rate Base</v>
      </c>
      <c r="O858" s="116" t="str">
        <f>IF($L858&lt;&gt;"",VLOOKUP($L858,Categories!$E:$G,3,FALSE),IF($F858&lt;&gt;"","NO CAT",""))</f>
        <v>Deferred Income Taxes</v>
      </c>
      <c r="P858" s="170" t="s">
        <v>1184</v>
      </c>
      <c r="Q858" s="123" t="s">
        <v>1178</v>
      </c>
      <c r="R858" s="124">
        <v>0</v>
      </c>
      <c r="S858" s="124">
        <v>1</v>
      </c>
      <c r="T858" s="124">
        <v>0</v>
      </c>
      <c r="U858" s="121">
        <f>IF(ABS(X858)=0,"",IF($R858="NO ALLOC","NO ALLOC",ROUND($R858*X858,15)))</f>
        <v>0</v>
      </c>
      <c r="V858" s="121">
        <f>IF(ABS(X858)=0,"",IF($S858="NO ALLOC","NO ALLOC",ROUND($S858*X858,15)))</f>
        <v>10.4842333333333</v>
      </c>
      <c r="W858" s="121">
        <f>IF(ABS(X858)=0,"",IF($T858="NO ALLOC","NO ALLOC",ROUND($T858*X858,15)))</f>
        <v>0</v>
      </c>
      <c r="X858" s="121">
        <f t="shared" si="366"/>
        <v>10.4842333333333</v>
      </c>
      <c r="Y858" s="121">
        <f>IF(ABS(AB858)=0,"",IF($R858="NO ALLOC","NO ALLOC",ROUND($R858*AB858,15)))</f>
        <v>0</v>
      </c>
      <c r="Z858" s="121">
        <f>IF(ABS(AB858)=0,"",IF($S858="NO ALLOC","NO ALLOC",ROUND($S858*AB858,15)))</f>
        <v>-25.087350000000001</v>
      </c>
      <c r="AA858" s="121">
        <f>IF(ABS(AB858)=0,"",IF($T858="NO ALLOC","NO ALLOC",ROUND($T858*AB858,15)))</f>
        <v>0</v>
      </c>
      <c r="AB858" s="121">
        <f t="shared" si="367"/>
        <v>-25.087350000000004</v>
      </c>
      <c r="AC858" s="121">
        <v>49.812009999999994</v>
      </c>
      <c r="AD858" s="121">
        <v>49.812009999999994</v>
      </c>
      <c r="AE858" s="121">
        <v>50.943529999999988</v>
      </c>
      <c r="AF858" s="121">
        <v>50.943529999999988</v>
      </c>
      <c r="AG858" s="121">
        <v>7.4022899999999936</v>
      </c>
      <c r="AH858" s="121">
        <v>7.4022899999999936</v>
      </c>
      <c r="AI858" s="161">
        <v>7.4022899999999936</v>
      </c>
      <c r="AJ858" s="161">
        <v>7.4022899999999936</v>
      </c>
      <c r="AK858" s="161">
        <v>7.4022899999999936</v>
      </c>
      <c r="AL858" s="161">
        <v>-25.087350000000004</v>
      </c>
      <c r="AM858" s="161">
        <v>-25.087350000000004</v>
      </c>
      <c r="AN858" s="161">
        <v>-25.087350000000004</v>
      </c>
      <c r="AO858" s="161">
        <v>-25.087350000000004</v>
      </c>
      <c r="AP858" s="125" t="str">
        <f>CONCATENATE(A858,M858)</f>
        <v>Def TaxR</v>
      </c>
      <c r="AQ858" s="125" t="str">
        <f>CONCATENATE(AP858,L858,H858)</f>
        <v>Def TaxRR11GRT Audit Reserve</v>
      </c>
      <c r="AS858" s="125" t="str">
        <f>CONCATENATE(L858,H858,J858)</f>
        <v>R11GRT Audit Reserve</v>
      </c>
    </row>
    <row r="859" spans="1:45" s="125" customFormat="1" ht="25.5" customHeight="1">
      <c r="A859" s="216" t="s">
        <v>1996</v>
      </c>
      <c r="B859" s="217" t="str">
        <f t="shared" ref="B859:B881" si="369">CONCATENATE(A859,C859,D859,E859)</f>
        <v>Def Tax1900020-182.12.00BTHUNGDT</v>
      </c>
      <c r="C859" s="186">
        <v>190002</v>
      </c>
      <c r="D859" s="201" t="s">
        <v>1944</v>
      </c>
      <c r="E859" s="162" t="s">
        <v>616</v>
      </c>
      <c r="F859" s="169" t="s">
        <v>861</v>
      </c>
      <c r="G859" s="117" t="s">
        <v>1945</v>
      </c>
      <c r="H859" s="118" t="s">
        <v>1167</v>
      </c>
      <c r="I859" s="119"/>
      <c r="J859" s="120"/>
      <c r="K859" s="120" t="str">
        <f t="shared" si="365"/>
        <v/>
      </c>
      <c r="L859" s="170" t="s">
        <v>1895</v>
      </c>
      <c r="M859" s="122" t="str">
        <f t="shared" si="364"/>
        <v>R</v>
      </c>
      <c r="N859" s="116" t="str">
        <f>IF($L859&lt;&gt;"",VLOOKUP($L859,Categories!$E:$G,2,FALSE),IF($F859&lt;&gt;"","NO CAT",""))</f>
        <v>Rate Base</v>
      </c>
      <c r="O859" s="116" t="str">
        <f>IF($L859&lt;&gt;"",VLOOKUP($L859,Categories!$E:$G,3,FALSE),IF($F859&lt;&gt;"","NO CAT",""))</f>
        <v>Deferred Income Taxes</v>
      </c>
      <c r="P859" s="170" t="s">
        <v>1184</v>
      </c>
      <c r="Q859" s="123" t="s">
        <v>1178</v>
      </c>
      <c r="R859" s="124">
        <v>0</v>
      </c>
      <c r="S859" s="124">
        <v>1</v>
      </c>
      <c r="T859" s="124">
        <v>0</v>
      </c>
      <c r="U859" s="121">
        <f t="shared" si="357"/>
        <v>0</v>
      </c>
      <c r="V859" s="121">
        <f t="shared" si="358"/>
        <v>1.7490000000000001</v>
      </c>
      <c r="W859" s="121">
        <f t="shared" si="359"/>
        <v>0</v>
      </c>
      <c r="X859" s="121">
        <f t="shared" si="366"/>
        <v>1.7490000000000001</v>
      </c>
      <c r="Y859" s="121">
        <f t="shared" si="360"/>
        <v>0</v>
      </c>
      <c r="Z859" s="121">
        <f t="shared" si="361"/>
        <v>1.7490000000000001</v>
      </c>
      <c r="AA859" s="121">
        <f t="shared" si="362"/>
        <v>0</v>
      </c>
      <c r="AB859" s="121">
        <f t="shared" si="367"/>
        <v>1.7490000000000001</v>
      </c>
      <c r="AC859" s="121">
        <v>1.7490000000000001</v>
      </c>
      <c r="AD859" s="121">
        <v>1.7490000000000001</v>
      </c>
      <c r="AE859" s="121">
        <v>1.7490000000000001</v>
      </c>
      <c r="AF859" s="121">
        <v>1.7490000000000001</v>
      </c>
      <c r="AG859" s="121">
        <v>1.7490000000000001</v>
      </c>
      <c r="AH859" s="121">
        <v>1.7490000000000001</v>
      </c>
      <c r="AI859" s="161">
        <v>1.7490000000000001</v>
      </c>
      <c r="AJ859" s="161">
        <v>1.7490000000000001</v>
      </c>
      <c r="AK859" s="161">
        <v>1.7490000000000001</v>
      </c>
      <c r="AL859" s="161">
        <v>1.7490000000000001</v>
      </c>
      <c r="AM859" s="161">
        <v>1.7490000000000001</v>
      </c>
      <c r="AN859" s="161">
        <v>1.7490000000000001</v>
      </c>
      <c r="AO859" s="161">
        <v>1.7490000000000001</v>
      </c>
      <c r="AP859" s="125" t="str">
        <f>CONCATENATE(A859,M859)</f>
        <v>Def TaxR</v>
      </c>
      <c r="AQ859" s="125" t="str">
        <f>CONCATENATE(AP859,L859,H859)</f>
        <v>Def TaxRR11Hung Deferred Taxes</v>
      </c>
      <c r="AS859" s="125" t="str">
        <f>CONCATENATE(L859,H859,J859)</f>
        <v>R11Hung Deferred Taxes</v>
      </c>
    </row>
    <row r="860" spans="1:45" s="125" customFormat="1" ht="25.5" customHeight="1">
      <c r="A860" s="216" t="s">
        <v>1996</v>
      </c>
      <c r="B860" s="217" t="str">
        <f t="shared" si="369"/>
        <v>Def Tax190002Misc Fed Ben-bBTHUNGDT</v>
      </c>
      <c r="C860" s="186">
        <v>190002</v>
      </c>
      <c r="D860" s="201" t="s">
        <v>2559</v>
      </c>
      <c r="E860" s="162" t="s">
        <v>616</v>
      </c>
      <c r="F860" s="169" t="s">
        <v>861</v>
      </c>
      <c r="G860" s="117" t="s">
        <v>388</v>
      </c>
      <c r="H860" s="118">
        <v>0</v>
      </c>
      <c r="I860" s="119"/>
      <c r="J860" s="120"/>
      <c r="K860" s="120" t="str">
        <f t="shared" si="365"/>
        <v/>
      </c>
      <c r="L860" s="170" t="s">
        <v>928</v>
      </c>
      <c r="M860" s="122" t="str">
        <f t="shared" si="364"/>
        <v>N</v>
      </c>
      <c r="N860" s="116" t="str">
        <f>IF($L860&lt;&gt;"",VLOOKUP($L860,Categories!$E:$G,2,FALSE),IF($F860&lt;&gt;"","NO CAT",""))</f>
        <v>Not in Rate Base</v>
      </c>
      <c r="O860" s="116" t="str">
        <f>IF($L860&lt;&gt;"",VLOOKUP($L860,Categories!$E:$G,3,FALSE),IF($F860&lt;&gt;"","NO CAT",""))</f>
        <v>Direct Assign Items Not in RB</v>
      </c>
      <c r="P860" s="170" t="s">
        <v>1186</v>
      </c>
      <c r="Q860" s="123" t="s">
        <v>1187</v>
      </c>
      <c r="R860" s="124">
        <v>0</v>
      </c>
      <c r="S860" s="124">
        <v>0</v>
      </c>
      <c r="T860" s="124">
        <v>1</v>
      </c>
      <c r="U860" s="121" t="str">
        <f t="shared" si="357"/>
        <v/>
      </c>
      <c r="V860" s="121" t="str">
        <f t="shared" si="358"/>
        <v/>
      </c>
      <c r="W860" s="121" t="str">
        <f t="shared" si="359"/>
        <v/>
      </c>
      <c r="X860" s="121">
        <f t="shared" si="366"/>
        <v>0</v>
      </c>
      <c r="Y860" s="121" t="str">
        <f t="shared" si="360"/>
        <v/>
      </c>
      <c r="Z860" s="121" t="str">
        <f t="shared" si="361"/>
        <v/>
      </c>
      <c r="AA860" s="121" t="str">
        <f t="shared" si="362"/>
        <v/>
      </c>
      <c r="AB860" s="121">
        <f t="shared" si="367"/>
        <v>0</v>
      </c>
      <c r="AC860" s="121">
        <v>0</v>
      </c>
      <c r="AD860" s="121">
        <v>0</v>
      </c>
      <c r="AE860" s="121">
        <v>0</v>
      </c>
      <c r="AF860" s="121">
        <v>0</v>
      </c>
      <c r="AG860" s="121">
        <v>0</v>
      </c>
      <c r="AH860" s="121">
        <v>0</v>
      </c>
      <c r="AI860" s="161">
        <v>0</v>
      </c>
      <c r="AJ860" s="161">
        <f t="shared" ref="AJ860" si="370">IF(AI860=0,0,0)</f>
        <v>0</v>
      </c>
      <c r="AK860" s="161">
        <v>0</v>
      </c>
      <c r="AL860" s="161">
        <v>0</v>
      </c>
      <c r="AM860" s="161">
        <v>0</v>
      </c>
      <c r="AN860" s="161">
        <v>0</v>
      </c>
      <c r="AO860" s="161">
        <v>0</v>
      </c>
      <c r="AP860" s="125" t="str">
        <f>CONCATENATE(A860,M860)</f>
        <v>Def TaxN</v>
      </c>
      <c r="AQ860" s="125" t="str">
        <f>CONCATENATE(AP860,L860,H860)</f>
        <v>Def TaxNN20</v>
      </c>
      <c r="AS860" s="125" t="str">
        <f>CONCATENATE(L860,H860,J860)</f>
        <v>N20</v>
      </c>
    </row>
    <row r="861" spans="1:45" s="125" customFormat="1" ht="25.5" customHeight="1">
      <c r="A861" s="216" t="s">
        <v>1996</v>
      </c>
      <c r="B861" s="217" t="str">
        <f t="shared" si="369"/>
        <v>Def Tax1900020-283.22.06BTHUNGDT</v>
      </c>
      <c r="C861" s="186">
        <v>190002</v>
      </c>
      <c r="D861" s="201" t="s">
        <v>1847</v>
      </c>
      <c r="E861" s="162" t="s">
        <v>616</v>
      </c>
      <c r="F861" s="169" t="s">
        <v>861</v>
      </c>
      <c r="G861" s="117" t="s">
        <v>1848</v>
      </c>
      <c r="H861" s="118" t="s">
        <v>1167</v>
      </c>
      <c r="I861" s="119"/>
      <c r="J861" s="120"/>
      <c r="K861" s="120" t="str">
        <f t="shared" ref="K861:K886" si="371">IF(L861="N3","SFAS-109","")</f>
        <v/>
      </c>
      <c r="L861" s="170" t="s">
        <v>2811</v>
      </c>
      <c r="M861" s="122" t="str">
        <f t="shared" si="364"/>
        <v>N</v>
      </c>
      <c r="N861" s="116" t="str">
        <f>IF($L861&lt;&gt;"",VLOOKUP($L861,Categories!$E:$G,2,FALSE),IF($F861&lt;&gt;"","NO CAT",""))</f>
        <v>Not in Rate Base</v>
      </c>
      <c r="O861" s="116" t="str">
        <f>IF($L861&lt;&gt;"",VLOOKUP($L861,Categories!$E:$G,3,FALSE),IF($F861&lt;&gt;"","NO CAT",""))</f>
        <v>Hedges &amp; OCI</v>
      </c>
      <c r="P861" s="170" t="s">
        <v>1186</v>
      </c>
      <c r="Q861" s="123" t="s">
        <v>1187</v>
      </c>
      <c r="R861" s="124">
        <v>0</v>
      </c>
      <c r="S861" s="124">
        <v>0</v>
      </c>
      <c r="T861" s="124">
        <v>1</v>
      </c>
      <c r="U861" s="121">
        <f t="shared" si="357"/>
        <v>0</v>
      </c>
      <c r="V861" s="121">
        <f t="shared" si="358"/>
        <v>0</v>
      </c>
      <c r="W861" s="121">
        <f t="shared" si="359"/>
        <v>76.584999999999994</v>
      </c>
      <c r="X861" s="121">
        <f t="shared" si="366"/>
        <v>76.584999999999994</v>
      </c>
      <c r="Y861" s="121">
        <f t="shared" si="360"/>
        <v>0</v>
      </c>
      <c r="Z861" s="121">
        <f t="shared" si="361"/>
        <v>0</v>
      </c>
      <c r="AA861" s="121">
        <f t="shared" si="362"/>
        <v>76.584999999999994</v>
      </c>
      <c r="AB861" s="121">
        <f t="shared" si="367"/>
        <v>76.584999999999994</v>
      </c>
      <c r="AC861" s="121">
        <v>76.584999999999994</v>
      </c>
      <c r="AD861" s="121">
        <v>76.584999999999994</v>
      </c>
      <c r="AE861" s="121">
        <v>76.584999999999994</v>
      </c>
      <c r="AF861" s="121">
        <v>76.584999999999994</v>
      </c>
      <c r="AG861" s="121">
        <v>76.584999999999994</v>
      </c>
      <c r="AH861" s="121">
        <v>76.584999999999994</v>
      </c>
      <c r="AI861" s="161">
        <v>76.584999999999994</v>
      </c>
      <c r="AJ861" s="161">
        <v>76.584999999999994</v>
      </c>
      <c r="AK861" s="161">
        <v>76.584999999999994</v>
      </c>
      <c r="AL861" s="161">
        <v>76.584999999999994</v>
      </c>
      <c r="AM861" s="161">
        <v>76.584999999999994</v>
      </c>
      <c r="AN861" s="161">
        <v>76.584999999999994</v>
      </c>
      <c r="AO861" s="161">
        <v>76.584999999999994</v>
      </c>
      <c r="AP861" s="125" t="str">
        <f>CONCATENATE(A861,M861)</f>
        <v>Def TaxN</v>
      </c>
      <c r="AQ861" s="125" t="str">
        <f>CONCATENATE(AP861,L861,H861)</f>
        <v>Def TaxNN5Hung Deferred Taxes</v>
      </c>
      <c r="AS861" s="125" t="str">
        <f>CONCATENATE(L861,H861,J861)</f>
        <v>N5Hung Deferred Taxes</v>
      </c>
    </row>
    <row r="862" spans="1:45" s="125" customFormat="1" ht="25.5" customHeight="1">
      <c r="A862" s="216" t="s">
        <v>1996</v>
      </c>
      <c r="B862" s="217" t="str">
        <f t="shared" si="369"/>
        <v>Def Tax1900020-283.21.20BTHUNGDT</v>
      </c>
      <c r="C862" s="186">
        <v>190002</v>
      </c>
      <c r="D862" s="201" t="s">
        <v>1111</v>
      </c>
      <c r="E862" s="162" t="s">
        <v>616</v>
      </c>
      <c r="F862" s="169" t="s">
        <v>861</v>
      </c>
      <c r="G862" s="117" t="s">
        <v>1112</v>
      </c>
      <c r="H862" s="118" t="s">
        <v>1167</v>
      </c>
      <c r="I862" s="119"/>
      <c r="J862" s="120"/>
      <c r="K862" s="120" t="str">
        <f t="shared" si="371"/>
        <v/>
      </c>
      <c r="L862" s="170" t="s">
        <v>1419</v>
      </c>
      <c r="M862" s="122" t="str">
        <f t="shared" si="364"/>
        <v>A</v>
      </c>
      <c r="N862" s="116" t="str">
        <f>IF($L862&lt;&gt;"",VLOOKUP($L862,Categories!$E:$G,2,FALSE),IF($F862&lt;&gt;"","NO CAT",""))</f>
        <v>All Other</v>
      </c>
      <c r="O862" s="116" t="str">
        <f>IF($L862&lt;&gt;"",VLOOKUP($L862,Categories!$E:$G,3,FALSE),IF($F862&lt;&gt;"","NO CAT",""))</f>
        <v>EB-Cap</v>
      </c>
      <c r="P862" s="170" t="s">
        <v>1557</v>
      </c>
      <c r="Q862" s="123" t="s">
        <v>1891</v>
      </c>
      <c r="R862" s="124">
        <v>0.77544352505021785</v>
      </c>
      <c r="S862" s="124">
        <v>0.22455647494978223</v>
      </c>
      <c r="T862" s="124">
        <v>0</v>
      </c>
      <c r="U862" s="121">
        <f t="shared" si="357"/>
        <v>3.1017741002010001E-3</v>
      </c>
      <c r="V862" s="121">
        <f t="shared" si="358"/>
        <v>8.9822589979899996E-4</v>
      </c>
      <c r="W862" s="121">
        <f t="shared" si="359"/>
        <v>0</v>
      </c>
      <c r="X862" s="121">
        <f t="shared" si="366"/>
        <v>4.0000000000000001E-3</v>
      </c>
      <c r="Y862" s="121">
        <f t="shared" si="360"/>
        <v>3.1017741002010001E-3</v>
      </c>
      <c r="Z862" s="121">
        <f t="shared" si="361"/>
        <v>8.9822589979899996E-4</v>
      </c>
      <c r="AA862" s="121">
        <f t="shared" si="362"/>
        <v>0</v>
      </c>
      <c r="AB862" s="121">
        <f t="shared" si="367"/>
        <v>4.0000000000000001E-3</v>
      </c>
      <c r="AC862" s="121">
        <v>4.0000000000000001E-3</v>
      </c>
      <c r="AD862" s="121">
        <v>4.0000000000000001E-3</v>
      </c>
      <c r="AE862" s="121">
        <v>4.0000000000000001E-3</v>
      </c>
      <c r="AF862" s="121">
        <v>4.0000000000000001E-3</v>
      </c>
      <c r="AG862" s="121">
        <v>4.0000000000000001E-3</v>
      </c>
      <c r="AH862" s="121">
        <v>4.0000000000000001E-3</v>
      </c>
      <c r="AI862" s="161">
        <v>4.0000000000000001E-3</v>
      </c>
      <c r="AJ862" s="161">
        <v>4.0000000000000001E-3</v>
      </c>
      <c r="AK862" s="161">
        <v>4.0000000000000001E-3</v>
      </c>
      <c r="AL862" s="161">
        <v>4.0000000000000001E-3</v>
      </c>
      <c r="AM862" s="161">
        <v>4.0000000000000001E-3</v>
      </c>
      <c r="AN862" s="161">
        <v>4.0000000000000001E-3</v>
      </c>
      <c r="AO862" s="161">
        <v>4.0000000000000001E-3</v>
      </c>
      <c r="AP862" s="125" t="str">
        <f>CONCATENATE(A862,M862)</f>
        <v>Def TaxA</v>
      </c>
      <c r="AQ862" s="125" t="str">
        <f>CONCATENATE(AP862,L862,H862)</f>
        <v>Def TaxAA2Hung Deferred Taxes</v>
      </c>
      <c r="AS862" s="125" t="str">
        <f>CONCATENATE(L862,H862,J862)</f>
        <v>A2Hung Deferred Taxes</v>
      </c>
    </row>
    <row r="863" spans="1:45" s="125" customFormat="1" ht="25.5" customHeight="1">
      <c r="A863" s="216" t="s">
        <v>1996</v>
      </c>
      <c r="B863" s="217" t="str">
        <f t="shared" si="369"/>
        <v>Def Tax190002Ptax pd v acBT010175</v>
      </c>
      <c r="C863" s="186">
        <v>190002</v>
      </c>
      <c r="D863" s="201" t="s">
        <v>141</v>
      </c>
      <c r="E863" s="162" t="s">
        <v>393</v>
      </c>
      <c r="F863" s="169" t="s">
        <v>861</v>
      </c>
      <c r="G863" s="117" t="s">
        <v>392</v>
      </c>
      <c r="H863" s="118" t="s">
        <v>1084</v>
      </c>
      <c r="I863" s="119"/>
      <c r="J863" s="120"/>
      <c r="K863" s="120" t="str">
        <f t="shared" si="371"/>
        <v/>
      </c>
      <c r="L863" s="170" t="s">
        <v>1895</v>
      </c>
      <c r="M863" s="122" t="str">
        <f t="shared" si="364"/>
        <v>R</v>
      </c>
      <c r="N863" s="116" t="str">
        <f>IF($L863&lt;&gt;"",VLOOKUP($L863,Categories!$E:$G,2,FALSE),IF($F863&lt;&gt;"","NO CAT",""))</f>
        <v>Rate Base</v>
      </c>
      <c r="O863" s="116" t="str">
        <f>IF($L863&lt;&gt;"",VLOOKUP($L863,Categories!$E:$G,3,FALSE),IF($F863&lt;&gt;"","NO CAT",""))</f>
        <v>Deferred Income Taxes</v>
      </c>
      <c r="P863" s="170" t="s">
        <v>1554</v>
      </c>
      <c r="Q863" s="123" t="s">
        <v>1555</v>
      </c>
      <c r="R863" s="124">
        <v>0.80958645835662735</v>
      </c>
      <c r="S863" s="124">
        <v>0.19041354164337276</v>
      </c>
      <c r="T863" s="124">
        <v>0</v>
      </c>
      <c r="U863" s="121">
        <f t="shared" si="357"/>
        <v>103.81037458486</v>
      </c>
      <c r="V863" s="121">
        <f t="shared" si="358"/>
        <v>24.4160470818066</v>
      </c>
      <c r="W863" s="121">
        <f t="shared" si="359"/>
        <v>0</v>
      </c>
      <c r="X863" s="121">
        <f t="shared" si="366"/>
        <v>128.22642166666699</v>
      </c>
      <c r="Y863" s="121">
        <f t="shared" si="360"/>
        <v>148.11614987775101</v>
      </c>
      <c r="Z863" s="121">
        <f t="shared" si="361"/>
        <v>34.8367001222487</v>
      </c>
      <c r="AA863" s="121">
        <f t="shared" si="362"/>
        <v>0</v>
      </c>
      <c r="AB863" s="121">
        <f t="shared" si="367"/>
        <v>182.95284999999993</v>
      </c>
      <c r="AC863" s="121">
        <v>105.69200999999991</v>
      </c>
      <c r="AD863" s="121">
        <v>105.69200999999991</v>
      </c>
      <c r="AE863" s="121">
        <v>105.69200999999991</v>
      </c>
      <c r="AF863" s="121">
        <v>105.69200999999991</v>
      </c>
      <c r="AG863" s="121">
        <v>105.69200999999991</v>
      </c>
      <c r="AH863" s="121">
        <v>105.69200999999991</v>
      </c>
      <c r="AI863" s="161">
        <v>105.69200999999991</v>
      </c>
      <c r="AJ863" s="161">
        <v>105.69200999999991</v>
      </c>
      <c r="AK863" s="161">
        <v>105.69200999999991</v>
      </c>
      <c r="AL863" s="161">
        <v>182.95284999999993</v>
      </c>
      <c r="AM863" s="161">
        <v>182.95284999999993</v>
      </c>
      <c r="AN863" s="161">
        <v>182.95284999999993</v>
      </c>
      <c r="AO863" s="161">
        <v>182.95284999999993</v>
      </c>
      <c r="AP863" s="125" t="str">
        <f>CONCATENATE(A863,M863)</f>
        <v>Def TaxR</v>
      </c>
      <c r="AQ863" s="125" t="str">
        <f>CONCATENATE(AP863,L863,H863)</f>
        <v>Def TaxRR11Property Tax Pd vs Accrued</v>
      </c>
      <c r="AS863" s="125" t="str">
        <f>CONCATENATE(L863,H863,J863)</f>
        <v>R11Property Tax Pd vs Accrued</v>
      </c>
    </row>
    <row r="864" spans="1:45" s="125" customFormat="1" ht="25.5" customHeight="1">
      <c r="A864" s="216" t="s">
        <v>1996</v>
      </c>
      <c r="B864" s="217" t="str">
        <f t="shared" si="369"/>
        <v>Def Tax1900020-183.67.00BT010016</v>
      </c>
      <c r="C864" s="186">
        <v>190002</v>
      </c>
      <c r="D864" s="201" t="s">
        <v>2222</v>
      </c>
      <c r="E864" s="162" t="s">
        <v>610</v>
      </c>
      <c r="F864" s="169" t="s">
        <v>861</v>
      </c>
      <c r="G864" s="117" t="s">
        <v>2223</v>
      </c>
      <c r="H864" s="118" t="s">
        <v>2221</v>
      </c>
      <c r="I864" s="119"/>
      <c r="J864" s="120"/>
      <c r="K864" s="120" t="str">
        <f t="shared" si="371"/>
        <v/>
      </c>
      <c r="L864" s="170" t="s">
        <v>1419</v>
      </c>
      <c r="M864" s="122" t="str">
        <f t="shared" si="364"/>
        <v>A</v>
      </c>
      <c r="N864" s="116" t="str">
        <f>IF($L864&lt;&gt;"",VLOOKUP($L864,Categories!$E:$G,2,FALSE),IF($F864&lt;&gt;"","NO CAT",""))</f>
        <v>All Other</v>
      </c>
      <c r="O864" s="116" t="str">
        <f>IF($L864&lt;&gt;"",VLOOKUP($L864,Categories!$E:$G,3,FALSE),IF($F864&lt;&gt;"","NO CAT",""))</f>
        <v>EB-Cap</v>
      </c>
      <c r="P864" s="170" t="s">
        <v>1557</v>
      </c>
      <c r="Q864" s="123" t="s">
        <v>1891</v>
      </c>
      <c r="R864" s="124">
        <v>0.77544352505021785</v>
      </c>
      <c r="S864" s="124">
        <v>0.22455647494978223</v>
      </c>
      <c r="T864" s="124">
        <v>0</v>
      </c>
      <c r="U864" s="121">
        <f t="shared" si="357"/>
        <v>-7.0000000000000001E-15</v>
      </c>
      <c r="V864" s="121">
        <f t="shared" si="358"/>
        <v>-2.0000000000000002E-15</v>
      </c>
      <c r="W864" s="121">
        <f t="shared" si="359"/>
        <v>0</v>
      </c>
      <c r="X864" s="121">
        <f t="shared" si="366"/>
        <v>-8.9999999999999995E-15</v>
      </c>
      <c r="Y864" s="121">
        <f t="shared" si="360"/>
        <v>-7.0000000000000001E-15</v>
      </c>
      <c r="Z864" s="121">
        <f t="shared" si="361"/>
        <v>-2.0000000000000002E-15</v>
      </c>
      <c r="AA864" s="121">
        <f t="shared" si="362"/>
        <v>0</v>
      </c>
      <c r="AB864" s="121">
        <f t="shared" si="367"/>
        <v>-9.3132168643705877E-15</v>
      </c>
      <c r="AC864" s="121">
        <v>0</v>
      </c>
      <c r="AD864" s="121">
        <v>-9.3132168643705877E-15</v>
      </c>
      <c r="AE864" s="121">
        <v>-9.3132168643705877E-15</v>
      </c>
      <c r="AF864" s="121">
        <v>-9.3132168643705877E-15</v>
      </c>
      <c r="AG864" s="121">
        <v>-9.3132168643705877E-15</v>
      </c>
      <c r="AH864" s="121">
        <v>-9.3132168643705877E-15</v>
      </c>
      <c r="AI864" s="161">
        <v>-9.3132168643705877E-15</v>
      </c>
      <c r="AJ864" s="161">
        <v>-9.3132168643705877E-15</v>
      </c>
      <c r="AK864" s="161">
        <v>-9.3132168643705877E-15</v>
      </c>
      <c r="AL864" s="161">
        <v>-9.3132168643705877E-15</v>
      </c>
      <c r="AM864" s="161">
        <v>-9.3132168643705877E-15</v>
      </c>
      <c r="AN864" s="161">
        <v>-9.3132168643705877E-15</v>
      </c>
      <c r="AO864" s="161">
        <v>-9.3132168643705877E-15</v>
      </c>
      <c r="AP864" s="125" t="str">
        <f>CONCATENATE(A864,M864)</f>
        <v>Def TaxA</v>
      </c>
      <c r="AQ864" s="125" t="str">
        <f>CONCATENATE(AP864,L864,H864)</f>
        <v>Def TaxAA2Bad Debts</v>
      </c>
      <c r="AS864" s="125" t="str">
        <f>CONCATENATE(L864,H864,J864)</f>
        <v>A2Bad Debts</v>
      </c>
    </row>
    <row r="865" spans="1:45" s="125" customFormat="1" ht="25.5" customHeight="1">
      <c r="A865" s="216" t="s">
        <v>1996</v>
      </c>
      <c r="B865" s="217" t="str">
        <f t="shared" si="369"/>
        <v>Def Tax190002Repr AllowBT010181</v>
      </c>
      <c r="C865" s="186">
        <v>190002</v>
      </c>
      <c r="D865" s="201" t="s">
        <v>2284</v>
      </c>
      <c r="E865" s="162" t="s">
        <v>288</v>
      </c>
      <c r="F865" s="169" t="s">
        <v>861</v>
      </c>
      <c r="G865" s="117" t="s">
        <v>2283</v>
      </c>
      <c r="H865" s="118" t="s">
        <v>970</v>
      </c>
      <c r="I865" s="119"/>
      <c r="J865" s="120"/>
      <c r="K865" s="120" t="str">
        <f t="shared" si="371"/>
        <v/>
      </c>
      <c r="L865" s="170" t="s">
        <v>1895</v>
      </c>
      <c r="M865" s="122" t="str">
        <f t="shared" si="364"/>
        <v>R</v>
      </c>
      <c r="N865" s="116" t="str">
        <f>IF($L865&lt;&gt;"",VLOOKUP($L865,Categories!$E:$G,2,FALSE),IF($F865&lt;&gt;"","NO CAT",""))</f>
        <v>Rate Base</v>
      </c>
      <c r="O865" s="116" t="str">
        <f>IF($L865&lt;&gt;"",VLOOKUP($L865,Categories!$E:$G,3,FALSE),IF($F865&lt;&gt;"","NO CAT",""))</f>
        <v>Deferred Income Taxes</v>
      </c>
      <c r="P865" s="170" t="s">
        <v>1184</v>
      </c>
      <c r="Q865" s="123" t="s">
        <v>1178</v>
      </c>
      <c r="R865" s="124">
        <v>0</v>
      </c>
      <c r="S865" s="124">
        <v>1</v>
      </c>
      <c r="T865" s="124">
        <v>0</v>
      </c>
      <c r="U865" s="121">
        <f t="shared" ref="U865:U894" si="372">IF(ABS(X865)=0,"",IF($R865="NO ALLOC","NO ALLOC",ROUND($R865*X865,15)))</f>
        <v>0</v>
      </c>
      <c r="V865" s="121">
        <f t="shared" ref="V865:V894" si="373">IF(ABS(X865)=0,"",IF($S865="NO ALLOC","NO ALLOC",ROUND($S865*X865,15)))</f>
        <v>6.5000000000000001E-14</v>
      </c>
      <c r="W865" s="121">
        <f t="shared" ref="W865:W894" si="374">IF(ABS(X865)=0,"",IF($T865="NO ALLOC","NO ALLOC",ROUND($T865*X865,15)))</f>
        <v>0</v>
      </c>
      <c r="X865" s="121">
        <f t="shared" si="366"/>
        <v>6.5000000000000001E-14</v>
      </c>
      <c r="Y865" s="121">
        <f t="shared" ref="Y865:Y894" si="375">IF(ABS(AB865)=0,"",IF($R865="NO ALLOC","NO ALLOC",ROUND($R865*AB865,15)))</f>
        <v>0</v>
      </c>
      <c r="Z865" s="121">
        <f t="shared" ref="Z865:Z894" si="376">IF(ABS(AB865)=0,"",IF($S865="NO ALLOC","NO ALLOC",ROUND($S865*AB865,15)))</f>
        <v>5.8000000000000005E-14</v>
      </c>
      <c r="AA865" s="121">
        <f t="shared" ref="AA865:AA894" si="377">IF(ABS(AB865)=0,"",IF($T865="NO ALLOC","NO ALLOC",ROUND($T865*AB865,15)))</f>
        <v>0</v>
      </c>
      <c r="AB865" s="121">
        <f t="shared" si="367"/>
        <v>5.8207660913467408E-14</v>
      </c>
      <c r="AC865" s="121">
        <v>1.1641532182693482E-13</v>
      </c>
      <c r="AD865" s="121">
        <v>5.8207660913467408E-14</v>
      </c>
      <c r="AE865" s="121">
        <v>1.1641532182693482E-13</v>
      </c>
      <c r="AF865" s="121">
        <v>5.8207660913467408E-14</v>
      </c>
      <c r="AG865" s="121">
        <v>5.8207660913467408E-14</v>
      </c>
      <c r="AH865" s="121">
        <v>5.8207660913467408E-14</v>
      </c>
      <c r="AI865" s="161">
        <v>5.8207660913467408E-14</v>
      </c>
      <c r="AJ865" s="161">
        <v>5.8207660913467408E-14</v>
      </c>
      <c r="AK865" s="161">
        <v>5.8207660913467408E-14</v>
      </c>
      <c r="AL865" s="161">
        <v>5.8207660913467408E-14</v>
      </c>
      <c r="AM865" s="161">
        <v>5.8207660913467408E-14</v>
      </c>
      <c r="AN865" s="161">
        <v>5.8207660913467408E-14</v>
      </c>
      <c r="AO865" s="161">
        <v>5.8207660913467408E-14</v>
      </c>
      <c r="AP865" s="125" t="str">
        <f>CONCATENATE(A865,M865)</f>
        <v>Def TaxR</v>
      </c>
      <c r="AQ865" s="125" t="str">
        <f>CONCATENATE(AP865,L865,H865)</f>
        <v>Def TaxRR11Repair Allowance</v>
      </c>
      <c r="AS865" s="125" t="str">
        <f>CONCATENATE(L865,H865,J865)</f>
        <v>R11Repair Allowance</v>
      </c>
    </row>
    <row r="866" spans="1:45" s="125" customFormat="1" ht="25.5" customHeight="1">
      <c r="A866" s="216" t="s">
        <v>1996</v>
      </c>
      <c r="B866" s="217" t="str">
        <f t="shared" si="369"/>
        <v>Def Tax190002Multiple: 184.22.32/184.22.33/186.01.50/186.01.51/183.68.00/183.69.00/186.01.11/186.01.12BT010188</v>
      </c>
      <c r="C866" s="186">
        <v>190002</v>
      </c>
      <c r="D866" s="201" t="s">
        <v>1209</v>
      </c>
      <c r="E866" s="162" t="s">
        <v>355</v>
      </c>
      <c r="F866" s="169" t="s">
        <v>861</v>
      </c>
      <c r="G866" s="117" t="s">
        <v>1294</v>
      </c>
      <c r="H866" s="118" t="s">
        <v>1002</v>
      </c>
      <c r="I866" s="119"/>
      <c r="J866" s="120"/>
      <c r="K866" s="120" t="str">
        <f t="shared" si="371"/>
        <v/>
      </c>
      <c r="L866" s="170" t="s">
        <v>1895</v>
      </c>
      <c r="M866" s="122" t="str">
        <f t="shared" si="364"/>
        <v>R</v>
      </c>
      <c r="N866" s="116" t="str">
        <f>IF($L866&lt;&gt;"",VLOOKUP($L866,Categories!$E:$G,2,FALSE),IF($F866&lt;&gt;"","NO CAT",""))</f>
        <v>Rate Base</v>
      </c>
      <c r="O866" s="116" t="str">
        <f>IF($L866&lt;&gt;"",VLOOKUP($L866,Categories!$E:$G,3,FALSE),IF($F866&lt;&gt;"","NO CAT",""))</f>
        <v>Deferred Income Taxes</v>
      </c>
      <c r="P866" s="170" t="s">
        <v>1553</v>
      </c>
      <c r="Q866" s="123" t="s">
        <v>2587</v>
      </c>
      <c r="R866" s="124">
        <v>0.81899999999999995</v>
      </c>
      <c r="S866" s="124">
        <v>0.18099999999999999</v>
      </c>
      <c r="T866" s="124">
        <v>0</v>
      </c>
      <c r="U866" s="121" t="str">
        <f t="shared" si="372"/>
        <v/>
      </c>
      <c r="V866" s="121" t="str">
        <f t="shared" si="373"/>
        <v/>
      </c>
      <c r="W866" s="121" t="str">
        <f t="shared" si="374"/>
        <v/>
      </c>
      <c r="X866" s="121">
        <f t="shared" si="366"/>
        <v>0</v>
      </c>
      <c r="Y866" s="121" t="str">
        <f t="shared" si="375"/>
        <v/>
      </c>
      <c r="Z866" s="121" t="str">
        <f t="shared" si="376"/>
        <v/>
      </c>
      <c r="AA866" s="121" t="str">
        <f t="shared" si="377"/>
        <v/>
      </c>
      <c r="AB866" s="121">
        <f t="shared" si="367"/>
        <v>0</v>
      </c>
      <c r="AC866" s="121">
        <v>0</v>
      </c>
      <c r="AD866" s="121">
        <v>1.4566126083082054E-16</v>
      </c>
      <c r="AE866" s="121">
        <v>4.3698378249246161E-16</v>
      </c>
      <c r="AF866" s="121">
        <v>1.4566126083082054E-16</v>
      </c>
      <c r="AG866" s="121">
        <v>1.4566126083082054E-16</v>
      </c>
      <c r="AH866" s="121">
        <v>1.4566126083082054E-16</v>
      </c>
      <c r="AI866" s="161">
        <v>1.4566126083082054E-16</v>
      </c>
      <c r="AJ866" s="161">
        <v>4.3698378249246161E-16</v>
      </c>
      <c r="AK866" s="161">
        <v>0</v>
      </c>
      <c r="AL866" s="161">
        <v>0</v>
      </c>
      <c r="AM866" s="161">
        <v>0</v>
      </c>
      <c r="AN866" s="161">
        <v>0</v>
      </c>
      <c r="AO866" s="161">
        <v>0</v>
      </c>
      <c r="AP866" s="125" t="str">
        <f>CONCATENATE(A866,M866)</f>
        <v>Def TaxR</v>
      </c>
      <c r="AQ866" s="125" t="str">
        <f>CONCATENATE(AP866,L866,H866)</f>
        <v>Def TaxRR11Accrued Pension</v>
      </c>
      <c r="AS866" s="125" t="str">
        <f>CONCATENATE(L866,H866,J866)</f>
        <v>R11Accrued Pension</v>
      </c>
    </row>
    <row r="867" spans="1:45" s="125" customFormat="1" ht="25.5" customHeight="1">
      <c r="A867" s="216" t="s">
        <v>1996</v>
      </c>
      <c r="B867" s="217" t="str">
        <f t="shared" si="369"/>
        <v>Def Tax1900020-183.43.01BT010031</v>
      </c>
      <c r="C867" s="186">
        <v>190002</v>
      </c>
      <c r="D867" s="201" t="s">
        <v>246</v>
      </c>
      <c r="E867" s="162" t="s">
        <v>613</v>
      </c>
      <c r="F867" s="169" t="s">
        <v>861</v>
      </c>
      <c r="G867" s="117" t="s">
        <v>2398</v>
      </c>
      <c r="H867" s="118" t="s">
        <v>170</v>
      </c>
      <c r="I867" s="119"/>
      <c r="J867" s="120"/>
      <c r="K867" s="120" t="str">
        <f t="shared" si="371"/>
        <v/>
      </c>
      <c r="L867" s="170" t="s">
        <v>1895</v>
      </c>
      <c r="M867" s="122" t="str">
        <f t="shared" si="364"/>
        <v>R</v>
      </c>
      <c r="N867" s="116" t="str">
        <f>IF($L867&lt;&gt;"",VLOOKUP($L867,Categories!$E:$G,2,FALSE),IF($F867&lt;&gt;"","NO CAT",""))</f>
        <v>Rate Base</v>
      </c>
      <c r="O867" s="116" t="str">
        <f>IF($L867&lt;&gt;"",VLOOKUP($L867,Categories!$E:$G,3,FALSE),IF($F867&lt;&gt;"","NO CAT",""))</f>
        <v>Deferred Income Taxes</v>
      </c>
      <c r="P867" s="170" t="s">
        <v>1553</v>
      </c>
      <c r="Q867" s="123" t="s">
        <v>2587</v>
      </c>
      <c r="R867" s="124">
        <v>0.81899999999999995</v>
      </c>
      <c r="S867" s="124">
        <v>0.18099999999999999</v>
      </c>
      <c r="T867" s="124">
        <v>0</v>
      </c>
      <c r="U867" s="121" t="str">
        <f t="shared" si="372"/>
        <v/>
      </c>
      <c r="V867" s="121" t="str">
        <f t="shared" si="373"/>
        <v/>
      </c>
      <c r="W867" s="121" t="str">
        <f t="shared" si="374"/>
        <v/>
      </c>
      <c r="X867" s="121">
        <f t="shared" si="366"/>
        <v>0</v>
      </c>
      <c r="Y867" s="121" t="str">
        <f t="shared" si="375"/>
        <v/>
      </c>
      <c r="Z867" s="121" t="str">
        <f t="shared" si="376"/>
        <v/>
      </c>
      <c r="AA867" s="121" t="str">
        <f t="shared" si="377"/>
        <v/>
      </c>
      <c r="AB867" s="121">
        <f t="shared" si="367"/>
        <v>0</v>
      </c>
      <c r="AC867" s="121">
        <v>0</v>
      </c>
      <c r="AD867" s="121">
        <v>0</v>
      </c>
      <c r="AE867" s="121">
        <v>0</v>
      </c>
      <c r="AF867" s="121">
        <v>0</v>
      </c>
      <c r="AG867" s="121">
        <v>0</v>
      </c>
      <c r="AH867" s="121">
        <v>0</v>
      </c>
      <c r="AI867" s="161">
        <v>0</v>
      </c>
      <c r="AJ867" s="161">
        <f t="shared" ref="AJ867" si="378">IF(AI867=0,0,0)</f>
        <v>0</v>
      </c>
      <c r="AK867" s="161">
        <v>0</v>
      </c>
      <c r="AL867" s="161">
        <v>0</v>
      </c>
      <c r="AM867" s="161">
        <v>0</v>
      </c>
      <c r="AN867" s="161">
        <v>0</v>
      </c>
      <c r="AO867" s="161">
        <v>0</v>
      </c>
      <c r="AP867" s="125" t="str">
        <f>CONCATENATE(A867,M867)</f>
        <v>Def TaxR</v>
      </c>
      <c r="AQ867" s="125" t="str">
        <f>CONCATENATE(AP867,L867,H867)</f>
        <v>Def TaxRR11OPEBs</v>
      </c>
      <c r="AS867" s="125" t="str">
        <f>CONCATENATE(L867,H867,J867)</f>
        <v>R11OPEBs</v>
      </c>
    </row>
    <row r="868" spans="1:45" s="125" customFormat="1" ht="25.5" customHeight="1">
      <c r="A868" s="216" t="s">
        <v>1996</v>
      </c>
      <c r="B868" s="217" t="str">
        <f t="shared" si="369"/>
        <v>Def Tax190002Use Tax ResBT010240</v>
      </c>
      <c r="C868" s="186">
        <v>190002</v>
      </c>
      <c r="D868" s="201" t="s">
        <v>721</v>
      </c>
      <c r="E868" s="162" t="s">
        <v>986</v>
      </c>
      <c r="F868" s="169" t="s">
        <v>861</v>
      </c>
      <c r="G868" s="117" t="s">
        <v>720</v>
      </c>
      <c r="H868" s="118" t="s">
        <v>1839</v>
      </c>
      <c r="I868" s="119"/>
      <c r="J868" s="120"/>
      <c r="K868" s="120" t="str">
        <f t="shared" si="371"/>
        <v/>
      </c>
      <c r="L868" s="170" t="s">
        <v>928</v>
      </c>
      <c r="M868" s="122" t="str">
        <f t="shared" si="364"/>
        <v>N</v>
      </c>
      <c r="N868" s="116" t="str">
        <f>IF($L868&lt;&gt;"",VLOOKUP($L868,Categories!$E:$G,2,FALSE),IF($F868&lt;&gt;"","NO CAT",""))</f>
        <v>Not in Rate Base</v>
      </c>
      <c r="O868" s="116" t="str">
        <f>IF($L868&lt;&gt;"",VLOOKUP($L868,Categories!$E:$G,3,FALSE),IF($F868&lt;&gt;"","NO CAT",""))</f>
        <v>Direct Assign Items Not in RB</v>
      </c>
      <c r="P868" s="170" t="s">
        <v>1186</v>
      </c>
      <c r="Q868" s="123" t="s">
        <v>1187</v>
      </c>
      <c r="R868" s="124">
        <v>0</v>
      </c>
      <c r="S868" s="124">
        <v>0</v>
      </c>
      <c r="T868" s="124">
        <v>1</v>
      </c>
      <c r="U868" s="121">
        <f t="shared" si="372"/>
        <v>0</v>
      </c>
      <c r="V868" s="121">
        <f t="shared" si="373"/>
        <v>0</v>
      </c>
      <c r="W868" s="121">
        <f t="shared" si="374"/>
        <v>43.461681249999998</v>
      </c>
      <c r="X868" s="121">
        <f t="shared" si="366"/>
        <v>43.461681249999998</v>
      </c>
      <c r="Y868" s="121">
        <f t="shared" si="375"/>
        <v>0</v>
      </c>
      <c r="Z868" s="121">
        <f t="shared" si="376"/>
        <v>0</v>
      </c>
      <c r="AA868" s="121">
        <f t="shared" si="377"/>
        <v>83.658349999999999</v>
      </c>
      <c r="AB868" s="121">
        <f t="shared" si="367"/>
        <v>83.658350000000013</v>
      </c>
      <c r="AC868" s="121">
        <v>41.713999999999999</v>
      </c>
      <c r="AD868" s="121">
        <v>41.713999999999999</v>
      </c>
      <c r="AE868" s="121">
        <v>41.713999999999999</v>
      </c>
      <c r="AF868" s="121">
        <v>41.713999999999999</v>
      </c>
      <c r="AG868" s="121">
        <v>41.713999999999999</v>
      </c>
      <c r="AH868" s="121">
        <v>41.713999999999999</v>
      </c>
      <c r="AI868" s="161">
        <v>41.713999999999999</v>
      </c>
      <c r="AJ868" s="161">
        <v>41.713999999999999</v>
      </c>
      <c r="AK868" s="161">
        <v>41.713999999999999</v>
      </c>
      <c r="AL868" s="161">
        <v>41.713999999999999</v>
      </c>
      <c r="AM868" s="161">
        <v>41.713999999999999</v>
      </c>
      <c r="AN868" s="161">
        <v>41.713999999999999</v>
      </c>
      <c r="AO868" s="161">
        <v>83.658350000000013</v>
      </c>
      <c r="AP868" s="125" t="str">
        <f>CONCATENATE(A868,M868)</f>
        <v>Def TaxN</v>
      </c>
      <c r="AQ868" s="125" t="str">
        <f>CONCATENATE(AP868,L868,H868)</f>
        <v>Def TaxNN2Use Tax Reserve</v>
      </c>
      <c r="AS868" s="125" t="str">
        <f>CONCATENATE(L868,H868,J868)</f>
        <v>N2Use Tax Reserve</v>
      </c>
    </row>
    <row r="869" spans="1:45" s="125" customFormat="1" ht="25.5" customHeight="1">
      <c r="A869" s="216" t="s">
        <v>1996</v>
      </c>
      <c r="B869" s="217" t="str">
        <f t="shared" si="369"/>
        <v>Def Tax190002BT010381</v>
      </c>
      <c r="C869" s="186">
        <v>190002</v>
      </c>
      <c r="D869" s="201"/>
      <c r="E869" s="162" t="s">
        <v>1532</v>
      </c>
      <c r="F869" s="169" t="s">
        <v>861</v>
      </c>
      <c r="G869" s="117" t="s">
        <v>1531</v>
      </c>
      <c r="H869" s="118" t="s">
        <v>914</v>
      </c>
      <c r="I869" s="119"/>
      <c r="J869" s="120"/>
      <c r="K869" s="120" t="str">
        <f t="shared" si="371"/>
        <v/>
      </c>
      <c r="L869" s="170" t="s">
        <v>1895</v>
      </c>
      <c r="M869" s="122" t="str">
        <f t="shared" si="364"/>
        <v>R</v>
      </c>
      <c r="N869" s="116" t="str">
        <f>IF($L869&lt;&gt;"",VLOOKUP($L869,Categories!$E:$G,2,FALSE),IF($F869&lt;&gt;"","NO CAT",""))</f>
        <v>Rate Base</v>
      </c>
      <c r="O869" s="116" t="str">
        <f>IF($L869&lt;&gt;"",VLOOKUP($L869,Categories!$E:$G,3,FALSE),IF($F869&lt;&gt;"","NO CAT",""))</f>
        <v>Deferred Income Taxes</v>
      </c>
      <c r="P869" s="170" t="s">
        <v>1553</v>
      </c>
      <c r="Q869" s="123" t="s">
        <v>2587</v>
      </c>
      <c r="R869" s="124">
        <v>0.81899999999999995</v>
      </c>
      <c r="S869" s="124">
        <v>0.18099999999999999</v>
      </c>
      <c r="T869" s="124">
        <v>0</v>
      </c>
      <c r="U869" s="121" t="str">
        <f t="shared" si="372"/>
        <v/>
      </c>
      <c r="V869" s="121" t="str">
        <f t="shared" si="373"/>
        <v/>
      </c>
      <c r="W869" s="121" t="str">
        <f t="shared" si="374"/>
        <v/>
      </c>
      <c r="X869" s="121">
        <f t="shared" si="366"/>
        <v>0</v>
      </c>
      <c r="Y869" s="121" t="str">
        <f t="shared" si="375"/>
        <v/>
      </c>
      <c r="Z869" s="121" t="str">
        <f t="shared" si="376"/>
        <v/>
      </c>
      <c r="AA869" s="121" t="str">
        <f t="shared" si="377"/>
        <v/>
      </c>
      <c r="AB869" s="121">
        <f t="shared" si="367"/>
        <v>0</v>
      </c>
      <c r="AC869" s="121">
        <v>0</v>
      </c>
      <c r="AD869" s="121">
        <v>0</v>
      </c>
      <c r="AE869" s="121">
        <v>0</v>
      </c>
      <c r="AF869" s="121">
        <v>0</v>
      </c>
      <c r="AG869" s="121">
        <v>0</v>
      </c>
      <c r="AH869" s="121">
        <v>0</v>
      </c>
      <c r="AI869" s="161">
        <v>0</v>
      </c>
      <c r="AJ869" s="161">
        <f>IF(AI869=0,0,0)</f>
        <v>0</v>
      </c>
      <c r="AK869" s="161">
        <v>0</v>
      </c>
      <c r="AL869" s="161">
        <v>0</v>
      </c>
      <c r="AM869" s="161">
        <v>0</v>
      </c>
      <c r="AN869" s="161">
        <v>0</v>
      </c>
      <c r="AO869" s="161">
        <v>0</v>
      </c>
      <c r="AP869" s="125" t="str">
        <f>CONCATENATE(A869,M869)</f>
        <v>Def TaxR</v>
      </c>
      <c r="AQ869" s="125" t="str">
        <f>CONCATENATE(AP869,L869,H869)</f>
        <v>Def TaxRR11Medicare Subsidy</v>
      </c>
      <c r="AS869" s="125" t="str">
        <f>CONCATENATE(L869,H869,J869)</f>
        <v>R11Medicare Subsidy</v>
      </c>
    </row>
    <row r="870" spans="1:45" s="125" customFormat="1" ht="25.5" customHeight="1">
      <c r="A870" s="216" t="s">
        <v>1996</v>
      </c>
      <c r="B870" s="217" t="str">
        <f t="shared" si="369"/>
        <v>Def Tax1900020-184.22.12BT010125</v>
      </c>
      <c r="C870" s="186">
        <v>190002</v>
      </c>
      <c r="D870" s="201" t="s">
        <v>900</v>
      </c>
      <c r="E870" s="162" t="s">
        <v>1024</v>
      </c>
      <c r="F870" s="169" t="s">
        <v>861</v>
      </c>
      <c r="G870" s="117" t="s">
        <v>279</v>
      </c>
      <c r="H870" s="118" t="s">
        <v>914</v>
      </c>
      <c r="I870" s="119"/>
      <c r="J870" s="120"/>
      <c r="K870" s="120" t="str">
        <f t="shared" si="371"/>
        <v/>
      </c>
      <c r="L870" s="170" t="s">
        <v>1895</v>
      </c>
      <c r="M870" s="122" t="str">
        <f t="shared" si="364"/>
        <v>R</v>
      </c>
      <c r="N870" s="116" t="str">
        <f>IF($L870&lt;&gt;"",VLOOKUP($L870,Categories!$E:$G,2,FALSE),IF($F870&lt;&gt;"","NO CAT",""))</f>
        <v>Rate Base</v>
      </c>
      <c r="O870" s="116" t="str">
        <f>IF($L870&lt;&gt;"",VLOOKUP($L870,Categories!$E:$G,3,FALSE),IF($F870&lt;&gt;"","NO CAT",""))</f>
        <v>Deferred Income Taxes</v>
      </c>
      <c r="P870" s="170" t="s">
        <v>1553</v>
      </c>
      <c r="Q870" s="123" t="s">
        <v>2587</v>
      </c>
      <c r="R870" s="124">
        <v>0.81899999999999995</v>
      </c>
      <c r="S870" s="124">
        <v>0.18099999999999999</v>
      </c>
      <c r="T870" s="124">
        <v>0</v>
      </c>
      <c r="U870" s="121" t="str">
        <f t="shared" si="372"/>
        <v/>
      </c>
      <c r="V870" s="121" t="str">
        <f t="shared" si="373"/>
        <v/>
      </c>
      <c r="W870" s="121" t="str">
        <f t="shared" si="374"/>
        <v/>
      </c>
      <c r="X870" s="121">
        <f t="shared" si="366"/>
        <v>0</v>
      </c>
      <c r="Y870" s="121" t="str">
        <f t="shared" si="375"/>
        <v/>
      </c>
      <c r="Z870" s="121" t="str">
        <f t="shared" si="376"/>
        <v/>
      </c>
      <c r="AA870" s="121" t="str">
        <f t="shared" si="377"/>
        <v/>
      </c>
      <c r="AB870" s="121">
        <f t="shared" si="367"/>
        <v>0</v>
      </c>
      <c r="AC870" s="121">
        <v>0</v>
      </c>
      <c r="AD870" s="121">
        <v>0</v>
      </c>
      <c r="AE870" s="121">
        <v>0</v>
      </c>
      <c r="AF870" s="121">
        <v>0</v>
      </c>
      <c r="AG870" s="121">
        <v>0</v>
      </c>
      <c r="AH870" s="121">
        <v>0</v>
      </c>
      <c r="AI870" s="161">
        <v>0</v>
      </c>
      <c r="AJ870" s="161">
        <f>IF(AI870=0,0,0)</f>
        <v>0</v>
      </c>
      <c r="AK870" s="161">
        <v>0</v>
      </c>
      <c r="AL870" s="161">
        <v>0</v>
      </c>
      <c r="AM870" s="161">
        <v>0</v>
      </c>
      <c r="AN870" s="161">
        <v>0</v>
      </c>
      <c r="AO870" s="161">
        <v>0</v>
      </c>
      <c r="AP870" s="125" t="str">
        <f>CONCATENATE(A870,M870)</f>
        <v>Def TaxR</v>
      </c>
      <c r="AQ870" s="125" t="str">
        <f>CONCATENATE(AP870,L870,H870)</f>
        <v>Def TaxRR11Medicare Subsidy</v>
      </c>
      <c r="AS870" s="125" t="str">
        <f>CONCATENATE(L870,H870,J870)</f>
        <v>R11Medicare Subsidy</v>
      </c>
    </row>
    <row r="871" spans="1:45" s="125" customFormat="1" ht="25.5" customHeight="1">
      <c r="A871" s="216" t="s">
        <v>1996</v>
      </c>
      <c r="B871" s="217" t="str">
        <f t="shared" si="369"/>
        <v>Def Tax190002NOLBT010129</v>
      </c>
      <c r="C871" s="186">
        <v>190002</v>
      </c>
      <c r="D871" s="201" t="s">
        <v>2676</v>
      </c>
      <c r="E871" s="162" t="s">
        <v>2677</v>
      </c>
      <c r="F871" s="169" t="s">
        <v>861</v>
      </c>
      <c r="G871" s="117" t="s">
        <v>2230</v>
      </c>
      <c r="H871" s="118" t="s">
        <v>2674</v>
      </c>
      <c r="I871" s="119"/>
      <c r="J871" s="120"/>
      <c r="K871" s="120" t="str">
        <f>IF(L871="N3","SFAS-109","")</f>
        <v/>
      </c>
      <c r="L871" s="170" t="s">
        <v>2821</v>
      </c>
      <c r="M871" s="122" t="str">
        <f t="shared" si="364"/>
        <v>N</v>
      </c>
      <c r="N871" s="116" t="str">
        <f>IF($L871&lt;&gt;"",VLOOKUP($L871,Categories!$E:$G,2,FALSE),IF($F871&lt;&gt;"","NO CAT",""))</f>
        <v>Not in Rate Base</v>
      </c>
      <c r="O871" s="116" t="str">
        <f>IF($L871&lt;&gt;"",VLOOKUP($L871,Categories!$E:$G,3,FALSE),IF($F871&lt;&gt;"","NO CAT",""))</f>
        <v>Deferrals Accruing Non-Cash Return   (other than ASGA)</v>
      </c>
      <c r="P871" s="170" t="s">
        <v>1186</v>
      </c>
      <c r="Q871" s="123" t="s">
        <v>1187</v>
      </c>
      <c r="R871" s="124">
        <v>0</v>
      </c>
      <c r="S871" s="124">
        <v>0</v>
      </c>
      <c r="T871" s="124">
        <v>1</v>
      </c>
      <c r="U871" s="121">
        <f t="shared" si="372"/>
        <v>0</v>
      </c>
      <c r="V871" s="121">
        <f t="shared" si="373"/>
        <v>0</v>
      </c>
      <c r="W871" s="121">
        <f t="shared" si="374"/>
        <v>518.19299999999998</v>
      </c>
      <c r="X871" s="121">
        <f t="shared" si="366"/>
        <v>518.19299999999998</v>
      </c>
      <c r="Y871" s="121">
        <f t="shared" si="375"/>
        <v>0</v>
      </c>
      <c r="Z871" s="121">
        <f t="shared" si="376"/>
        <v>0</v>
      </c>
      <c r="AA871" s="121">
        <f t="shared" si="377"/>
        <v>518.19299999999998</v>
      </c>
      <c r="AB871" s="121">
        <f t="shared" si="367"/>
        <v>518.19299999999998</v>
      </c>
      <c r="AC871" s="121">
        <v>518.19299999999998</v>
      </c>
      <c r="AD871" s="121">
        <v>518.19299999999998</v>
      </c>
      <c r="AE871" s="121">
        <v>518.19299999999998</v>
      </c>
      <c r="AF871" s="121">
        <v>518.19299999999998</v>
      </c>
      <c r="AG871" s="121">
        <v>518.19299999999998</v>
      </c>
      <c r="AH871" s="121">
        <v>518.19299999999998</v>
      </c>
      <c r="AI871" s="161">
        <v>518.19299999999998</v>
      </c>
      <c r="AJ871" s="161">
        <v>518.19299999999998</v>
      </c>
      <c r="AK871" s="161">
        <v>518.19299999999998</v>
      </c>
      <c r="AL871" s="161">
        <v>518.19299999999998</v>
      </c>
      <c r="AM871" s="161">
        <v>518.19299999999998</v>
      </c>
      <c r="AN871" s="161">
        <v>518.19299999999998</v>
      </c>
      <c r="AO871" s="161">
        <v>518.19299999999998</v>
      </c>
      <c r="AP871" s="125" t="str">
        <f>CONCATENATE(A871,M871)</f>
        <v>Def TaxN</v>
      </c>
      <c r="AQ871" s="125" t="str">
        <f>CONCATENATE(AP871,L871,H871)</f>
        <v>Def TaxNN10NOL Def Tax Asset</v>
      </c>
      <c r="AS871" s="125" t="str">
        <f>CONCATENATE(L871,H871,J871)</f>
        <v>N10NOL Def Tax Asset</v>
      </c>
    </row>
    <row r="872" spans="1:45" s="125" customFormat="1" ht="25.5" customHeight="1">
      <c r="A872" s="216" t="s">
        <v>1996</v>
      </c>
      <c r="B872" s="217" t="str">
        <f t="shared" si="369"/>
        <v>Def Tax190002R&amp;D CreditBT010177</v>
      </c>
      <c r="C872" s="186">
        <v>190002</v>
      </c>
      <c r="D872" s="201" t="s">
        <v>1467</v>
      </c>
      <c r="E872" s="162" t="s">
        <v>398</v>
      </c>
      <c r="F872" s="169" t="s">
        <v>861</v>
      </c>
      <c r="G872" s="117" t="s">
        <v>2232</v>
      </c>
      <c r="H872" s="118" t="s">
        <v>341</v>
      </c>
      <c r="I872" s="119"/>
      <c r="J872" s="120"/>
      <c r="K872" s="120" t="str">
        <f>IF(L872="N3","SFAS-109","")</f>
        <v/>
      </c>
      <c r="L872" s="170" t="s">
        <v>1895</v>
      </c>
      <c r="M872" s="122" t="str">
        <f t="shared" si="364"/>
        <v>R</v>
      </c>
      <c r="N872" s="116" t="str">
        <f>IF($L872&lt;&gt;"",VLOOKUP($L872,Categories!$E:$G,2,FALSE),IF($F872&lt;&gt;"","NO CAT",""))</f>
        <v>Rate Base</v>
      </c>
      <c r="O872" s="116" t="str">
        <f>IF($L872&lt;&gt;"",VLOOKUP($L872,Categories!$E:$G,3,FALSE),IF($F872&lt;&gt;"","NO CAT",""))</f>
        <v>Deferred Income Taxes</v>
      </c>
      <c r="P872" s="170" t="s">
        <v>1184</v>
      </c>
      <c r="Q872" s="123" t="s">
        <v>1178</v>
      </c>
      <c r="R872" s="124">
        <v>0</v>
      </c>
      <c r="S872" s="124">
        <v>1</v>
      </c>
      <c r="T872" s="124">
        <v>0</v>
      </c>
      <c r="U872" s="121">
        <f t="shared" si="372"/>
        <v>0</v>
      </c>
      <c r="V872" s="121">
        <f t="shared" si="373"/>
        <v>987.15899999999999</v>
      </c>
      <c r="W872" s="121">
        <f t="shared" si="374"/>
        <v>0</v>
      </c>
      <c r="X872" s="121">
        <f t="shared" si="366"/>
        <v>987.15899999999999</v>
      </c>
      <c r="Y872" s="121">
        <f t="shared" si="375"/>
        <v>0</v>
      </c>
      <c r="Z872" s="121">
        <f t="shared" si="376"/>
        <v>987.15899999999999</v>
      </c>
      <c r="AA872" s="121">
        <f t="shared" si="377"/>
        <v>0</v>
      </c>
      <c r="AB872" s="121">
        <f t="shared" si="367"/>
        <v>987.15899999999999</v>
      </c>
      <c r="AC872" s="121">
        <v>987.15899999999999</v>
      </c>
      <c r="AD872" s="121">
        <v>987.15899999999999</v>
      </c>
      <c r="AE872" s="121">
        <v>987.15899999999999</v>
      </c>
      <c r="AF872" s="121">
        <v>987.15899999999999</v>
      </c>
      <c r="AG872" s="121">
        <v>987.15899999999999</v>
      </c>
      <c r="AH872" s="121">
        <v>987.15899999999999</v>
      </c>
      <c r="AI872" s="161">
        <v>987.15899999999999</v>
      </c>
      <c r="AJ872" s="161">
        <v>987.15899999999999</v>
      </c>
      <c r="AK872" s="161">
        <v>987.15899999999999</v>
      </c>
      <c r="AL872" s="161">
        <v>987.15899999999999</v>
      </c>
      <c r="AM872" s="161">
        <v>987.15899999999999</v>
      </c>
      <c r="AN872" s="161">
        <v>987.15899999999999</v>
      </c>
      <c r="AO872" s="161">
        <v>987.15899999999999</v>
      </c>
      <c r="AP872" s="125" t="str">
        <f>CONCATENATE(A872,M872)</f>
        <v>Def TaxR</v>
      </c>
      <c r="AQ872" s="125" t="str">
        <f>CONCATENATE(AP872,L872,H872)</f>
        <v>Def TaxRR11R&amp;D Tax Credit</v>
      </c>
      <c r="AS872" s="125" t="str">
        <f>CONCATENATE(L872,H872,J872)</f>
        <v>R11R&amp;D Tax Credit</v>
      </c>
    </row>
    <row r="873" spans="1:45" s="125" customFormat="1" ht="25.5" customHeight="1">
      <c r="A873" s="216" t="s">
        <v>1996</v>
      </c>
      <c r="B873" s="217" t="str">
        <f t="shared" si="369"/>
        <v>Def Tax1900030-283.22.01BTHUNGDT</v>
      </c>
      <c r="C873" s="186">
        <v>190003</v>
      </c>
      <c r="D873" s="201" t="s">
        <v>2874</v>
      </c>
      <c r="E873" s="162" t="s">
        <v>616</v>
      </c>
      <c r="F873" s="169" t="s">
        <v>861</v>
      </c>
      <c r="G873" s="117" t="s">
        <v>1341</v>
      </c>
      <c r="H873" s="118" t="s">
        <v>1167</v>
      </c>
      <c r="I873" s="119"/>
      <c r="J873" s="120"/>
      <c r="K873" s="120" t="str">
        <f t="shared" si="371"/>
        <v/>
      </c>
      <c r="L873" s="170" t="s">
        <v>928</v>
      </c>
      <c r="M873" s="122" t="str">
        <f t="shared" si="364"/>
        <v>N</v>
      </c>
      <c r="N873" s="116" t="str">
        <f>IF($L873&lt;&gt;"",VLOOKUP($L873,Categories!$E:$G,2,FALSE),IF($F873&lt;&gt;"","NO CAT",""))</f>
        <v>Not in Rate Base</v>
      </c>
      <c r="O873" s="116" t="str">
        <f>IF($L873&lt;&gt;"",VLOOKUP($L873,Categories!$E:$G,3,FALSE),IF($F873&lt;&gt;"","NO CAT",""))</f>
        <v>Direct Assign Items Not in RB</v>
      </c>
      <c r="P873" s="170" t="s">
        <v>1186</v>
      </c>
      <c r="Q873" s="123" t="s">
        <v>1187</v>
      </c>
      <c r="R873" s="124">
        <v>0</v>
      </c>
      <c r="S873" s="124">
        <v>0</v>
      </c>
      <c r="T873" s="124">
        <v>1</v>
      </c>
      <c r="U873" s="121">
        <f t="shared" si="372"/>
        <v>0</v>
      </c>
      <c r="V873" s="121">
        <f t="shared" si="373"/>
        <v>0</v>
      </c>
      <c r="W873" s="121">
        <f t="shared" si="374"/>
        <v>2E-3</v>
      </c>
      <c r="X873" s="121">
        <f t="shared" si="366"/>
        <v>2E-3</v>
      </c>
      <c r="Y873" s="121">
        <f t="shared" si="375"/>
        <v>0</v>
      </c>
      <c r="Z873" s="121">
        <f t="shared" si="376"/>
        <v>0</v>
      </c>
      <c r="AA873" s="121">
        <f t="shared" si="377"/>
        <v>2E-3</v>
      </c>
      <c r="AB873" s="121">
        <f t="shared" si="367"/>
        <v>2E-3</v>
      </c>
      <c r="AC873" s="121">
        <v>2E-3</v>
      </c>
      <c r="AD873" s="121">
        <v>2E-3</v>
      </c>
      <c r="AE873" s="121">
        <v>2E-3</v>
      </c>
      <c r="AF873" s="121">
        <v>2E-3</v>
      </c>
      <c r="AG873" s="121">
        <v>2E-3</v>
      </c>
      <c r="AH873" s="121">
        <v>2E-3</v>
      </c>
      <c r="AI873" s="161">
        <v>2E-3</v>
      </c>
      <c r="AJ873" s="161">
        <v>2E-3</v>
      </c>
      <c r="AK873" s="161">
        <v>2E-3</v>
      </c>
      <c r="AL873" s="161">
        <v>2E-3</v>
      </c>
      <c r="AM873" s="161">
        <v>2E-3</v>
      </c>
      <c r="AN873" s="161">
        <v>2E-3</v>
      </c>
      <c r="AO873" s="161">
        <v>2E-3</v>
      </c>
      <c r="AP873" s="125" t="str">
        <f>CONCATENATE(A873,M873)</f>
        <v>Def TaxN</v>
      </c>
      <c r="AQ873" s="125" t="str">
        <f>CONCATENATE(AP873,L873,H873)</f>
        <v>Def TaxNN2Hung Deferred Taxes</v>
      </c>
      <c r="AS873" s="125" t="str">
        <f>CONCATENATE(L873,H873,J873)</f>
        <v>N2Hung Deferred Taxes</v>
      </c>
    </row>
    <row r="874" spans="1:45" s="125" customFormat="1" ht="25.5" customHeight="1">
      <c r="A874" s="216" t="s">
        <v>1996</v>
      </c>
      <c r="B874" s="217" t="str">
        <f t="shared" si="369"/>
        <v>Def Tax1900030-283.22.14BT010121</v>
      </c>
      <c r="C874" s="186">
        <v>190003</v>
      </c>
      <c r="D874" s="201" t="s">
        <v>1469</v>
      </c>
      <c r="E874" s="162" t="s">
        <v>499</v>
      </c>
      <c r="F874" s="169" t="s">
        <v>861</v>
      </c>
      <c r="G874" s="117" t="s">
        <v>428</v>
      </c>
      <c r="H874" s="118" t="s">
        <v>2860</v>
      </c>
      <c r="I874" s="119"/>
      <c r="J874" s="120"/>
      <c r="K874" s="120" t="str">
        <f t="shared" si="371"/>
        <v/>
      </c>
      <c r="L874" s="170" t="s">
        <v>2811</v>
      </c>
      <c r="M874" s="122" t="str">
        <f t="shared" ref="M874:M894" si="379">LEFT(L874,1)</f>
        <v>N</v>
      </c>
      <c r="N874" s="116" t="str">
        <f>IF($L874&lt;&gt;"",VLOOKUP($L874,Categories!$E:$G,2,FALSE),IF($F874&lt;&gt;"","NO CAT",""))</f>
        <v>Not in Rate Base</v>
      </c>
      <c r="O874" s="116" t="str">
        <f>IF($L874&lt;&gt;"",VLOOKUP($L874,Categories!$E:$G,3,FALSE),IF($F874&lt;&gt;"","NO CAT",""))</f>
        <v>Hedges &amp; OCI</v>
      </c>
      <c r="P874" s="170" t="s">
        <v>1186</v>
      </c>
      <c r="Q874" s="123" t="s">
        <v>1187</v>
      </c>
      <c r="R874" s="124">
        <v>0</v>
      </c>
      <c r="S874" s="124">
        <v>0</v>
      </c>
      <c r="T874" s="124">
        <v>1</v>
      </c>
      <c r="U874" s="121">
        <f t="shared" si="372"/>
        <v>0</v>
      </c>
      <c r="V874" s="121">
        <f t="shared" si="373"/>
        <v>0</v>
      </c>
      <c r="W874" s="121">
        <f t="shared" si="374"/>
        <v>335.55599999999998</v>
      </c>
      <c r="X874" s="121">
        <f t="shared" si="366"/>
        <v>335.55599999999998</v>
      </c>
      <c r="Y874" s="121">
        <f t="shared" si="375"/>
        <v>0</v>
      </c>
      <c r="Z874" s="121">
        <f t="shared" si="376"/>
        <v>0</v>
      </c>
      <c r="AA874" s="121">
        <f t="shared" si="377"/>
        <v>335.55599999999998</v>
      </c>
      <c r="AB874" s="121">
        <f t="shared" si="367"/>
        <v>335.55599999999998</v>
      </c>
      <c r="AC874" s="121">
        <v>335.55599999999998</v>
      </c>
      <c r="AD874" s="121">
        <v>335.55599999999998</v>
      </c>
      <c r="AE874" s="121">
        <v>335.55599999999998</v>
      </c>
      <c r="AF874" s="121">
        <v>335.55599999999998</v>
      </c>
      <c r="AG874" s="121">
        <v>335.55599999999998</v>
      </c>
      <c r="AH874" s="121">
        <v>335.55599999999998</v>
      </c>
      <c r="AI874" s="161">
        <v>335.55599999999998</v>
      </c>
      <c r="AJ874" s="161">
        <v>335.55599999999998</v>
      </c>
      <c r="AK874" s="161">
        <v>335.55599999999998</v>
      </c>
      <c r="AL874" s="161">
        <v>335.55599999999998</v>
      </c>
      <c r="AM874" s="161">
        <v>335.55599999999998</v>
      </c>
      <c r="AN874" s="161">
        <v>335.55599999999998</v>
      </c>
      <c r="AO874" s="161">
        <v>335.55599999999998</v>
      </c>
      <c r="AP874" s="125" t="str">
        <f>CONCATENATE(A874,M874)</f>
        <v>Def TaxN</v>
      </c>
      <c r="AQ874" s="125" t="str">
        <f>CONCATENATE(AP874,L874,H874)</f>
        <v>Def TaxNN5Hedges &amp; OCI</v>
      </c>
      <c r="AS874" s="125" t="str">
        <f>CONCATENATE(L874,H874,J874)</f>
        <v>N5Hedges &amp; OCI</v>
      </c>
    </row>
    <row r="875" spans="1:45" s="125" customFormat="1" ht="25.5" customHeight="1">
      <c r="A875" s="216" t="s">
        <v>1996</v>
      </c>
      <c r="B875" s="217" t="str">
        <f t="shared" si="369"/>
        <v>Def Tax1900030-184.22.30BTHUNGDT</v>
      </c>
      <c r="C875" s="186">
        <v>190003</v>
      </c>
      <c r="D875" s="201" t="s">
        <v>138</v>
      </c>
      <c r="E875" s="162" t="s">
        <v>616</v>
      </c>
      <c r="F875" s="169" t="s">
        <v>861</v>
      </c>
      <c r="G875" s="117" t="s">
        <v>2873</v>
      </c>
      <c r="H875" s="118" t="s">
        <v>1167</v>
      </c>
      <c r="I875" s="119"/>
      <c r="J875" s="120"/>
      <c r="K875" s="120" t="str">
        <f t="shared" si="371"/>
        <v/>
      </c>
      <c r="L875" s="170" t="s">
        <v>928</v>
      </c>
      <c r="M875" s="122" t="str">
        <f t="shared" si="379"/>
        <v>N</v>
      </c>
      <c r="N875" s="116" t="str">
        <f>IF($L875&lt;&gt;"",VLOOKUP($L875,Categories!$E:$G,2,FALSE),IF($F875&lt;&gt;"","NO CAT",""))</f>
        <v>Not in Rate Base</v>
      </c>
      <c r="O875" s="116" t="str">
        <f>IF($L875&lt;&gt;"",VLOOKUP($L875,Categories!$E:$G,3,FALSE),IF($F875&lt;&gt;"","NO CAT",""))</f>
        <v>Direct Assign Items Not in RB</v>
      </c>
      <c r="P875" s="170" t="s">
        <v>1186</v>
      </c>
      <c r="Q875" s="123" t="s">
        <v>1187</v>
      </c>
      <c r="R875" s="124">
        <v>0</v>
      </c>
      <c r="S875" s="124">
        <v>0</v>
      </c>
      <c r="T875" s="124">
        <v>1</v>
      </c>
      <c r="U875" s="121">
        <f t="shared" si="372"/>
        <v>0</v>
      </c>
      <c r="V875" s="121">
        <f t="shared" si="373"/>
        <v>0</v>
      </c>
      <c r="W875" s="121">
        <f t="shared" si="374"/>
        <v>1.75E-3</v>
      </c>
      <c r="X875" s="121">
        <f t="shared" ref="X875:X901" si="380">IF(ISERROR(ROUND((SUM(AC875:AO875)-((AC875+AO875))/2)/12,15)),"",ROUND((SUM(AC875:AO875)-((AC875+AO875))/2)/12,15))</f>
        <v>1.75E-3</v>
      </c>
      <c r="Y875" s="121">
        <f t="shared" si="375"/>
        <v>0</v>
      </c>
      <c r="Z875" s="121">
        <f t="shared" si="376"/>
        <v>0</v>
      </c>
      <c r="AA875" s="121">
        <f t="shared" si="377"/>
        <v>2E-3</v>
      </c>
      <c r="AB875" s="121">
        <f t="shared" ref="AB875:AB901" si="381">IF(AO875="",0,+AO875)</f>
        <v>2E-3</v>
      </c>
      <c r="AC875" s="121">
        <v>0</v>
      </c>
      <c r="AD875" s="121">
        <v>2E-3</v>
      </c>
      <c r="AE875" s="121">
        <v>0</v>
      </c>
      <c r="AF875" s="121">
        <v>2E-3</v>
      </c>
      <c r="AG875" s="121">
        <v>2E-3</v>
      </c>
      <c r="AH875" s="121">
        <v>2E-3</v>
      </c>
      <c r="AI875" s="161">
        <v>2E-3</v>
      </c>
      <c r="AJ875" s="161">
        <v>2E-3</v>
      </c>
      <c r="AK875" s="161">
        <v>2E-3</v>
      </c>
      <c r="AL875" s="161">
        <v>2E-3</v>
      </c>
      <c r="AM875" s="161">
        <v>2E-3</v>
      </c>
      <c r="AN875" s="161">
        <v>2E-3</v>
      </c>
      <c r="AO875" s="161">
        <v>2E-3</v>
      </c>
      <c r="AP875" s="125" t="str">
        <f>CONCATENATE(A875,M875)</f>
        <v>Def TaxN</v>
      </c>
      <c r="AQ875" s="125" t="str">
        <f>CONCATENATE(AP875,L875,H875)</f>
        <v>Def TaxNN2Hung Deferred Taxes</v>
      </c>
      <c r="AS875" s="125" t="str">
        <f>CONCATENATE(L875,H875,J875)</f>
        <v>N2Hung Deferred Taxes</v>
      </c>
    </row>
    <row r="876" spans="1:45" s="125" customFormat="1" ht="25.5" customHeight="1">
      <c r="A876" s="216" t="s">
        <v>1996</v>
      </c>
      <c r="B876" s="217" t="str">
        <f t="shared" si="369"/>
        <v>Def Tax190006A&amp;S Reserve</v>
      </c>
      <c r="C876" s="186">
        <v>190006</v>
      </c>
      <c r="D876" s="201" t="s">
        <v>920</v>
      </c>
      <c r="E876" s="162"/>
      <c r="F876" s="169" t="s">
        <v>902</v>
      </c>
      <c r="G876" s="117" t="s">
        <v>920</v>
      </c>
      <c r="H876" s="118" t="s">
        <v>1405</v>
      </c>
      <c r="I876" s="119"/>
      <c r="J876" s="120"/>
      <c r="K876" s="120" t="str">
        <f t="shared" si="371"/>
        <v/>
      </c>
      <c r="L876" s="170" t="s">
        <v>1895</v>
      </c>
      <c r="M876" s="122" t="str">
        <f t="shared" si="379"/>
        <v>R</v>
      </c>
      <c r="N876" s="116" t="str">
        <f>IF($L876&lt;&gt;"",VLOOKUP($L876,Categories!$E:$G,2,FALSE),IF($F876&lt;&gt;"","NO CAT",""))</f>
        <v>Rate Base</v>
      </c>
      <c r="O876" s="116" t="str">
        <f>IF($L876&lt;&gt;"",VLOOKUP($L876,Categories!$E:$G,3,FALSE),IF($F876&lt;&gt;"","NO CAT",""))</f>
        <v>Deferred Income Taxes</v>
      </c>
      <c r="P876" s="170" t="s">
        <v>1188</v>
      </c>
      <c r="Q876" s="123" t="s">
        <v>1843</v>
      </c>
      <c r="R876" s="124">
        <v>0.76071990262269951</v>
      </c>
      <c r="S876" s="124">
        <v>0.23928009737730072</v>
      </c>
      <c r="T876" s="124">
        <v>0</v>
      </c>
      <c r="U876" s="121">
        <f t="shared" si="372"/>
        <v>1027.13402739869</v>
      </c>
      <c r="V876" s="121">
        <f t="shared" si="373"/>
        <v>323.07913760131299</v>
      </c>
      <c r="W876" s="121">
        <f t="shared" si="374"/>
        <v>0</v>
      </c>
      <c r="X876" s="121">
        <f t="shared" si="380"/>
        <v>1350.2131649999999</v>
      </c>
      <c r="Y876" s="121">
        <f t="shared" si="375"/>
        <v>1067.27862018831</v>
      </c>
      <c r="Z876" s="121">
        <f t="shared" si="376"/>
        <v>335.70638981169299</v>
      </c>
      <c r="AA876" s="121">
        <f t="shared" si="377"/>
        <v>0</v>
      </c>
      <c r="AB876" s="121">
        <f t="shared" si="381"/>
        <v>1402.9850100000001</v>
      </c>
      <c r="AC876" s="121">
        <v>1329.37105</v>
      </c>
      <c r="AD876" s="121">
        <v>1329.37105</v>
      </c>
      <c r="AE876" s="121">
        <v>1329.37105</v>
      </c>
      <c r="AF876" s="121">
        <v>1329.37105</v>
      </c>
      <c r="AG876" s="121">
        <v>1329.37105</v>
      </c>
      <c r="AH876" s="121">
        <v>1329.37105</v>
      </c>
      <c r="AI876" s="161">
        <v>1329.37105</v>
      </c>
      <c r="AJ876" s="161">
        <v>1329.37105</v>
      </c>
      <c r="AK876" s="161">
        <v>1329.37105</v>
      </c>
      <c r="AL876" s="161">
        <v>1329.37105</v>
      </c>
      <c r="AM876" s="161">
        <v>1436.02025</v>
      </c>
      <c r="AN876" s="161">
        <v>1436.02025</v>
      </c>
      <c r="AO876" s="161">
        <v>1402.9850100000001</v>
      </c>
      <c r="AP876" s="125" t="str">
        <f>CONCATENATE(A876,M876)</f>
        <v>Def TaxR</v>
      </c>
      <c r="AQ876" s="125" t="str">
        <f>CONCATENATE(AP876,L876,H876)</f>
        <v>Def TaxRR11A&amp;S CHIP</v>
      </c>
      <c r="AS876" s="125" t="str">
        <f>CONCATENATE(L876,H876,J876)</f>
        <v>R11A&amp;S CHIP</v>
      </c>
    </row>
    <row r="877" spans="1:45" s="125" customFormat="1" ht="25.5" customHeight="1">
      <c r="A877" s="216" t="s">
        <v>1996</v>
      </c>
      <c r="B877" s="217" t="str">
        <f t="shared" si="369"/>
        <v>Def Tax190006Bad Debt BT010016</v>
      </c>
      <c r="C877" s="186">
        <v>190006</v>
      </c>
      <c r="D877" s="201" t="s">
        <v>921</v>
      </c>
      <c r="E877" s="162" t="s">
        <v>610</v>
      </c>
      <c r="F877" s="169" t="s">
        <v>902</v>
      </c>
      <c r="G877" s="117" t="s">
        <v>921</v>
      </c>
      <c r="H877" s="118" t="s">
        <v>2221</v>
      </c>
      <c r="I877" s="119"/>
      <c r="J877" s="120"/>
      <c r="K877" s="120" t="str">
        <f t="shared" si="371"/>
        <v/>
      </c>
      <c r="L877" s="170" t="s">
        <v>1419</v>
      </c>
      <c r="M877" s="122" t="str">
        <f t="shared" si="379"/>
        <v>A</v>
      </c>
      <c r="N877" s="116" t="str">
        <f>IF($L877&lt;&gt;"",VLOOKUP($L877,Categories!$E:$G,2,FALSE),IF($F877&lt;&gt;"","NO CAT",""))</f>
        <v>All Other</v>
      </c>
      <c r="O877" s="116" t="str">
        <f>IF($L877&lt;&gt;"",VLOOKUP($L877,Categories!$E:$G,3,FALSE),IF($F877&lt;&gt;"","NO CAT",""))</f>
        <v>EB-Cap</v>
      </c>
      <c r="P877" s="170" t="s">
        <v>1557</v>
      </c>
      <c r="Q877" s="123" t="s">
        <v>1891</v>
      </c>
      <c r="R877" s="124">
        <v>0.77544352505021785</v>
      </c>
      <c r="S877" s="124">
        <v>0.22455647494978223</v>
      </c>
      <c r="T877" s="124">
        <v>0</v>
      </c>
      <c r="U877" s="121">
        <f t="shared" si="372"/>
        <v>6056.5236059525396</v>
      </c>
      <c r="V877" s="121">
        <f t="shared" si="373"/>
        <v>1753.87574654746</v>
      </c>
      <c r="W877" s="121">
        <f t="shared" si="374"/>
        <v>0</v>
      </c>
      <c r="X877" s="121">
        <f t="shared" si="380"/>
        <v>7810.3993524999996</v>
      </c>
      <c r="Y877" s="121">
        <f t="shared" si="375"/>
        <v>4834.9658448519704</v>
      </c>
      <c r="Z877" s="121">
        <f t="shared" si="376"/>
        <v>1400.1314751480299</v>
      </c>
      <c r="AA877" s="121">
        <f t="shared" si="377"/>
        <v>0</v>
      </c>
      <c r="AB877" s="121">
        <f t="shared" si="381"/>
        <v>6235.0973199999999</v>
      </c>
      <c r="AC877" s="121">
        <v>6117.7539399999996</v>
      </c>
      <c r="AD877" s="121">
        <v>6759.8146399999996</v>
      </c>
      <c r="AE877" s="121">
        <v>7279.0954499999989</v>
      </c>
      <c r="AF877" s="121">
        <v>7696.2141199999987</v>
      </c>
      <c r="AG877" s="121">
        <v>8474.7272699999994</v>
      </c>
      <c r="AH877" s="121">
        <v>8583.867119999999</v>
      </c>
      <c r="AI877" s="161">
        <v>8523.9159599999984</v>
      </c>
      <c r="AJ877" s="161">
        <v>8412.7861999999986</v>
      </c>
      <c r="AK877" s="161">
        <v>8159.5918899999997</v>
      </c>
      <c r="AL877" s="161">
        <v>7872.2665900000002</v>
      </c>
      <c r="AM877" s="161">
        <v>7887.0414099999998</v>
      </c>
      <c r="AN877" s="161">
        <v>7899.0459500000006</v>
      </c>
      <c r="AO877" s="161">
        <v>6235.0973199999999</v>
      </c>
      <c r="AP877" s="125" t="str">
        <f>CONCATENATE(A877,M877)</f>
        <v>Def TaxA</v>
      </c>
      <c r="AQ877" s="125" t="str">
        <f>CONCATENATE(AP877,L877,H877)</f>
        <v>Def TaxAA2Bad Debts</v>
      </c>
      <c r="AS877" s="125" t="str">
        <f>CONCATENATE(L877,H877,J877)</f>
        <v>A2Bad Debts</v>
      </c>
    </row>
    <row r="878" spans="1:45" s="125" customFormat="1" ht="25.5" customHeight="1">
      <c r="A878" s="216" t="s">
        <v>1996</v>
      </c>
      <c r="B878" s="217" t="str">
        <f t="shared" si="369"/>
        <v>Def Tax190006Customer Deposits</v>
      </c>
      <c r="C878" s="186">
        <v>190006</v>
      </c>
      <c r="D878" s="201" t="s">
        <v>1059</v>
      </c>
      <c r="E878" s="162"/>
      <c r="F878" s="169" t="s">
        <v>902</v>
      </c>
      <c r="G878" s="117" t="s">
        <v>1059</v>
      </c>
      <c r="H878" s="118" t="s">
        <v>1149</v>
      </c>
      <c r="I878" s="119"/>
      <c r="J878" s="120"/>
      <c r="K878" s="120" t="str">
        <f t="shared" si="371"/>
        <v>SFAS-109</v>
      </c>
      <c r="L878" s="170" t="s">
        <v>930</v>
      </c>
      <c r="M878" s="122" t="str">
        <f t="shared" si="379"/>
        <v>N</v>
      </c>
      <c r="N878" s="116" t="str">
        <f>IF($L878&lt;&gt;"",VLOOKUP($L878,Categories!$E:$G,2,FALSE),IF($F878&lt;&gt;"","NO CAT",""))</f>
        <v>Not in Rate Base</v>
      </c>
      <c r="O878" s="116" t="str">
        <f>IF($L878&lt;&gt;"",VLOOKUP($L878,Categories!$E:$G,3,FALSE),IF($F878&lt;&gt;"","NO CAT",""))</f>
        <v>SFAS-109   (offsetting)</v>
      </c>
      <c r="P878" s="170" t="s">
        <v>1186</v>
      </c>
      <c r="Q878" s="123" t="s">
        <v>1187</v>
      </c>
      <c r="R878" s="124">
        <v>0</v>
      </c>
      <c r="S878" s="124">
        <v>0</v>
      </c>
      <c r="T878" s="124">
        <v>1</v>
      </c>
      <c r="U878" s="121" t="str">
        <f t="shared" si="372"/>
        <v/>
      </c>
      <c r="V878" s="121" t="str">
        <f t="shared" si="373"/>
        <v/>
      </c>
      <c r="W878" s="121" t="str">
        <f t="shared" si="374"/>
        <v/>
      </c>
      <c r="X878" s="121">
        <f t="shared" si="380"/>
        <v>0</v>
      </c>
      <c r="Y878" s="121" t="str">
        <f t="shared" si="375"/>
        <v/>
      </c>
      <c r="Z878" s="121" t="str">
        <f t="shared" si="376"/>
        <v/>
      </c>
      <c r="AA878" s="121" t="str">
        <f t="shared" si="377"/>
        <v/>
      </c>
      <c r="AB878" s="121">
        <f t="shared" si="381"/>
        <v>0</v>
      </c>
      <c r="AC878" s="121">
        <v>0</v>
      </c>
      <c r="AD878" s="121">
        <v>0</v>
      </c>
      <c r="AE878" s="121">
        <v>0</v>
      </c>
      <c r="AF878" s="121">
        <v>0</v>
      </c>
      <c r="AG878" s="121">
        <v>0</v>
      </c>
      <c r="AH878" s="121">
        <v>0</v>
      </c>
      <c r="AI878" s="161">
        <v>0</v>
      </c>
      <c r="AJ878" s="161">
        <f>IF(AI878=0,0,0)</f>
        <v>0</v>
      </c>
      <c r="AK878" s="161">
        <f>IF(AJ878=0,0,0)</f>
        <v>0</v>
      </c>
      <c r="AL878" s="161">
        <v>0</v>
      </c>
      <c r="AM878" s="161">
        <v>0</v>
      </c>
      <c r="AN878" s="161">
        <v>0</v>
      </c>
      <c r="AO878" s="161">
        <v>0</v>
      </c>
      <c r="AP878" s="125" t="str">
        <f>CONCATENATE(A878,M878)</f>
        <v>Def TaxN</v>
      </c>
      <c r="AQ878" s="125" t="str">
        <f>CONCATENATE(AP878,L878,H878)</f>
        <v>Def TaxNN3SFAS-109</v>
      </c>
      <c r="AS878" s="125" t="str">
        <f>CONCATENATE(L878,H878,J878)</f>
        <v>N3SFAS-109</v>
      </c>
    </row>
    <row r="879" spans="1:45" s="125" customFormat="1" ht="25.5" customHeight="1">
      <c r="A879" s="216" t="s">
        <v>1996</v>
      </c>
      <c r="B879" s="217" t="str">
        <f>CONCATENATE(A879,C879,D879,E879)</f>
        <v>Def Tax190006BT010057</v>
      </c>
      <c r="C879" s="186">
        <v>190006</v>
      </c>
      <c r="D879" s="201"/>
      <c r="E879" s="162" t="s">
        <v>498</v>
      </c>
      <c r="F879" s="169" t="s">
        <v>902</v>
      </c>
      <c r="G879" s="117" t="s">
        <v>135</v>
      </c>
      <c r="H879" s="118" t="s">
        <v>1149</v>
      </c>
      <c r="I879" s="119"/>
      <c r="J879" s="120"/>
      <c r="K879" s="120" t="str">
        <f>IF(L879="N3","SFAS-109","")</f>
        <v>SFAS-109</v>
      </c>
      <c r="L879" s="170" t="s">
        <v>930</v>
      </c>
      <c r="M879" s="122" t="str">
        <f>LEFT(L879,1)</f>
        <v>N</v>
      </c>
      <c r="N879" s="116" t="str">
        <f>IF($L879&lt;&gt;"",VLOOKUP($L879,Categories!$E:$G,2,FALSE),IF($F879&lt;&gt;"","NO CAT",""))</f>
        <v>Not in Rate Base</v>
      </c>
      <c r="O879" s="116" t="str">
        <f>IF($L879&lt;&gt;"",VLOOKUP($L879,Categories!$E:$G,3,FALSE),IF($F879&lt;&gt;"","NO CAT",""))</f>
        <v>SFAS-109   (offsetting)</v>
      </c>
      <c r="P879" s="170" t="s">
        <v>1186</v>
      </c>
      <c r="Q879" s="123" t="s">
        <v>1187</v>
      </c>
      <c r="R879" s="124">
        <v>0</v>
      </c>
      <c r="S879" s="124">
        <v>0</v>
      </c>
      <c r="T879" s="124">
        <v>1</v>
      </c>
      <c r="U879" s="121">
        <f>IF(ABS(X879)=0,"",IF($R879="NO ALLOC","NO ALLOC",ROUND($R879*X879,15)))</f>
        <v>0</v>
      </c>
      <c r="V879" s="121">
        <f>IF(ABS(X879)=0,"",IF($S879="NO ALLOC","NO ALLOC",ROUND($S879*X879,15)))</f>
        <v>0</v>
      </c>
      <c r="W879" s="121">
        <f>IF(ABS(X879)=0,"",IF($T879="NO ALLOC","NO ALLOC",ROUND($T879*X879,15)))</f>
        <v>8192.66420833333</v>
      </c>
      <c r="X879" s="121">
        <f t="shared" si="380"/>
        <v>8192.66420833333</v>
      </c>
      <c r="Y879" s="121">
        <f>IF(ABS(AB879)=0,"",IF($R879="NO ALLOC","NO ALLOC",ROUND($R879*AB879,15)))</f>
        <v>0</v>
      </c>
      <c r="Z879" s="121">
        <f>IF(ABS(AB879)=0,"",IF($S879="NO ALLOC","NO ALLOC",ROUND($S879*AB879,15)))</f>
        <v>0</v>
      </c>
      <c r="AA879" s="121">
        <f>IF(ABS(AB879)=0,"",IF($T879="NO ALLOC","NO ALLOC",ROUND($T879*AB879,15)))</f>
        <v>20184.045999999998</v>
      </c>
      <c r="AB879" s="121">
        <f t="shared" si="381"/>
        <v>20184.045999999998</v>
      </c>
      <c r="AC879" s="121">
        <v>3123.4949999999999</v>
      </c>
      <c r="AD879" s="121">
        <v>3123.4949999999999</v>
      </c>
      <c r="AE879" s="121">
        <v>3123.4949999999999</v>
      </c>
      <c r="AF879" s="121">
        <v>4871.7349999999997</v>
      </c>
      <c r="AG879" s="121">
        <v>4871.7349999999997</v>
      </c>
      <c r="AH879" s="121">
        <v>5972.7780000000002</v>
      </c>
      <c r="AI879" s="161">
        <v>7572.4390000000003</v>
      </c>
      <c r="AJ879" s="161">
        <v>11142.388999999999</v>
      </c>
      <c r="AK879" s="161">
        <v>11142.388999999999</v>
      </c>
      <c r="AL879" s="161">
        <v>11142.388999999999</v>
      </c>
      <c r="AM879" s="161">
        <v>11847.678</v>
      </c>
      <c r="AN879" s="161">
        <v>11847.678</v>
      </c>
      <c r="AO879" s="161">
        <v>20184.045999999998</v>
      </c>
      <c r="AP879" s="125" t="str">
        <f>CONCATENATE(A879,M879)</f>
        <v>Def TaxN</v>
      </c>
      <c r="AQ879" s="125" t="str">
        <f>CONCATENATE(AP879,L879,H879)</f>
        <v>Def TaxNN3SFAS-109</v>
      </c>
      <c r="AS879" s="125" t="str">
        <f>CONCATENATE(L879,H879,J879)</f>
        <v>N3SFAS-109</v>
      </c>
    </row>
    <row r="880" spans="1:45" s="125" customFormat="1" ht="25.5" customHeight="1">
      <c r="A880" s="216" t="s">
        <v>1996</v>
      </c>
      <c r="B880" s="217" t="str">
        <f t="shared" si="369"/>
        <v>Def Tax190006Env OLBT010071</v>
      </c>
      <c r="C880" s="186">
        <v>190006</v>
      </c>
      <c r="D880" s="201" t="s">
        <v>75</v>
      </c>
      <c r="E880" s="162" t="s">
        <v>222</v>
      </c>
      <c r="F880" s="169" t="s">
        <v>902</v>
      </c>
      <c r="G880" s="117" t="s">
        <v>74</v>
      </c>
      <c r="H880" s="118" t="s">
        <v>2369</v>
      </c>
      <c r="I880" s="119"/>
      <c r="J880" s="120"/>
      <c r="K880" s="120" t="str">
        <f t="shared" si="371"/>
        <v/>
      </c>
      <c r="L880" s="170" t="s">
        <v>928</v>
      </c>
      <c r="M880" s="122" t="str">
        <f t="shared" si="379"/>
        <v>N</v>
      </c>
      <c r="N880" s="116" t="str">
        <f>IF($L880&lt;&gt;"",VLOOKUP($L880,Categories!$E:$G,2,FALSE),IF($F880&lt;&gt;"","NO CAT",""))</f>
        <v>Not in Rate Base</v>
      </c>
      <c r="O880" s="116" t="str">
        <f>IF($L880&lt;&gt;"",VLOOKUP($L880,Categories!$E:$G,3,FALSE),IF($F880&lt;&gt;"","NO CAT",""))</f>
        <v>Direct Assign Items Not in RB</v>
      </c>
      <c r="P880" s="170" t="s">
        <v>1186</v>
      </c>
      <c r="Q880" s="123" t="s">
        <v>1187</v>
      </c>
      <c r="R880" s="124">
        <v>0</v>
      </c>
      <c r="S880" s="124">
        <v>0</v>
      </c>
      <c r="T880" s="124">
        <v>1</v>
      </c>
      <c r="U880" s="121">
        <f t="shared" si="372"/>
        <v>0</v>
      </c>
      <c r="V880" s="121">
        <f t="shared" si="373"/>
        <v>0</v>
      </c>
      <c r="W880" s="121">
        <f t="shared" si="374"/>
        <v>1273.2926</v>
      </c>
      <c r="X880" s="121">
        <f t="shared" si="380"/>
        <v>1273.2926</v>
      </c>
      <c r="Y880" s="121">
        <f t="shared" si="375"/>
        <v>0</v>
      </c>
      <c r="Z880" s="121">
        <f t="shared" si="376"/>
        <v>0</v>
      </c>
      <c r="AA880" s="121">
        <f t="shared" si="377"/>
        <v>1273.2926</v>
      </c>
      <c r="AB880" s="121">
        <f t="shared" si="381"/>
        <v>1273.2925999999995</v>
      </c>
      <c r="AC880" s="121">
        <v>1273.2925999999995</v>
      </c>
      <c r="AD880" s="121">
        <v>1273.2925999999995</v>
      </c>
      <c r="AE880" s="121">
        <v>1273.2925999999995</v>
      </c>
      <c r="AF880" s="121">
        <v>1273.2925999999995</v>
      </c>
      <c r="AG880" s="121">
        <v>1273.2925999999995</v>
      </c>
      <c r="AH880" s="121">
        <v>1273.2925999999995</v>
      </c>
      <c r="AI880" s="161">
        <v>1273.2925999999995</v>
      </c>
      <c r="AJ880" s="161">
        <v>1273.2925999999995</v>
      </c>
      <c r="AK880" s="161">
        <v>1273.2925999999995</v>
      </c>
      <c r="AL880" s="161">
        <v>1273.2925999999995</v>
      </c>
      <c r="AM880" s="161">
        <v>1273.2925999999995</v>
      </c>
      <c r="AN880" s="161">
        <v>1273.2925999999995</v>
      </c>
      <c r="AO880" s="161">
        <v>1273.2925999999995</v>
      </c>
      <c r="AP880" s="125" t="str">
        <f>CONCATENATE(A880,M880)</f>
        <v>Def TaxN</v>
      </c>
      <c r="AQ880" s="125" t="str">
        <f>CONCATENATE(AP880,L880,H880)</f>
        <v>Def TaxNN2Environmental</v>
      </c>
      <c r="AS880" s="125" t="str">
        <f>CONCATENATE(L880,H880,J880)</f>
        <v>N2Environmental</v>
      </c>
    </row>
    <row r="881" spans="1:45" s="125" customFormat="1" ht="25.5" customHeight="1">
      <c r="A881" s="216" t="s">
        <v>1996</v>
      </c>
      <c r="B881" s="217" t="str">
        <f t="shared" si="369"/>
        <v>Def Tax190006DerivativeBT010057</v>
      </c>
      <c r="C881" s="186">
        <v>190006</v>
      </c>
      <c r="D881" s="201" t="s">
        <v>1028</v>
      </c>
      <c r="E881" s="162" t="s">
        <v>498</v>
      </c>
      <c r="F881" s="169" t="s">
        <v>902</v>
      </c>
      <c r="G881" s="117" t="s">
        <v>864</v>
      </c>
      <c r="H881" s="118" t="s">
        <v>1149</v>
      </c>
      <c r="I881" s="119"/>
      <c r="J881" s="120"/>
      <c r="K881" s="120" t="str">
        <f t="shared" si="371"/>
        <v>SFAS-109</v>
      </c>
      <c r="L881" s="170" t="s">
        <v>930</v>
      </c>
      <c r="M881" s="122" t="str">
        <f t="shared" si="379"/>
        <v>N</v>
      </c>
      <c r="N881" s="116" t="str">
        <f>IF($L881&lt;&gt;"",VLOOKUP($L881,Categories!$E:$G,2,FALSE),IF($F881&lt;&gt;"","NO CAT",""))</f>
        <v>Not in Rate Base</v>
      </c>
      <c r="O881" s="116" t="str">
        <f>IF($L881&lt;&gt;"",VLOOKUP($L881,Categories!$E:$G,3,FALSE),IF($F881&lt;&gt;"","NO CAT",""))</f>
        <v>SFAS-109   (offsetting)</v>
      </c>
      <c r="P881" s="170" t="s">
        <v>1186</v>
      </c>
      <c r="Q881" s="123" t="s">
        <v>1187</v>
      </c>
      <c r="R881" s="124">
        <v>0</v>
      </c>
      <c r="S881" s="124">
        <v>0</v>
      </c>
      <c r="T881" s="124">
        <v>1</v>
      </c>
      <c r="U881" s="121">
        <f t="shared" si="372"/>
        <v>0</v>
      </c>
      <c r="V881" s="121">
        <f t="shared" si="373"/>
        <v>0</v>
      </c>
      <c r="W881" s="121">
        <f t="shared" si="374"/>
        <v>109313.952</v>
      </c>
      <c r="X881" s="121">
        <f t="shared" si="380"/>
        <v>109313.952</v>
      </c>
      <c r="Y881" s="121">
        <f t="shared" si="375"/>
        <v>0</v>
      </c>
      <c r="Z881" s="121">
        <f t="shared" si="376"/>
        <v>0</v>
      </c>
      <c r="AA881" s="121">
        <f t="shared" si="377"/>
        <v>109313.952</v>
      </c>
      <c r="AB881" s="121">
        <f t="shared" si="381"/>
        <v>109313.952</v>
      </c>
      <c r="AC881" s="121">
        <v>109313.952</v>
      </c>
      <c r="AD881" s="121">
        <v>109313.952</v>
      </c>
      <c r="AE881" s="121">
        <v>109313.952</v>
      </c>
      <c r="AF881" s="121">
        <v>109313.952</v>
      </c>
      <c r="AG881" s="121">
        <v>109313.952</v>
      </c>
      <c r="AH881" s="121">
        <v>109313.952</v>
      </c>
      <c r="AI881" s="161">
        <v>109313.952</v>
      </c>
      <c r="AJ881" s="161">
        <v>109313.952</v>
      </c>
      <c r="AK881" s="161">
        <v>109313.952</v>
      </c>
      <c r="AL881" s="161">
        <v>109313.952</v>
      </c>
      <c r="AM881" s="161">
        <v>109313.952</v>
      </c>
      <c r="AN881" s="161">
        <v>109313.952</v>
      </c>
      <c r="AO881" s="161">
        <v>109313.952</v>
      </c>
      <c r="AP881" s="125" t="str">
        <f>CONCATENATE(A881,M881)</f>
        <v>Def TaxN</v>
      </c>
      <c r="AQ881" s="125" t="str">
        <f>CONCATENATE(AP881,L881,H881)</f>
        <v>Def TaxNN3SFAS-109</v>
      </c>
      <c r="AS881" s="125" t="str">
        <f>CONCATENATE(L881,H881,J881)</f>
        <v>N3SFAS-109</v>
      </c>
    </row>
    <row r="882" spans="1:45" s="125" customFormat="1" ht="25.5" customHeight="1">
      <c r="A882" s="216" t="s">
        <v>1996</v>
      </c>
      <c r="B882" s="217" t="str">
        <f t="shared" ref="B882:B901" si="382">CONCATENATE(A882,C882,D882,E882)</f>
        <v>Def Tax190006Restructuring</v>
      </c>
      <c r="C882" s="186">
        <v>190006</v>
      </c>
      <c r="D882" s="201" t="s">
        <v>922</v>
      </c>
      <c r="E882" s="162"/>
      <c r="F882" s="169" t="s">
        <v>902</v>
      </c>
      <c r="G882" s="117" t="s">
        <v>922</v>
      </c>
      <c r="H882" s="118" t="s">
        <v>1149</v>
      </c>
      <c r="I882" s="119"/>
      <c r="J882" s="120"/>
      <c r="K882" s="120" t="str">
        <f t="shared" si="371"/>
        <v>SFAS-109</v>
      </c>
      <c r="L882" s="170" t="s">
        <v>930</v>
      </c>
      <c r="M882" s="122" t="str">
        <f t="shared" si="379"/>
        <v>N</v>
      </c>
      <c r="N882" s="116" t="str">
        <f>IF($L882&lt;&gt;"",VLOOKUP($L882,Categories!$E:$G,2,FALSE),IF($F882&lt;&gt;"","NO CAT",""))</f>
        <v>Not in Rate Base</v>
      </c>
      <c r="O882" s="116" t="str">
        <f>IF($L882&lt;&gt;"",VLOOKUP($L882,Categories!$E:$G,3,FALSE),IF($F882&lt;&gt;"","NO CAT",""))</f>
        <v>SFAS-109   (offsetting)</v>
      </c>
      <c r="P882" s="170" t="s">
        <v>1186</v>
      </c>
      <c r="Q882" s="123" t="s">
        <v>1187</v>
      </c>
      <c r="R882" s="124">
        <v>0</v>
      </c>
      <c r="S882" s="124">
        <v>0</v>
      </c>
      <c r="T882" s="124">
        <v>1</v>
      </c>
      <c r="U882" s="121">
        <f t="shared" si="372"/>
        <v>0</v>
      </c>
      <c r="V882" s="121">
        <f t="shared" si="373"/>
        <v>0</v>
      </c>
      <c r="W882" s="121">
        <f t="shared" si="374"/>
        <v>0.01</v>
      </c>
      <c r="X882" s="121">
        <f t="shared" si="380"/>
        <v>0.01</v>
      </c>
      <c r="Y882" s="121">
        <f t="shared" si="375"/>
        <v>0</v>
      </c>
      <c r="Z882" s="121">
        <f t="shared" si="376"/>
        <v>0</v>
      </c>
      <c r="AA882" s="121">
        <f t="shared" si="377"/>
        <v>0.01</v>
      </c>
      <c r="AB882" s="121">
        <f t="shared" si="381"/>
        <v>0.01</v>
      </c>
      <c r="AC882" s="121">
        <v>0.01</v>
      </c>
      <c r="AD882" s="121">
        <v>0.01</v>
      </c>
      <c r="AE882" s="121">
        <v>0.01</v>
      </c>
      <c r="AF882" s="121">
        <v>0.01</v>
      </c>
      <c r="AG882" s="121">
        <v>0.01</v>
      </c>
      <c r="AH882" s="121">
        <v>0.01</v>
      </c>
      <c r="AI882" s="161">
        <v>0.01</v>
      </c>
      <c r="AJ882" s="161">
        <v>0.01</v>
      </c>
      <c r="AK882" s="161">
        <v>0.01</v>
      </c>
      <c r="AL882" s="161">
        <v>0.01</v>
      </c>
      <c r="AM882" s="161">
        <v>0.01</v>
      </c>
      <c r="AN882" s="161">
        <v>0.01</v>
      </c>
      <c r="AO882" s="161">
        <v>0.01</v>
      </c>
      <c r="AP882" s="125" t="str">
        <f>CONCATENATE(A882,M882)</f>
        <v>Def TaxN</v>
      </c>
      <c r="AQ882" s="125" t="str">
        <f>CONCATENATE(AP882,L882,H882)</f>
        <v>Def TaxNN3SFAS-109</v>
      </c>
      <c r="AS882" s="125" t="str">
        <f>CONCATENATE(L882,H882,J882)</f>
        <v>N3SFAS-109</v>
      </c>
    </row>
    <row r="883" spans="1:45" s="125" customFormat="1" ht="25.5" customHeight="1">
      <c r="A883" s="216" t="s">
        <v>1996</v>
      </c>
      <c r="B883" s="217" t="str">
        <f t="shared" si="382"/>
        <v>Def Tax190006Unbilled Revenue</v>
      </c>
      <c r="C883" s="186">
        <v>190006</v>
      </c>
      <c r="D883" s="201" t="s">
        <v>451</v>
      </c>
      <c r="E883" s="162"/>
      <c r="F883" s="169" t="s">
        <v>902</v>
      </c>
      <c r="G883" s="117" t="s">
        <v>451</v>
      </c>
      <c r="H883" s="118" t="s">
        <v>1149</v>
      </c>
      <c r="I883" s="119"/>
      <c r="J883" s="120"/>
      <c r="K883" s="120" t="str">
        <f t="shared" si="371"/>
        <v>SFAS-109</v>
      </c>
      <c r="L883" s="170" t="s">
        <v>930</v>
      </c>
      <c r="M883" s="122" t="str">
        <f t="shared" si="379"/>
        <v>N</v>
      </c>
      <c r="N883" s="116" t="str">
        <f>IF($L883&lt;&gt;"",VLOOKUP($L883,Categories!$E:$G,2,FALSE),IF($F883&lt;&gt;"","NO CAT",""))</f>
        <v>Not in Rate Base</v>
      </c>
      <c r="O883" s="116" t="str">
        <f>IF($L883&lt;&gt;"",VLOOKUP($L883,Categories!$E:$G,3,FALSE),IF($F883&lt;&gt;"","NO CAT",""))</f>
        <v>SFAS-109   (offsetting)</v>
      </c>
      <c r="P883" s="170" t="s">
        <v>1186</v>
      </c>
      <c r="Q883" s="123" t="s">
        <v>1187</v>
      </c>
      <c r="R883" s="124">
        <v>0</v>
      </c>
      <c r="S883" s="124">
        <v>0</v>
      </c>
      <c r="T883" s="124">
        <v>1</v>
      </c>
      <c r="U883" s="121" t="str">
        <f t="shared" si="372"/>
        <v/>
      </c>
      <c r="V883" s="121" t="str">
        <f t="shared" si="373"/>
        <v/>
      </c>
      <c r="W883" s="121" t="str">
        <f t="shared" si="374"/>
        <v/>
      </c>
      <c r="X883" s="121">
        <f t="shared" si="380"/>
        <v>0</v>
      </c>
      <c r="Y883" s="121" t="str">
        <f t="shared" si="375"/>
        <v/>
      </c>
      <c r="Z883" s="121" t="str">
        <f t="shared" si="376"/>
        <v/>
      </c>
      <c r="AA883" s="121" t="str">
        <f t="shared" si="377"/>
        <v/>
      </c>
      <c r="AB883" s="121">
        <f t="shared" si="381"/>
        <v>0</v>
      </c>
      <c r="AC883" s="121">
        <v>0</v>
      </c>
      <c r="AD883" s="121">
        <v>0</v>
      </c>
      <c r="AE883" s="121">
        <v>0</v>
      </c>
      <c r="AF883" s="121">
        <v>0</v>
      </c>
      <c r="AG883" s="121">
        <v>0</v>
      </c>
      <c r="AH883" s="121">
        <v>0</v>
      </c>
      <c r="AI883" s="161">
        <v>0</v>
      </c>
      <c r="AJ883" s="161">
        <f t="shared" ref="AJ883:AK884" si="383">IF(AI883=0,0,0)</f>
        <v>0</v>
      </c>
      <c r="AK883" s="161">
        <f t="shared" si="383"/>
        <v>0</v>
      </c>
      <c r="AL883" s="161">
        <v>0</v>
      </c>
      <c r="AM883" s="161">
        <v>0</v>
      </c>
      <c r="AN883" s="161">
        <v>0</v>
      </c>
      <c r="AO883" s="161">
        <v>0</v>
      </c>
      <c r="AP883" s="125" t="str">
        <f>CONCATENATE(A883,M883)</f>
        <v>Def TaxN</v>
      </c>
      <c r="AQ883" s="125" t="str">
        <f>CONCATENATE(AP883,L883,H883)</f>
        <v>Def TaxNN3SFAS-109</v>
      </c>
      <c r="AS883" s="125" t="str">
        <f>CONCATENATE(L883,H883,J883)</f>
        <v>N3SFAS-109</v>
      </c>
    </row>
    <row r="884" spans="1:45" s="125" customFormat="1" ht="25.5" customHeight="1">
      <c r="A884" s="216" t="s">
        <v>1996</v>
      </c>
      <c r="B884" s="217" t="str">
        <f t="shared" si="382"/>
        <v>Def Tax190006Vacation Accrual</v>
      </c>
      <c r="C884" s="186">
        <v>190006</v>
      </c>
      <c r="D884" s="201" t="s">
        <v>987</v>
      </c>
      <c r="E884" s="162"/>
      <c r="F884" s="169" t="s">
        <v>902</v>
      </c>
      <c r="G884" s="117" t="s">
        <v>987</v>
      </c>
      <c r="H884" s="118" t="s">
        <v>220</v>
      </c>
      <c r="I884" s="119"/>
      <c r="J884" s="120"/>
      <c r="K884" s="120" t="str">
        <f t="shared" si="371"/>
        <v/>
      </c>
      <c r="L884" s="170" t="s">
        <v>1419</v>
      </c>
      <c r="M884" s="122" t="str">
        <f t="shared" si="379"/>
        <v>A</v>
      </c>
      <c r="N884" s="116" t="str">
        <f>IF($L884&lt;&gt;"",VLOOKUP($L884,Categories!$E:$G,2,FALSE),IF($F884&lt;&gt;"","NO CAT",""))</f>
        <v>All Other</v>
      </c>
      <c r="O884" s="116" t="str">
        <f>IF($L884&lt;&gt;"",VLOOKUP($L884,Categories!$E:$G,3,FALSE),IF($F884&lt;&gt;"","NO CAT",""))</f>
        <v>EB-Cap</v>
      </c>
      <c r="P884" s="170" t="s">
        <v>1557</v>
      </c>
      <c r="Q884" s="123" t="s">
        <v>1891</v>
      </c>
      <c r="R884" s="124">
        <v>0.77544352505021785</v>
      </c>
      <c r="S884" s="124">
        <v>0.22455647494978223</v>
      </c>
      <c r="T884" s="124">
        <v>0</v>
      </c>
      <c r="U884" s="121" t="str">
        <f t="shared" si="372"/>
        <v/>
      </c>
      <c r="V884" s="121" t="str">
        <f t="shared" si="373"/>
        <v/>
      </c>
      <c r="W884" s="121" t="str">
        <f t="shared" si="374"/>
        <v/>
      </c>
      <c r="X884" s="121">
        <f t="shared" si="380"/>
        <v>0</v>
      </c>
      <c r="Y884" s="121" t="str">
        <f t="shared" si="375"/>
        <v/>
      </c>
      <c r="Z884" s="121" t="str">
        <f t="shared" si="376"/>
        <v/>
      </c>
      <c r="AA884" s="121" t="str">
        <f t="shared" si="377"/>
        <v/>
      </c>
      <c r="AB884" s="121">
        <f t="shared" si="381"/>
        <v>0</v>
      </c>
      <c r="AC884" s="121">
        <v>0</v>
      </c>
      <c r="AD884" s="121">
        <v>0</v>
      </c>
      <c r="AE884" s="121">
        <v>0</v>
      </c>
      <c r="AF884" s="121">
        <v>0</v>
      </c>
      <c r="AG884" s="121">
        <v>0</v>
      </c>
      <c r="AH884" s="121">
        <v>0</v>
      </c>
      <c r="AI884" s="161">
        <v>0</v>
      </c>
      <c r="AJ884" s="161">
        <f t="shared" si="383"/>
        <v>0</v>
      </c>
      <c r="AK884" s="161">
        <f t="shared" si="383"/>
        <v>0</v>
      </c>
      <c r="AL884" s="161">
        <v>0</v>
      </c>
      <c r="AM884" s="161">
        <v>0</v>
      </c>
      <c r="AN884" s="161">
        <v>0</v>
      </c>
      <c r="AO884" s="161">
        <v>0</v>
      </c>
      <c r="AP884" s="125" t="str">
        <f>CONCATENATE(A884,M884)</f>
        <v>Def TaxA</v>
      </c>
      <c r="AQ884" s="125" t="str">
        <f>CONCATENATE(AP884,L884,H884)</f>
        <v>Def TaxAA2Payroll-Related Costs</v>
      </c>
      <c r="AS884" s="125" t="str">
        <f>CONCATENATE(L884,H884,J884)</f>
        <v>A2Payroll-Related Costs</v>
      </c>
    </row>
    <row r="885" spans="1:45" s="125" customFormat="1" ht="25.5" customHeight="1">
      <c r="A885" s="216" t="s">
        <v>1996</v>
      </c>
      <c r="B885" s="217" t="str">
        <f t="shared" si="382"/>
        <v>Def Tax190007A&amp;S Reserve</v>
      </c>
      <c r="C885" s="186">
        <v>190007</v>
      </c>
      <c r="D885" s="201" t="s">
        <v>920</v>
      </c>
      <c r="E885" s="162"/>
      <c r="F885" s="169" t="s">
        <v>902</v>
      </c>
      <c r="G885" s="117" t="s">
        <v>920</v>
      </c>
      <c r="H885" s="118" t="s">
        <v>1405</v>
      </c>
      <c r="I885" s="119"/>
      <c r="J885" s="120"/>
      <c r="K885" s="120" t="str">
        <f t="shared" si="371"/>
        <v/>
      </c>
      <c r="L885" s="170" t="s">
        <v>1895</v>
      </c>
      <c r="M885" s="122" t="str">
        <f t="shared" si="379"/>
        <v>R</v>
      </c>
      <c r="N885" s="116" t="str">
        <f>IF($L885&lt;&gt;"",VLOOKUP($L885,Categories!$E:$G,2,FALSE),IF($F885&lt;&gt;"","NO CAT",""))</f>
        <v>Rate Base</v>
      </c>
      <c r="O885" s="116" t="str">
        <f>IF($L885&lt;&gt;"",VLOOKUP($L885,Categories!$E:$G,3,FALSE),IF($F885&lt;&gt;"","NO CAT",""))</f>
        <v>Deferred Income Taxes</v>
      </c>
      <c r="P885" s="170" t="s">
        <v>1188</v>
      </c>
      <c r="Q885" s="123" t="s">
        <v>1843</v>
      </c>
      <c r="R885" s="124">
        <v>0.76071990262269951</v>
      </c>
      <c r="S885" s="124">
        <v>0.23928009737730072</v>
      </c>
      <c r="T885" s="124">
        <v>0</v>
      </c>
      <c r="U885" s="121">
        <f t="shared" si="372"/>
        <v>127.087227669874</v>
      </c>
      <c r="V885" s="121">
        <f t="shared" si="373"/>
        <v>39.974561080126001</v>
      </c>
      <c r="W885" s="121">
        <f t="shared" si="374"/>
        <v>0</v>
      </c>
      <c r="X885" s="121">
        <f t="shared" si="380"/>
        <v>167.06178875000001</v>
      </c>
      <c r="Y885" s="121">
        <f t="shared" si="375"/>
        <v>137.12337586727901</v>
      </c>
      <c r="Z885" s="121">
        <f t="shared" si="376"/>
        <v>43.131374132721</v>
      </c>
      <c r="AA885" s="121">
        <f t="shared" si="377"/>
        <v>0</v>
      </c>
      <c r="AB885" s="121">
        <f t="shared" si="381"/>
        <v>180.25475</v>
      </c>
      <c r="AC885" s="121">
        <v>161.85126</v>
      </c>
      <c r="AD885" s="121">
        <v>161.85126</v>
      </c>
      <c r="AE885" s="121">
        <v>161.85126</v>
      </c>
      <c r="AF885" s="121">
        <v>161.85126</v>
      </c>
      <c r="AG885" s="121">
        <v>161.85126</v>
      </c>
      <c r="AH885" s="121">
        <v>161.85126</v>
      </c>
      <c r="AI885" s="161">
        <v>161.85126</v>
      </c>
      <c r="AJ885" s="161">
        <v>161.85126</v>
      </c>
      <c r="AK885" s="161">
        <v>161.85126</v>
      </c>
      <c r="AL885" s="161">
        <v>161.85126</v>
      </c>
      <c r="AM885" s="161">
        <v>188.51355999999998</v>
      </c>
      <c r="AN885" s="161">
        <v>188.51355999999998</v>
      </c>
      <c r="AO885" s="161">
        <v>180.25475</v>
      </c>
      <c r="AP885" s="125" t="str">
        <f>CONCATENATE(A885,M885)</f>
        <v>Def TaxR</v>
      </c>
      <c r="AQ885" s="125" t="str">
        <f>CONCATENATE(AP885,L885,H885)</f>
        <v>Def TaxRR11A&amp;S CHIP</v>
      </c>
      <c r="AS885" s="125" t="str">
        <f>CONCATENATE(L885,H885,J885)</f>
        <v>R11A&amp;S CHIP</v>
      </c>
    </row>
    <row r="886" spans="1:45" s="125" customFormat="1" ht="25.5" customHeight="1">
      <c r="A886" s="216" t="s">
        <v>1996</v>
      </c>
      <c r="B886" s="217" t="str">
        <f t="shared" si="382"/>
        <v>Def Tax190007Bad Debt BT010016</v>
      </c>
      <c r="C886" s="186">
        <v>190007</v>
      </c>
      <c r="D886" s="201" t="s">
        <v>921</v>
      </c>
      <c r="E886" s="162" t="s">
        <v>610</v>
      </c>
      <c r="F886" s="169" t="s">
        <v>902</v>
      </c>
      <c r="G886" s="117" t="s">
        <v>921</v>
      </c>
      <c r="H886" s="118" t="s">
        <v>2221</v>
      </c>
      <c r="I886" s="119"/>
      <c r="J886" s="120"/>
      <c r="K886" s="120" t="str">
        <f t="shared" si="371"/>
        <v/>
      </c>
      <c r="L886" s="170" t="s">
        <v>1419</v>
      </c>
      <c r="M886" s="122" t="str">
        <f t="shared" si="379"/>
        <v>A</v>
      </c>
      <c r="N886" s="116" t="str">
        <f>IF($L886&lt;&gt;"",VLOOKUP($L886,Categories!$E:$G,2,FALSE),IF($F886&lt;&gt;"","NO CAT",""))</f>
        <v>All Other</v>
      </c>
      <c r="O886" s="116" t="str">
        <f>IF($L886&lt;&gt;"",VLOOKUP($L886,Categories!$E:$G,3,FALSE),IF($F886&lt;&gt;"","NO CAT",""))</f>
        <v>EB-Cap</v>
      </c>
      <c r="P886" s="170" t="s">
        <v>1557</v>
      </c>
      <c r="Q886" s="123" t="s">
        <v>1891</v>
      </c>
      <c r="R886" s="124">
        <v>0.77544352505021785</v>
      </c>
      <c r="S886" s="124">
        <v>0.22455647494978223</v>
      </c>
      <c r="T886" s="124">
        <v>0</v>
      </c>
      <c r="U886" s="121">
        <f t="shared" si="372"/>
        <v>1061.69424093723</v>
      </c>
      <c r="V886" s="121">
        <f t="shared" si="373"/>
        <v>307.45026364609902</v>
      </c>
      <c r="W886" s="121">
        <f t="shared" si="374"/>
        <v>0</v>
      </c>
      <c r="X886" s="121">
        <f t="shared" si="380"/>
        <v>1369.14450458333</v>
      </c>
      <c r="Y886" s="121">
        <f t="shared" si="375"/>
        <v>1012.87798153812</v>
      </c>
      <c r="Z886" s="121">
        <f t="shared" si="376"/>
        <v>293.31382846187603</v>
      </c>
      <c r="AA886" s="121">
        <f t="shared" si="377"/>
        <v>0</v>
      </c>
      <c r="AB886" s="121">
        <f t="shared" si="381"/>
        <v>1306.1918100000003</v>
      </c>
      <c r="AC886" s="121">
        <v>1404.3513400000004</v>
      </c>
      <c r="AD886" s="121">
        <v>1427.5475400000003</v>
      </c>
      <c r="AE886" s="121">
        <v>1413.8749800000003</v>
      </c>
      <c r="AF886" s="121">
        <v>1398.3165600000002</v>
      </c>
      <c r="AG886" s="121">
        <v>1397.5622100000003</v>
      </c>
      <c r="AH886" s="121">
        <v>1335.8942600000003</v>
      </c>
      <c r="AI886" s="161">
        <v>1337.9687200000003</v>
      </c>
      <c r="AJ886" s="161">
        <v>1345.7007800000003</v>
      </c>
      <c r="AK886" s="161">
        <v>1348.5295900000003</v>
      </c>
      <c r="AL886" s="161">
        <v>1350.6983400000004</v>
      </c>
      <c r="AM886" s="161">
        <v>1356.7331200000003</v>
      </c>
      <c r="AN886" s="161">
        <v>1361.6363800000004</v>
      </c>
      <c r="AO886" s="161">
        <v>1306.1918100000003</v>
      </c>
      <c r="AP886" s="125" t="str">
        <f>CONCATENATE(A886,M886)</f>
        <v>Def TaxA</v>
      </c>
      <c r="AQ886" s="125" t="str">
        <f>CONCATENATE(AP886,L886,H886)</f>
        <v>Def TaxAA2Bad Debts</v>
      </c>
      <c r="AS886" s="125" t="str">
        <f>CONCATENATE(L886,H886,J886)</f>
        <v>A2Bad Debts</v>
      </c>
    </row>
    <row r="887" spans="1:45" s="125" customFormat="1" ht="25.5" customHeight="1">
      <c r="A887" s="216" t="s">
        <v>1996</v>
      </c>
      <c r="B887" s="217" t="str">
        <f t="shared" si="382"/>
        <v>Def Tax190007Customer Deposits</v>
      </c>
      <c r="C887" s="186">
        <v>190007</v>
      </c>
      <c r="D887" s="201" t="s">
        <v>1059</v>
      </c>
      <c r="E887" s="162"/>
      <c r="F887" s="169" t="s">
        <v>902</v>
      </c>
      <c r="G887" s="117" t="s">
        <v>1059</v>
      </c>
      <c r="H887" s="118" t="s">
        <v>1149</v>
      </c>
      <c r="I887" s="119"/>
      <c r="J887" s="120"/>
      <c r="K887" s="120" t="str">
        <f t="shared" ref="K887:K901" si="384">IF(L887="N3","SFAS-109","")</f>
        <v>SFAS-109</v>
      </c>
      <c r="L887" s="170" t="s">
        <v>930</v>
      </c>
      <c r="M887" s="122" t="str">
        <f t="shared" si="379"/>
        <v>N</v>
      </c>
      <c r="N887" s="116" t="str">
        <f>IF($L887&lt;&gt;"",VLOOKUP($L887,Categories!$E:$G,2,FALSE),IF($F887&lt;&gt;"","NO CAT",""))</f>
        <v>Not in Rate Base</v>
      </c>
      <c r="O887" s="116" t="str">
        <f>IF($L887&lt;&gt;"",VLOOKUP($L887,Categories!$E:$G,3,FALSE),IF($F887&lt;&gt;"","NO CAT",""))</f>
        <v>SFAS-109   (offsetting)</v>
      </c>
      <c r="P887" s="170" t="s">
        <v>1186</v>
      </c>
      <c r="Q887" s="123" t="s">
        <v>1187</v>
      </c>
      <c r="R887" s="124">
        <v>0</v>
      </c>
      <c r="S887" s="124">
        <v>0</v>
      </c>
      <c r="T887" s="124">
        <v>1</v>
      </c>
      <c r="U887" s="121" t="str">
        <f t="shared" si="372"/>
        <v/>
      </c>
      <c r="V887" s="121" t="str">
        <f t="shared" si="373"/>
        <v/>
      </c>
      <c r="W887" s="121" t="str">
        <f t="shared" si="374"/>
        <v/>
      </c>
      <c r="X887" s="121">
        <f t="shared" si="380"/>
        <v>0</v>
      </c>
      <c r="Y887" s="121" t="str">
        <f t="shared" si="375"/>
        <v/>
      </c>
      <c r="Z887" s="121" t="str">
        <f t="shared" si="376"/>
        <v/>
      </c>
      <c r="AA887" s="121" t="str">
        <f t="shared" si="377"/>
        <v/>
      </c>
      <c r="AB887" s="121">
        <f t="shared" si="381"/>
        <v>0</v>
      </c>
      <c r="AC887" s="121">
        <v>0</v>
      </c>
      <c r="AD887" s="121">
        <v>0</v>
      </c>
      <c r="AE887" s="121">
        <v>0</v>
      </c>
      <c r="AF887" s="121">
        <v>0</v>
      </c>
      <c r="AG887" s="121">
        <v>0</v>
      </c>
      <c r="AH887" s="121">
        <v>0</v>
      </c>
      <c r="AI887" s="161">
        <v>0</v>
      </c>
      <c r="AJ887" s="161">
        <f>IF(AI887=0,0,0)</f>
        <v>0</v>
      </c>
      <c r="AK887" s="161">
        <v>0</v>
      </c>
      <c r="AL887" s="161">
        <v>0</v>
      </c>
      <c r="AM887" s="161">
        <v>0</v>
      </c>
      <c r="AN887" s="161">
        <v>0</v>
      </c>
      <c r="AO887" s="161">
        <v>0</v>
      </c>
      <c r="AP887" s="125" t="str">
        <f>CONCATENATE(A887,M887)</f>
        <v>Def TaxN</v>
      </c>
      <c r="AQ887" s="125" t="str">
        <f>CONCATENATE(AP887,L887,H887)</f>
        <v>Def TaxNN3SFAS-109</v>
      </c>
      <c r="AS887" s="125" t="str">
        <f>CONCATENATE(L887,H887,J887)</f>
        <v>N3SFAS-109</v>
      </c>
    </row>
    <row r="888" spans="1:45" s="125" customFormat="1" ht="25.5" customHeight="1">
      <c r="A888" s="216" t="s">
        <v>1996</v>
      </c>
      <c r="B888" s="217" t="str">
        <f t="shared" si="382"/>
        <v>Def Tax190007Env OLBT010071</v>
      </c>
      <c r="C888" s="186">
        <v>190007</v>
      </c>
      <c r="D888" s="201" t="s">
        <v>75</v>
      </c>
      <c r="E888" s="162" t="s">
        <v>222</v>
      </c>
      <c r="F888" s="169" t="s">
        <v>902</v>
      </c>
      <c r="G888" s="117" t="s">
        <v>74</v>
      </c>
      <c r="H888" s="118" t="s">
        <v>2369</v>
      </c>
      <c r="I888" s="119"/>
      <c r="J888" s="120"/>
      <c r="K888" s="120" t="str">
        <f t="shared" si="384"/>
        <v/>
      </c>
      <c r="L888" s="170" t="s">
        <v>928</v>
      </c>
      <c r="M888" s="122" t="str">
        <f t="shared" si="379"/>
        <v>N</v>
      </c>
      <c r="N888" s="116" t="str">
        <f>IF($L888&lt;&gt;"",VLOOKUP($L888,Categories!$E:$G,2,FALSE),IF($F888&lt;&gt;"","NO CAT",""))</f>
        <v>Not in Rate Base</v>
      </c>
      <c r="O888" s="116" t="str">
        <f>IF($L888&lt;&gt;"",VLOOKUP($L888,Categories!$E:$G,3,FALSE),IF($F888&lt;&gt;"","NO CAT",""))</f>
        <v>Direct Assign Items Not in RB</v>
      </c>
      <c r="P888" s="170" t="s">
        <v>1186</v>
      </c>
      <c r="Q888" s="123" t="s">
        <v>1187</v>
      </c>
      <c r="R888" s="124">
        <v>0</v>
      </c>
      <c r="S888" s="124">
        <v>0</v>
      </c>
      <c r="T888" s="124">
        <v>1</v>
      </c>
      <c r="U888" s="121">
        <f t="shared" si="372"/>
        <v>0</v>
      </c>
      <c r="V888" s="121">
        <f t="shared" si="373"/>
        <v>0</v>
      </c>
      <c r="W888" s="121">
        <f t="shared" si="374"/>
        <v>188.58179999999999</v>
      </c>
      <c r="X888" s="121">
        <f t="shared" si="380"/>
        <v>188.58179999999999</v>
      </c>
      <c r="Y888" s="121">
        <f t="shared" si="375"/>
        <v>0</v>
      </c>
      <c r="Z888" s="121">
        <f t="shared" si="376"/>
        <v>0</v>
      </c>
      <c r="AA888" s="121">
        <f t="shared" si="377"/>
        <v>188.58179999999999</v>
      </c>
      <c r="AB888" s="121">
        <f t="shared" si="381"/>
        <v>188.58180000000004</v>
      </c>
      <c r="AC888" s="121">
        <v>188.58180000000004</v>
      </c>
      <c r="AD888" s="121">
        <v>188.58180000000004</v>
      </c>
      <c r="AE888" s="121">
        <v>188.58180000000004</v>
      </c>
      <c r="AF888" s="121">
        <v>188.58180000000004</v>
      </c>
      <c r="AG888" s="121">
        <v>188.58180000000004</v>
      </c>
      <c r="AH888" s="121">
        <v>188.58180000000004</v>
      </c>
      <c r="AI888" s="161">
        <v>188.58180000000004</v>
      </c>
      <c r="AJ888" s="161">
        <v>188.58180000000004</v>
      </c>
      <c r="AK888" s="161">
        <v>188.58180000000004</v>
      </c>
      <c r="AL888" s="161">
        <v>188.58180000000004</v>
      </c>
      <c r="AM888" s="161">
        <v>188.58180000000004</v>
      </c>
      <c r="AN888" s="161">
        <v>188.58180000000004</v>
      </c>
      <c r="AO888" s="161">
        <v>188.58180000000004</v>
      </c>
      <c r="AP888" s="125" t="str">
        <f>CONCATENATE(A888,M888)</f>
        <v>Def TaxN</v>
      </c>
      <c r="AQ888" s="125" t="str">
        <f>CONCATENATE(AP888,L888,H888)</f>
        <v>Def TaxNN2Environmental</v>
      </c>
      <c r="AS888" s="125" t="str">
        <f>CONCATENATE(L888,H888,J888)</f>
        <v>N2Environmental</v>
      </c>
    </row>
    <row r="889" spans="1:45" s="125" customFormat="1" ht="25.5" customHeight="1">
      <c r="A889" s="216" t="s">
        <v>1996</v>
      </c>
      <c r="B889" s="217" t="str">
        <f t="shared" si="382"/>
        <v>Def Tax190007DerivativeBT010057</v>
      </c>
      <c r="C889" s="186">
        <v>190007</v>
      </c>
      <c r="D889" s="201" t="s">
        <v>1028</v>
      </c>
      <c r="E889" s="162" t="s">
        <v>498</v>
      </c>
      <c r="F889" s="169" t="s">
        <v>902</v>
      </c>
      <c r="G889" s="117" t="s">
        <v>752</v>
      </c>
      <c r="H889" s="118" t="s">
        <v>1149</v>
      </c>
      <c r="I889" s="119"/>
      <c r="J889" s="120"/>
      <c r="K889" s="120" t="str">
        <f t="shared" si="384"/>
        <v>SFAS-109</v>
      </c>
      <c r="L889" s="170" t="s">
        <v>930</v>
      </c>
      <c r="M889" s="122" t="str">
        <f t="shared" si="379"/>
        <v>N</v>
      </c>
      <c r="N889" s="116" t="str">
        <f>IF($L889&lt;&gt;"",VLOOKUP($L889,Categories!$E:$G,2,FALSE),IF($F889&lt;&gt;"","NO CAT",""))</f>
        <v>Not in Rate Base</v>
      </c>
      <c r="O889" s="116" t="str">
        <f>IF($L889&lt;&gt;"",VLOOKUP($L889,Categories!$E:$G,3,FALSE),IF($F889&lt;&gt;"","NO CAT",""))</f>
        <v>SFAS-109   (offsetting)</v>
      </c>
      <c r="P889" s="170" t="s">
        <v>1186</v>
      </c>
      <c r="Q889" s="123" t="s">
        <v>1187</v>
      </c>
      <c r="R889" s="124">
        <v>0</v>
      </c>
      <c r="S889" s="124">
        <v>0</v>
      </c>
      <c r="T889" s="124">
        <v>1</v>
      </c>
      <c r="U889" s="121">
        <f t="shared" si="372"/>
        <v>0</v>
      </c>
      <c r="V889" s="121">
        <f t="shared" si="373"/>
        <v>0</v>
      </c>
      <c r="W889" s="121">
        <f t="shared" si="374"/>
        <v>71046.087958333301</v>
      </c>
      <c r="X889" s="121">
        <f t="shared" si="380"/>
        <v>71046.087958333301</v>
      </c>
      <c r="Y889" s="121">
        <f t="shared" si="375"/>
        <v>0</v>
      </c>
      <c r="Z889" s="121">
        <f t="shared" si="376"/>
        <v>0</v>
      </c>
      <c r="AA889" s="121">
        <f t="shared" si="377"/>
        <v>74793.875</v>
      </c>
      <c r="AB889" s="121">
        <f t="shared" si="381"/>
        <v>74793.875</v>
      </c>
      <c r="AC889" s="121">
        <v>69630.17</v>
      </c>
      <c r="AD889" s="121">
        <v>69630.17</v>
      </c>
      <c r="AE889" s="121">
        <v>69630.17</v>
      </c>
      <c r="AF889" s="121">
        <v>70067.23</v>
      </c>
      <c r="AG889" s="121">
        <v>70067.23</v>
      </c>
      <c r="AH889" s="121">
        <v>70342.490999999995</v>
      </c>
      <c r="AI889" s="161">
        <v>70742.406000000003</v>
      </c>
      <c r="AJ889" s="161">
        <v>71829.293999999994</v>
      </c>
      <c r="AK889" s="161">
        <v>71829.293999999994</v>
      </c>
      <c r="AL889" s="161">
        <v>71829.293999999994</v>
      </c>
      <c r="AM889" s="161">
        <v>72186.726999999999</v>
      </c>
      <c r="AN889" s="161">
        <v>72186.726999999999</v>
      </c>
      <c r="AO889" s="161">
        <v>74793.875</v>
      </c>
      <c r="AP889" s="125" t="str">
        <f>CONCATENATE(A889,M889)</f>
        <v>Def TaxN</v>
      </c>
      <c r="AQ889" s="125" t="str">
        <f>CONCATENATE(AP889,L889,H889)</f>
        <v>Def TaxNN3SFAS-109</v>
      </c>
      <c r="AS889" s="125" t="str">
        <f>CONCATENATE(L889,H889,J889)</f>
        <v>N3SFAS-109</v>
      </c>
    </row>
    <row r="890" spans="1:45" s="125" customFormat="1" ht="25.5" customHeight="1">
      <c r="A890" s="216" t="s">
        <v>1996</v>
      </c>
      <c r="B890" s="217" t="str">
        <f t="shared" si="382"/>
        <v>Def Tax190007FAS 158 - OPEBBT010090</v>
      </c>
      <c r="C890" s="186">
        <v>190007</v>
      </c>
      <c r="D890" s="201" t="s">
        <v>722</v>
      </c>
      <c r="E890" s="162" t="s">
        <v>2690</v>
      </c>
      <c r="F890" s="169" t="s">
        <v>902</v>
      </c>
      <c r="G890" s="117" t="s">
        <v>752</v>
      </c>
      <c r="H890" s="118" t="s">
        <v>170</v>
      </c>
      <c r="I890" s="119"/>
      <c r="J890" s="120"/>
      <c r="K890" s="120" t="str">
        <f t="shared" si="384"/>
        <v/>
      </c>
      <c r="L890" s="170" t="s">
        <v>1895</v>
      </c>
      <c r="M890" s="122" t="str">
        <f t="shared" si="379"/>
        <v>R</v>
      </c>
      <c r="N890" s="116" t="str">
        <f>IF($L890&lt;&gt;"",VLOOKUP($L890,Categories!$E:$G,2,FALSE),IF($F890&lt;&gt;"","NO CAT",""))</f>
        <v>Rate Base</v>
      </c>
      <c r="O890" s="116" t="str">
        <f>IF($L890&lt;&gt;"",VLOOKUP($L890,Categories!$E:$G,3,FALSE),IF($F890&lt;&gt;"","NO CAT",""))</f>
        <v>Deferred Income Taxes</v>
      </c>
      <c r="P890" s="170" t="s">
        <v>1553</v>
      </c>
      <c r="Q890" s="123" t="s">
        <v>2587</v>
      </c>
      <c r="R890" s="124">
        <v>0.81899999999999995</v>
      </c>
      <c r="S890" s="124">
        <v>0.18099999999999999</v>
      </c>
      <c r="T890" s="124">
        <v>0</v>
      </c>
      <c r="U890" s="121" t="str">
        <f t="shared" si="372"/>
        <v/>
      </c>
      <c r="V890" s="121" t="str">
        <f t="shared" si="373"/>
        <v/>
      </c>
      <c r="W890" s="121" t="str">
        <f t="shared" si="374"/>
        <v/>
      </c>
      <c r="X890" s="121">
        <f t="shared" si="380"/>
        <v>0</v>
      </c>
      <c r="Y890" s="121" t="str">
        <f t="shared" si="375"/>
        <v/>
      </c>
      <c r="Z890" s="121" t="str">
        <f t="shared" si="376"/>
        <v/>
      </c>
      <c r="AA890" s="121" t="str">
        <f t="shared" si="377"/>
        <v/>
      </c>
      <c r="AB890" s="121">
        <f t="shared" si="381"/>
        <v>0</v>
      </c>
      <c r="AC890" s="121">
        <v>0</v>
      </c>
      <c r="AD890" s="121">
        <v>0</v>
      </c>
      <c r="AE890" s="121">
        <v>0</v>
      </c>
      <c r="AF890" s="121">
        <v>0</v>
      </c>
      <c r="AG890" s="121">
        <v>0</v>
      </c>
      <c r="AH890" s="121">
        <v>0</v>
      </c>
      <c r="AI890" s="161">
        <v>0</v>
      </c>
      <c r="AJ890" s="161">
        <f t="shared" ref="AJ890:AJ893" si="385">IF(AI890=0,0,0)</f>
        <v>0</v>
      </c>
      <c r="AK890" s="161">
        <v>0</v>
      </c>
      <c r="AL890" s="161">
        <v>0</v>
      </c>
      <c r="AM890" s="161">
        <v>0</v>
      </c>
      <c r="AN890" s="161">
        <v>0</v>
      </c>
      <c r="AO890" s="161">
        <v>0</v>
      </c>
      <c r="AP890" s="125" t="str">
        <f>CONCATENATE(A890,M890)</f>
        <v>Def TaxR</v>
      </c>
      <c r="AQ890" s="125" t="str">
        <f>CONCATENATE(AP890,L890,H890)</f>
        <v>Def TaxRR11OPEBs</v>
      </c>
      <c r="AS890" s="125" t="str">
        <f>CONCATENATE(L890,H890,J890)</f>
        <v>R11OPEBs</v>
      </c>
    </row>
    <row r="891" spans="1:45" s="125" customFormat="1" ht="25.5" customHeight="1">
      <c r="A891" s="216" t="s">
        <v>1996</v>
      </c>
      <c r="B891" s="217" t="str">
        <f t="shared" si="382"/>
        <v>Def Tax190007Restructuring</v>
      </c>
      <c r="C891" s="186">
        <v>190007</v>
      </c>
      <c r="D891" s="201" t="s">
        <v>922</v>
      </c>
      <c r="E891" s="162"/>
      <c r="F891" s="169" t="s">
        <v>902</v>
      </c>
      <c r="G891" s="117" t="s">
        <v>922</v>
      </c>
      <c r="H891" s="118" t="s">
        <v>1149</v>
      </c>
      <c r="I891" s="119"/>
      <c r="J891" s="120"/>
      <c r="K891" s="120" t="str">
        <f t="shared" si="384"/>
        <v>SFAS-109</v>
      </c>
      <c r="L891" s="170" t="s">
        <v>930</v>
      </c>
      <c r="M891" s="122" t="str">
        <f t="shared" si="379"/>
        <v>N</v>
      </c>
      <c r="N891" s="116" t="str">
        <f>IF($L891&lt;&gt;"",VLOOKUP($L891,Categories!$E:$G,2,FALSE),IF($F891&lt;&gt;"","NO CAT",""))</f>
        <v>Not in Rate Base</v>
      </c>
      <c r="O891" s="116" t="str">
        <f>IF($L891&lt;&gt;"",VLOOKUP($L891,Categories!$E:$G,3,FALSE),IF($F891&lt;&gt;"","NO CAT",""))</f>
        <v>SFAS-109   (offsetting)</v>
      </c>
      <c r="P891" s="170" t="s">
        <v>1186</v>
      </c>
      <c r="Q891" s="123" t="s">
        <v>1187</v>
      </c>
      <c r="R891" s="124">
        <v>0</v>
      </c>
      <c r="S891" s="124">
        <v>0</v>
      </c>
      <c r="T891" s="124">
        <v>1</v>
      </c>
      <c r="U891" s="121">
        <f t="shared" si="372"/>
        <v>0</v>
      </c>
      <c r="V891" s="121">
        <f t="shared" si="373"/>
        <v>0</v>
      </c>
      <c r="W891" s="121">
        <f t="shared" si="374"/>
        <v>6.2500000000000001E-4</v>
      </c>
      <c r="X891" s="121">
        <f t="shared" si="380"/>
        <v>6.2500000000000001E-4</v>
      </c>
      <c r="Y891" s="121" t="str">
        <f t="shared" si="375"/>
        <v/>
      </c>
      <c r="Z891" s="121" t="str">
        <f t="shared" si="376"/>
        <v/>
      </c>
      <c r="AA891" s="121" t="str">
        <f t="shared" si="377"/>
        <v/>
      </c>
      <c r="AB891" s="121">
        <f t="shared" si="381"/>
        <v>0</v>
      </c>
      <c r="AC891" s="121">
        <v>3.0000000000000001E-3</v>
      </c>
      <c r="AD891" s="121">
        <v>3.0000000000000001E-3</v>
      </c>
      <c r="AE891" s="121">
        <v>3.0000000000000001E-3</v>
      </c>
      <c r="AF891" s="121">
        <v>0</v>
      </c>
      <c r="AG891" s="121">
        <v>0</v>
      </c>
      <c r="AH891" s="121">
        <v>0</v>
      </c>
      <c r="AI891" s="161">
        <v>0</v>
      </c>
      <c r="AJ891" s="161">
        <f t="shared" si="385"/>
        <v>0</v>
      </c>
      <c r="AK891" s="161">
        <v>0</v>
      </c>
      <c r="AL891" s="161">
        <v>0</v>
      </c>
      <c r="AM891" s="161">
        <v>0</v>
      </c>
      <c r="AN891" s="161">
        <v>0</v>
      </c>
      <c r="AO891" s="161">
        <v>0</v>
      </c>
      <c r="AP891" s="125" t="str">
        <f>CONCATENATE(A891,M891)</f>
        <v>Def TaxN</v>
      </c>
      <c r="AQ891" s="125" t="str">
        <f>CONCATENATE(AP891,L891,H891)</f>
        <v>Def TaxNN3SFAS-109</v>
      </c>
      <c r="AS891" s="125" t="str">
        <f>CONCATENATE(L891,H891,J891)</f>
        <v>N3SFAS-109</v>
      </c>
    </row>
    <row r="892" spans="1:45" s="125" customFormat="1" ht="25.5" customHeight="1">
      <c r="A892" s="216" t="s">
        <v>1996</v>
      </c>
      <c r="B892" s="217" t="str">
        <f t="shared" si="382"/>
        <v>Def Tax190007Unbilled Revenue</v>
      </c>
      <c r="C892" s="186">
        <v>190007</v>
      </c>
      <c r="D892" s="201" t="s">
        <v>451</v>
      </c>
      <c r="E892" s="162"/>
      <c r="F892" s="169" t="s">
        <v>902</v>
      </c>
      <c r="G892" s="117" t="s">
        <v>451</v>
      </c>
      <c r="H892" s="118" t="s">
        <v>1149</v>
      </c>
      <c r="I892" s="119"/>
      <c r="J892" s="120"/>
      <c r="K892" s="120" t="str">
        <f t="shared" si="384"/>
        <v>SFAS-109</v>
      </c>
      <c r="L892" s="170" t="s">
        <v>930</v>
      </c>
      <c r="M892" s="122" t="str">
        <f t="shared" si="379"/>
        <v>N</v>
      </c>
      <c r="N892" s="116" t="str">
        <f>IF($L892&lt;&gt;"",VLOOKUP($L892,Categories!$E:$G,2,FALSE),IF($F892&lt;&gt;"","NO CAT",""))</f>
        <v>Not in Rate Base</v>
      </c>
      <c r="O892" s="116" t="str">
        <f>IF($L892&lt;&gt;"",VLOOKUP($L892,Categories!$E:$G,3,FALSE),IF($F892&lt;&gt;"","NO CAT",""))</f>
        <v>SFAS-109   (offsetting)</v>
      </c>
      <c r="P892" s="170" t="s">
        <v>1186</v>
      </c>
      <c r="Q892" s="123" t="s">
        <v>1187</v>
      </c>
      <c r="R892" s="124">
        <v>0</v>
      </c>
      <c r="S892" s="124">
        <v>0</v>
      </c>
      <c r="T892" s="124">
        <v>1</v>
      </c>
      <c r="U892" s="121" t="str">
        <f t="shared" si="372"/>
        <v/>
      </c>
      <c r="V892" s="121" t="str">
        <f t="shared" si="373"/>
        <v/>
      </c>
      <c r="W892" s="121" t="str">
        <f t="shared" si="374"/>
        <v/>
      </c>
      <c r="X892" s="121">
        <f t="shared" si="380"/>
        <v>0</v>
      </c>
      <c r="Y892" s="121" t="str">
        <f t="shared" si="375"/>
        <v/>
      </c>
      <c r="Z892" s="121" t="str">
        <f t="shared" si="376"/>
        <v/>
      </c>
      <c r="AA892" s="121" t="str">
        <f t="shared" si="377"/>
        <v/>
      </c>
      <c r="AB892" s="121">
        <f t="shared" si="381"/>
        <v>0</v>
      </c>
      <c r="AC892" s="121">
        <v>0</v>
      </c>
      <c r="AD892" s="121">
        <v>0</v>
      </c>
      <c r="AE892" s="121">
        <v>0</v>
      </c>
      <c r="AF892" s="121">
        <v>0</v>
      </c>
      <c r="AG892" s="121">
        <v>0</v>
      </c>
      <c r="AH892" s="121">
        <v>0</v>
      </c>
      <c r="AI892" s="161">
        <v>0</v>
      </c>
      <c r="AJ892" s="161">
        <f t="shared" si="385"/>
        <v>0</v>
      </c>
      <c r="AK892" s="161">
        <v>0</v>
      </c>
      <c r="AL892" s="161">
        <v>0</v>
      </c>
      <c r="AM892" s="161">
        <v>0</v>
      </c>
      <c r="AN892" s="161">
        <v>0</v>
      </c>
      <c r="AO892" s="161">
        <v>0</v>
      </c>
      <c r="AP892" s="125" t="str">
        <f>CONCATENATE(A892,M892)</f>
        <v>Def TaxN</v>
      </c>
      <c r="AQ892" s="125" t="str">
        <f>CONCATENATE(AP892,L892,H892)</f>
        <v>Def TaxNN3SFAS-109</v>
      </c>
      <c r="AS892" s="125" t="str">
        <f>CONCATENATE(L892,H892,J892)</f>
        <v>N3SFAS-109</v>
      </c>
    </row>
    <row r="893" spans="1:45" s="125" customFormat="1" ht="25.5" customHeight="1">
      <c r="A893" s="216" t="s">
        <v>1996</v>
      </c>
      <c r="B893" s="217" t="str">
        <f t="shared" si="382"/>
        <v>Def Tax190007Vacation Accrual</v>
      </c>
      <c r="C893" s="186">
        <v>190007</v>
      </c>
      <c r="D893" s="201" t="s">
        <v>987</v>
      </c>
      <c r="E893" s="162"/>
      <c r="F893" s="169" t="s">
        <v>902</v>
      </c>
      <c r="G893" s="117" t="s">
        <v>987</v>
      </c>
      <c r="H893" s="118" t="s">
        <v>220</v>
      </c>
      <c r="I893" s="119"/>
      <c r="J893" s="120"/>
      <c r="K893" s="120" t="str">
        <f t="shared" si="384"/>
        <v/>
      </c>
      <c r="L893" s="170" t="s">
        <v>1419</v>
      </c>
      <c r="M893" s="122" t="str">
        <f t="shared" si="379"/>
        <v>A</v>
      </c>
      <c r="N893" s="116" t="str">
        <f>IF($L893&lt;&gt;"",VLOOKUP($L893,Categories!$E:$G,2,FALSE),IF($F893&lt;&gt;"","NO CAT",""))</f>
        <v>All Other</v>
      </c>
      <c r="O893" s="116" t="str">
        <f>IF($L893&lt;&gt;"",VLOOKUP($L893,Categories!$E:$G,3,FALSE),IF($F893&lt;&gt;"","NO CAT",""))</f>
        <v>EB-Cap</v>
      </c>
      <c r="P893" s="170" t="s">
        <v>1557</v>
      </c>
      <c r="Q893" s="123" t="s">
        <v>1891</v>
      </c>
      <c r="R893" s="124">
        <v>0.77544352505021785</v>
      </c>
      <c r="S893" s="124">
        <v>0.22455647494978223</v>
      </c>
      <c r="T893" s="124">
        <v>0</v>
      </c>
      <c r="U893" s="121" t="str">
        <f t="shared" si="372"/>
        <v/>
      </c>
      <c r="V893" s="121" t="str">
        <f t="shared" si="373"/>
        <v/>
      </c>
      <c r="W893" s="121" t="str">
        <f t="shared" si="374"/>
        <v/>
      </c>
      <c r="X893" s="121">
        <f t="shared" si="380"/>
        <v>0</v>
      </c>
      <c r="Y893" s="121" t="str">
        <f t="shared" si="375"/>
        <v/>
      </c>
      <c r="Z893" s="121" t="str">
        <f t="shared" si="376"/>
        <v/>
      </c>
      <c r="AA893" s="121" t="str">
        <f t="shared" si="377"/>
        <v/>
      </c>
      <c r="AB893" s="121">
        <f t="shared" si="381"/>
        <v>0</v>
      </c>
      <c r="AC893" s="121">
        <v>0</v>
      </c>
      <c r="AD893" s="121">
        <v>0</v>
      </c>
      <c r="AE893" s="121">
        <v>0</v>
      </c>
      <c r="AF893" s="121">
        <v>0</v>
      </c>
      <c r="AG893" s="121">
        <v>0</v>
      </c>
      <c r="AH893" s="121">
        <v>0</v>
      </c>
      <c r="AI893" s="161">
        <v>0</v>
      </c>
      <c r="AJ893" s="161">
        <f t="shared" si="385"/>
        <v>0</v>
      </c>
      <c r="AK893" s="161">
        <v>0</v>
      </c>
      <c r="AL893" s="161">
        <v>0</v>
      </c>
      <c r="AM893" s="161">
        <v>0</v>
      </c>
      <c r="AN893" s="161">
        <v>0</v>
      </c>
      <c r="AO893" s="161">
        <v>0</v>
      </c>
      <c r="AP893" s="125" t="str">
        <f>CONCATENATE(A893,M893)</f>
        <v>Def TaxA</v>
      </c>
      <c r="AQ893" s="125" t="str">
        <f>CONCATENATE(AP893,L893,H893)</f>
        <v>Def TaxAA2Payroll-Related Costs</v>
      </c>
      <c r="AS893" s="125" t="str">
        <f>CONCATENATE(L893,H893,J893)</f>
        <v>A2Payroll-Related Costs</v>
      </c>
    </row>
    <row r="894" spans="1:45" s="125" customFormat="1" ht="25.5" customHeight="1">
      <c r="A894" s="216" t="s">
        <v>1996</v>
      </c>
      <c r="B894" s="217" t="str">
        <f t="shared" si="382"/>
        <v>Def Tax190008DerivativeBT010057</v>
      </c>
      <c r="C894" s="186">
        <v>190008</v>
      </c>
      <c r="D894" s="201" t="s">
        <v>1028</v>
      </c>
      <c r="E894" s="162" t="s">
        <v>498</v>
      </c>
      <c r="F894" s="169" t="s">
        <v>1139</v>
      </c>
      <c r="G894" s="117" t="s">
        <v>864</v>
      </c>
      <c r="H894" s="118" t="s">
        <v>1149</v>
      </c>
      <c r="I894" s="119"/>
      <c r="J894" s="120"/>
      <c r="K894" s="120" t="str">
        <f t="shared" si="384"/>
        <v>SFAS-109</v>
      </c>
      <c r="L894" s="170" t="s">
        <v>930</v>
      </c>
      <c r="M894" s="122" t="str">
        <f t="shared" si="379"/>
        <v>N</v>
      </c>
      <c r="N894" s="116" t="str">
        <f>IF($L894&lt;&gt;"",VLOOKUP($L894,Categories!$E:$G,2,FALSE),IF($F894&lt;&gt;"","NO CAT",""))</f>
        <v>Not in Rate Base</v>
      </c>
      <c r="O894" s="116" t="str">
        <f>IF($L894&lt;&gt;"",VLOOKUP($L894,Categories!$E:$G,3,FALSE),IF($F894&lt;&gt;"","NO CAT",""))</f>
        <v>SFAS-109   (offsetting)</v>
      </c>
      <c r="P894" s="170" t="s">
        <v>1186</v>
      </c>
      <c r="Q894" s="123" t="s">
        <v>1187</v>
      </c>
      <c r="R894" s="124">
        <v>0</v>
      </c>
      <c r="S894" s="124">
        <v>0</v>
      </c>
      <c r="T894" s="124">
        <v>1</v>
      </c>
      <c r="U894" s="121">
        <f t="shared" si="372"/>
        <v>0</v>
      </c>
      <c r="V894" s="121">
        <f t="shared" si="373"/>
        <v>0</v>
      </c>
      <c r="W894" s="121">
        <f t="shared" si="374"/>
        <v>690.49900000000002</v>
      </c>
      <c r="X894" s="121">
        <f t="shared" si="380"/>
        <v>690.49900000000002</v>
      </c>
      <c r="Y894" s="121">
        <f t="shared" si="375"/>
        <v>0</v>
      </c>
      <c r="Z894" s="121">
        <f t="shared" si="376"/>
        <v>0</v>
      </c>
      <c r="AA894" s="121">
        <f t="shared" si="377"/>
        <v>690.49900000000002</v>
      </c>
      <c r="AB894" s="121">
        <f t="shared" si="381"/>
        <v>690.49900000000002</v>
      </c>
      <c r="AC894" s="121">
        <v>690.49900000000002</v>
      </c>
      <c r="AD894" s="121">
        <v>690.49900000000002</v>
      </c>
      <c r="AE894" s="121">
        <v>690.49900000000002</v>
      </c>
      <c r="AF894" s="121">
        <v>690.49900000000002</v>
      </c>
      <c r="AG894" s="121">
        <v>690.49900000000002</v>
      </c>
      <c r="AH894" s="121">
        <v>690.49900000000002</v>
      </c>
      <c r="AI894" s="161">
        <v>690.49900000000002</v>
      </c>
      <c r="AJ894" s="161">
        <v>690.49900000000002</v>
      </c>
      <c r="AK894" s="161">
        <v>690.49900000000002</v>
      </c>
      <c r="AL894" s="161">
        <v>690.49900000000002</v>
      </c>
      <c r="AM894" s="161">
        <v>690.49900000000002</v>
      </c>
      <c r="AN894" s="161">
        <v>690.49900000000002</v>
      </c>
      <c r="AO894" s="161">
        <v>690.49900000000002</v>
      </c>
      <c r="AP894" s="125" t="str">
        <f>CONCATENATE(A894,M894)</f>
        <v>Def TaxN</v>
      </c>
      <c r="AQ894" s="125" t="str">
        <f>CONCATENATE(AP894,L894,H894)</f>
        <v>Def TaxNN3SFAS-109</v>
      </c>
      <c r="AS894" s="125" t="str">
        <f>CONCATENATE(L894,H894,J894)</f>
        <v>N3SFAS-109</v>
      </c>
    </row>
    <row r="895" spans="1:45" s="125" customFormat="1" ht="25.5" customHeight="1">
      <c r="A895" s="216" t="s">
        <v>1996</v>
      </c>
      <c r="B895" s="217" t="str">
        <f>CONCATENATE(A895,C895,D895,E895)</f>
        <v>Def Tax190010BT010143</v>
      </c>
      <c r="C895" s="186">
        <v>190010</v>
      </c>
      <c r="D895" s="201"/>
      <c r="E895" s="162" t="s">
        <v>4428</v>
      </c>
      <c r="F895" s="169" t="s">
        <v>2216</v>
      </c>
      <c r="G895" s="117" t="s">
        <v>4427</v>
      </c>
      <c r="H895" s="118" t="s">
        <v>2860</v>
      </c>
      <c r="I895" s="119"/>
      <c r="J895" s="120"/>
      <c r="K895" s="120" t="str">
        <f>IF(L895="N3","SFAS-109","")</f>
        <v/>
      </c>
      <c r="L895" s="170" t="s">
        <v>2811</v>
      </c>
      <c r="M895" s="122" t="str">
        <f>LEFT(L895,1)</f>
        <v>N</v>
      </c>
      <c r="N895" s="116" t="str">
        <f>IF($L895&lt;&gt;"",VLOOKUP($L895,Categories!$E:$G,2,FALSE),IF($F895&lt;&gt;"","NO CAT",""))</f>
        <v>Not in Rate Base</v>
      </c>
      <c r="O895" s="116" t="str">
        <f>IF($L895&lt;&gt;"",VLOOKUP($L895,Categories!$E:$G,3,FALSE),IF($F895&lt;&gt;"","NO CAT",""))</f>
        <v>Hedges &amp; OCI</v>
      </c>
      <c r="P895" s="170" t="s">
        <v>1186</v>
      </c>
      <c r="Q895" s="123" t="s">
        <v>1187</v>
      </c>
      <c r="R895" s="124">
        <v>0</v>
      </c>
      <c r="S895" s="124">
        <v>0</v>
      </c>
      <c r="T895" s="124">
        <v>1</v>
      </c>
      <c r="U895" s="121">
        <f>IF(ABS(X895)=0,"",IF($R895="NO ALLOC","NO ALLOC",ROUND($R895*X895,15)))</f>
        <v>0</v>
      </c>
      <c r="V895" s="121">
        <f>IF(ABS(X895)=0,"",IF($S895="NO ALLOC","NO ALLOC",ROUND($S895*X895,15)))</f>
        <v>0</v>
      </c>
      <c r="W895" s="121">
        <f>IF(ABS(X895)=0,"",IF($T895="NO ALLOC","NO ALLOC",ROUND($T895*X895,15)))</f>
        <v>-0.13312499999999999</v>
      </c>
      <c r="X895" s="121">
        <f t="shared" si="380"/>
        <v>-0.13312499999999999</v>
      </c>
      <c r="Y895" s="121" t="str">
        <f>IF(ABS(AB895)=0,"",IF($R895="NO ALLOC","NO ALLOC",ROUND($R895*AB895,15)))</f>
        <v/>
      </c>
      <c r="Z895" s="121" t="str">
        <f>IF(ABS(AB895)=0,"",IF($S895="NO ALLOC","NO ALLOC",ROUND($S895*AB895,15)))</f>
        <v/>
      </c>
      <c r="AA895" s="121" t="str">
        <f>IF(ABS(AB895)=0,"",IF($T895="NO ALLOC","NO ALLOC",ROUND($T895*AB895,15)))</f>
        <v/>
      </c>
      <c r="AB895" s="121">
        <f t="shared" si="381"/>
        <v>0</v>
      </c>
      <c r="AC895" s="121">
        <v>0</v>
      </c>
      <c r="AD895" s="121">
        <v>-1.5974999999999999</v>
      </c>
      <c r="AE895" s="121">
        <v>0</v>
      </c>
      <c r="AF895" s="121">
        <v>0</v>
      </c>
      <c r="AG895" s="121">
        <v>0</v>
      </c>
      <c r="AH895" s="121">
        <v>0</v>
      </c>
      <c r="AI895" s="161">
        <v>0</v>
      </c>
      <c r="AJ895" s="161">
        <f>IF(AI895=0,0,0)</f>
        <v>0</v>
      </c>
      <c r="AK895" s="161">
        <v>0</v>
      </c>
      <c r="AL895" s="161">
        <v>0</v>
      </c>
      <c r="AM895" s="161">
        <v>0</v>
      </c>
      <c r="AN895" s="161">
        <v>0</v>
      </c>
      <c r="AO895" s="161">
        <v>0</v>
      </c>
      <c r="AP895" s="125" t="str">
        <f>CONCATENATE(A895,M895)</f>
        <v>Def TaxN</v>
      </c>
      <c r="AQ895" s="125" t="str">
        <f>CONCATENATE(AP895,L895,H895)</f>
        <v>Def TaxNN5Hedges &amp; OCI</v>
      </c>
      <c r="AS895" s="125" t="str">
        <f>CONCATENATE(L895,H895,J895)</f>
        <v>N5Hedges &amp; OCI</v>
      </c>
    </row>
    <row r="896" spans="1:45" s="125" customFormat="1" ht="25.5" customHeight="1">
      <c r="A896" s="216" t="s">
        <v>1996</v>
      </c>
      <c r="B896" s="217" t="str">
        <f>CONCATENATE(A896,C896,D896,E896)</f>
        <v>Def Tax190010BT010145</v>
      </c>
      <c r="C896" s="186">
        <v>190010</v>
      </c>
      <c r="D896" s="201"/>
      <c r="E896" s="162" t="s">
        <v>4541</v>
      </c>
      <c r="F896" s="169" t="s">
        <v>2216</v>
      </c>
      <c r="G896" s="117" t="s">
        <v>4540</v>
      </c>
      <c r="H896" s="118" t="s">
        <v>2860</v>
      </c>
      <c r="I896" s="119"/>
      <c r="J896" s="120"/>
      <c r="K896" s="120" t="str">
        <f>IF(L896="N3","SFAS-109","")</f>
        <v/>
      </c>
      <c r="L896" s="170" t="s">
        <v>2811</v>
      </c>
      <c r="M896" s="122" t="str">
        <f>LEFT(L896,1)</f>
        <v>N</v>
      </c>
      <c r="N896" s="116" t="str">
        <f>IF($L896&lt;&gt;"",VLOOKUP($L896,Categories!$E:$G,2,FALSE),IF($F896&lt;&gt;"","NO CAT",""))</f>
        <v>Not in Rate Base</v>
      </c>
      <c r="O896" s="116" t="str">
        <f>IF($L896&lt;&gt;"",VLOOKUP($L896,Categories!$E:$G,3,FALSE),IF($F896&lt;&gt;"","NO CAT",""))</f>
        <v>Hedges &amp; OCI</v>
      </c>
      <c r="P896" s="170" t="s">
        <v>1186</v>
      </c>
      <c r="Q896" s="123" t="s">
        <v>1187</v>
      </c>
      <c r="R896" s="124">
        <v>0</v>
      </c>
      <c r="S896" s="124">
        <v>0</v>
      </c>
      <c r="T896" s="124">
        <v>1</v>
      </c>
      <c r="U896" s="121" t="str">
        <f>IF(ABS(X896)=0,"",IF($R896="NO ALLOC","NO ALLOC",ROUND($R896*X896,15)))</f>
        <v/>
      </c>
      <c r="V896" s="121" t="str">
        <f>IF(ABS(X896)=0,"",IF($S896="NO ALLOC","NO ALLOC",ROUND($S896*X896,15)))</f>
        <v/>
      </c>
      <c r="W896" s="121" t="str">
        <f>IF(ABS(X896)=0,"",IF($T896="NO ALLOC","NO ALLOC",ROUND($T896*X896,15)))</f>
        <v/>
      </c>
      <c r="X896" s="121">
        <f t="shared" si="380"/>
        <v>0</v>
      </c>
      <c r="Y896" s="121" t="str">
        <f>IF(ABS(AB896)=0,"",IF($R896="NO ALLOC","NO ALLOC",ROUND($R896*AB896,15)))</f>
        <v/>
      </c>
      <c r="Z896" s="121" t="str">
        <f>IF(ABS(AB896)=0,"",IF($S896="NO ALLOC","NO ALLOC",ROUND($S896*AB896,15)))</f>
        <v/>
      </c>
      <c r="AA896" s="121" t="str">
        <f>IF(ABS(AB896)=0,"",IF($T896="NO ALLOC","NO ALLOC",ROUND($T896*AB896,15)))</f>
        <v/>
      </c>
      <c r="AB896" s="121">
        <f t="shared" si="381"/>
        <v>0</v>
      </c>
      <c r="AC896" s="121">
        <v>0</v>
      </c>
      <c r="AD896" s="121">
        <v>0</v>
      </c>
      <c r="AE896" s="121">
        <v>0</v>
      </c>
      <c r="AF896" s="121">
        <v>0</v>
      </c>
      <c r="AG896" s="121">
        <v>0</v>
      </c>
      <c r="AH896" s="121">
        <v>0</v>
      </c>
      <c r="AI896" s="161">
        <v>0</v>
      </c>
      <c r="AJ896" s="161">
        <f>IF(AI896=0,0,0)</f>
        <v>0</v>
      </c>
      <c r="AK896" s="161">
        <v>0</v>
      </c>
      <c r="AL896" s="161">
        <v>0</v>
      </c>
      <c r="AM896" s="161">
        <v>0</v>
      </c>
      <c r="AN896" s="161">
        <v>0</v>
      </c>
      <c r="AO896" s="161">
        <v>0</v>
      </c>
      <c r="AP896" s="125" t="str">
        <f>CONCATENATE(A896,M896)</f>
        <v>Def TaxN</v>
      </c>
      <c r="AQ896" s="125" t="str">
        <f>CONCATENATE(AP896,L896,H896)</f>
        <v>Def TaxNN5Hedges &amp; OCI</v>
      </c>
      <c r="AS896" s="125" t="str">
        <f>CONCATENATE(L896,H896,J896)</f>
        <v>N5Hedges &amp; OCI</v>
      </c>
    </row>
    <row r="897" spans="1:45" s="125" customFormat="1" ht="25.5" customHeight="1">
      <c r="A897" s="216" t="s">
        <v>1996</v>
      </c>
      <c r="B897" s="217" t="str">
        <f t="shared" si="382"/>
        <v>Def Tax1900100-186.01.29BT010136</v>
      </c>
      <c r="C897" s="186">
        <v>190010</v>
      </c>
      <c r="D897" s="201" t="s">
        <v>1069</v>
      </c>
      <c r="E897" s="162" t="s">
        <v>1408</v>
      </c>
      <c r="F897" s="169" t="s">
        <v>2216</v>
      </c>
      <c r="G897" s="117" t="s">
        <v>434</v>
      </c>
      <c r="H897" s="118" t="s">
        <v>1405</v>
      </c>
      <c r="I897" s="119"/>
      <c r="J897" s="120"/>
      <c r="K897" s="120" t="str">
        <f t="shared" si="384"/>
        <v/>
      </c>
      <c r="L897" s="170" t="s">
        <v>1895</v>
      </c>
      <c r="M897" s="122" t="str">
        <f t="shared" ref="M897:M911" si="386">LEFT(L897,1)</f>
        <v>R</v>
      </c>
      <c r="N897" s="116" t="str">
        <f>IF($L897&lt;&gt;"",VLOOKUP($L897,Categories!$E:$G,2,FALSE),IF($F897&lt;&gt;"","NO CAT",""))</f>
        <v>Rate Base</v>
      </c>
      <c r="O897" s="116" t="str">
        <f>IF($L897&lt;&gt;"",VLOOKUP($L897,Categories!$E:$G,3,FALSE),IF($F897&lt;&gt;"","NO CAT",""))</f>
        <v>Deferred Income Taxes</v>
      </c>
      <c r="P897" s="170" t="s">
        <v>1188</v>
      </c>
      <c r="Q897" s="123" t="s">
        <v>1843</v>
      </c>
      <c r="R897" s="124">
        <v>0.76071990262269951</v>
      </c>
      <c r="S897" s="124">
        <v>0.23928009737730072</v>
      </c>
      <c r="T897" s="124">
        <v>0</v>
      </c>
      <c r="U897" s="121">
        <f t="shared" ref="U897:U904" si="387">IF(ABS(X897)=0,"",IF($R897="NO ALLOC","NO ALLOC",ROUND($R897*X897,15)))</f>
        <v>36.9839467649375</v>
      </c>
      <c r="V897" s="121">
        <f t="shared" ref="V897:V904" si="388">IF(ABS(X897)=0,"",IF($S897="NO ALLOC","NO ALLOC",ROUND($S897*X897,15)))</f>
        <v>11.6330890683957</v>
      </c>
      <c r="W897" s="121">
        <f t="shared" ref="W897:W904" si="389">IF(ABS(X897)=0,"",IF($T897="NO ALLOC","NO ALLOC",ROUND($T897*X897,15)))</f>
        <v>0</v>
      </c>
      <c r="X897" s="121">
        <f t="shared" si="380"/>
        <v>48.617035833333198</v>
      </c>
      <c r="Y897" s="121">
        <f t="shared" ref="Y897:Y904" si="390">IF(ABS(AB897)=0,"",IF($R897="NO ALLOC","NO ALLOC",ROUND($R897*AB897,15)))</f>
        <v>113.075247268002</v>
      </c>
      <c r="Z897" s="121">
        <f t="shared" ref="Z897:Z904" si="391">IF(ABS(AB897)=0,"",IF($S897="NO ALLOC","NO ALLOC",ROUND($S897*AB897,15)))</f>
        <v>35.567172731997601</v>
      </c>
      <c r="AA897" s="121">
        <f t="shared" ref="AA897:AA904" si="392">IF(ABS(AB897)=0,"",IF($T897="NO ALLOC","NO ALLOC",ROUND($T897*AB897,15)))</f>
        <v>0</v>
      </c>
      <c r="AB897" s="121">
        <f t="shared" si="381"/>
        <v>148.6424199999999</v>
      </c>
      <c r="AC897" s="121">
        <v>36.167479999999877</v>
      </c>
      <c r="AD897" s="121">
        <v>31.846019999999882</v>
      </c>
      <c r="AE897" s="121">
        <v>22.477039999999882</v>
      </c>
      <c r="AF897" s="121">
        <v>27.616349999999883</v>
      </c>
      <c r="AG897" s="121">
        <v>27.68485999999988</v>
      </c>
      <c r="AH897" s="121">
        <v>28.217679999999881</v>
      </c>
      <c r="AI897" s="161">
        <v>19.076969999999882</v>
      </c>
      <c r="AJ897" s="161">
        <v>33.685989999999883</v>
      </c>
      <c r="AK897" s="161">
        <v>40.690849999999884</v>
      </c>
      <c r="AL897" s="161">
        <v>60.145909999999887</v>
      </c>
      <c r="AM897" s="161">
        <v>81.5419499999999</v>
      </c>
      <c r="AN897" s="161">
        <v>118.0158599999999</v>
      </c>
      <c r="AO897" s="161">
        <v>148.6424199999999</v>
      </c>
      <c r="AP897" s="125" t="str">
        <f>CONCATENATE(A897,M897)</f>
        <v>Def TaxR</v>
      </c>
      <c r="AQ897" s="125" t="str">
        <f>CONCATENATE(AP897,L897,H897)</f>
        <v>Def TaxRR11A&amp;S CHIP</v>
      </c>
      <c r="AS897" s="125" t="str">
        <f>CONCATENATE(L897,H897,J897)</f>
        <v>R11A&amp;S CHIP</v>
      </c>
    </row>
    <row r="898" spans="1:45" s="125" customFormat="1" ht="25.5" customHeight="1">
      <c r="A898" s="216" t="s">
        <v>1996</v>
      </c>
      <c r="B898" s="217" t="str">
        <f t="shared" si="382"/>
        <v>Def Tax1900100-186.01.29BT010137</v>
      </c>
      <c r="C898" s="186">
        <v>190010</v>
      </c>
      <c r="D898" s="201" t="s">
        <v>1069</v>
      </c>
      <c r="E898" s="162" t="s">
        <v>1202</v>
      </c>
      <c r="F898" s="169" t="s">
        <v>2216</v>
      </c>
      <c r="G898" s="117" t="s">
        <v>574</v>
      </c>
      <c r="H898" s="118" t="s">
        <v>1405</v>
      </c>
      <c r="I898" s="119"/>
      <c r="J898" s="120"/>
      <c r="K898" s="120" t="str">
        <f t="shared" si="384"/>
        <v/>
      </c>
      <c r="L898" s="170" t="s">
        <v>1895</v>
      </c>
      <c r="M898" s="122" t="str">
        <f t="shared" si="386"/>
        <v>R</v>
      </c>
      <c r="N898" s="116" t="str">
        <f>IF($L898&lt;&gt;"",VLOOKUP($L898,Categories!$E:$G,2,FALSE),IF($F898&lt;&gt;"","NO CAT",""))</f>
        <v>Rate Base</v>
      </c>
      <c r="O898" s="116" t="str">
        <f>IF($L898&lt;&gt;"",VLOOKUP($L898,Categories!$E:$G,3,FALSE),IF($F898&lt;&gt;"","NO CAT",""))</f>
        <v>Deferred Income Taxes</v>
      </c>
      <c r="P898" s="170" t="s">
        <v>1188</v>
      </c>
      <c r="Q898" s="123" t="s">
        <v>1843</v>
      </c>
      <c r="R898" s="124">
        <v>0.76071990262269951</v>
      </c>
      <c r="S898" s="124">
        <v>0.23928009737730072</v>
      </c>
      <c r="T898" s="124">
        <v>0</v>
      </c>
      <c r="U898" s="121">
        <f t="shared" si="387"/>
        <v>-6.8435519368125002</v>
      </c>
      <c r="V898" s="121">
        <f t="shared" si="388"/>
        <v>-2.1526001465210598</v>
      </c>
      <c r="W898" s="121">
        <f t="shared" si="389"/>
        <v>0</v>
      </c>
      <c r="X898" s="121">
        <f t="shared" si="380"/>
        <v>-8.9961520833335609</v>
      </c>
      <c r="Y898" s="121">
        <f t="shared" si="390"/>
        <v>-20.2126625294425</v>
      </c>
      <c r="Z898" s="121">
        <f t="shared" si="391"/>
        <v>-6.3577774705577799</v>
      </c>
      <c r="AA898" s="121">
        <f t="shared" si="392"/>
        <v>0</v>
      </c>
      <c r="AB898" s="121">
        <f t="shared" si="381"/>
        <v>-26.570440000000225</v>
      </c>
      <c r="AC898" s="121">
        <v>-19.236350000000225</v>
      </c>
      <c r="AD898" s="121">
        <v>-2.0193900000002252</v>
      </c>
      <c r="AE898" s="121">
        <v>-3.2455600000002249</v>
      </c>
      <c r="AF898" s="121">
        <v>-4.3682700000002255</v>
      </c>
      <c r="AG898" s="121">
        <v>-4.6704400000002249</v>
      </c>
      <c r="AH898" s="121">
        <v>-4.8889200000002244</v>
      </c>
      <c r="AI898" s="161">
        <v>-5.0375800000002249</v>
      </c>
      <c r="AJ898" s="161">
        <v>-6.4402900000002248</v>
      </c>
      <c r="AK898" s="161">
        <v>-9.7097700000002245</v>
      </c>
      <c r="AL898" s="161">
        <v>-11.142500000000224</v>
      </c>
      <c r="AM898" s="161">
        <v>-14.289000000000224</v>
      </c>
      <c r="AN898" s="161">
        <v>-19.238710000000225</v>
      </c>
      <c r="AO898" s="161">
        <v>-26.570440000000225</v>
      </c>
      <c r="AP898" s="125" t="str">
        <f>CONCATENATE(A898,M898)</f>
        <v>Def TaxR</v>
      </c>
      <c r="AQ898" s="125" t="str">
        <f>CONCATENATE(AP898,L898,H898)</f>
        <v>Def TaxRR11A&amp;S CHIP</v>
      </c>
      <c r="AS898" s="125" t="str">
        <f>CONCATENATE(L898,H898,J898)</f>
        <v>R11A&amp;S CHIP</v>
      </c>
    </row>
    <row r="899" spans="1:45" s="125" customFormat="1" ht="25.5" customHeight="1">
      <c r="A899" s="216" t="s">
        <v>1996</v>
      </c>
      <c r="B899" s="217" t="str">
        <f t="shared" si="382"/>
        <v>Def Tax1900100-186.01.29BT010138</v>
      </c>
      <c r="C899" s="186">
        <v>190010</v>
      </c>
      <c r="D899" s="201" t="s">
        <v>1069</v>
      </c>
      <c r="E899" s="162" t="s">
        <v>1204</v>
      </c>
      <c r="F899" s="169" t="s">
        <v>2216</v>
      </c>
      <c r="G899" s="117" t="s">
        <v>844</v>
      </c>
      <c r="H899" s="118" t="s">
        <v>45</v>
      </c>
      <c r="I899" s="119"/>
      <c r="J899" s="120"/>
      <c r="K899" s="120" t="str">
        <f t="shared" si="384"/>
        <v/>
      </c>
      <c r="L899" s="170" t="s">
        <v>1895</v>
      </c>
      <c r="M899" s="122" t="str">
        <f t="shared" si="386"/>
        <v>R</v>
      </c>
      <c r="N899" s="116" t="str">
        <f>IF($L899&lt;&gt;"",VLOOKUP($L899,Categories!$E:$G,2,FALSE),IF($F899&lt;&gt;"","NO CAT",""))</f>
        <v>Rate Base</v>
      </c>
      <c r="O899" s="116" t="str">
        <f>IF($L899&lt;&gt;"",VLOOKUP($L899,Categories!$E:$G,3,FALSE),IF($F899&lt;&gt;"","NO CAT",""))</f>
        <v>Deferred Income Taxes</v>
      </c>
      <c r="P899" s="170" t="s">
        <v>1188</v>
      </c>
      <c r="Q899" s="123" t="s">
        <v>1843</v>
      </c>
      <c r="R899" s="124">
        <v>0.76071990262269951</v>
      </c>
      <c r="S899" s="124">
        <v>0.23928009737730072</v>
      </c>
      <c r="T899" s="124">
        <v>0</v>
      </c>
      <c r="U899" s="121">
        <f t="shared" si="387"/>
        <v>133.74596112151099</v>
      </c>
      <c r="V899" s="121">
        <f t="shared" si="388"/>
        <v>42.069027628489003</v>
      </c>
      <c r="W899" s="121">
        <f t="shared" si="389"/>
        <v>0</v>
      </c>
      <c r="X899" s="121">
        <f t="shared" si="380"/>
        <v>175.81498875</v>
      </c>
      <c r="Y899" s="121">
        <f t="shared" si="390"/>
        <v>126.355591040028</v>
      </c>
      <c r="Z899" s="121">
        <f t="shared" si="391"/>
        <v>39.7444289599716</v>
      </c>
      <c r="AA899" s="121">
        <f t="shared" si="392"/>
        <v>0</v>
      </c>
      <c r="AB899" s="121">
        <f>IF(AO899="",0,+AO899)</f>
        <v>166.10001999999992</v>
      </c>
      <c r="AC899" s="121">
        <v>399.2592699999999</v>
      </c>
      <c r="AD899" s="121">
        <v>166.10001999999992</v>
      </c>
      <c r="AE899" s="121">
        <v>166.10001999999992</v>
      </c>
      <c r="AF899" s="121">
        <v>166.10001999999992</v>
      </c>
      <c r="AG899" s="121">
        <v>166.10001999999992</v>
      </c>
      <c r="AH899" s="121">
        <v>166.10001999999992</v>
      </c>
      <c r="AI899" s="161">
        <v>166.10001999999992</v>
      </c>
      <c r="AJ899" s="161">
        <v>166.10001999999992</v>
      </c>
      <c r="AK899" s="161">
        <v>166.10001999999992</v>
      </c>
      <c r="AL899" s="161">
        <v>166.10001999999992</v>
      </c>
      <c r="AM899" s="161">
        <v>166.10001999999992</v>
      </c>
      <c r="AN899" s="161">
        <v>166.10001999999992</v>
      </c>
      <c r="AO899" s="161">
        <v>166.10001999999992</v>
      </c>
      <c r="AP899" s="125" t="str">
        <f>CONCATENATE(A899,M899)</f>
        <v>Def TaxR</v>
      </c>
      <c r="AQ899" s="125" t="str">
        <f>CONCATENATE(AP899,L899,H899)</f>
        <v>Def TaxRR11Gain / Loss on Reacquired Debt</v>
      </c>
      <c r="AS899" s="125" t="str">
        <f>CONCATENATE(L899,H899,J899)</f>
        <v>R11Gain / Loss on Reacquired Debt</v>
      </c>
    </row>
    <row r="900" spans="1:45" s="125" customFormat="1" ht="25.5" customHeight="1">
      <c r="A900" s="216" t="s">
        <v>1996</v>
      </c>
      <c r="B900" s="217" t="str">
        <f t="shared" si="382"/>
        <v>Def Tax1900100-186.01.29BT010140</v>
      </c>
      <c r="C900" s="186">
        <v>190010</v>
      </c>
      <c r="D900" s="201" t="s">
        <v>1069</v>
      </c>
      <c r="E900" s="162" t="s">
        <v>1206</v>
      </c>
      <c r="F900" s="169" t="s">
        <v>2216</v>
      </c>
      <c r="G900" s="117" t="s">
        <v>1566</v>
      </c>
      <c r="H900" s="118" t="s">
        <v>2860</v>
      </c>
      <c r="I900" s="119"/>
      <c r="J900" s="120"/>
      <c r="K900" s="120" t="str">
        <f t="shared" si="384"/>
        <v/>
      </c>
      <c r="L900" s="170" t="s">
        <v>2811</v>
      </c>
      <c r="M900" s="122" t="str">
        <f t="shared" si="386"/>
        <v>N</v>
      </c>
      <c r="N900" s="116" t="str">
        <f>IF($L900&lt;&gt;"",VLOOKUP($L900,Categories!$E:$G,2,FALSE),IF($F900&lt;&gt;"","NO CAT",""))</f>
        <v>Not in Rate Base</v>
      </c>
      <c r="O900" s="116" t="str">
        <f>IF($L900&lt;&gt;"",VLOOKUP($L900,Categories!$E:$G,3,FALSE),IF($F900&lt;&gt;"","NO CAT",""))</f>
        <v>Hedges &amp; OCI</v>
      </c>
      <c r="P900" s="170" t="s">
        <v>1186</v>
      </c>
      <c r="Q900" s="123" t="s">
        <v>1187</v>
      </c>
      <c r="R900" s="124">
        <v>0</v>
      </c>
      <c r="S900" s="124">
        <v>0</v>
      </c>
      <c r="T900" s="124">
        <v>1</v>
      </c>
      <c r="U900" s="121">
        <f t="shared" si="387"/>
        <v>0</v>
      </c>
      <c r="V900" s="121">
        <f t="shared" si="388"/>
        <v>0</v>
      </c>
      <c r="W900" s="121">
        <f t="shared" si="389"/>
        <v>-42.843747083333298</v>
      </c>
      <c r="X900" s="121">
        <f t="shared" si="380"/>
        <v>-42.843747083333298</v>
      </c>
      <c r="Y900" s="121">
        <f t="shared" si="390"/>
        <v>0</v>
      </c>
      <c r="Z900" s="121">
        <f t="shared" si="391"/>
        <v>0</v>
      </c>
      <c r="AA900" s="121">
        <f t="shared" si="392"/>
        <v>-66.257980000000003</v>
      </c>
      <c r="AB900" s="121">
        <f t="shared" si="381"/>
        <v>-66.257980000000003</v>
      </c>
      <c r="AC900" s="121">
        <v>-233.15881000000002</v>
      </c>
      <c r="AD900" s="121">
        <v>-5.5211100000000153</v>
      </c>
      <c r="AE900" s="121">
        <v>-11.042640000000015</v>
      </c>
      <c r="AF900" s="121">
        <v>-16.564180000000015</v>
      </c>
      <c r="AG900" s="121">
        <v>-22.085710000000013</v>
      </c>
      <c r="AH900" s="121">
        <v>-27.607240000000012</v>
      </c>
      <c r="AI900" s="161">
        <v>-33.128780000000013</v>
      </c>
      <c r="AJ900" s="161">
        <v>-38.650310000000012</v>
      </c>
      <c r="AK900" s="161">
        <v>-44.171850000000013</v>
      </c>
      <c r="AL900" s="161">
        <v>-49.693380000000012</v>
      </c>
      <c r="AM900" s="161">
        <v>-55.214920000000014</v>
      </c>
      <c r="AN900" s="161">
        <v>-60.736450000000012</v>
      </c>
      <c r="AO900" s="161">
        <v>-66.257980000000003</v>
      </c>
      <c r="AP900" s="125" t="str">
        <f>CONCATENATE(A900,M900)</f>
        <v>Def TaxN</v>
      </c>
      <c r="AQ900" s="125" t="str">
        <f>CONCATENATE(AP900,L900,H900)</f>
        <v>Def TaxNN5Hedges &amp; OCI</v>
      </c>
      <c r="AS900" s="125" t="str">
        <f>CONCATENATE(L900,H900,J900)</f>
        <v>N5Hedges &amp; OCI</v>
      </c>
    </row>
    <row r="901" spans="1:45" s="125" customFormat="1" ht="25.5" customHeight="1">
      <c r="A901" s="216" t="s">
        <v>1996</v>
      </c>
      <c r="B901" s="217" t="str">
        <f t="shared" si="382"/>
        <v>Def Tax1900100-186.01.29BT010141</v>
      </c>
      <c r="C901" s="186">
        <v>190010</v>
      </c>
      <c r="D901" s="201" t="s">
        <v>1069</v>
      </c>
      <c r="E901" s="162" t="s">
        <v>1208</v>
      </c>
      <c r="F901" s="169" t="s">
        <v>2216</v>
      </c>
      <c r="G901" s="117" t="s">
        <v>1231</v>
      </c>
      <c r="H901" s="118" t="s">
        <v>170</v>
      </c>
      <c r="I901" s="119"/>
      <c r="J901" s="120"/>
      <c r="K901" s="120" t="str">
        <f t="shared" si="384"/>
        <v/>
      </c>
      <c r="L901" s="170" t="s">
        <v>1895</v>
      </c>
      <c r="M901" s="122" t="str">
        <f t="shared" si="386"/>
        <v>R</v>
      </c>
      <c r="N901" s="116" t="str">
        <f>IF($L901&lt;&gt;"",VLOOKUP($L901,Categories!$E:$G,2,FALSE),IF($F901&lt;&gt;"","NO CAT",""))</f>
        <v>Rate Base</v>
      </c>
      <c r="O901" s="116" t="str">
        <f>IF($L901&lt;&gt;"",VLOOKUP($L901,Categories!$E:$G,3,FALSE),IF($F901&lt;&gt;"","NO CAT",""))</f>
        <v>Deferred Income Taxes</v>
      </c>
      <c r="P901" s="170" t="s">
        <v>1553</v>
      </c>
      <c r="Q901" s="123" t="s">
        <v>2587</v>
      </c>
      <c r="R901" s="124">
        <v>0.81899999999999995</v>
      </c>
      <c r="S901" s="124">
        <v>0.18099999999999999</v>
      </c>
      <c r="T901" s="124">
        <v>0</v>
      </c>
      <c r="U901" s="121">
        <f t="shared" si="387"/>
        <v>-2.9999999999999998E-14</v>
      </c>
      <c r="V901" s="121">
        <f t="shared" si="388"/>
        <v>-7.0000000000000001E-15</v>
      </c>
      <c r="W901" s="121">
        <f t="shared" si="389"/>
        <v>0</v>
      </c>
      <c r="X901" s="121">
        <f t="shared" si="380"/>
        <v>-3.7E-14</v>
      </c>
      <c r="Y901" s="121">
        <f t="shared" si="390"/>
        <v>-2.9999999999999998E-14</v>
      </c>
      <c r="Z901" s="121">
        <f t="shared" si="391"/>
        <v>-7.0000000000000001E-15</v>
      </c>
      <c r="AA901" s="121">
        <f t="shared" si="392"/>
        <v>0</v>
      </c>
      <c r="AB901" s="121">
        <f t="shared" si="381"/>
        <v>-3.6670777525671382E-14</v>
      </c>
      <c r="AC901" s="121">
        <v>-3.6670777525671382E-14</v>
      </c>
      <c r="AD901" s="121">
        <v>-3.6670777525671382E-14</v>
      </c>
      <c r="AE901" s="121">
        <v>-3.6670777525671382E-14</v>
      </c>
      <c r="AF901" s="121">
        <v>-3.6670777525671382E-14</v>
      </c>
      <c r="AG901" s="121">
        <v>-3.6670777525671382E-14</v>
      </c>
      <c r="AH901" s="121">
        <v>-3.6670777525671382E-14</v>
      </c>
      <c r="AI901" s="161">
        <v>-3.6670777525671382E-14</v>
      </c>
      <c r="AJ901" s="161">
        <v>-3.6670777525671382E-14</v>
      </c>
      <c r="AK901" s="161">
        <v>-3.6670777525671382E-14</v>
      </c>
      <c r="AL901" s="161">
        <v>-3.6670777525671382E-14</v>
      </c>
      <c r="AM901" s="161">
        <v>-3.6670777525671382E-14</v>
      </c>
      <c r="AN901" s="161">
        <v>-3.6670777525671382E-14</v>
      </c>
      <c r="AO901" s="161">
        <v>-3.6670777525671382E-14</v>
      </c>
      <c r="AP901" s="125" t="str">
        <f>CONCATENATE(A901,M901)</f>
        <v>Def TaxR</v>
      </c>
      <c r="AQ901" s="125" t="str">
        <f>CONCATENATE(AP901,L901,H901)</f>
        <v>Def TaxRR11OPEBs</v>
      </c>
      <c r="AS901" s="125" t="str">
        <f>CONCATENATE(L901,H901,J901)</f>
        <v>R11OPEBs</v>
      </c>
    </row>
    <row r="902" spans="1:45" s="125" customFormat="1" ht="25.5" customHeight="1">
      <c r="A902" s="216" t="s">
        <v>1996</v>
      </c>
      <c r="B902" s="217" t="str">
        <f t="shared" ref="B902:B921" si="393">CONCATENATE(A902,C902,D902,E902)</f>
        <v>Def Tax190011AROBT010303</v>
      </c>
      <c r="C902" s="186">
        <v>190011</v>
      </c>
      <c r="D902" s="201" t="s">
        <v>993</v>
      </c>
      <c r="E902" s="162" t="s">
        <v>994</v>
      </c>
      <c r="F902" s="169" t="s">
        <v>2216</v>
      </c>
      <c r="G902" s="117" t="s">
        <v>660</v>
      </c>
      <c r="H902" s="118" t="s">
        <v>972</v>
      </c>
      <c r="I902" s="119"/>
      <c r="J902" s="120"/>
      <c r="K902" s="120" t="str">
        <f t="shared" ref="K902:K920" si="394">IF(L902="N3","SFAS-109","")</f>
        <v/>
      </c>
      <c r="L902" s="170" t="s">
        <v>928</v>
      </c>
      <c r="M902" s="122" t="str">
        <f t="shared" si="386"/>
        <v>N</v>
      </c>
      <c r="N902" s="116" t="str">
        <f>IF($L902&lt;&gt;"",VLOOKUP($L902,Categories!$E:$G,2,FALSE),IF($F902&lt;&gt;"","NO CAT",""))</f>
        <v>Not in Rate Base</v>
      </c>
      <c r="O902" s="116" t="str">
        <f>IF($L902&lt;&gt;"",VLOOKUP($L902,Categories!$E:$G,3,FALSE),IF($F902&lt;&gt;"","NO CAT",""))</f>
        <v>Direct Assign Items Not in RB</v>
      </c>
      <c r="P902" s="170" t="s">
        <v>1186</v>
      </c>
      <c r="Q902" s="123" t="s">
        <v>1187</v>
      </c>
      <c r="R902" s="124">
        <v>0</v>
      </c>
      <c r="S902" s="124">
        <v>0</v>
      </c>
      <c r="T902" s="124">
        <v>1</v>
      </c>
      <c r="U902" s="121">
        <f t="shared" si="387"/>
        <v>0</v>
      </c>
      <c r="V902" s="121">
        <f t="shared" si="388"/>
        <v>0</v>
      </c>
      <c r="W902" s="121">
        <f t="shared" si="389"/>
        <v>485.84076875</v>
      </c>
      <c r="X902" s="121">
        <f t="shared" ref="X902:X925" si="395">IF(ISERROR(ROUND((SUM(AC902:AO902)-((AC902+AO902))/2)/12,15)),"",ROUND((SUM(AC902:AO902)-((AC902+AO902))/2)/12,15))</f>
        <v>485.84076875</v>
      </c>
      <c r="Y902" s="121">
        <f t="shared" si="390"/>
        <v>0</v>
      </c>
      <c r="Z902" s="121">
        <f t="shared" si="391"/>
        <v>0</v>
      </c>
      <c r="AA902" s="121">
        <f t="shared" si="392"/>
        <v>484.37934000000001</v>
      </c>
      <c r="AB902" s="121">
        <f t="shared" ref="AB902:AB925" si="396">IF(AO902="",0,+AO902)</f>
        <v>484.37933999999984</v>
      </c>
      <c r="AC902" s="121">
        <v>475.46584999999993</v>
      </c>
      <c r="AD902" s="121">
        <v>477.49757999999991</v>
      </c>
      <c r="AE902" s="121">
        <v>479.53798999999987</v>
      </c>
      <c r="AF902" s="121">
        <v>481.58710999999988</v>
      </c>
      <c r="AG902" s="121">
        <v>483.64499999999987</v>
      </c>
      <c r="AH902" s="121">
        <v>485.71166999999986</v>
      </c>
      <c r="AI902" s="161">
        <v>487.78717999999986</v>
      </c>
      <c r="AJ902" s="161">
        <v>489.87155999999987</v>
      </c>
      <c r="AK902" s="161">
        <v>491.96483999999992</v>
      </c>
      <c r="AL902" s="161">
        <v>494.06706999999989</v>
      </c>
      <c r="AM902" s="161">
        <v>496.17828999999989</v>
      </c>
      <c r="AN902" s="161">
        <v>482.31833999999986</v>
      </c>
      <c r="AO902" s="161">
        <v>484.37933999999984</v>
      </c>
      <c r="AP902" s="125" t="str">
        <f>CONCATENATE(A902,M902)</f>
        <v>Def TaxN</v>
      </c>
      <c r="AQ902" s="125" t="str">
        <f>CONCATENATE(AP902,L902,H902)</f>
        <v>Def TaxNN2Asset Retirement Obligation</v>
      </c>
      <c r="AS902" s="125" t="str">
        <f>CONCATENATE(L902,H902,J902)</f>
        <v>N2Asset Retirement Obligation</v>
      </c>
    </row>
    <row r="903" spans="1:45" s="125" customFormat="1" ht="25.5" customHeight="1">
      <c r="A903" s="216" t="s">
        <v>1996</v>
      </c>
      <c r="B903" s="217" t="str">
        <f>CONCATENATE(A903,C903,D903,E903)</f>
        <v>Def Tax1900110-186.01.15</v>
      </c>
      <c r="C903" s="186">
        <v>190011</v>
      </c>
      <c r="D903" s="201" t="s">
        <v>825</v>
      </c>
      <c r="E903" s="162"/>
      <c r="F903" s="169" t="s">
        <v>2216</v>
      </c>
      <c r="G903" s="117" t="s">
        <v>4423</v>
      </c>
      <c r="H903" s="118" t="s">
        <v>4435</v>
      </c>
      <c r="I903" s="119"/>
      <c r="J903" s="120"/>
      <c r="K903" s="120" t="str">
        <f>IF(L903="N3","SFAS-109","")</f>
        <v/>
      </c>
      <c r="L903" s="170" t="s">
        <v>1895</v>
      </c>
      <c r="M903" s="122" t="str">
        <f>LEFT(L903,1)</f>
        <v>R</v>
      </c>
      <c r="N903" s="116" t="str">
        <f>IF($L903&lt;&gt;"",VLOOKUP($L903,Categories!$E:$G,2,FALSE),IF($F903&lt;&gt;"","NO CAT",""))</f>
        <v>Rate Base</v>
      </c>
      <c r="O903" s="116" t="str">
        <f>IF($L903&lt;&gt;"",VLOOKUP($L903,Categories!$E:$G,3,FALSE),IF($F903&lt;&gt;"","NO CAT",""))</f>
        <v>Deferred Income Taxes</v>
      </c>
      <c r="P903" s="170" t="s">
        <v>1183</v>
      </c>
      <c r="Q903" s="123" t="s">
        <v>1177</v>
      </c>
      <c r="R903" s="124">
        <v>1</v>
      </c>
      <c r="S903" s="124">
        <v>0</v>
      </c>
      <c r="T903" s="124">
        <v>0</v>
      </c>
      <c r="U903" s="121">
        <f>IF(ABS(X903)=0,"",IF($R903="NO ALLOC","NO ALLOC",ROUND($R903*X903,15)))</f>
        <v>48.854390000000002</v>
      </c>
      <c r="V903" s="121">
        <f>IF(ABS(X903)=0,"",IF($S903="NO ALLOC","NO ALLOC",ROUND($S903*X903,15)))</f>
        <v>0</v>
      </c>
      <c r="W903" s="121">
        <f>IF(ABS(X903)=0,"",IF($T903="NO ALLOC","NO ALLOC",ROUND($T903*X903,15)))</f>
        <v>0</v>
      </c>
      <c r="X903" s="121">
        <f t="shared" si="395"/>
        <v>48.854390000000002</v>
      </c>
      <c r="Y903" s="121">
        <f>IF(ABS(AB903)=0,"",IF($R903="NO ALLOC","NO ALLOC",ROUND($R903*AB903,15)))</f>
        <v>48.854390000000002</v>
      </c>
      <c r="Z903" s="121">
        <f>IF(ABS(AB903)=0,"",IF($S903="NO ALLOC","NO ALLOC",ROUND($S903*AB903,15)))</f>
        <v>0</v>
      </c>
      <c r="AA903" s="121">
        <f>IF(ABS(AB903)=0,"",IF($T903="NO ALLOC","NO ALLOC",ROUND($T903*AB903,15)))</f>
        <v>0</v>
      </c>
      <c r="AB903" s="121">
        <f t="shared" si="396"/>
        <v>48.854390000000002</v>
      </c>
      <c r="AC903" s="121">
        <v>48.854390000000002</v>
      </c>
      <c r="AD903" s="121">
        <v>48.854390000000002</v>
      </c>
      <c r="AE903" s="121">
        <v>48.854390000000002</v>
      </c>
      <c r="AF903" s="121">
        <v>48.854390000000002</v>
      </c>
      <c r="AG903" s="121">
        <v>48.854390000000002</v>
      </c>
      <c r="AH903" s="121">
        <v>48.854390000000002</v>
      </c>
      <c r="AI903" s="161">
        <v>48.854390000000002</v>
      </c>
      <c r="AJ903" s="161">
        <v>48.854390000000002</v>
      </c>
      <c r="AK903" s="161">
        <v>48.854390000000002</v>
      </c>
      <c r="AL903" s="161">
        <v>48.854390000000002</v>
      </c>
      <c r="AM903" s="161">
        <v>48.854390000000002</v>
      </c>
      <c r="AN903" s="161">
        <v>48.854390000000002</v>
      </c>
      <c r="AO903" s="161">
        <v>48.854390000000002</v>
      </c>
      <c r="AP903" s="125" t="str">
        <f>CONCATENATE(A903,M903)</f>
        <v>Def TaxR</v>
      </c>
      <c r="AQ903" s="125" t="str">
        <f>CONCATENATE(AP903,L903,H903)</f>
        <v>Def TaxRR11Contract Reserve</v>
      </c>
      <c r="AS903" s="125" t="str">
        <f>CONCATENATE(L903,H903,J903)</f>
        <v>R11Contract Reserve</v>
      </c>
    </row>
    <row r="904" spans="1:45" s="125" customFormat="1" ht="25.5" customHeight="1">
      <c r="A904" s="216" t="s">
        <v>1996</v>
      </c>
      <c r="B904" s="217" t="str">
        <f t="shared" si="393"/>
        <v>Def Tax190011Reacq Debt AdjBDEFAULT</v>
      </c>
      <c r="C904" s="186">
        <v>190011</v>
      </c>
      <c r="D904" s="201" t="s">
        <v>427</v>
      </c>
      <c r="E904" s="162" t="s">
        <v>1569</v>
      </c>
      <c r="F904" s="169" t="s">
        <v>2216</v>
      </c>
      <c r="G904" s="117" t="s">
        <v>426</v>
      </c>
      <c r="H904" s="118" t="s">
        <v>45</v>
      </c>
      <c r="I904" s="119"/>
      <c r="J904" s="120"/>
      <c r="K904" s="120" t="str">
        <f t="shared" si="394"/>
        <v/>
      </c>
      <c r="L904" s="170" t="s">
        <v>1895</v>
      </c>
      <c r="M904" s="122" t="str">
        <f t="shared" si="386"/>
        <v>R</v>
      </c>
      <c r="N904" s="116" t="str">
        <f>IF($L904&lt;&gt;"",VLOOKUP($L904,Categories!$E:$G,2,FALSE),IF($F904&lt;&gt;"","NO CAT",""))</f>
        <v>Rate Base</v>
      </c>
      <c r="O904" s="116" t="str">
        <f>IF($L904&lt;&gt;"",VLOOKUP($L904,Categories!$E:$G,3,FALSE),IF($F904&lt;&gt;"","NO CAT",""))</f>
        <v>Deferred Income Taxes</v>
      </c>
      <c r="P904" s="170" t="s">
        <v>1183</v>
      </c>
      <c r="Q904" s="123" t="s">
        <v>1177</v>
      </c>
      <c r="R904" s="124">
        <v>1</v>
      </c>
      <c r="S904" s="124">
        <v>0</v>
      </c>
      <c r="T904" s="124">
        <v>0</v>
      </c>
      <c r="U904" s="121">
        <f t="shared" si="387"/>
        <v>174.76471000000001</v>
      </c>
      <c r="V904" s="121">
        <f t="shared" si="388"/>
        <v>0</v>
      </c>
      <c r="W904" s="121">
        <f t="shared" si="389"/>
        <v>0</v>
      </c>
      <c r="X904" s="121">
        <f t="shared" si="395"/>
        <v>174.76471000000001</v>
      </c>
      <c r="Y904" s="121">
        <f t="shared" si="390"/>
        <v>174.76471000000001</v>
      </c>
      <c r="Z904" s="121">
        <f t="shared" si="391"/>
        <v>0</v>
      </c>
      <c r="AA904" s="121">
        <f t="shared" si="392"/>
        <v>0</v>
      </c>
      <c r="AB904" s="121">
        <f>IF(AO904="",0,+AO904)</f>
        <v>174.76470999999995</v>
      </c>
      <c r="AC904" s="121">
        <v>174.76470999999995</v>
      </c>
      <c r="AD904" s="121">
        <v>174.76470999999995</v>
      </c>
      <c r="AE904" s="121">
        <v>174.76470999999995</v>
      </c>
      <c r="AF904" s="121">
        <v>174.76470999999995</v>
      </c>
      <c r="AG904" s="121">
        <v>174.76470999999995</v>
      </c>
      <c r="AH904" s="121">
        <v>174.76470999999995</v>
      </c>
      <c r="AI904" s="161">
        <v>174.76470999999995</v>
      </c>
      <c r="AJ904" s="161">
        <v>174.76470999999995</v>
      </c>
      <c r="AK904" s="161">
        <v>174.76470999999995</v>
      </c>
      <c r="AL904" s="161">
        <v>174.76470999999995</v>
      </c>
      <c r="AM904" s="161">
        <v>174.76470999999995</v>
      </c>
      <c r="AN904" s="161">
        <v>174.76470999999995</v>
      </c>
      <c r="AO904" s="161">
        <v>174.76470999999995</v>
      </c>
      <c r="AP904" s="125" t="str">
        <f>CONCATENATE(A904,M904)</f>
        <v>Def TaxR</v>
      </c>
      <c r="AQ904" s="125" t="str">
        <f>CONCATENATE(AP904,L904,H904)</f>
        <v>Def TaxRR11Gain / Loss on Reacquired Debt</v>
      </c>
      <c r="AS904" s="125" t="str">
        <f>CONCATENATE(L904,H904,J904)</f>
        <v>R11Gain / Loss on Reacquired Debt</v>
      </c>
    </row>
    <row r="905" spans="1:45" s="125" customFormat="1" ht="25.5" customHeight="1">
      <c r="A905" s="216" t="s">
        <v>1996</v>
      </c>
      <c r="B905" s="217" t="str">
        <f t="shared" si="393"/>
        <v>Def Tax190011AEIPBT010356</v>
      </c>
      <c r="C905" s="186">
        <v>190011</v>
      </c>
      <c r="D905" s="201" t="s">
        <v>1432</v>
      </c>
      <c r="E905" s="162" t="s">
        <v>2700</v>
      </c>
      <c r="F905" s="169" t="s">
        <v>2216</v>
      </c>
      <c r="G905" s="117" t="s">
        <v>1009</v>
      </c>
      <c r="H905" s="118" t="s">
        <v>790</v>
      </c>
      <c r="I905" s="119"/>
      <c r="J905" s="120"/>
      <c r="K905" s="120" t="str">
        <f t="shared" si="394"/>
        <v/>
      </c>
      <c r="L905" s="170" t="s">
        <v>928</v>
      </c>
      <c r="M905" s="122" t="str">
        <f t="shared" si="386"/>
        <v>N</v>
      </c>
      <c r="N905" s="116" t="str">
        <f>IF($L905&lt;&gt;"",VLOOKUP($L905,Categories!$E:$G,2,FALSE),IF($F905&lt;&gt;"","NO CAT",""))</f>
        <v>Not in Rate Base</v>
      </c>
      <c r="O905" s="116" t="str">
        <f>IF($L905&lt;&gt;"",VLOOKUP($L905,Categories!$E:$G,3,FALSE),IF($F905&lt;&gt;"","NO CAT",""))</f>
        <v>Direct Assign Items Not in RB</v>
      </c>
      <c r="P905" s="170" t="s">
        <v>1186</v>
      </c>
      <c r="Q905" s="123" t="s">
        <v>1187</v>
      </c>
      <c r="R905" s="124">
        <v>0</v>
      </c>
      <c r="S905" s="124">
        <v>0</v>
      </c>
      <c r="T905" s="124">
        <v>1</v>
      </c>
      <c r="U905" s="121" t="str">
        <f t="shared" ref="U905:U928" si="397">IF(ABS(X905)=0,"",IF($R905="NO ALLOC","NO ALLOC",ROUND($R905*X905,15)))</f>
        <v/>
      </c>
      <c r="V905" s="121" t="str">
        <f t="shared" ref="V905:V928" si="398">IF(ABS(X905)=0,"",IF($S905="NO ALLOC","NO ALLOC",ROUND($S905*X905,15)))</f>
        <v/>
      </c>
      <c r="W905" s="121" t="str">
        <f t="shared" ref="W905:W928" si="399">IF(ABS(X905)=0,"",IF($T905="NO ALLOC","NO ALLOC",ROUND($T905*X905,15)))</f>
        <v/>
      </c>
      <c r="X905" s="121">
        <f t="shared" si="395"/>
        <v>0</v>
      </c>
      <c r="Y905" s="121" t="str">
        <f t="shared" ref="Y905:Y928" si="400">IF(ABS(AB905)=0,"",IF($R905="NO ALLOC","NO ALLOC",ROUND($R905*AB905,15)))</f>
        <v/>
      </c>
      <c r="Z905" s="121" t="str">
        <f t="shared" ref="Z905:Z928" si="401">IF(ABS(AB905)=0,"",IF($S905="NO ALLOC","NO ALLOC",ROUND($S905*AB905,15)))</f>
        <v/>
      </c>
      <c r="AA905" s="121" t="str">
        <f t="shared" ref="AA905:AA928" si="402">IF(ABS(AB905)=0,"",IF($T905="NO ALLOC","NO ALLOC",ROUND($T905*AB905,15)))</f>
        <v/>
      </c>
      <c r="AB905" s="121">
        <f t="shared" si="396"/>
        <v>0</v>
      </c>
      <c r="AC905" s="121">
        <v>0</v>
      </c>
      <c r="AD905" s="121">
        <v>0</v>
      </c>
      <c r="AE905" s="121">
        <v>0</v>
      </c>
      <c r="AF905" s="121">
        <v>0</v>
      </c>
      <c r="AG905" s="121">
        <v>0</v>
      </c>
      <c r="AH905" s="121">
        <v>0</v>
      </c>
      <c r="AI905" s="161">
        <v>0</v>
      </c>
      <c r="AJ905" s="161">
        <f t="shared" ref="AJ905:AK905" si="403">IF(AI905=0,0,0)</f>
        <v>0</v>
      </c>
      <c r="AK905" s="161">
        <f t="shared" si="403"/>
        <v>0</v>
      </c>
      <c r="AL905" s="161">
        <v>0</v>
      </c>
      <c r="AM905" s="161">
        <v>0</v>
      </c>
      <c r="AN905" s="161">
        <v>0</v>
      </c>
      <c r="AO905" s="161">
        <v>0</v>
      </c>
      <c r="AP905" s="125" t="str">
        <f>CONCATENATE(A905,M905)</f>
        <v>Def TaxN</v>
      </c>
      <c r="AQ905" s="125" t="str">
        <f>CONCATENATE(AP905,L905,H905)</f>
        <v>Def TaxNN2Executive Compensation</v>
      </c>
      <c r="AS905" s="125" t="str">
        <f>CONCATENATE(L905,H905,J905)</f>
        <v>N2Executive Compensation</v>
      </c>
    </row>
    <row r="906" spans="1:45" s="125" customFormat="1" ht="25.5" customHeight="1">
      <c r="A906" s="216" t="s">
        <v>1996</v>
      </c>
      <c r="B906" s="217" t="str">
        <f t="shared" si="393"/>
        <v>Def Tax1900110-286.01.21BTHUNGDT</v>
      </c>
      <c r="C906" s="186">
        <v>190011</v>
      </c>
      <c r="D906" s="201" t="s">
        <v>199</v>
      </c>
      <c r="E906" s="162" t="s">
        <v>616</v>
      </c>
      <c r="F906" s="169" t="s">
        <v>2216</v>
      </c>
      <c r="G906" s="117" t="s">
        <v>200</v>
      </c>
      <c r="H906" s="118" t="s">
        <v>1167</v>
      </c>
      <c r="I906" s="119"/>
      <c r="J906" s="120"/>
      <c r="K906" s="120" t="str">
        <f t="shared" si="394"/>
        <v/>
      </c>
      <c r="L906" s="170" t="s">
        <v>928</v>
      </c>
      <c r="M906" s="122" t="str">
        <f t="shared" si="386"/>
        <v>N</v>
      </c>
      <c r="N906" s="116" t="str">
        <f>IF($L906&lt;&gt;"",VLOOKUP($L906,Categories!$E:$G,2,FALSE),IF($F906&lt;&gt;"","NO CAT",""))</f>
        <v>Not in Rate Base</v>
      </c>
      <c r="O906" s="116" t="str">
        <f>IF($L906&lt;&gt;"",VLOOKUP($L906,Categories!$E:$G,3,FALSE),IF($F906&lt;&gt;"","NO CAT",""))</f>
        <v>Direct Assign Items Not in RB</v>
      </c>
      <c r="P906" s="170" t="s">
        <v>1186</v>
      </c>
      <c r="Q906" s="123" t="s">
        <v>1187</v>
      </c>
      <c r="R906" s="124">
        <v>0</v>
      </c>
      <c r="S906" s="124">
        <v>0</v>
      </c>
      <c r="T906" s="124">
        <v>1</v>
      </c>
      <c r="U906" s="121">
        <f t="shared" si="397"/>
        <v>0</v>
      </c>
      <c r="V906" s="121">
        <f t="shared" si="398"/>
        <v>0</v>
      </c>
      <c r="W906" s="121">
        <f t="shared" si="399"/>
        <v>1E-3</v>
      </c>
      <c r="X906" s="121">
        <f t="shared" si="395"/>
        <v>1E-3</v>
      </c>
      <c r="Y906" s="121" t="str">
        <f t="shared" si="400"/>
        <v/>
      </c>
      <c r="Z906" s="121" t="str">
        <f t="shared" si="401"/>
        <v/>
      </c>
      <c r="AA906" s="121" t="str">
        <f t="shared" si="402"/>
        <v/>
      </c>
      <c r="AB906" s="121">
        <f t="shared" si="396"/>
        <v>0</v>
      </c>
      <c r="AC906" s="121">
        <v>0</v>
      </c>
      <c r="AD906" s="121">
        <v>2E-3</v>
      </c>
      <c r="AE906" s="121">
        <v>0</v>
      </c>
      <c r="AF906" s="121">
        <v>2E-3</v>
      </c>
      <c r="AG906" s="121">
        <v>2E-3</v>
      </c>
      <c r="AH906" s="121">
        <v>2E-3</v>
      </c>
      <c r="AI906" s="161">
        <v>2E-3</v>
      </c>
      <c r="AJ906" s="161">
        <v>2E-3</v>
      </c>
      <c r="AK906" s="161">
        <v>0</v>
      </c>
      <c r="AL906" s="161">
        <v>0</v>
      </c>
      <c r="AM906" s="161">
        <v>0</v>
      </c>
      <c r="AN906" s="161">
        <v>0</v>
      </c>
      <c r="AO906" s="161">
        <v>0</v>
      </c>
      <c r="AP906" s="125" t="str">
        <f>CONCATENATE(A906,M906)</f>
        <v>Def TaxN</v>
      </c>
      <c r="AQ906" s="125" t="str">
        <f>CONCATENATE(AP906,L906,H906)</f>
        <v>Def TaxNN2Hung Deferred Taxes</v>
      </c>
      <c r="AS906" s="125" t="str">
        <f>CONCATENATE(L906,H906,J906)</f>
        <v>N2Hung Deferred Taxes</v>
      </c>
    </row>
    <row r="907" spans="1:45" s="125" customFormat="1" ht="25.5" customHeight="1">
      <c r="A907" s="216" t="s">
        <v>1996</v>
      </c>
      <c r="B907" s="217" t="str">
        <f t="shared" si="393"/>
        <v>Def Tax190011Env OLBT010071</v>
      </c>
      <c r="C907" s="186">
        <v>190011</v>
      </c>
      <c r="D907" s="201" t="s">
        <v>75</v>
      </c>
      <c r="E907" s="162" t="s">
        <v>222</v>
      </c>
      <c r="F907" s="169" t="s">
        <v>2216</v>
      </c>
      <c r="G907" s="117" t="s">
        <v>74</v>
      </c>
      <c r="H907" s="118" t="s">
        <v>2369</v>
      </c>
      <c r="I907" s="119"/>
      <c r="J907" s="120"/>
      <c r="K907" s="120" t="str">
        <f t="shared" si="394"/>
        <v/>
      </c>
      <c r="L907" s="170" t="s">
        <v>928</v>
      </c>
      <c r="M907" s="122" t="str">
        <f t="shared" si="386"/>
        <v>N</v>
      </c>
      <c r="N907" s="116" t="str">
        <f>IF($L907&lt;&gt;"",VLOOKUP($L907,Categories!$E:$G,2,FALSE),IF($F907&lt;&gt;"","NO CAT",""))</f>
        <v>Not in Rate Base</v>
      </c>
      <c r="O907" s="116" t="str">
        <f>IF($L907&lt;&gt;"",VLOOKUP($L907,Categories!$E:$G,3,FALSE),IF($F907&lt;&gt;"","NO CAT",""))</f>
        <v>Direct Assign Items Not in RB</v>
      </c>
      <c r="P907" s="170" t="s">
        <v>1186</v>
      </c>
      <c r="Q907" s="123" t="s">
        <v>1187</v>
      </c>
      <c r="R907" s="124">
        <v>0</v>
      </c>
      <c r="S907" s="124">
        <v>0</v>
      </c>
      <c r="T907" s="124">
        <v>1</v>
      </c>
      <c r="U907" s="121">
        <f t="shared" si="397"/>
        <v>0</v>
      </c>
      <c r="V907" s="121">
        <f t="shared" si="398"/>
        <v>0</v>
      </c>
      <c r="W907" s="121">
        <f t="shared" si="399"/>
        <v>9647.1929816666707</v>
      </c>
      <c r="X907" s="121">
        <f t="shared" si="395"/>
        <v>9647.1929816666707</v>
      </c>
      <c r="Y907" s="121">
        <f t="shared" si="400"/>
        <v>0</v>
      </c>
      <c r="Z907" s="121">
        <f t="shared" si="401"/>
        <v>0</v>
      </c>
      <c r="AA907" s="121">
        <f t="shared" si="402"/>
        <v>11278.208919999999</v>
      </c>
      <c r="AB907" s="121">
        <f t="shared" si="396"/>
        <v>11278.208919999999</v>
      </c>
      <c r="AC907" s="121">
        <v>7371.3450000000003</v>
      </c>
      <c r="AD907" s="121">
        <v>7371.3450000000003</v>
      </c>
      <c r="AE907" s="121">
        <v>7371.3450000000003</v>
      </c>
      <c r="AF907" s="121">
        <v>7371.3450000000003</v>
      </c>
      <c r="AG907" s="121">
        <v>7371.3450000000003</v>
      </c>
      <c r="AH907" s="121">
        <v>7371.3450000000003</v>
      </c>
      <c r="AI907" s="161">
        <v>11661.32098</v>
      </c>
      <c r="AJ907" s="161">
        <v>11661.32098</v>
      </c>
      <c r="AK907" s="161">
        <v>11661.32098</v>
      </c>
      <c r="AL907" s="161">
        <v>11661.32098</v>
      </c>
      <c r="AM907" s="161">
        <v>11661.32098</v>
      </c>
      <c r="AN907" s="161">
        <v>11278.208919999999</v>
      </c>
      <c r="AO907" s="161">
        <v>11278.208919999999</v>
      </c>
      <c r="AP907" s="125" t="str">
        <f>CONCATENATE(A907,M907)</f>
        <v>Def TaxN</v>
      </c>
      <c r="AQ907" s="125" t="str">
        <f>CONCATENATE(AP907,L907,H907)</f>
        <v>Def TaxNN2Environmental</v>
      </c>
      <c r="AS907" s="125" t="str">
        <f>CONCATENATE(L907,H907,J907)</f>
        <v>N2Environmental</v>
      </c>
    </row>
    <row r="908" spans="1:45" s="125" customFormat="1" ht="25.5" customHeight="1">
      <c r="A908" s="216" t="s">
        <v>1996</v>
      </c>
      <c r="B908" s="217" t="str">
        <f>CONCATENATE(A908,C908,D908,E908)</f>
        <v>Def Tax190011BT010119</v>
      </c>
      <c r="C908" s="186">
        <v>190011</v>
      </c>
      <c r="D908" s="201"/>
      <c r="E908" s="162" t="s">
        <v>4591</v>
      </c>
      <c r="F908" s="169" t="s">
        <v>2216</v>
      </c>
      <c r="G908" s="117" t="s">
        <v>4590</v>
      </c>
      <c r="H908" s="118" t="s">
        <v>596</v>
      </c>
      <c r="I908" s="119"/>
      <c r="J908" s="120"/>
      <c r="K908" s="120" t="str">
        <f t="shared" si="394"/>
        <v/>
      </c>
      <c r="L908" s="170" t="s">
        <v>928</v>
      </c>
      <c r="M908" s="122" t="str">
        <f t="shared" si="386"/>
        <v>N</v>
      </c>
      <c r="N908" s="116" t="str">
        <f>IF($L908&lt;&gt;"",VLOOKUP($L908,Categories!$E:$G,2,FALSE),IF($F908&lt;&gt;"","NO CAT",""))</f>
        <v>Not in Rate Base</v>
      </c>
      <c r="O908" s="116" t="str">
        <f>IF($L908&lt;&gt;"",VLOOKUP($L908,Categories!$E:$G,3,FALSE),IF($F908&lt;&gt;"","NO CAT",""))</f>
        <v>Direct Assign Items Not in RB</v>
      </c>
      <c r="P908" s="170" t="s">
        <v>1186</v>
      </c>
      <c r="Q908" s="123" t="s">
        <v>1187</v>
      </c>
      <c r="R908" s="124">
        <v>0</v>
      </c>
      <c r="S908" s="124">
        <v>0</v>
      </c>
      <c r="T908" s="124">
        <v>1</v>
      </c>
      <c r="U908" s="121">
        <f t="shared" si="397"/>
        <v>0</v>
      </c>
      <c r="V908" s="121">
        <f t="shared" si="398"/>
        <v>0</v>
      </c>
      <c r="W908" s="121">
        <f t="shared" si="399"/>
        <v>-63.571624999999997</v>
      </c>
      <c r="X908" s="121">
        <f t="shared" si="395"/>
        <v>-63.571624999999997</v>
      </c>
      <c r="Y908" s="121">
        <f t="shared" si="400"/>
        <v>0</v>
      </c>
      <c r="Z908" s="121">
        <f t="shared" si="401"/>
        <v>0</v>
      </c>
      <c r="AA908" s="121">
        <f t="shared" si="402"/>
        <v>-228.12299999999999</v>
      </c>
      <c r="AB908" s="121">
        <f t="shared" si="396"/>
        <v>-228.12299999999999</v>
      </c>
      <c r="AC908" s="121">
        <v>121.268</v>
      </c>
      <c r="AD908" s="121">
        <v>126.735</v>
      </c>
      <c r="AE908" s="121">
        <v>131.35</v>
      </c>
      <c r="AF908" s="121">
        <v>136.53299999999999</v>
      </c>
      <c r="AG908" s="121">
        <v>136.53299999999999</v>
      </c>
      <c r="AH908" s="121">
        <v>147.25399999999999</v>
      </c>
      <c r="AI908" s="161">
        <v>-234.37100000000001</v>
      </c>
      <c r="AJ908" s="161">
        <v>-234.37100000000001</v>
      </c>
      <c r="AK908" s="161">
        <v>-234.37100000000001</v>
      </c>
      <c r="AL908" s="161">
        <v>-229.04599999999999</v>
      </c>
      <c r="AM908" s="161">
        <v>-227.98099999999999</v>
      </c>
      <c r="AN908" s="161">
        <v>-227.697</v>
      </c>
      <c r="AO908" s="161">
        <v>-228.12299999999999</v>
      </c>
      <c r="AP908" s="125" t="str">
        <f>CONCATENATE(A908,M908)</f>
        <v>Def TaxN</v>
      </c>
      <c r="AQ908" s="125" t="str">
        <f>CONCATENATE(AP908,L908,H908)</f>
        <v>Def TaxNN2FIN 48 Reclass</v>
      </c>
      <c r="AS908" s="125" t="str">
        <f>CONCATENATE(L908,H908,J908)</f>
        <v>N2FIN 48 Reclass</v>
      </c>
    </row>
    <row r="909" spans="1:45" s="125" customFormat="1" ht="25.5" customHeight="1">
      <c r="A909" s="216" t="s">
        <v>1996</v>
      </c>
      <c r="B909" s="217" t="str">
        <f>CONCATENATE(A909,C909,D909,E909)</f>
        <v>Def Tax1900110-186.01.15</v>
      </c>
      <c r="C909" s="186">
        <v>190011</v>
      </c>
      <c r="D909" s="201" t="s">
        <v>825</v>
      </c>
      <c r="E909" s="162"/>
      <c r="F909" s="169" t="s">
        <v>2216</v>
      </c>
      <c r="G909" s="117" t="s">
        <v>4424</v>
      </c>
      <c r="H909" s="118" t="s">
        <v>4424</v>
      </c>
      <c r="I909" s="119"/>
      <c r="J909" s="120"/>
      <c r="K909" s="120" t="str">
        <f>IF(L909="N3","SFAS-109","")</f>
        <v/>
      </c>
      <c r="L909" s="170" t="s">
        <v>1895</v>
      </c>
      <c r="M909" s="122" t="str">
        <f>LEFT(L909,1)</f>
        <v>R</v>
      </c>
      <c r="N909" s="116" t="str">
        <f>IF($L909&lt;&gt;"",VLOOKUP($L909,Categories!$E:$G,2,FALSE),IF($F909&lt;&gt;"","NO CAT",""))</f>
        <v>Rate Base</v>
      </c>
      <c r="O909" s="116" t="str">
        <f>IF($L909&lt;&gt;"",VLOOKUP($L909,Categories!$E:$G,3,FALSE),IF($F909&lt;&gt;"","NO CAT",""))</f>
        <v>Deferred Income Taxes</v>
      </c>
      <c r="P909" s="170" t="s">
        <v>1183</v>
      </c>
      <c r="Q909" s="123" t="s">
        <v>1177</v>
      </c>
      <c r="R909" s="124">
        <v>1</v>
      </c>
      <c r="S909" s="124">
        <v>0</v>
      </c>
      <c r="T909" s="124">
        <v>0</v>
      </c>
      <c r="U909" s="121">
        <f>IF(ABS(X909)=0,"",IF($R909="NO ALLOC","NO ALLOC",ROUND($R909*X909,15)))</f>
        <v>9.9419983333333306</v>
      </c>
      <c r="V909" s="121">
        <f>IF(ABS(X909)=0,"",IF($S909="NO ALLOC","NO ALLOC",ROUND($S909*X909,15)))</f>
        <v>0</v>
      </c>
      <c r="W909" s="121">
        <f>IF(ABS(X909)=0,"",IF($T909="NO ALLOC","NO ALLOC",ROUND($T909*X909,15)))</f>
        <v>0</v>
      </c>
      <c r="X909" s="121">
        <f t="shared" si="395"/>
        <v>9.9419983333333306</v>
      </c>
      <c r="Y909" s="121">
        <f>IF(ABS(AB909)=0,"",IF($R909="NO ALLOC","NO ALLOC",ROUND($R909*AB909,15)))</f>
        <v>5.4780899999999999</v>
      </c>
      <c r="Z909" s="121">
        <f>IF(ABS(AB909)=0,"",IF($S909="NO ALLOC","NO ALLOC",ROUND($S909*AB909,15)))</f>
        <v>0</v>
      </c>
      <c r="AA909" s="121">
        <f>IF(ABS(AB909)=0,"",IF($T909="NO ALLOC","NO ALLOC",ROUND($T909*AB909,15)))</f>
        <v>0</v>
      </c>
      <c r="AB909" s="121">
        <f t="shared" si="396"/>
        <v>5.4780899999999999</v>
      </c>
      <c r="AC909" s="121">
        <v>13.86275</v>
      </c>
      <c r="AD909" s="121">
        <v>13.86275</v>
      </c>
      <c r="AE909" s="121">
        <v>14.46767</v>
      </c>
      <c r="AF909" s="121">
        <v>14.46767</v>
      </c>
      <c r="AG909" s="121">
        <v>10.08024</v>
      </c>
      <c r="AH909" s="121">
        <v>10.08024</v>
      </c>
      <c r="AI909" s="161">
        <v>10.08024</v>
      </c>
      <c r="AJ909" s="161">
        <v>10.08024</v>
      </c>
      <c r="AK909" s="161">
        <v>10.08024</v>
      </c>
      <c r="AL909" s="161">
        <v>5.4780899999999999</v>
      </c>
      <c r="AM909" s="161">
        <v>5.4780899999999999</v>
      </c>
      <c r="AN909" s="161">
        <v>5.4780899999999999</v>
      </c>
      <c r="AO909" s="161">
        <v>5.4780899999999999</v>
      </c>
      <c r="AP909" s="125" t="str">
        <f>CONCATENATE(A909,M909)</f>
        <v>Def TaxR</v>
      </c>
      <c r="AQ909" s="125" t="str">
        <f>CONCATENATE(AP909,L909,H909)</f>
        <v>Def TaxRR11GRT Audit Reserve</v>
      </c>
      <c r="AS909" s="125" t="str">
        <f>CONCATENATE(L909,H909,J909)</f>
        <v>R11GRT Audit Reserve</v>
      </c>
    </row>
    <row r="910" spans="1:45" s="125" customFormat="1" ht="25.5" customHeight="1">
      <c r="A910" s="216" t="s">
        <v>1996</v>
      </c>
      <c r="B910" s="217" t="str">
        <f t="shared" si="393"/>
        <v>Def Tax1900110-186.01.39BTHUNGDT</v>
      </c>
      <c r="C910" s="186">
        <v>190011</v>
      </c>
      <c r="D910" s="201" t="s">
        <v>2241</v>
      </c>
      <c r="E910" s="162" t="s">
        <v>616</v>
      </c>
      <c r="F910" s="169" t="s">
        <v>2216</v>
      </c>
      <c r="G910" s="117" t="s">
        <v>2673</v>
      </c>
      <c r="H910" s="118" t="s">
        <v>1167</v>
      </c>
      <c r="I910" s="119"/>
      <c r="J910" s="120"/>
      <c r="K910" s="120" t="str">
        <f t="shared" si="394"/>
        <v/>
      </c>
      <c r="L910" s="170" t="s">
        <v>928</v>
      </c>
      <c r="M910" s="122" t="str">
        <f t="shared" si="386"/>
        <v>N</v>
      </c>
      <c r="N910" s="116" t="str">
        <f>IF($L910&lt;&gt;"",VLOOKUP($L910,Categories!$E:$G,2,FALSE),IF($F910&lt;&gt;"","NO CAT",""))</f>
        <v>Not in Rate Base</v>
      </c>
      <c r="O910" s="116" t="str">
        <f>IF($L910&lt;&gt;"",VLOOKUP($L910,Categories!$E:$G,3,FALSE),IF($F910&lt;&gt;"","NO CAT",""))</f>
        <v>Direct Assign Items Not in RB</v>
      </c>
      <c r="P910" s="170" t="s">
        <v>1186</v>
      </c>
      <c r="Q910" s="123" t="s">
        <v>1187</v>
      </c>
      <c r="R910" s="124">
        <v>0</v>
      </c>
      <c r="S910" s="124">
        <v>0</v>
      </c>
      <c r="T910" s="124">
        <v>1</v>
      </c>
      <c r="U910" s="121">
        <f t="shared" si="397"/>
        <v>0</v>
      </c>
      <c r="V910" s="121">
        <f t="shared" si="398"/>
        <v>0</v>
      </c>
      <c r="W910" s="121">
        <f t="shared" si="399"/>
        <v>5.0000000000000001E-4</v>
      </c>
      <c r="X910" s="121">
        <f t="shared" si="395"/>
        <v>5.0000000000000001E-4</v>
      </c>
      <c r="Y910" s="121" t="str">
        <f t="shared" si="400"/>
        <v/>
      </c>
      <c r="Z910" s="121" t="str">
        <f t="shared" si="401"/>
        <v/>
      </c>
      <c r="AA910" s="121" t="str">
        <f t="shared" si="402"/>
        <v/>
      </c>
      <c r="AB910" s="121">
        <f t="shared" si="396"/>
        <v>0</v>
      </c>
      <c r="AC910" s="121">
        <v>0</v>
      </c>
      <c r="AD910" s="121">
        <v>0</v>
      </c>
      <c r="AE910" s="121">
        <v>0</v>
      </c>
      <c r="AF910" s="121">
        <v>0</v>
      </c>
      <c r="AG910" s="121">
        <v>0</v>
      </c>
      <c r="AH910" s="121">
        <v>2E-3</v>
      </c>
      <c r="AI910" s="161">
        <v>2E-3</v>
      </c>
      <c r="AJ910" s="161">
        <v>2E-3</v>
      </c>
      <c r="AK910" s="161">
        <v>0</v>
      </c>
      <c r="AL910" s="161">
        <v>0</v>
      </c>
      <c r="AM910" s="161">
        <v>0</v>
      </c>
      <c r="AN910" s="161">
        <v>0</v>
      </c>
      <c r="AO910" s="161">
        <v>0</v>
      </c>
      <c r="AP910" s="125" t="str">
        <f>CONCATENATE(A910,M910)</f>
        <v>Def TaxN</v>
      </c>
      <c r="AQ910" s="125" t="str">
        <f>CONCATENATE(AP910,L910,H910)</f>
        <v>Def TaxNN2Hung Deferred Taxes</v>
      </c>
      <c r="AS910" s="125" t="str">
        <f>CONCATENATE(L910,H910,J910)</f>
        <v>N2Hung Deferred Taxes</v>
      </c>
    </row>
    <row r="911" spans="1:45" s="125" customFormat="1" ht="25.5" customHeight="1">
      <c r="A911" s="216" t="s">
        <v>1996</v>
      </c>
      <c r="B911" s="217" t="str">
        <f t="shared" si="393"/>
        <v>Def Tax1900110-186.01.36BT010116</v>
      </c>
      <c r="C911" s="186">
        <v>190011</v>
      </c>
      <c r="D911" s="201" t="s">
        <v>2239</v>
      </c>
      <c r="E911" s="162" t="s">
        <v>1746</v>
      </c>
      <c r="F911" s="169" t="s">
        <v>2216</v>
      </c>
      <c r="G911" s="117" t="s">
        <v>4</v>
      </c>
      <c r="H911" s="118" t="s">
        <v>1218</v>
      </c>
      <c r="I911" s="119"/>
      <c r="J911" s="120"/>
      <c r="K911" s="120" t="str">
        <f t="shared" si="394"/>
        <v/>
      </c>
      <c r="L911" s="170" t="s">
        <v>1419</v>
      </c>
      <c r="M911" s="122" t="str">
        <f t="shared" si="386"/>
        <v>A</v>
      </c>
      <c r="N911" s="116" t="str">
        <f>IF($L911&lt;&gt;"",VLOOKUP($L911,Categories!$E:$G,2,FALSE),IF($F911&lt;&gt;"","NO CAT",""))</f>
        <v>All Other</v>
      </c>
      <c r="O911" s="116" t="str">
        <f>IF($L911&lt;&gt;"",VLOOKUP($L911,Categories!$E:$G,3,FALSE),IF($F911&lt;&gt;"","NO CAT",""))</f>
        <v>EB-Cap</v>
      </c>
      <c r="P911" s="170" t="s">
        <v>1557</v>
      </c>
      <c r="Q911" s="123" t="s">
        <v>1891</v>
      </c>
      <c r="R911" s="124">
        <v>0.77544352505021785</v>
      </c>
      <c r="S911" s="124">
        <v>0.22455647494978223</v>
      </c>
      <c r="T911" s="124">
        <v>0</v>
      </c>
      <c r="U911" s="121">
        <f t="shared" si="397"/>
        <v>118.19112858438299</v>
      </c>
      <c r="V911" s="121">
        <f t="shared" si="398"/>
        <v>34.226326415617102</v>
      </c>
      <c r="W911" s="121">
        <f t="shared" si="399"/>
        <v>0</v>
      </c>
      <c r="X911" s="121">
        <f t="shared" si="395"/>
        <v>152.41745499999999</v>
      </c>
      <c r="Y911" s="121">
        <f t="shared" si="400"/>
        <v>116.966660608935</v>
      </c>
      <c r="Z911" s="121">
        <f t="shared" si="401"/>
        <v>33.871739391065198</v>
      </c>
      <c r="AA911" s="121">
        <f t="shared" si="402"/>
        <v>0</v>
      </c>
      <c r="AB911" s="121">
        <f t="shared" si="396"/>
        <v>150.83839999999998</v>
      </c>
      <c r="AC911" s="121">
        <v>153.04058000000001</v>
      </c>
      <c r="AD911" s="121">
        <v>153.04058000000001</v>
      </c>
      <c r="AE911" s="121">
        <v>153.04058000000001</v>
      </c>
      <c r="AF911" s="121">
        <v>152.77832000000001</v>
      </c>
      <c r="AG911" s="121">
        <v>152.76075</v>
      </c>
      <c r="AH911" s="121">
        <v>152.34634</v>
      </c>
      <c r="AI911" s="161">
        <v>152.3639</v>
      </c>
      <c r="AJ911" s="161">
        <v>152.3639</v>
      </c>
      <c r="AK911" s="161">
        <v>152.3639</v>
      </c>
      <c r="AL911" s="161">
        <v>152.3639</v>
      </c>
      <c r="AM911" s="161">
        <v>152.18650999999997</v>
      </c>
      <c r="AN911" s="161">
        <v>151.46128999999999</v>
      </c>
      <c r="AO911" s="161">
        <v>150.83839999999998</v>
      </c>
      <c r="AP911" s="125" t="str">
        <f>CONCATENATE(A911,M911)</f>
        <v>Def TaxA</v>
      </c>
      <c r="AQ911" s="125" t="str">
        <f>CONCATENATE(AP911,L911,H911)</f>
        <v>Def TaxAA2Tracks 253040</v>
      </c>
      <c r="AS911" s="125" t="str">
        <f>CONCATENATE(L911,H911,J911)</f>
        <v>A2Tracks 253040</v>
      </c>
    </row>
    <row r="912" spans="1:45" s="125" customFormat="1" ht="25.5" customHeight="1">
      <c r="A912" s="216" t="s">
        <v>1996</v>
      </c>
      <c r="B912" s="217" t="str">
        <f t="shared" si="393"/>
        <v>Def Tax1900110-186.01.32BT010128</v>
      </c>
      <c r="C912" s="186">
        <v>190011</v>
      </c>
      <c r="D912" s="201" t="s">
        <v>3020</v>
      </c>
      <c r="E912" s="162" t="s">
        <v>353</v>
      </c>
      <c r="F912" s="169" t="s">
        <v>2216</v>
      </c>
      <c r="G912" s="117" t="s">
        <v>1288</v>
      </c>
      <c r="H912" s="118" t="s">
        <v>2762</v>
      </c>
      <c r="I912" s="119"/>
      <c r="J912" s="120"/>
      <c r="K912" s="120" t="str">
        <f t="shared" si="394"/>
        <v/>
      </c>
      <c r="L912" s="170" t="s">
        <v>2819</v>
      </c>
      <c r="M912" s="122" t="str">
        <f t="shared" ref="M912:M935" si="404">LEFT(L912,1)</f>
        <v>N</v>
      </c>
      <c r="N912" s="116" t="str">
        <f>IF($L912&lt;&gt;"",VLOOKUP($L912,Categories!$E:$G,2,FALSE),IF($F912&lt;&gt;"","NO CAT",""))</f>
        <v>Not in Rate Base</v>
      </c>
      <c r="O912" s="116" t="str">
        <f>IF($L912&lt;&gt;"",VLOOKUP($L912,Categories!$E:$G,3,FALSE),IF($F912&lt;&gt;"","NO CAT",""))</f>
        <v>Nine Mile Costs</v>
      </c>
      <c r="P912" s="170" t="s">
        <v>1186</v>
      </c>
      <c r="Q912" s="123" t="s">
        <v>1187</v>
      </c>
      <c r="R912" s="124">
        <v>0</v>
      </c>
      <c r="S912" s="124">
        <v>0</v>
      </c>
      <c r="T912" s="124">
        <v>1</v>
      </c>
      <c r="U912" s="121">
        <f t="shared" si="397"/>
        <v>0</v>
      </c>
      <c r="V912" s="121">
        <f t="shared" si="398"/>
        <v>0</v>
      </c>
      <c r="W912" s="121">
        <f t="shared" si="399"/>
        <v>614.83900000000006</v>
      </c>
      <c r="X912" s="121">
        <f t="shared" si="395"/>
        <v>614.83900000000006</v>
      </c>
      <c r="Y912" s="121">
        <f t="shared" si="400"/>
        <v>0</v>
      </c>
      <c r="Z912" s="121">
        <f t="shared" si="401"/>
        <v>0</v>
      </c>
      <c r="AA912" s="121">
        <f t="shared" si="402"/>
        <v>614.83900000000006</v>
      </c>
      <c r="AB912" s="121">
        <f t="shared" si="396"/>
        <v>614.83900000000006</v>
      </c>
      <c r="AC912" s="121">
        <v>614.83900000000006</v>
      </c>
      <c r="AD912" s="121">
        <v>614.83900000000006</v>
      </c>
      <c r="AE912" s="121">
        <v>614.83900000000006</v>
      </c>
      <c r="AF912" s="121">
        <v>614.83900000000006</v>
      </c>
      <c r="AG912" s="121">
        <v>614.83900000000006</v>
      </c>
      <c r="AH912" s="121">
        <v>614.83900000000006</v>
      </c>
      <c r="AI912" s="161">
        <v>614.83900000000006</v>
      </c>
      <c r="AJ912" s="161">
        <v>614.83900000000006</v>
      </c>
      <c r="AK912" s="161">
        <v>614.83900000000006</v>
      </c>
      <c r="AL912" s="161">
        <v>614.83900000000006</v>
      </c>
      <c r="AM912" s="161">
        <v>614.83900000000006</v>
      </c>
      <c r="AN912" s="161">
        <v>614.83900000000006</v>
      </c>
      <c r="AO912" s="161">
        <v>614.83900000000006</v>
      </c>
      <c r="AP912" s="125" t="str">
        <f>CONCATENATE(A912,M912)</f>
        <v>Def TaxN</v>
      </c>
      <c r="AQ912" s="125" t="str">
        <f>CONCATENATE(AP912,L912,H912)</f>
        <v>Def TaxNN9Nine Mile 2 Costs</v>
      </c>
      <c r="AS912" s="125" t="str">
        <f>CONCATENATE(L912,H912,J912)</f>
        <v>N9Nine Mile 2 Costs</v>
      </c>
    </row>
    <row r="913" spans="1:45" s="125" customFormat="1" ht="25.5" customHeight="1">
      <c r="A913" s="216" t="s">
        <v>1996</v>
      </c>
      <c r="B913" s="217" t="str">
        <f t="shared" si="393"/>
        <v>Def Tax1900110-286.01.48BTHUNGDT</v>
      </c>
      <c r="C913" s="186">
        <v>190011</v>
      </c>
      <c r="D913" s="201" t="s">
        <v>448</v>
      </c>
      <c r="E913" s="162" t="s">
        <v>616</v>
      </c>
      <c r="F913" s="169" t="s">
        <v>2216</v>
      </c>
      <c r="G913" s="117" t="s">
        <v>449</v>
      </c>
      <c r="H913" s="118" t="s">
        <v>1167</v>
      </c>
      <c r="I913" s="119"/>
      <c r="J913" s="120"/>
      <c r="K913" s="120" t="str">
        <f t="shared" si="394"/>
        <v/>
      </c>
      <c r="L913" s="170" t="s">
        <v>928</v>
      </c>
      <c r="M913" s="122" t="str">
        <f t="shared" si="404"/>
        <v>N</v>
      </c>
      <c r="N913" s="116" t="str">
        <f>IF($L913&lt;&gt;"",VLOOKUP($L913,Categories!$E:$G,2,FALSE),IF($F913&lt;&gt;"","NO CAT",""))</f>
        <v>Not in Rate Base</v>
      </c>
      <c r="O913" s="116" t="str">
        <f>IF($L913&lt;&gt;"",VLOOKUP($L913,Categories!$E:$G,3,FALSE),IF($F913&lt;&gt;"","NO CAT",""))</f>
        <v>Direct Assign Items Not in RB</v>
      </c>
      <c r="P913" s="170" t="s">
        <v>1186</v>
      </c>
      <c r="Q913" s="123" t="s">
        <v>1187</v>
      </c>
      <c r="R913" s="124">
        <v>0</v>
      </c>
      <c r="S913" s="124">
        <v>0</v>
      </c>
      <c r="T913" s="124">
        <v>1</v>
      </c>
      <c r="U913" s="121">
        <f t="shared" si="397"/>
        <v>0</v>
      </c>
      <c r="V913" s="121">
        <f t="shared" si="398"/>
        <v>0</v>
      </c>
      <c r="W913" s="121">
        <f t="shared" si="399"/>
        <v>1.1249999999999999E-3</v>
      </c>
      <c r="X913" s="121">
        <f t="shared" si="395"/>
        <v>1.1249999999999999E-3</v>
      </c>
      <c r="Y913" s="121" t="str">
        <f t="shared" si="400"/>
        <v/>
      </c>
      <c r="Z913" s="121" t="str">
        <f t="shared" si="401"/>
        <v/>
      </c>
      <c r="AA913" s="121" t="str">
        <f t="shared" si="402"/>
        <v/>
      </c>
      <c r="AB913" s="121">
        <f t="shared" si="396"/>
        <v>0</v>
      </c>
      <c r="AC913" s="121">
        <v>1E-3</v>
      </c>
      <c r="AD913" s="121">
        <v>2E-3</v>
      </c>
      <c r="AE913" s="121">
        <v>1E-3</v>
      </c>
      <c r="AF913" s="121">
        <v>2E-3</v>
      </c>
      <c r="AG913" s="121">
        <v>2E-3</v>
      </c>
      <c r="AH913" s="121">
        <v>2E-3</v>
      </c>
      <c r="AI913" s="161">
        <v>2E-3</v>
      </c>
      <c r="AJ913" s="161">
        <v>2E-3</v>
      </c>
      <c r="AK913" s="161">
        <v>0</v>
      </c>
      <c r="AL913" s="161">
        <v>0</v>
      </c>
      <c r="AM913" s="161">
        <v>0</v>
      </c>
      <c r="AN913" s="161">
        <v>0</v>
      </c>
      <c r="AO913" s="161">
        <v>0</v>
      </c>
      <c r="AP913" s="125" t="str">
        <f>CONCATENATE(A913,M913)</f>
        <v>Def TaxN</v>
      </c>
      <c r="AQ913" s="125" t="str">
        <f>CONCATENATE(AP913,L913,H913)</f>
        <v>Def TaxNN2Hung Deferred Taxes</v>
      </c>
      <c r="AS913" s="125" t="str">
        <f>CONCATENATE(L913,H913,J913)</f>
        <v>N2Hung Deferred Taxes</v>
      </c>
    </row>
    <row r="914" spans="1:45" s="125" customFormat="1" ht="25.5" customHeight="1">
      <c r="A914" s="216" t="s">
        <v>1996</v>
      </c>
      <c r="B914" s="217" t="str">
        <f t="shared" si="393"/>
        <v>Def Tax1900110-286.01.14BTHUNGDT</v>
      </c>
      <c r="C914" s="186">
        <v>190011</v>
      </c>
      <c r="D914" s="201" t="s">
        <v>1366</v>
      </c>
      <c r="E914" s="162" t="s">
        <v>616</v>
      </c>
      <c r="F914" s="169" t="s">
        <v>2216</v>
      </c>
      <c r="G914" s="117" t="s">
        <v>196</v>
      </c>
      <c r="H914" s="118" t="s">
        <v>1167</v>
      </c>
      <c r="I914" s="119"/>
      <c r="J914" s="120"/>
      <c r="K914" s="120" t="str">
        <f t="shared" si="394"/>
        <v/>
      </c>
      <c r="L914" s="170" t="s">
        <v>1895</v>
      </c>
      <c r="M914" s="122" t="str">
        <f t="shared" si="404"/>
        <v>R</v>
      </c>
      <c r="N914" s="116" t="str">
        <f>IF($L914&lt;&gt;"",VLOOKUP($L914,Categories!$E:$G,2,FALSE),IF($F914&lt;&gt;"","NO CAT",""))</f>
        <v>Rate Base</v>
      </c>
      <c r="O914" s="116" t="str">
        <f>IF($L914&lt;&gt;"",VLOOKUP($L914,Categories!$E:$G,3,FALSE),IF($F914&lt;&gt;"","NO CAT",""))</f>
        <v>Deferred Income Taxes</v>
      </c>
      <c r="P914" s="170" t="s">
        <v>1184</v>
      </c>
      <c r="Q914" s="123" t="s">
        <v>1178</v>
      </c>
      <c r="R914" s="124">
        <v>0</v>
      </c>
      <c r="S914" s="124">
        <v>1</v>
      </c>
      <c r="T914" s="124">
        <v>0</v>
      </c>
      <c r="U914" s="121">
        <f t="shared" si="397"/>
        <v>0</v>
      </c>
      <c r="V914" s="121">
        <f t="shared" si="398"/>
        <v>5.0000000000000001E-4</v>
      </c>
      <c r="W914" s="121">
        <f t="shared" si="399"/>
        <v>0</v>
      </c>
      <c r="X914" s="121">
        <f t="shared" si="395"/>
        <v>5.0000000000000001E-4</v>
      </c>
      <c r="Y914" s="121" t="str">
        <f t="shared" si="400"/>
        <v/>
      </c>
      <c r="Z914" s="121" t="str">
        <f t="shared" si="401"/>
        <v/>
      </c>
      <c r="AA914" s="121" t="str">
        <f t="shared" si="402"/>
        <v/>
      </c>
      <c r="AB914" s="121">
        <f t="shared" si="396"/>
        <v>0</v>
      </c>
      <c r="AC914" s="121">
        <v>0</v>
      </c>
      <c r="AD914" s="121">
        <v>0</v>
      </c>
      <c r="AE914" s="121">
        <v>0</v>
      </c>
      <c r="AF914" s="121">
        <v>0</v>
      </c>
      <c r="AG914" s="121">
        <v>0</v>
      </c>
      <c r="AH914" s="121">
        <v>2E-3</v>
      </c>
      <c r="AI914" s="161">
        <v>2E-3</v>
      </c>
      <c r="AJ914" s="161">
        <v>2E-3</v>
      </c>
      <c r="AK914" s="161">
        <v>0</v>
      </c>
      <c r="AL914" s="161">
        <v>0</v>
      </c>
      <c r="AM914" s="161">
        <v>0</v>
      </c>
      <c r="AN914" s="161">
        <v>0</v>
      </c>
      <c r="AO914" s="161">
        <v>0</v>
      </c>
      <c r="AP914" s="125" t="str">
        <f>CONCATENATE(A914,M914)</f>
        <v>Def TaxR</v>
      </c>
      <c r="AQ914" s="125" t="str">
        <f>CONCATENATE(AP914,L914,H914)</f>
        <v>Def TaxRR11Hung Deferred Taxes</v>
      </c>
      <c r="AS914" s="125" t="str">
        <f>CONCATENATE(L914,H914,J914)</f>
        <v>R11Hung Deferred Taxes</v>
      </c>
    </row>
    <row r="915" spans="1:45" s="125" customFormat="1" ht="25.5" customHeight="1">
      <c r="A915" s="216" t="s">
        <v>1996</v>
      </c>
      <c r="B915" s="217" t="str">
        <f t="shared" si="393"/>
        <v>Def Tax1900110-186.01.30BT010174</v>
      </c>
      <c r="C915" s="186">
        <v>190011</v>
      </c>
      <c r="D915" s="201" t="s">
        <v>1070</v>
      </c>
      <c r="E915" s="162" t="s">
        <v>354</v>
      </c>
      <c r="F915" s="169" t="s">
        <v>2216</v>
      </c>
      <c r="G915" s="117" t="s">
        <v>1340</v>
      </c>
      <c r="H915" s="118" t="s">
        <v>1218</v>
      </c>
      <c r="I915" s="119"/>
      <c r="J915" s="120"/>
      <c r="K915" s="120" t="str">
        <f t="shared" si="394"/>
        <v/>
      </c>
      <c r="L915" s="170" t="s">
        <v>1419</v>
      </c>
      <c r="M915" s="122" t="str">
        <f t="shared" si="404"/>
        <v>A</v>
      </c>
      <c r="N915" s="116" t="str">
        <f>IF($L915&lt;&gt;"",VLOOKUP($L915,Categories!$E:$G,2,FALSE),IF($F915&lt;&gt;"","NO CAT",""))</f>
        <v>All Other</v>
      </c>
      <c r="O915" s="116" t="str">
        <f>IF($L915&lt;&gt;"",VLOOKUP($L915,Categories!$E:$G,3,FALSE),IF($F915&lt;&gt;"","NO CAT",""))</f>
        <v>EB-Cap</v>
      </c>
      <c r="P915" s="170" t="s">
        <v>1557</v>
      </c>
      <c r="Q915" s="123" t="s">
        <v>1891</v>
      </c>
      <c r="R915" s="124">
        <v>0.77544352505021785</v>
      </c>
      <c r="S915" s="124">
        <v>0.22455647494978223</v>
      </c>
      <c r="T915" s="124">
        <v>0</v>
      </c>
      <c r="U915" s="121">
        <f t="shared" si="397"/>
        <v>18.871930296970898</v>
      </c>
      <c r="V915" s="121">
        <f t="shared" si="398"/>
        <v>5.4650197030290997</v>
      </c>
      <c r="W915" s="121">
        <f t="shared" si="399"/>
        <v>0</v>
      </c>
      <c r="X915" s="121">
        <f t="shared" si="395"/>
        <v>24.336950000000002</v>
      </c>
      <c r="Y915" s="121">
        <f t="shared" si="400"/>
        <v>18.871930296970898</v>
      </c>
      <c r="Z915" s="121">
        <f t="shared" si="401"/>
        <v>5.4650197030290997</v>
      </c>
      <c r="AA915" s="121">
        <f t="shared" si="402"/>
        <v>0</v>
      </c>
      <c r="AB915" s="121">
        <f t="shared" si="396"/>
        <v>24.336950000000002</v>
      </c>
      <c r="AC915" s="121">
        <v>24.336950000000002</v>
      </c>
      <c r="AD915" s="121">
        <v>24.336950000000002</v>
      </c>
      <c r="AE915" s="121">
        <v>24.336950000000002</v>
      </c>
      <c r="AF915" s="121">
        <v>24.336950000000002</v>
      </c>
      <c r="AG915" s="121">
        <v>24.336950000000002</v>
      </c>
      <c r="AH915" s="121">
        <v>24.336950000000002</v>
      </c>
      <c r="AI915" s="161">
        <v>24.336950000000002</v>
      </c>
      <c r="AJ915" s="161">
        <v>24.336950000000002</v>
      </c>
      <c r="AK915" s="161">
        <v>24.336950000000002</v>
      </c>
      <c r="AL915" s="161">
        <v>24.336950000000002</v>
      </c>
      <c r="AM915" s="161">
        <v>24.336950000000002</v>
      </c>
      <c r="AN915" s="161">
        <v>24.336950000000002</v>
      </c>
      <c r="AO915" s="161">
        <v>24.336950000000002</v>
      </c>
      <c r="AP915" s="125" t="str">
        <f>CONCATENATE(A915,M915)</f>
        <v>Def TaxA</v>
      </c>
      <c r="AQ915" s="125" t="str">
        <f>CONCATENATE(AP915,L915,H915)</f>
        <v>Def TaxAA2Tracks 253040</v>
      </c>
      <c r="AS915" s="125" t="str">
        <f>CONCATENATE(L915,H915,J915)</f>
        <v>A2Tracks 253040</v>
      </c>
    </row>
    <row r="916" spans="1:45" s="125" customFormat="1" ht="25.5" customHeight="1">
      <c r="A916" s="216" t="s">
        <v>1996</v>
      </c>
      <c r="B916" s="217" t="str">
        <f t="shared" si="393"/>
        <v>Def Tax190011Ptax pd v ac</v>
      </c>
      <c r="C916" s="186">
        <v>190011</v>
      </c>
      <c r="D916" s="201" t="s">
        <v>141</v>
      </c>
      <c r="E916" s="162"/>
      <c r="F916" s="169" t="s">
        <v>2216</v>
      </c>
      <c r="G916" s="117" t="s">
        <v>654</v>
      </c>
      <c r="H916" s="118" t="s">
        <v>1084</v>
      </c>
      <c r="I916" s="119"/>
      <c r="J916" s="120"/>
      <c r="K916" s="120" t="str">
        <f t="shared" si="394"/>
        <v/>
      </c>
      <c r="L916" s="170" t="s">
        <v>1895</v>
      </c>
      <c r="M916" s="122" t="str">
        <f t="shared" si="404"/>
        <v>R</v>
      </c>
      <c r="N916" s="116" t="str">
        <f>IF($L916&lt;&gt;"",VLOOKUP($L916,Categories!$E:$G,2,FALSE),IF($F916&lt;&gt;"","NO CAT",""))</f>
        <v>Rate Base</v>
      </c>
      <c r="O916" s="116" t="str">
        <f>IF($L916&lt;&gt;"",VLOOKUP($L916,Categories!$E:$G,3,FALSE),IF($F916&lt;&gt;"","NO CAT",""))</f>
        <v>Deferred Income Taxes</v>
      </c>
      <c r="P916" s="170" t="s">
        <v>1554</v>
      </c>
      <c r="Q916" s="123" t="s">
        <v>1555</v>
      </c>
      <c r="R916" s="124">
        <v>0.80958645835662735</v>
      </c>
      <c r="S916" s="124">
        <v>0.19041354164337276</v>
      </c>
      <c r="T916" s="124">
        <v>0</v>
      </c>
      <c r="U916" s="121">
        <f t="shared" si="397"/>
        <v>-21.295362200612701</v>
      </c>
      <c r="V916" s="121">
        <f t="shared" si="398"/>
        <v>-5.0086377993872802</v>
      </c>
      <c r="W916" s="121">
        <f t="shared" si="399"/>
        <v>0</v>
      </c>
      <c r="X916" s="121">
        <f t="shared" si="395"/>
        <v>-26.303999999999998</v>
      </c>
      <c r="Y916" s="121">
        <f t="shared" si="400"/>
        <v>-21.295362200612701</v>
      </c>
      <c r="Z916" s="121">
        <f t="shared" si="401"/>
        <v>-5.0086377993872802</v>
      </c>
      <c r="AA916" s="121">
        <f t="shared" si="402"/>
        <v>0</v>
      </c>
      <c r="AB916" s="121">
        <f t="shared" si="396"/>
        <v>-26.303999999999998</v>
      </c>
      <c r="AC916" s="121">
        <v>-26.303999999999998</v>
      </c>
      <c r="AD916" s="121">
        <v>-26.303999999999998</v>
      </c>
      <c r="AE916" s="121">
        <v>-26.303999999999998</v>
      </c>
      <c r="AF916" s="121">
        <v>-26.303999999999998</v>
      </c>
      <c r="AG916" s="121">
        <v>-26.303999999999998</v>
      </c>
      <c r="AH916" s="121">
        <v>-26.303999999999998</v>
      </c>
      <c r="AI916" s="161">
        <v>-26.303999999999998</v>
      </c>
      <c r="AJ916" s="161">
        <v>-26.303999999999998</v>
      </c>
      <c r="AK916" s="161">
        <v>-26.303999999999998</v>
      </c>
      <c r="AL916" s="161">
        <v>-26.303999999999998</v>
      </c>
      <c r="AM916" s="161">
        <v>-26.303999999999998</v>
      </c>
      <c r="AN916" s="161">
        <v>-26.303999999999998</v>
      </c>
      <c r="AO916" s="161">
        <v>-26.303999999999998</v>
      </c>
      <c r="AP916" s="125" t="str">
        <f>CONCATENATE(A916,M916)</f>
        <v>Def TaxR</v>
      </c>
      <c r="AQ916" s="125" t="str">
        <f>CONCATENATE(AP916,L916,H916)</f>
        <v>Def TaxRR11Property Tax Pd vs Accrued</v>
      </c>
      <c r="AS916" s="125" t="str">
        <f>CONCATENATE(L916,H916,J916)</f>
        <v>R11Property Tax Pd vs Accrued</v>
      </c>
    </row>
    <row r="917" spans="1:45" s="125" customFormat="1" ht="25.5" customHeight="1">
      <c r="A917" s="216" t="s">
        <v>1996</v>
      </c>
      <c r="B917" s="217" t="str">
        <f>CONCATENATE(A917,C917,D917,E917)</f>
        <v>Def Tax190011BT010175</v>
      </c>
      <c r="C917" s="186">
        <v>190011</v>
      </c>
      <c r="D917" s="201"/>
      <c r="E917" s="162" t="s">
        <v>393</v>
      </c>
      <c r="F917" s="169" t="s">
        <v>2216</v>
      </c>
      <c r="G917" s="117" t="s">
        <v>392</v>
      </c>
      <c r="H917" s="118" t="s">
        <v>1084</v>
      </c>
      <c r="I917" s="119"/>
      <c r="J917" s="120"/>
      <c r="K917" s="120" t="str">
        <f>IF(L917="N3","SFAS-109","")</f>
        <v/>
      </c>
      <c r="L917" s="170" t="s">
        <v>1895</v>
      </c>
      <c r="M917" s="122" t="str">
        <f>LEFT(L917,1)</f>
        <v>R</v>
      </c>
      <c r="N917" s="116" t="str">
        <f>IF($L917&lt;&gt;"",VLOOKUP($L917,Categories!$E:$G,2,FALSE),IF($F917&lt;&gt;"","NO CAT",""))</f>
        <v>Rate Base</v>
      </c>
      <c r="O917" s="116" t="str">
        <f>IF($L917&lt;&gt;"",VLOOKUP($L917,Categories!$E:$G,3,FALSE),IF($F917&lt;&gt;"","NO CAT",""))</f>
        <v>Deferred Income Taxes</v>
      </c>
      <c r="P917" s="170" t="s">
        <v>1554</v>
      </c>
      <c r="Q917" s="123" t="s">
        <v>1555</v>
      </c>
      <c r="R917" s="124">
        <v>0.80958645835662735</v>
      </c>
      <c r="S917" s="124">
        <v>0.19041354164337276</v>
      </c>
      <c r="T917" s="124">
        <v>0</v>
      </c>
      <c r="U917" s="121">
        <f>IF(ABS(X917)=0,"",IF($R917="NO ALLOC","NO ALLOC",ROUND($R917*X917,15)))</f>
        <v>73.571320188636406</v>
      </c>
      <c r="V917" s="121">
        <f>IF(ABS(X917)=0,"",IF($S917="NO ALLOC","NO ALLOC",ROUND($S917*X917,15)))</f>
        <v>17.3038660613636</v>
      </c>
      <c r="W917" s="121">
        <f>IF(ABS(X917)=0,"",IF($T917="NO ALLOC","NO ALLOC",ROUND($T917*X917,15)))</f>
        <v>0</v>
      </c>
      <c r="X917" s="121">
        <f t="shared" si="395"/>
        <v>90.875186249999999</v>
      </c>
      <c r="Y917" s="121">
        <f>IF(ABS(AB917)=0,"",IF($R917="NO ALLOC","NO ALLOC",ROUND($R917*AB917,15)))</f>
        <v>65.873329905978693</v>
      </c>
      <c r="Z917" s="121">
        <f>IF(ABS(AB917)=0,"",IF($S917="NO ALLOC","NO ALLOC",ROUND($S917*AB917,15)))</f>
        <v>15.4933100940213</v>
      </c>
      <c r="AA917" s="121">
        <f>IF(ABS(AB917)=0,"",IF($T917="NO ALLOC","NO ALLOC",ROUND($T917*AB917,15)))</f>
        <v>0</v>
      </c>
      <c r="AB917" s="121">
        <f t="shared" si="396"/>
        <v>81.366640000000004</v>
      </c>
      <c r="AC917" s="121">
        <v>94.790469999999999</v>
      </c>
      <c r="AD917" s="121">
        <v>94.790469999999999</v>
      </c>
      <c r="AE917" s="121">
        <v>94.790469999999999</v>
      </c>
      <c r="AF917" s="121">
        <v>94.790469999999999</v>
      </c>
      <c r="AG917" s="121">
        <v>94.790469999999999</v>
      </c>
      <c r="AH917" s="121">
        <v>94.790469999999999</v>
      </c>
      <c r="AI917" s="161">
        <v>94.790469999999999</v>
      </c>
      <c r="AJ917" s="161">
        <v>94.790469999999999</v>
      </c>
      <c r="AK917" s="161">
        <v>94.790469999999999</v>
      </c>
      <c r="AL917" s="161">
        <v>81.366640000000004</v>
      </c>
      <c r="AM917" s="161">
        <v>81.366640000000004</v>
      </c>
      <c r="AN917" s="161">
        <v>81.366640000000004</v>
      </c>
      <c r="AO917" s="161">
        <v>81.366640000000004</v>
      </c>
      <c r="AP917" s="125" t="str">
        <f>CONCATENATE(A917,M917)</f>
        <v>Def TaxR</v>
      </c>
      <c r="AQ917" s="125" t="str">
        <f>CONCATENATE(AP917,L917,H917)</f>
        <v>Def TaxRR11Property Tax Pd vs Accrued</v>
      </c>
      <c r="AS917" s="125" t="str">
        <f>CONCATENATE(L917,H917,J917)</f>
        <v>R11Property Tax Pd vs Accrued</v>
      </c>
    </row>
    <row r="918" spans="1:45" s="125" customFormat="1" ht="25.5" customHeight="1">
      <c r="A918" s="216" t="s">
        <v>1996</v>
      </c>
      <c r="B918" s="217" t="str">
        <f t="shared" si="393"/>
        <v>Def Tax1900110-186.01.35BTHUNGDT</v>
      </c>
      <c r="C918" s="186">
        <v>190011</v>
      </c>
      <c r="D918" s="201" t="s">
        <v>3023</v>
      </c>
      <c r="E918" s="162" t="s">
        <v>616</v>
      </c>
      <c r="F918" s="169" t="s">
        <v>2216</v>
      </c>
      <c r="G918" s="117" t="s">
        <v>727</v>
      </c>
      <c r="H918" s="118" t="s">
        <v>1167</v>
      </c>
      <c r="I918" s="119"/>
      <c r="J918" s="120"/>
      <c r="K918" s="120" t="str">
        <f t="shared" si="394"/>
        <v/>
      </c>
      <c r="L918" s="170" t="s">
        <v>928</v>
      </c>
      <c r="M918" s="122" t="str">
        <f t="shared" si="404"/>
        <v>N</v>
      </c>
      <c r="N918" s="116" t="str">
        <f>IF($L918&lt;&gt;"",VLOOKUP($L918,Categories!$E:$G,2,FALSE),IF($F918&lt;&gt;"","NO CAT",""))</f>
        <v>Not in Rate Base</v>
      </c>
      <c r="O918" s="116" t="str">
        <f>IF($L918&lt;&gt;"",VLOOKUP($L918,Categories!$E:$G,3,FALSE),IF($F918&lt;&gt;"","NO CAT",""))</f>
        <v>Direct Assign Items Not in RB</v>
      </c>
      <c r="P918" s="170" t="s">
        <v>1186</v>
      </c>
      <c r="Q918" s="123" t="s">
        <v>1187</v>
      </c>
      <c r="R918" s="124">
        <v>0</v>
      </c>
      <c r="S918" s="124">
        <v>0</v>
      </c>
      <c r="T918" s="124">
        <v>1</v>
      </c>
      <c r="U918" s="121">
        <f t="shared" si="397"/>
        <v>0</v>
      </c>
      <c r="V918" s="121">
        <f t="shared" si="398"/>
        <v>0</v>
      </c>
      <c r="W918" s="121">
        <f t="shared" si="399"/>
        <v>1.1249999999999999E-3</v>
      </c>
      <c r="X918" s="121">
        <f t="shared" si="395"/>
        <v>1.1249999999999999E-3</v>
      </c>
      <c r="Y918" s="121" t="str">
        <f t="shared" si="400"/>
        <v/>
      </c>
      <c r="Z918" s="121" t="str">
        <f t="shared" si="401"/>
        <v/>
      </c>
      <c r="AA918" s="121" t="str">
        <f t="shared" si="402"/>
        <v/>
      </c>
      <c r="AB918" s="121">
        <f t="shared" si="396"/>
        <v>0</v>
      </c>
      <c r="AC918" s="121">
        <v>1E-3</v>
      </c>
      <c r="AD918" s="121">
        <v>2E-3</v>
      </c>
      <c r="AE918" s="121">
        <v>1E-3</v>
      </c>
      <c r="AF918" s="121">
        <v>2E-3</v>
      </c>
      <c r="AG918" s="121">
        <v>2E-3</v>
      </c>
      <c r="AH918" s="121">
        <v>2E-3</v>
      </c>
      <c r="AI918" s="161">
        <v>2E-3</v>
      </c>
      <c r="AJ918" s="161">
        <v>2E-3</v>
      </c>
      <c r="AK918" s="161">
        <v>0</v>
      </c>
      <c r="AL918" s="161">
        <v>0</v>
      </c>
      <c r="AM918" s="161">
        <v>0</v>
      </c>
      <c r="AN918" s="161">
        <v>0</v>
      </c>
      <c r="AO918" s="161">
        <v>0</v>
      </c>
      <c r="AP918" s="125" t="str">
        <f>CONCATENATE(A918,M918)</f>
        <v>Def TaxN</v>
      </c>
      <c r="AQ918" s="125" t="str">
        <f>CONCATENATE(AP918,L918,H918)</f>
        <v>Def TaxNN2Hung Deferred Taxes</v>
      </c>
      <c r="AS918" s="125" t="str">
        <f>CONCATENATE(L918,H918,J918)</f>
        <v>N2Hung Deferred Taxes</v>
      </c>
    </row>
    <row r="919" spans="1:45" s="125" customFormat="1" ht="25.5" customHeight="1">
      <c r="A919" s="216" t="s">
        <v>1996</v>
      </c>
      <c r="B919" s="217" t="str">
        <f t="shared" si="393"/>
        <v>Def Tax190011PURTA Refund</v>
      </c>
      <c r="C919" s="186">
        <v>190011</v>
      </c>
      <c r="D919" s="201" t="s">
        <v>919</v>
      </c>
      <c r="E919" s="162"/>
      <c r="F919" s="169" t="s">
        <v>2216</v>
      </c>
      <c r="G919" s="117" t="s">
        <v>919</v>
      </c>
      <c r="H919" s="118" t="s">
        <v>919</v>
      </c>
      <c r="I919" s="119"/>
      <c r="J919" s="120"/>
      <c r="K919" s="120" t="str">
        <f t="shared" si="394"/>
        <v/>
      </c>
      <c r="L919" s="170" t="s">
        <v>1419</v>
      </c>
      <c r="M919" s="122" t="str">
        <f t="shared" si="404"/>
        <v>A</v>
      </c>
      <c r="N919" s="116" t="str">
        <f>IF($L919&lt;&gt;"",VLOOKUP($L919,Categories!$E:$G,2,FALSE),IF($F919&lt;&gt;"","NO CAT",""))</f>
        <v>All Other</v>
      </c>
      <c r="O919" s="116" t="str">
        <f>IF($L919&lt;&gt;"",VLOOKUP($L919,Categories!$E:$G,3,FALSE),IF($F919&lt;&gt;"","NO CAT",""))</f>
        <v>EB-Cap</v>
      </c>
      <c r="P919" s="170" t="s">
        <v>1557</v>
      </c>
      <c r="Q919" s="123" t="s">
        <v>1891</v>
      </c>
      <c r="R919" s="124">
        <v>0.77544352505021785</v>
      </c>
      <c r="S919" s="124">
        <v>0.22455647494978223</v>
      </c>
      <c r="T919" s="124">
        <v>0</v>
      </c>
      <c r="U919" s="121">
        <f t="shared" si="397"/>
        <v>17.426588865065</v>
      </c>
      <c r="V919" s="121">
        <f t="shared" si="398"/>
        <v>5.0464711349349498</v>
      </c>
      <c r="W919" s="121">
        <f t="shared" si="399"/>
        <v>0</v>
      </c>
      <c r="X919" s="121">
        <f t="shared" si="395"/>
        <v>22.47306</v>
      </c>
      <c r="Y919" s="121">
        <f t="shared" si="400"/>
        <v>17.426588865065</v>
      </c>
      <c r="Z919" s="121">
        <f t="shared" si="401"/>
        <v>5.0464711349349498</v>
      </c>
      <c r="AA919" s="121">
        <f t="shared" si="402"/>
        <v>0</v>
      </c>
      <c r="AB919" s="121">
        <f t="shared" si="396"/>
        <v>22.47306</v>
      </c>
      <c r="AC919" s="121">
        <v>22.47306</v>
      </c>
      <c r="AD919" s="121">
        <v>22.47306</v>
      </c>
      <c r="AE919" s="121">
        <v>22.47306</v>
      </c>
      <c r="AF919" s="121">
        <v>22.47306</v>
      </c>
      <c r="AG919" s="121">
        <v>22.47306</v>
      </c>
      <c r="AH919" s="121">
        <v>22.47306</v>
      </c>
      <c r="AI919" s="161">
        <v>22.47306</v>
      </c>
      <c r="AJ919" s="161">
        <v>22.47306</v>
      </c>
      <c r="AK919" s="161">
        <v>22.47306</v>
      </c>
      <c r="AL919" s="161">
        <v>22.47306</v>
      </c>
      <c r="AM919" s="161">
        <v>22.47306</v>
      </c>
      <c r="AN919" s="161">
        <v>22.47306</v>
      </c>
      <c r="AO919" s="161">
        <v>22.47306</v>
      </c>
      <c r="AP919" s="125" t="str">
        <f>CONCATENATE(A919,M919)</f>
        <v>Def TaxA</v>
      </c>
      <c r="AQ919" s="125" t="str">
        <f>CONCATENATE(AP919,L919,H919)</f>
        <v>Def TaxAA2PURTA Refund</v>
      </c>
      <c r="AS919" s="125" t="str">
        <f>CONCATENATE(L919,H919,J919)</f>
        <v>A2PURTA Refund</v>
      </c>
    </row>
    <row r="920" spans="1:45" s="125" customFormat="1" ht="25.5" customHeight="1">
      <c r="A920" s="216" t="s">
        <v>1996</v>
      </c>
      <c r="B920" s="217" t="str">
        <f t="shared" si="393"/>
        <v>Def Tax1900110-186.01.07BT010089</v>
      </c>
      <c r="C920" s="186">
        <v>190011</v>
      </c>
      <c r="D920" s="201" t="s">
        <v>644</v>
      </c>
      <c r="E920" s="162" t="s">
        <v>1916</v>
      </c>
      <c r="F920" s="169" t="s">
        <v>2216</v>
      </c>
      <c r="G920" s="117" t="s">
        <v>245</v>
      </c>
      <c r="H920" s="118" t="s">
        <v>170</v>
      </c>
      <c r="I920" s="119"/>
      <c r="J920" s="120"/>
      <c r="K920" s="120" t="str">
        <f t="shared" si="394"/>
        <v/>
      </c>
      <c r="L920" s="170" t="s">
        <v>1895</v>
      </c>
      <c r="M920" s="122" t="str">
        <f t="shared" si="404"/>
        <v>R</v>
      </c>
      <c r="N920" s="116" t="str">
        <f>IF($L920&lt;&gt;"",VLOOKUP($L920,Categories!$E:$G,2,FALSE),IF($F920&lt;&gt;"","NO CAT",""))</f>
        <v>Rate Base</v>
      </c>
      <c r="O920" s="116" t="str">
        <f>IF($L920&lt;&gt;"",VLOOKUP($L920,Categories!$E:$G,3,FALSE),IF($F920&lt;&gt;"","NO CAT",""))</f>
        <v>Deferred Income Taxes</v>
      </c>
      <c r="P920" s="170" t="s">
        <v>1553</v>
      </c>
      <c r="Q920" s="123" t="s">
        <v>2587</v>
      </c>
      <c r="R920" s="124">
        <v>0.81899999999999995</v>
      </c>
      <c r="S920" s="124">
        <v>0.18099999999999999</v>
      </c>
      <c r="T920" s="124">
        <v>0</v>
      </c>
      <c r="U920" s="121" t="str">
        <f t="shared" si="397"/>
        <v/>
      </c>
      <c r="V920" s="121" t="str">
        <f t="shared" si="398"/>
        <v/>
      </c>
      <c r="W920" s="121" t="str">
        <f t="shared" si="399"/>
        <v/>
      </c>
      <c r="X920" s="121">
        <f t="shared" si="395"/>
        <v>0</v>
      </c>
      <c r="Y920" s="121" t="str">
        <f t="shared" si="400"/>
        <v/>
      </c>
      <c r="Z920" s="121" t="str">
        <f t="shared" si="401"/>
        <v/>
      </c>
      <c r="AA920" s="121" t="str">
        <f t="shared" si="402"/>
        <v/>
      </c>
      <c r="AB920" s="121">
        <f t="shared" si="396"/>
        <v>0</v>
      </c>
      <c r="AC920" s="121">
        <v>0</v>
      </c>
      <c r="AD920" s="121">
        <v>0</v>
      </c>
      <c r="AE920" s="121">
        <v>0</v>
      </c>
      <c r="AF920" s="121">
        <v>0</v>
      </c>
      <c r="AG920" s="121">
        <v>0</v>
      </c>
      <c r="AH920" s="121">
        <v>0</v>
      </c>
      <c r="AI920" s="161">
        <v>0</v>
      </c>
      <c r="AJ920" s="161">
        <f t="shared" ref="AJ920:AK920" si="405">IF(AI920=0,0,0)</f>
        <v>0</v>
      </c>
      <c r="AK920" s="161">
        <f t="shared" si="405"/>
        <v>0</v>
      </c>
      <c r="AL920" s="161">
        <v>0</v>
      </c>
      <c r="AM920" s="161">
        <v>0</v>
      </c>
      <c r="AN920" s="161">
        <v>0</v>
      </c>
      <c r="AO920" s="161">
        <v>0</v>
      </c>
      <c r="AP920" s="125" t="str">
        <f>CONCATENATE(A920,M920)</f>
        <v>Def TaxR</v>
      </c>
      <c r="AQ920" s="125" t="str">
        <f>CONCATENATE(AP920,L920,H920)</f>
        <v>Def TaxRR11OPEBs</v>
      </c>
      <c r="AS920" s="125" t="str">
        <f>CONCATENATE(L920,H920,J920)</f>
        <v>R11OPEBs</v>
      </c>
    </row>
    <row r="921" spans="1:45" s="125" customFormat="1" ht="25.5" customHeight="1">
      <c r="A921" s="216" t="s">
        <v>1996</v>
      </c>
      <c r="B921" s="217" t="str">
        <f t="shared" si="393"/>
        <v>Def Tax190011Use Tax ResBT010240</v>
      </c>
      <c r="C921" s="186">
        <v>190011</v>
      </c>
      <c r="D921" s="201" t="s">
        <v>721</v>
      </c>
      <c r="E921" s="162" t="s">
        <v>986</v>
      </c>
      <c r="F921" s="169" t="s">
        <v>2216</v>
      </c>
      <c r="G921" s="117" t="s">
        <v>720</v>
      </c>
      <c r="H921" s="118" t="s">
        <v>1839</v>
      </c>
      <c r="I921" s="119"/>
      <c r="J921" s="120"/>
      <c r="K921" s="120" t="str">
        <f t="shared" ref="K921:K945" si="406">IF(L921="N3","SFAS-109","")</f>
        <v/>
      </c>
      <c r="L921" s="170" t="s">
        <v>928</v>
      </c>
      <c r="M921" s="122" t="str">
        <f t="shared" si="404"/>
        <v>N</v>
      </c>
      <c r="N921" s="116" t="str">
        <f>IF($L921&lt;&gt;"",VLOOKUP($L921,Categories!$E:$G,2,FALSE),IF($F921&lt;&gt;"","NO CAT",""))</f>
        <v>Not in Rate Base</v>
      </c>
      <c r="O921" s="116" t="str">
        <f>IF($L921&lt;&gt;"",VLOOKUP($L921,Categories!$E:$G,3,FALSE),IF($F921&lt;&gt;"","NO CAT",""))</f>
        <v>Direct Assign Items Not in RB</v>
      </c>
      <c r="P921" s="170" t="s">
        <v>1186</v>
      </c>
      <c r="Q921" s="123" t="s">
        <v>1187</v>
      </c>
      <c r="R921" s="124">
        <v>0</v>
      </c>
      <c r="S921" s="124">
        <v>0</v>
      </c>
      <c r="T921" s="124">
        <v>1</v>
      </c>
      <c r="U921" s="121">
        <f t="shared" si="397"/>
        <v>0</v>
      </c>
      <c r="V921" s="121">
        <f t="shared" si="398"/>
        <v>0</v>
      </c>
      <c r="W921" s="121">
        <f t="shared" si="399"/>
        <v>44.422768333333401</v>
      </c>
      <c r="X921" s="121">
        <f t="shared" si="395"/>
        <v>44.422768333333401</v>
      </c>
      <c r="Y921" s="121">
        <f t="shared" si="400"/>
        <v>0</v>
      </c>
      <c r="Z921" s="121">
        <f t="shared" si="401"/>
        <v>0</v>
      </c>
      <c r="AA921" s="121">
        <f t="shared" si="402"/>
        <v>103.68706</v>
      </c>
      <c r="AB921" s="121">
        <f t="shared" si="396"/>
        <v>103.68706</v>
      </c>
      <c r="AC921" s="121">
        <v>41.846060000000008</v>
      </c>
      <c r="AD921" s="121">
        <v>41.846060000000008</v>
      </c>
      <c r="AE921" s="121">
        <v>41.846060000000008</v>
      </c>
      <c r="AF921" s="121">
        <v>41.846060000000008</v>
      </c>
      <c r="AG921" s="121">
        <v>41.846060000000008</v>
      </c>
      <c r="AH921" s="121">
        <v>41.846060000000008</v>
      </c>
      <c r="AI921" s="161">
        <v>41.846060000000008</v>
      </c>
      <c r="AJ921" s="161">
        <v>41.846060000000008</v>
      </c>
      <c r="AK921" s="161">
        <v>41.846060000000008</v>
      </c>
      <c r="AL921" s="161">
        <v>41.846060000000008</v>
      </c>
      <c r="AM921" s="161">
        <v>41.846060000000008</v>
      </c>
      <c r="AN921" s="161">
        <v>41.846060000000008</v>
      </c>
      <c r="AO921" s="161">
        <v>103.68706</v>
      </c>
      <c r="AP921" s="125" t="str">
        <f>CONCATENATE(A921,M921)</f>
        <v>Def TaxN</v>
      </c>
      <c r="AQ921" s="125" t="str">
        <f>CONCATENATE(AP921,L921,H921)</f>
        <v>Def TaxNN2Use Tax Reserve</v>
      </c>
      <c r="AS921" s="125" t="str">
        <f>CONCATENATE(L921,H921,J921)</f>
        <v>N2Use Tax Reserve</v>
      </c>
    </row>
    <row r="922" spans="1:45" s="125" customFormat="1" ht="25.5" customHeight="1">
      <c r="A922" s="216" t="s">
        <v>1996</v>
      </c>
      <c r="B922" s="217" t="str">
        <f t="shared" ref="B922:B945" si="407">CONCATENATE(A922,C922,D922,E922)</f>
        <v>Def Tax190011BT010381</v>
      </c>
      <c r="C922" s="186">
        <v>190011</v>
      </c>
      <c r="D922" s="201"/>
      <c r="E922" s="162" t="s">
        <v>1532</v>
      </c>
      <c r="F922" s="169" t="s">
        <v>2216</v>
      </c>
      <c r="G922" s="117" t="s">
        <v>1531</v>
      </c>
      <c r="H922" s="118" t="s">
        <v>914</v>
      </c>
      <c r="I922" s="119"/>
      <c r="J922" s="120"/>
      <c r="K922" s="120" t="str">
        <f t="shared" si="406"/>
        <v/>
      </c>
      <c r="L922" s="170" t="s">
        <v>1895</v>
      </c>
      <c r="M922" s="122" t="str">
        <f t="shared" si="404"/>
        <v>R</v>
      </c>
      <c r="N922" s="116" t="str">
        <f>IF($L922&lt;&gt;"",VLOOKUP($L922,Categories!$E:$G,2,FALSE),IF($F922&lt;&gt;"","NO CAT",""))</f>
        <v>Rate Base</v>
      </c>
      <c r="O922" s="116" t="str">
        <f>IF($L922&lt;&gt;"",VLOOKUP($L922,Categories!$E:$G,3,FALSE),IF($F922&lt;&gt;"","NO CAT",""))</f>
        <v>Deferred Income Taxes</v>
      </c>
      <c r="P922" s="170" t="s">
        <v>1553</v>
      </c>
      <c r="Q922" s="123" t="s">
        <v>2587</v>
      </c>
      <c r="R922" s="124">
        <v>0.81899999999999995</v>
      </c>
      <c r="S922" s="124">
        <v>0.18099999999999999</v>
      </c>
      <c r="T922" s="124">
        <v>0</v>
      </c>
      <c r="U922" s="121" t="str">
        <f t="shared" si="397"/>
        <v/>
      </c>
      <c r="V922" s="121" t="str">
        <f t="shared" si="398"/>
        <v/>
      </c>
      <c r="W922" s="121" t="str">
        <f t="shared" si="399"/>
        <v/>
      </c>
      <c r="X922" s="121">
        <f t="shared" si="395"/>
        <v>0</v>
      </c>
      <c r="Y922" s="121" t="str">
        <f t="shared" si="400"/>
        <v/>
      </c>
      <c r="Z922" s="121" t="str">
        <f t="shared" si="401"/>
        <v/>
      </c>
      <c r="AA922" s="121" t="str">
        <f t="shared" si="402"/>
        <v/>
      </c>
      <c r="AB922" s="121">
        <f t="shared" si="396"/>
        <v>0</v>
      </c>
      <c r="AC922" s="121">
        <v>0</v>
      </c>
      <c r="AD922" s="121">
        <v>0</v>
      </c>
      <c r="AE922" s="121">
        <v>0</v>
      </c>
      <c r="AF922" s="121">
        <v>0</v>
      </c>
      <c r="AG922" s="121">
        <v>0</v>
      </c>
      <c r="AH922" s="121">
        <v>0</v>
      </c>
      <c r="AI922" s="161">
        <v>0</v>
      </c>
      <c r="AJ922" s="161">
        <f t="shared" ref="AJ922:AK926" si="408">IF(AI922=0,0,0)</f>
        <v>0</v>
      </c>
      <c r="AK922" s="161">
        <f t="shared" si="408"/>
        <v>0</v>
      </c>
      <c r="AL922" s="161">
        <v>0</v>
      </c>
      <c r="AM922" s="161">
        <v>0</v>
      </c>
      <c r="AN922" s="161">
        <v>0</v>
      </c>
      <c r="AO922" s="161">
        <v>0</v>
      </c>
      <c r="AP922" s="125" t="str">
        <f>CONCATENATE(A922,M922)</f>
        <v>Def TaxR</v>
      </c>
      <c r="AQ922" s="125" t="str">
        <f>CONCATENATE(AP922,L922,H922)</f>
        <v>Def TaxRR11Medicare Subsidy</v>
      </c>
      <c r="AS922" s="125" t="str">
        <f>CONCATENATE(L922,H922,J922)</f>
        <v>R11Medicare Subsidy</v>
      </c>
    </row>
    <row r="923" spans="1:45" s="125" customFormat="1" ht="25.5" customHeight="1">
      <c r="A923" s="216" t="s">
        <v>1996</v>
      </c>
      <c r="B923" s="217" t="str">
        <f t="shared" si="407"/>
        <v>Def Tax190011Medicare SubBT010125</v>
      </c>
      <c r="C923" s="186">
        <v>190011</v>
      </c>
      <c r="D923" s="201" t="s">
        <v>2652</v>
      </c>
      <c r="E923" s="162" t="s">
        <v>1024</v>
      </c>
      <c r="F923" s="169" t="s">
        <v>2216</v>
      </c>
      <c r="G923" s="117" t="s">
        <v>279</v>
      </c>
      <c r="H923" s="118" t="s">
        <v>914</v>
      </c>
      <c r="I923" s="119"/>
      <c r="J923" s="120"/>
      <c r="K923" s="120" t="str">
        <f t="shared" si="406"/>
        <v/>
      </c>
      <c r="L923" s="170" t="s">
        <v>1895</v>
      </c>
      <c r="M923" s="122" t="str">
        <f t="shared" si="404"/>
        <v>R</v>
      </c>
      <c r="N923" s="116" t="str">
        <f>IF($L923&lt;&gt;"",VLOOKUP($L923,Categories!$E:$G,2,FALSE),IF($F923&lt;&gt;"","NO CAT",""))</f>
        <v>Rate Base</v>
      </c>
      <c r="O923" s="116" t="str">
        <f>IF($L923&lt;&gt;"",VLOOKUP($L923,Categories!$E:$G,3,FALSE),IF($F923&lt;&gt;"","NO CAT",""))</f>
        <v>Deferred Income Taxes</v>
      </c>
      <c r="P923" s="170" t="s">
        <v>1553</v>
      </c>
      <c r="Q923" s="123" t="s">
        <v>2587</v>
      </c>
      <c r="R923" s="124">
        <v>0.81899999999999995</v>
      </c>
      <c r="S923" s="124">
        <v>0.18099999999999999</v>
      </c>
      <c r="T923" s="124">
        <v>0</v>
      </c>
      <c r="U923" s="121" t="str">
        <f t="shared" si="397"/>
        <v/>
      </c>
      <c r="V923" s="121" t="str">
        <f t="shared" si="398"/>
        <v/>
      </c>
      <c r="W923" s="121" t="str">
        <f t="shared" si="399"/>
        <v/>
      </c>
      <c r="X923" s="121">
        <f t="shared" si="395"/>
        <v>0</v>
      </c>
      <c r="Y923" s="121" t="str">
        <f t="shared" si="400"/>
        <v/>
      </c>
      <c r="Z923" s="121" t="str">
        <f t="shared" si="401"/>
        <v/>
      </c>
      <c r="AA923" s="121" t="str">
        <f t="shared" si="402"/>
        <v/>
      </c>
      <c r="AB923" s="121">
        <f t="shared" si="396"/>
        <v>0</v>
      </c>
      <c r="AC923" s="121">
        <v>0</v>
      </c>
      <c r="AD923" s="121">
        <v>0</v>
      </c>
      <c r="AE923" s="121">
        <v>0</v>
      </c>
      <c r="AF923" s="121">
        <v>0</v>
      </c>
      <c r="AG923" s="121">
        <v>0</v>
      </c>
      <c r="AH923" s="121">
        <v>0</v>
      </c>
      <c r="AI923" s="161">
        <v>0</v>
      </c>
      <c r="AJ923" s="161">
        <f t="shared" si="408"/>
        <v>0</v>
      </c>
      <c r="AK923" s="161">
        <f t="shared" si="408"/>
        <v>0</v>
      </c>
      <c r="AL923" s="161">
        <v>0</v>
      </c>
      <c r="AM923" s="161">
        <v>0</v>
      </c>
      <c r="AN923" s="161">
        <v>0</v>
      </c>
      <c r="AO923" s="161">
        <v>0</v>
      </c>
      <c r="AP923" s="125" t="str">
        <f>CONCATENATE(A923,M923)</f>
        <v>Def TaxR</v>
      </c>
      <c r="AQ923" s="125" t="str">
        <f>CONCATENATE(AP923,L923,H923)</f>
        <v>Def TaxRR11Medicare Subsidy</v>
      </c>
      <c r="AS923" s="125" t="str">
        <f>CONCATENATE(L923,H923,J923)</f>
        <v>R11Medicare Subsidy</v>
      </c>
    </row>
    <row r="924" spans="1:45" s="125" customFormat="1" ht="25.5" customHeight="1">
      <c r="A924" s="216" t="s">
        <v>1996</v>
      </c>
      <c r="B924" s="217" t="str">
        <f>CONCATENATE(A924,C924,D924,E924)</f>
        <v>Def Tax190011BT010129</v>
      </c>
      <c r="C924" s="186">
        <v>190011</v>
      </c>
      <c r="D924" s="201"/>
      <c r="E924" s="162" t="s">
        <v>2677</v>
      </c>
      <c r="F924" s="169" t="s">
        <v>2216</v>
      </c>
      <c r="G924" s="117" t="s">
        <v>4651</v>
      </c>
      <c r="H924" s="118" t="s">
        <v>2674</v>
      </c>
      <c r="I924" s="119"/>
      <c r="J924" s="120"/>
      <c r="K924" s="120"/>
      <c r="L924" s="170" t="s">
        <v>1895</v>
      </c>
      <c r="M924" s="122" t="str">
        <f t="shared" si="404"/>
        <v>R</v>
      </c>
      <c r="N924" s="116" t="str">
        <f>IF($L924&lt;&gt;"",VLOOKUP($L924,Categories!$E:$G,2,FALSE),IF($F924&lt;&gt;"","NO CAT",""))</f>
        <v>Rate Base</v>
      </c>
      <c r="O924" s="116" t="str">
        <f>IF($L924&lt;&gt;"",VLOOKUP($L924,Categories!$E:$G,3,FALSE),IF($F924&lt;&gt;"","NO CAT",""))</f>
        <v>Deferred Income Taxes</v>
      </c>
      <c r="P924" s="170" t="s">
        <v>1183</v>
      </c>
      <c r="Q924" s="123" t="s">
        <v>1177</v>
      </c>
      <c r="R924" s="124">
        <v>1</v>
      </c>
      <c r="S924" s="124">
        <v>0</v>
      </c>
      <c r="T924" s="124">
        <v>0</v>
      </c>
      <c r="U924" s="121" t="str">
        <f t="shared" si="397"/>
        <v/>
      </c>
      <c r="V924" s="121" t="str">
        <f t="shared" si="398"/>
        <v/>
      </c>
      <c r="W924" s="121" t="str">
        <f t="shared" si="399"/>
        <v/>
      </c>
      <c r="X924" s="121">
        <f t="shared" si="395"/>
        <v>0</v>
      </c>
      <c r="Y924" s="121" t="str">
        <f t="shared" si="400"/>
        <v/>
      </c>
      <c r="Z924" s="121" t="str">
        <f t="shared" si="401"/>
        <v/>
      </c>
      <c r="AA924" s="121" t="str">
        <f t="shared" si="402"/>
        <v/>
      </c>
      <c r="AB924" s="121">
        <f t="shared" si="396"/>
        <v>0</v>
      </c>
      <c r="AC924" s="121">
        <v>0</v>
      </c>
      <c r="AD924" s="121">
        <v>0</v>
      </c>
      <c r="AE924" s="121">
        <v>0</v>
      </c>
      <c r="AF924" s="121">
        <v>0</v>
      </c>
      <c r="AG924" s="121">
        <v>0</v>
      </c>
      <c r="AH924" s="121">
        <v>0</v>
      </c>
      <c r="AI924" s="161">
        <v>0</v>
      </c>
      <c r="AJ924" s="161">
        <f t="shared" si="408"/>
        <v>0</v>
      </c>
      <c r="AK924" s="161">
        <f t="shared" si="408"/>
        <v>0</v>
      </c>
      <c r="AL924" s="161">
        <v>0</v>
      </c>
      <c r="AM924" s="161">
        <v>0</v>
      </c>
      <c r="AN924" s="161">
        <v>0</v>
      </c>
      <c r="AO924" s="161">
        <v>0</v>
      </c>
      <c r="AP924" s="125" t="str">
        <f>CONCATENATE(A924,M924)</f>
        <v>Def TaxR</v>
      </c>
      <c r="AQ924" s="125" t="str">
        <f>CONCATENATE(AP924,L924,H924)</f>
        <v>Def TaxRR11NOL Def Tax Asset</v>
      </c>
      <c r="AS924" s="125" t="str">
        <f>CONCATENATE(L924,H924,J924)</f>
        <v>R11NOL Def Tax Asset</v>
      </c>
    </row>
    <row r="925" spans="1:45" s="125" customFormat="1" ht="25.5" customHeight="1">
      <c r="A925" s="216" t="s">
        <v>1996</v>
      </c>
      <c r="B925" s="217" t="str">
        <f t="shared" si="407"/>
        <v>Def Tax190011BT010167</v>
      </c>
      <c r="C925" s="186">
        <v>190011</v>
      </c>
      <c r="D925" s="201"/>
      <c r="E925" s="162" t="s">
        <v>286</v>
      </c>
      <c r="F925" s="169" t="s">
        <v>2216</v>
      </c>
      <c r="G925" s="117" t="s">
        <v>3142</v>
      </c>
      <c r="H925" s="118" t="s">
        <v>1002</v>
      </c>
      <c r="I925" s="119"/>
      <c r="J925" s="120"/>
      <c r="K925" s="120" t="str">
        <f>IF(L925="N3","SFAS-109","")</f>
        <v/>
      </c>
      <c r="L925" s="170" t="s">
        <v>1895</v>
      </c>
      <c r="M925" s="122" t="str">
        <f t="shared" si="404"/>
        <v>R</v>
      </c>
      <c r="N925" s="116" t="str">
        <f>IF($L925&lt;&gt;"",VLOOKUP($L925,Categories!$E:$G,2,FALSE),IF($F925&lt;&gt;"","NO CAT",""))</f>
        <v>Rate Base</v>
      </c>
      <c r="O925" s="116" t="str">
        <f>IF($L925&lt;&gt;"",VLOOKUP($L925,Categories!$E:$G,3,FALSE),IF($F925&lt;&gt;"","NO CAT",""))</f>
        <v>Deferred Income Taxes</v>
      </c>
      <c r="P925" s="170" t="s">
        <v>1553</v>
      </c>
      <c r="Q925" s="123" t="s">
        <v>2587</v>
      </c>
      <c r="R925" s="124">
        <v>0.81899999999999995</v>
      </c>
      <c r="S925" s="124">
        <v>0.18099999999999999</v>
      </c>
      <c r="T925" s="124">
        <v>0</v>
      </c>
      <c r="U925" s="121" t="str">
        <f t="shared" si="397"/>
        <v/>
      </c>
      <c r="V925" s="121" t="str">
        <f t="shared" si="398"/>
        <v/>
      </c>
      <c r="W925" s="121" t="str">
        <f t="shared" si="399"/>
        <v/>
      </c>
      <c r="X925" s="121">
        <f t="shared" si="395"/>
        <v>0</v>
      </c>
      <c r="Y925" s="121" t="str">
        <f t="shared" si="400"/>
        <v/>
      </c>
      <c r="Z925" s="121" t="str">
        <f t="shared" si="401"/>
        <v/>
      </c>
      <c r="AA925" s="121" t="str">
        <f t="shared" si="402"/>
        <v/>
      </c>
      <c r="AB925" s="121">
        <f t="shared" si="396"/>
        <v>0</v>
      </c>
      <c r="AC925" s="121">
        <v>0</v>
      </c>
      <c r="AD925" s="121">
        <v>0</v>
      </c>
      <c r="AE925" s="121">
        <v>0</v>
      </c>
      <c r="AF925" s="121">
        <v>0</v>
      </c>
      <c r="AG925" s="121">
        <v>0</v>
      </c>
      <c r="AH925" s="121">
        <v>0</v>
      </c>
      <c r="AI925" s="161">
        <v>0</v>
      </c>
      <c r="AJ925" s="161">
        <f t="shared" si="408"/>
        <v>0</v>
      </c>
      <c r="AK925" s="161">
        <f t="shared" si="408"/>
        <v>0</v>
      </c>
      <c r="AL925" s="161">
        <v>0</v>
      </c>
      <c r="AM925" s="161">
        <v>0</v>
      </c>
      <c r="AN925" s="161">
        <v>0</v>
      </c>
      <c r="AO925" s="161">
        <v>0</v>
      </c>
      <c r="AP925" s="125" t="str">
        <f>CONCATENATE(A925,M925)</f>
        <v>Def TaxR</v>
      </c>
      <c r="AQ925" s="125" t="str">
        <f>CONCATENATE(AP925,L925,H925)</f>
        <v>Def TaxRR11Accrued Pension</v>
      </c>
      <c r="AS925" s="125" t="str">
        <f>CONCATENATE(L925,H925,J925)</f>
        <v>R11Accrued Pension</v>
      </c>
    </row>
    <row r="926" spans="1:45" s="125" customFormat="1" ht="25.5" customHeight="1">
      <c r="A926" s="216" t="s">
        <v>1996</v>
      </c>
      <c r="B926" s="217" t="str">
        <f>CONCATENATE(A926,C926,D926,E926)</f>
        <v>Def Tax190011BTMISCDT</v>
      </c>
      <c r="C926" s="186">
        <v>190011</v>
      </c>
      <c r="D926" s="201"/>
      <c r="E926" s="162" t="s">
        <v>4763</v>
      </c>
      <c r="F926" s="169" t="s">
        <v>2216</v>
      </c>
      <c r="G926" s="117" t="s">
        <v>4764</v>
      </c>
      <c r="H926" s="118" t="s">
        <v>4761</v>
      </c>
      <c r="I926" s="119"/>
      <c r="J926" s="120"/>
      <c r="K926" s="120" t="str">
        <f>IF(L926="N3","SFAS-109","")</f>
        <v/>
      </c>
      <c r="L926" s="170" t="s">
        <v>1895</v>
      </c>
      <c r="M926" s="122" t="str">
        <f>LEFT(L926,1)</f>
        <v>R</v>
      </c>
      <c r="N926" s="116" t="str">
        <f>IF($L926&lt;&gt;"",VLOOKUP($L926,Categories!$E:$G,2,FALSE),IF($F926&lt;&gt;"","NO CAT",""))</f>
        <v>Rate Base</v>
      </c>
      <c r="O926" s="116" t="str">
        <f>IF($L926&lt;&gt;"",VLOOKUP($L926,Categories!$E:$G,3,FALSE),IF($F926&lt;&gt;"","NO CAT",""))</f>
        <v>Deferred Income Taxes</v>
      </c>
      <c r="P926" s="170" t="s">
        <v>1183</v>
      </c>
      <c r="Q926" s="123" t="s">
        <v>1177</v>
      </c>
      <c r="R926" s="124">
        <v>1</v>
      </c>
      <c r="S926" s="124">
        <v>0</v>
      </c>
      <c r="T926" s="124">
        <v>0</v>
      </c>
      <c r="U926" s="121">
        <f>IF(ABS(X926)=0,"",IF($R926="NO ALLOC","NO ALLOC",ROUND($R926*X926,15)))</f>
        <v>825.83333333333303</v>
      </c>
      <c r="V926" s="121">
        <f>IF(ABS(X926)=0,"",IF($S926="NO ALLOC","NO ALLOC",ROUND($S926*X926,15)))</f>
        <v>0</v>
      </c>
      <c r="W926" s="121">
        <f>IF(ABS(X926)=0,"",IF($T926="NO ALLOC","NO ALLOC",ROUND($T926*X926,15)))</f>
        <v>0</v>
      </c>
      <c r="X926" s="121">
        <f t="shared" ref="X926:X951" si="409">IF(ISERROR(ROUND((SUM(AC926:AO926)-((AC926+AO926))/2)/12,15)),"",ROUND((SUM(AC926:AO926)-((AC926+AO926))/2)/12,15))</f>
        <v>825.83333333333303</v>
      </c>
      <c r="Y926" s="121" t="str">
        <f>IF(ABS(AB926)=0,"",IF($R926="NO ALLOC","NO ALLOC",ROUND($R926*AB926,15)))</f>
        <v/>
      </c>
      <c r="Z926" s="121" t="str">
        <f>IF(ABS(AB926)=0,"",IF($S926="NO ALLOC","NO ALLOC",ROUND($S926*AB926,15)))</f>
        <v/>
      </c>
      <c r="AA926" s="121" t="str">
        <f>IF(ABS(AB926)=0,"",IF($T926="NO ALLOC","NO ALLOC",ROUND($T926*AB926,15)))</f>
        <v/>
      </c>
      <c r="AB926" s="121">
        <f t="shared" ref="AB926:AB951" si="410">IF(AO926="",0,+AO926)</f>
        <v>0</v>
      </c>
      <c r="AC926" s="121"/>
      <c r="AD926" s="121"/>
      <c r="AE926" s="121"/>
      <c r="AF926" s="121"/>
      <c r="AG926" s="121"/>
      <c r="AH926" s="121"/>
      <c r="AI926" s="161">
        <v>9910</v>
      </c>
      <c r="AJ926" s="161">
        <v>0</v>
      </c>
      <c r="AK926" s="161">
        <f t="shared" si="408"/>
        <v>0</v>
      </c>
      <c r="AL926" s="161">
        <v>0</v>
      </c>
      <c r="AM926" s="161">
        <v>0</v>
      </c>
      <c r="AN926" s="161">
        <v>0</v>
      </c>
      <c r="AO926" s="161">
        <v>0</v>
      </c>
      <c r="AP926" s="125" t="str">
        <f>CONCATENATE(A926,M926)</f>
        <v>Def TaxR</v>
      </c>
      <c r="AQ926" s="125" t="str">
        <f>CONCATENATE(AP926,L926,H926)</f>
        <v>Def TaxRR11Excess DIT - New York State Tax Rate change</v>
      </c>
      <c r="AS926" s="125" t="str">
        <f>CONCATENATE(L926,H926,J926)</f>
        <v>R11Excess DIT - New York State Tax Rate change</v>
      </c>
    </row>
    <row r="927" spans="1:45" s="125" customFormat="1" ht="25.5" customHeight="1">
      <c r="A927" s="216" t="s">
        <v>1996</v>
      </c>
      <c r="B927" s="217" t="str">
        <f t="shared" si="407"/>
        <v>Def Tax1900120-286.01.17BT010272</v>
      </c>
      <c r="C927" s="186">
        <v>190012</v>
      </c>
      <c r="D927" s="201" t="s">
        <v>680</v>
      </c>
      <c r="E927" s="162" t="s">
        <v>1066</v>
      </c>
      <c r="F927" s="169" t="s">
        <v>2216</v>
      </c>
      <c r="G927" s="117" t="s">
        <v>681</v>
      </c>
      <c r="H927" s="118" t="s">
        <v>1662</v>
      </c>
      <c r="I927" s="119"/>
      <c r="J927" s="120"/>
      <c r="K927" s="120" t="str">
        <f t="shared" si="406"/>
        <v/>
      </c>
      <c r="L927" s="170" t="s">
        <v>1895</v>
      </c>
      <c r="M927" s="122" t="str">
        <f t="shared" si="404"/>
        <v>R</v>
      </c>
      <c r="N927" s="116" t="str">
        <f>IF($L927&lt;&gt;"",VLOOKUP($L927,Categories!$E:$G,2,FALSE),IF($F927&lt;&gt;"","NO CAT",""))</f>
        <v>Rate Base</v>
      </c>
      <c r="O927" s="116" t="str">
        <f>IF($L927&lt;&gt;"",VLOOKUP($L927,Categories!$E:$G,3,FALSE),IF($F927&lt;&gt;"","NO CAT",""))</f>
        <v>Deferred Income Taxes</v>
      </c>
      <c r="P927" s="170" t="s">
        <v>1184</v>
      </c>
      <c r="Q927" s="123" t="s">
        <v>1178</v>
      </c>
      <c r="R927" s="124">
        <v>0</v>
      </c>
      <c r="S927" s="124">
        <v>1</v>
      </c>
      <c r="T927" s="124">
        <v>0</v>
      </c>
      <c r="U927" s="121">
        <f t="shared" si="397"/>
        <v>0</v>
      </c>
      <c r="V927" s="121">
        <f t="shared" si="398"/>
        <v>62.966999999999999</v>
      </c>
      <c r="W927" s="121">
        <f t="shared" si="399"/>
        <v>0</v>
      </c>
      <c r="X927" s="121">
        <f t="shared" si="409"/>
        <v>62.966999999999999</v>
      </c>
      <c r="Y927" s="121">
        <f t="shared" si="400"/>
        <v>0</v>
      </c>
      <c r="Z927" s="121">
        <f t="shared" si="401"/>
        <v>62.966999999999999</v>
      </c>
      <c r="AA927" s="121">
        <f t="shared" si="402"/>
        <v>0</v>
      </c>
      <c r="AB927" s="121">
        <f t="shared" si="410"/>
        <v>62.966999999999999</v>
      </c>
      <c r="AC927" s="121">
        <v>62.966999999999999</v>
      </c>
      <c r="AD927" s="121">
        <v>62.966999999999999</v>
      </c>
      <c r="AE927" s="121">
        <v>62.966999999999999</v>
      </c>
      <c r="AF927" s="121">
        <v>62.966999999999999</v>
      </c>
      <c r="AG927" s="121">
        <v>62.966999999999999</v>
      </c>
      <c r="AH927" s="121">
        <v>62.966999999999999</v>
      </c>
      <c r="AI927" s="161">
        <v>62.966999999999999</v>
      </c>
      <c r="AJ927" s="161">
        <v>62.966999999999999</v>
      </c>
      <c r="AK927" s="161">
        <v>62.966999999999999</v>
      </c>
      <c r="AL927" s="161">
        <v>62.966999999999999</v>
      </c>
      <c r="AM927" s="161">
        <v>62.966999999999999</v>
      </c>
      <c r="AN927" s="161">
        <v>62.966999999999999</v>
      </c>
      <c r="AO927" s="161">
        <v>62.966999999999999</v>
      </c>
      <c r="AP927" s="125" t="str">
        <f>CONCATENATE(A927,M927)</f>
        <v>Def TaxR</v>
      </c>
      <c r="AQ927" s="125" t="str">
        <f>CONCATENATE(AP927,L927,H927)</f>
        <v>Def TaxRR11Deferred Unbilled Revenue</v>
      </c>
      <c r="AS927" s="125" t="str">
        <f>CONCATENATE(L927,H927,J927)</f>
        <v>R11Deferred Unbilled Revenue</v>
      </c>
    </row>
    <row r="928" spans="1:45" s="125" customFormat="1" ht="25.5" customHeight="1">
      <c r="A928" s="216" t="s">
        <v>1996</v>
      </c>
      <c r="B928" s="217" t="str">
        <f t="shared" si="407"/>
        <v>Def Tax190012AROBT010303</v>
      </c>
      <c r="C928" s="186">
        <v>190012</v>
      </c>
      <c r="D928" s="201" t="s">
        <v>993</v>
      </c>
      <c r="E928" s="162" t="s">
        <v>994</v>
      </c>
      <c r="F928" s="169" t="s">
        <v>2216</v>
      </c>
      <c r="G928" s="117" t="s">
        <v>661</v>
      </c>
      <c r="H928" s="118" t="s">
        <v>972</v>
      </c>
      <c r="I928" s="119"/>
      <c r="J928" s="120"/>
      <c r="K928" s="120" t="str">
        <f t="shared" si="406"/>
        <v/>
      </c>
      <c r="L928" s="170" t="s">
        <v>928</v>
      </c>
      <c r="M928" s="122" t="str">
        <f t="shared" si="404"/>
        <v>N</v>
      </c>
      <c r="N928" s="116" t="str">
        <f>IF($L928&lt;&gt;"",VLOOKUP($L928,Categories!$E:$G,2,FALSE),IF($F928&lt;&gt;"","NO CAT",""))</f>
        <v>Not in Rate Base</v>
      </c>
      <c r="O928" s="116" t="str">
        <f>IF($L928&lt;&gt;"",VLOOKUP($L928,Categories!$E:$G,3,FALSE),IF($F928&lt;&gt;"","NO CAT",""))</f>
        <v>Direct Assign Items Not in RB</v>
      </c>
      <c r="P928" s="170" t="s">
        <v>1186</v>
      </c>
      <c r="Q928" s="123" t="s">
        <v>1187</v>
      </c>
      <c r="R928" s="124">
        <v>0</v>
      </c>
      <c r="S928" s="124">
        <v>0</v>
      </c>
      <c r="T928" s="124">
        <v>1</v>
      </c>
      <c r="U928" s="121">
        <f t="shared" si="397"/>
        <v>0</v>
      </c>
      <c r="V928" s="121">
        <f t="shared" si="398"/>
        <v>0</v>
      </c>
      <c r="W928" s="121">
        <f t="shared" si="399"/>
        <v>638.85171208333395</v>
      </c>
      <c r="X928" s="121">
        <f t="shared" si="409"/>
        <v>638.85171208333395</v>
      </c>
      <c r="Y928" s="121">
        <f t="shared" si="400"/>
        <v>0</v>
      </c>
      <c r="Z928" s="121">
        <f t="shared" si="401"/>
        <v>0</v>
      </c>
      <c r="AA928" s="121">
        <f t="shared" si="402"/>
        <v>599.10829999999999</v>
      </c>
      <c r="AB928" s="121">
        <f t="shared" si="410"/>
        <v>599.10830000000033</v>
      </c>
      <c r="AC928" s="121">
        <v>629.90647000000035</v>
      </c>
      <c r="AD928" s="121">
        <v>632.70843000000025</v>
      </c>
      <c r="AE928" s="121">
        <v>635.52288000000021</v>
      </c>
      <c r="AF928" s="121">
        <v>638.34990000000028</v>
      </c>
      <c r="AG928" s="121">
        <v>641.18952000000024</v>
      </c>
      <c r="AH928" s="121">
        <v>644.04181000000028</v>
      </c>
      <c r="AI928" s="161">
        <v>646.90682000000027</v>
      </c>
      <c r="AJ928" s="161">
        <v>649.78461000000038</v>
      </c>
      <c r="AK928" s="161">
        <v>652.67524000000037</v>
      </c>
      <c r="AL928" s="161">
        <v>655.57876000000033</v>
      </c>
      <c r="AM928" s="161">
        <v>658.49524000000031</v>
      </c>
      <c r="AN928" s="161">
        <v>596.45995000000028</v>
      </c>
      <c r="AO928" s="161">
        <v>599.10830000000033</v>
      </c>
      <c r="AP928" s="125" t="str">
        <f>CONCATENATE(A928,M928)</f>
        <v>Def TaxN</v>
      </c>
      <c r="AQ928" s="125" t="str">
        <f>CONCATENATE(AP928,L928,H928)</f>
        <v>Def TaxNN2Asset Retirement Obligation</v>
      </c>
      <c r="AS928" s="125" t="str">
        <f>CONCATENATE(L928,H928,J928)</f>
        <v>N2Asset Retirement Obligation</v>
      </c>
    </row>
    <row r="929" spans="1:46" s="125" customFormat="1" ht="25.5" customHeight="1">
      <c r="A929" s="216" t="s">
        <v>1996</v>
      </c>
      <c r="B929" s="217" t="str">
        <f>CONCATENATE(A929,C929,D929,E929)</f>
        <v>Def Tax1900120-186.01.38</v>
      </c>
      <c r="C929" s="186">
        <v>190012</v>
      </c>
      <c r="D929" s="201" t="s">
        <v>2240</v>
      </c>
      <c r="E929" s="162"/>
      <c r="F929" s="169" t="s">
        <v>2216</v>
      </c>
      <c r="G929" s="117" t="s">
        <v>4423</v>
      </c>
      <c r="H929" s="118" t="s">
        <v>4435</v>
      </c>
      <c r="I929" s="119"/>
      <c r="J929" s="120"/>
      <c r="K929" s="120" t="str">
        <f>IF(L929="N3","SFAS-109","")</f>
        <v/>
      </c>
      <c r="L929" s="170" t="s">
        <v>1895</v>
      </c>
      <c r="M929" s="122" t="str">
        <f>LEFT(L929,1)</f>
        <v>R</v>
      </c>
      <c r="N929" s="116" t="str">
        <f>IF($L929&lt;&gt;"",VLOOKUP($L929,Categories!$E:$G,2,FALSE),IF($F929&lt;&gt;"","NO CAT",""))</f>
        <v>Rate Base</v>
      </c>
      <c r="O929" s="116" t="str">
        <f>IF($L929&lt;&gt;"",VLOOKUP($L929,Categories!$E:$G,3,FALSE),IF($F929&lt;&gt;"","NO CAT",""))</f>
        <v>Deferred Income Taxes</v>
      </c>
      <c r="P929" s="170" t="s">
        <v>1184</v>
      </c>
      <c r="Q929" s="123" t="s">
        <v>1178</v>
      </c>
      <c r="R929" s="124">
        <v>0</v>
      </c>
      <c r="S929" s="124">
        <v>1</v>
      </c>
      <c r="T929" s="124">
        <v>0</v>
      </c>
      <c r="U929" s="121">
        <f>IF(ABS(X929)=0,"",IF($R929="NO ALLOC","NO ALLOC",ROUND($R929*X929,15)))</f>
        <v>0</v>
      </c>
      <c r="V929" s="121">
        <f>IF(ABS(X929)=0,"",IF($S929="NO ALLOC","NO ALLOC",ROUND($S929*X929,15)))</f>
        <v>7.2356100000000003</v>
      </c>
      <c r="W929" s="121">
        <f>IF(ABS(X929)=0,"",IF($T929="NO ALLOC","NO ALLOC",ROUND($T929*X929,15)))</f>
        <v>0</v>
      </c>
      <c r="X929" s="121">
        <f t="shared" si="409"/>
        <v>7.2356100000000003</v>
      </c>
      <c r="Y929" s="121">
        <f>IF(ABS(AB929)=0,"",IF($R929="NO ALLOC","NO ALLOC",ROUND($R929*AB929,15)))</f>
        <v>0</v>
      </c>
      <c r="Z929" s="121">
        <f>IF(ABS(AB929)=0,"",IF($S929="NO ALLOC","NO ALLOC",ROUND($S929*AB929,15)))</f>
        <v>7.2356100000000003</v>
      </c>
      <c r="AA929" s="121">
        <f>IF(ABS(AB929)=0,"",IF($T929="NO ALLOC","NO ALLOC",ROUND($T929*AB929,15)))</f>
        <v>0</v>
      </c>
      <c r="AB929" s="121">
        <f t="shared" si="410"/>
        <v>7.2356099999999994</v>
      </c>
      <c r="AC929" s="121">
        <v>7.2356099999999994</v>
      </c>
      <c r="AD929" s="121">
        <v>7.2356099999999994</v>
      </c>
      <c r="AE929" s="121">
        <v>7.2356099999999994</v>
      </c>
      <c r="AF929" s="121">
        <v>7.2356099999999994</v>
      </c>
      <c r="AG929" s="121">
        <v>7.2356099999999994</v>
      </c>
      <c r="AH929" s="121">
        <v>7.2356099999999994</v>
      </c>
      <c r="AI929" s="161">
        <v>7.2356099999999994</v>
      </c>
      <c r="AJ929" s="161">
        <v>7.2356099999999994</v>
      </c>
      <c r="AK929" s="161">
        <v>7.2356099999999994</v>
      </c>
      <c r="AL929" s="161">
        <v>7.2356099999999994</v>
      </c>
      <c r="AM929" s="161">
        <v>7.2356099999999994</v>
      </c>
      <c r="AN929" s="161">
        <v>7.2356099999999994</v>
      </c>
      <c r="AO929" s="161">
        <v>7.2356099999999994</v>
      </c>
      <c r="AP929" s="125" t="str">
        <f>CONCATENATE(A929,M929)</f>
        <v>Def TaxR</v>
      </c>
      <c r="AQ929" s="125" t="str">
        <f>CONCATENATE(AP929,L929,H929)</f>
        <v>Def TaxRR11Contract Reserve</v>
      </c>
      <c r="AS929" s="125" t="str">
        <f>CONCATENATE(L929,H929,J929)</f>
        <v>R11Contract Reserve</v>
      </c>
    </row>
    <row r="930" spans="1:46" s="125" customFormat="1" ht="25.5" customHeight="1">
      <c r="A930" s="216" t="s">
        <v>1996</v>
      </c>
      <c r="B930" s="217" t="str">
        <f t="shared" si="407"/>
        <v>Def Tax190012Reacq Debt AdjBDEFAULT</v>
      </c>
      <c r="C930" s="186">
        <v>190012</v>
      </c>
      <c r="D930" s="201" t="s">
        <v>427</v>
      </c>
      <c r="E930" s="162" t="s">
        <v>1569</v>
      </c>
      <c r="F930" s="169" t="s">
        <v>2216</v>
      </c>
      <c r="G930" s="117" t="s">
        <v>426</v>
      </c>
      <c r="H930" s="118" t="s">
        <v>45</v>
      </c>
      <c r="I930" s="119"/>
      <c r="J930" s="120"/>
      <c r="K930" s="120" t="str">
        <f t="shared" si="406"/>
        <v/>
      </c>
      <c r="L930" s="170" t="s">
        <v>1895</v>
      </c>
      <c r="M930" s="122" t="str">
        <f t="shared" si="404"/>
        <v>R</v>
      </c>
      <c r="N930" s="116" t="str">
        <f>IF($L930&lt;&gt;"",VLOOKUP($L930,Categories!$E:$G,2,FALSE),IF($F930&lt;&gt;"","NO CAT",""))</f>
        <v>Rate Base</v>
      </c>
      <c r="O930" s="116" t="str">
        <f>IF($L930&lt;&gt;"",VLOOKUP($L930,Categories!$E:$G,3,FALSE),IF($F930&lt;&gt;"","NO CAT",""))</f>
        <v>Deferred Income Taxes</v>
      </c>
      <c r="P930" s="170" t="s">
        <v>1184</v>
      </c>
      <c r="Q930" s="123" t="s">
        <v>1178</v>
      </c>
      <c r="R930" s="124">
        <v>0</v>
      </c>
      <c r="S930" s="124">
        <v>1</v>
      </c>
      <c r="T930" s="124">
        <v>0</v>
      </c>
      <c r="U930" s="121">
        <f t="shared" ref="U930:U948" si="411">IF(ABS(X930)=0,"",IF($R930="NO ALLOC","NO ALLOC",ROUND($R930*X930,15)))</f>
        <v>0</v>
      </c>
      <c r="V930" s="121">
        <f t="shared" ref="V930:V948" si="412">IF(ABS(X930)=0,"",IF($S930="NO ALLOC","NO ALLOC",ROUND($S930*X930,15)))</f>
        <v>58.254892916666698</v>
      </c>
      <c r="W930" s="121">
        <f t="shared" ref="W930:W948" si="413">IF(ABS(X930)=0,"",IF($T930="NO ALLOC","NO ALLOC",ROUND($T930*X930,15)))</f>
        <v>0</v>
      </c>
      <c r="X930" s="121">
        <f t="shared" si="409"/>
        <v>58.254892916666698</v>
      </c>
      <c r="Y930" s="121">
        <f t="shared" ref="Y930:Y948" si="414">IF(ABS(AB930)=0,"",IF($R930="NO ALLOC","NO ALLOC",ROUND($R930*AB930,15)))</f>
        <v>0</v>
      </c>
      <c r="Z930" s="121">
        <f t="shared" ref="Z930:Z948" si="415">IF(ABS(AB930)=0,"",IF($S930="NO ALLOC","NO ALLOC",ROUND($S930*AB930,15)))</f>
        <v>58.254890000000003</v>
      </c>
      <c r="AA930" s="121">
        <f t="shared" ref="AA930:AA948" si="416">IF(ABS(AB930)=0,"",IF($T930="NO ALLOC","NO ALLOC",ROUND($T930*AB930,15)))</f>
        <v>0</v>
      </c>
      <c r="AB930" s="121">
        <f>IF(AO930="",0,+AO930)</f>
        <v>58.254889999999996</v>
      </c>
      <c r="AC930" s="121">
        <v>58.254899999999999</v>
      </c>
      <c r="AD930" s="121">
        <v>58.254899999999999</v>
      </c>
      <c r="AE930" s="121">
        <v>58.254899999999999</v>
      </c>
      <c r="AF930" s="121">
        <v>58.254899999999999</v>
      </c>
      <c r="AG930" s="121">
        <v>58.254889999999996</v>
      </c>
      <c r="AH930" s="121">
        <v>58.254889999999996</v>
      </c>
      <c r="AI930" s="161">
        <v>58.254889999999996</v>
      </c>
      <c r="AJ930" s="161">
        <v>58.254889999999996</v>
      </c>
      <c r="AK930" s="161">
        <v>58.254889999999996</v>
      </c>
      <c r="AL930" s="161">
        <v>58.254889999999996</v>
      </c>
      <c r="AM930" s="161">
        <v>58.254889999999996</v>
      </c>
      <c r="AN930" s="161">
        <v>58.254889999999996</v>
      </c>
      <c r="AO930" s="161">
        <v>58.254889999999996</v>
      </c>
      <c r="AP930" s="125" t="str">
        <f>CONCATENATE(A930,M930)</f>
        <v>Def TaxR</v>
      </c>
      <c r="AQ930" s="125" t="str">
        <f>CONCATENATE(AP930,L930,H930)</f>
        <v>Def TaxRR11Gain / Loss on Reacquired Debt</v>
      </c>
      <c r="AS930" s="125" t="str">
        <f>CONCATENATE(L930,H930,J930)</f>
        <v>R11Gain / Loss on Reacquired Debt</v>
      </c>
    </row>
    <row r="931" spans="1:46" s="125" customFormat="1" ht="25.5" customHeight="1">
      <c r="A931" s="216" t="s">
        <v>1996</v>
      </c>
      <c r="B931" s="217" t="str">
        <f t="shared" si="407"/>
        <v>Def Tax190012AEIPBT010356</v>
      </c>
      <c r="C931" s="186">
        <v>190012</v>
      </c>
      <c r="D931" s="201" t="s">
        <v>1432</v>
      </c>
      <c r="E931" s="162" t="s">
        <v>2700</v>
      </c>
      <c r="F931" s="169" t="s">
        <v>2216</v>
      </c>
      <c r="G931" s="117" t="s">
        <v>1009</v>
      </c>
      <c r="H931" s="118" t="s">
        <v>790</v>
      </c>
      <c r="I931" s="119"/>
      <c r="J931" s="120"/>
      <c r="K931" s="120" t="str">
        <f t="shared" si="406"/>
        <v/>
      </c>
      <c r="L931" s="170" t="s">
        <v>928</v>
      </c>
      <c r="M931" s="122" t="str">
        <f t="shared" si="404"/>
        <v>N</v>
      </c>
      <c r="N931" s="116" t="str">
        <f>IF($L931&lt;&gt;"",VLOOKUP($L931,Categories!$E:$G,2,FALSE),IF($F931&lt;&gt;"","NO CAT",""))</f>
        <v>Not in Rate Base</v>
      </c>
      <c r="O931" s="116" t="str">
        <f>IF($L931&lt;&gt;"",VLOOKUP($L931,Categories!$E:$G,3,FALSE),IF($F931&lt;&gt;"","NO CAT",""))</f>
        <v>Direct Assign Items Not in RB</v>
      </c>
      <c r="P931" s="170" t="s">
        <v>1186</v>
      </c>
      <c r="Q931" s="123" t="s">
        <v>1187</v>
      </c>
      <c r="R931" s="124">
        <v>0</v>
      </c>
      <c r="S931" s="124">
        <v>0</v>
      </c>
      <c r="T931" s="124">
        <v>1</v>
      </c>
      <c r="U931" s="121" t="str">
        <f t="shared" si="411"/>
        <v/>
      </c>
      <c r="V931" s="121" t="str">
        <f t="shared" si="412"/>
        <v/>
      </c>
      <c r="W931" s="121" t="str">
        <f t="shared" si="413"/>
        <v/>
      </c>
      <c r="X931" s="121">
        <f t="shared" si="409"/>
        <v>0</v>
      </c>
      <c r="Y931" s="121" t="str">
        <f t="shared" si="414"/>
        <v/>
      </c>
      <c r="Z931" s="121" t="str">
        <f t="shared" si="415"/>
        <v/>
      </c>
      <c r="AA931" s="121" t="str">
        <f t="shared" si="416"/>
        <v/>
      </c>
      <c r="AB931" s="121">
        <f t="shared" si="410"/>
        <v>0</v>
      </c>
      <c r="AC931" s="121">
        <v>0</v>
      </c>
      <c r="AD931" s="121">
        <v>0</v>
      </c>
      <c r="AE931" s="121">
        <v>0</v>
      </c>
      <c r="AF931" s="121">
        <v>0</v>
      </c>
      <c r="AG931" s="121">
        <v>0</v>
      </c>
      <c r="AH931" s="121">
        <v>0</v>
      </c>
      <c r="AI931" s="161">
        <v>0</v>
      </c>
      <c r="AJ931" s="161">
        <f t="shared" ref="AJ931:AK931" si="417">IF(AI931=0,0,0)</f>
        <v>0</v>
      </c>
      <c r="AK931" s="161">
        <f t="shared" si="417"/>
        <v>0</v>
      </c>
      <c r="AL931" s="161">
        <v>0</v>
      </c>
      <c r="AM931" s="161">
        <v>0</v>
      </c>
      <c r="AN931" s="161">
        <v>0</v>
      </c>
      <c r="AO931" s="161">
        <v>0</v>
      </c>
      <c r="AP931" s="125" t="str">
        <f>CONCATENATE(A931,M931)</f>
        <v>Def TaxN</v>
      </c>
      <c r="AQ931" s="125" t="str">
        <f>CONCATENATE(AP931,L931,H931)</f>
        <v>Def TaxNN2Executive Compensation</v>
      </c>
      <c r="AS931" s="125" t="str">
        <f>CONCATENATE(L931,H931,J931)</f>
        <v>N2Executive Compensation</v>
      </c>
    </row>
    <row r="932" spans="1:46" s="125" customFormat="1" ht="25.5" customHeight="1">
      <c r="A932" s="216" t="s">
        <v>1996</v>
      </c>
      <c r="B932" s="217" t="str">
        <f t="shared" si="407"/>
        <v>Def Tax190012Env OLBT010071</v>
      </c>
      <c r="C932" s="186">
        <v>190012</v>
      </c>
      <c r="D932" s="201" t="s">
        <v>75</v>
      </c>
      <c r="E932" s="162" t="s">
        <v>222</v>
      </c>
      <c r="F932" s="169" t="s">
        <v>2216</v>
      </c>
      <c r="G932" s="117" t="s">
        <v>74</v>
      </c>
      <c r="H932" s="118" t="s">
        <v>2369</v>
      </c>
      <c r="I932" s="119"/>
      <c r="J932" s="120"/>
      <c r="K932" s="120" t="str">
        <f t="shared" si="406"/>
        <v/>
      </c>
      <c r="L932" s="170" t="s">
        <v>928</v>
      </c>
      <c r="M932" s="122" t="str">
        <f t="shared" si="404"/>
        <v>N</v>
      </c>
      <c r="N932" s="116" t="str">
        <f>IF($L932&lt;&gt;"",VLOOKUP($L932,Categories!$E:$G,2,FALSE),IF($F932&lt;&gt;"","NO CAT",""))</f>
        <v>Not in Rate Base</v>
      </c>
      <c r="O932" s="116" t="str">
        <f>IF($L932&lt;&gt;"",VLOOKUP($L932,Categories!$E:$G,3,FALSE),IF($F932&lt;&gt;"","NO CAT",""))</f>
        <v>Direct Assign Items Not in RB</v>
      </c>
      <c r="P932" s="170" t="s">
        <v>1186</v>
      </c>
      <c r="Q932" s="123" t="s">
        <v>1187</v>
      </c>
      <c r="R932" s="124">
        <v>0</v>
      </c>
      <c r="S932" s="124">
        <v>0</v>
      </c>
      <c r="T932" s="124">
        <v>1</v>
      </c>
      <c r="U932" s="121">
        <f t="shared" si="411"/>
        <v>0</v>
      </c>
      <c r="V932" s="121">
        <f t="shared" si="412"/>
        <v>0</v>
      </c>
      <c r="W932" s="121">
        <f t="shared" si="413"/>
        <v>1404.32639791667</v>
      </c>
      <c r="X932" s="121">
        <f t="shared" si="409"/>
        <v>1404.32639791667</v>
      </c>
      <c r="Y932" s="121">
        <f t="shared" si="414"/>
        <v>0</v>
      </c>
      <c r="Z932" s="121">
        <f t="shared" si="415"/>
        <v>0</v>
      </c>
      <c r="AA932" s="121">
        <f t="shared" si="416"/>
        <v>1253.73305</v>
      </c>
      <c r="AB932" s="121">
        <f t="shared" si="410"/>
        <v>1253.7330499999998</v>
      </c>
      <c r="AC932" s="121">
        <v>1198.19</v>
      </c>
      <c r="AD932" s="121">
        <v>1198.19</v>
      </c>
      <c r="AE932" s="121">
        <v>1198.19</v>
      </c>
      <c r="AF932" s="121">
        <v>1198.19</v>
      </c>
      <c r="AG932" s="121">
        <v>1198.19</v>
      </c>
      <c r="AH932" s="121">
        <v>1198.19</v>
      </c>
      <c r="AI932" s="161">
        <v>1676.2544399999999</v>
      </c>
      <c r="AJ932" s="161">
        <v>1676.2544399999999</v>
      </c>
      <c r="AK932" s="161">
        <v>1676.2544399999999</v>
      </c>
      <c r="AL932" s="161">
        <v>1676.2544399999999</v>
      </c>
      <c r="AM932" s="161">
        <v>1676.2544399999999</v>
      </c>
      <c r="AN932" s="161">
        <v>1253.7330499999998</v>
      </c>
      <c r="AO932" s="161">
        <v>1253.7330499999998</v>
      </c>
      <c r="AP932" s="125" t="str">
        <f>CONCATENATE(A932,M932)</f>
        <v>Def TaxN</v>
      </c>
      <c r="AQ932" s="125" t="str">
        <f>CONCATENATE(AP932,L932,H932)</f>
        <v>Def TaxNN2Environmental</v>
      </c>
      <c r="AS932" s="125" t="str">
        <f>CONCATENATE(L932,H932,J932)</f>
        <v>N2Environmental</v>
      </c>
    </row>
    <row r="933" spans="1:46" s="125" customFormat="1" ht="25.5" customHeight="1">
      <c r="A933" s="216" t="s">
        <v>1996</v>
      </c>
      <c r="B933" s="217" t="str">
        <f>CONCATENATE(A933,C933,D933,E933)</f>
        <v>Def Tax190012BT010119</v>
      </c>
      <c r="C933" s="186">
        <v>190012</v>
      </c>
      <c r="D933" s="201"/>
      <c r="E933" s="162" t="s">
        <v>4591</v>
      </c>
      <c r="F933" s="169" t="s">
        <v>2216</v>
      </c>
      <c r="G933" s="117" t="s">
        <v>4590</v>
      </c>
      <c r="H933" s="118" t="s">
        <v>596</v>
      </c>
      <c r="I933" s="119"/>
      <c r="J933" s="120"/>
      <c r="K933" s="120" t="str">
        <f t="shared" si="406"/>
        <v/>
      </c>
      <c r="L933" s="170" t="s">
        <v>928</v>
      </c>
      <c r="M933" s="122" t="str">
        <f t="shared" si="404"/>
        <v>N</v>
      </c>
      <c r="N933" s="116" t="str">
        <f>IF($L933&lt;&gt;"",VLOOKUP($L933,Categories!$E:$G,2,FALSE),IF($F933&lt;&gt;"","NO CAT",""))</f>
        <v>Not in Rate Base</v>
      </c>
      <c r="O933" s="116" t="str">
        <f>IF($L933&lt;&gt;"",VLOOKUP($L933,Categories!$E:$G,3,FALSE),IF($F933&lt;&gt;"","NO CAT",""))</f>
        <v>Direct Assign Items Not in RB</v>
      </c>
      <c r="P933" s="170" t="s">
        <v>1186</v>
      </c>
      <c r="Q933" s="123" t="s">
        <v>1187</v>
      </c>
      <c r="R933" s="124">
        <v>0</v>
      </c>
      <c r="S933" s="124">
        <v>0</v>
      </c>
      <c r="T933" s="124">
        <v>1</v>
      </c>
      <c r="U933" s="121">
        <f t="shared" si="411"/>
        <v>0</v>
      </c>
      <c r="V933" s="121">
        <f t="shared" si="412"/>
        <v>0</v>
      </c>
      <c r="W933" s="121">
        <f t="shared" si="413"/>
        <v>36.922958333333298</v>
      </c>
      <c r="X933" s="121">
        <f t="shared" si="409"/>
        <v>36.922958333333298</v>
      </c>
      <c r="Y933" s="121">
        <f t="shared" si="414"/>
        <v>0</v>
      </c>
      <c r="Z933" s="121">
        <f t="shared" si="415"/>
        <v>0</v>
      </c>
      <c r="AA933" s="121">
        <f t="shared" si="416"/>
        <v>51.404000000000003</v>
      </c>
      <c r="AB933" s="121">
        <f t="shared" si="410"/>
        <v>51.404000000000003</v>
      </c>
      <c r="AC933" s="121">
        <v>24.210999999999999</v>
      </c>
      <c r="AD933" s="121">
        <v>26.341000000000001</v>
      </c>
      <c r="AE933" s="121">
        <v>28.542000000000002</v>
      </c>
      <c r="AF933" s="121">
        <v>30.742999999999999</v>
      </c>
      <c r="AG933" s="121">
        <v>30.742999999999999</v>
      </c>
      <c r="AH933" s="121">
        <v>35.357999999999997</v>
      </c>
      <c r="AI933" s="161">
        <v>37.630000000000003</v>
      </c>
      <c r="AJ933" s="161">
        <v>37.630000000000003</v>
      </c>
      <c r="AK933" s="161">
        <v>37.630000000000003</v>
      </c>
      <c r="AL933" s="161">
        <v>39.902000000000001</v>
      </c>
      <c r="AM933" s="161">
        <v>49.203000000000003</v>
      </c>
      <c r="AN933" s="161">
        <v>51.545999999999999</v>
      </c>
      <c r="AO933" s="161">
        <v>51.404000000000003</v>
      </c>
      <c r="AP933" s="125" t="str">
        <f>CONCATENATE(A933,M933)</f>
        <v>Def TaxN</v>
      </c>
      <c r="AQ933" s="125" t="str">
        <f>CONCATENATE(AP933,L933,H933)</f>
        <v>Def TaxNN2FIN 48 Reclass</v>
      </c>
      <c r="AS933" s="125" t="str">
        <f>CONCATENATE(L933,H933,J933)</f>
        <v>N2FIN 48 Reclass</v>
      </c>
    </row>
    <row r="934" spans="1:46" s="125" customFormat="1" ht="25.5" customHeight="1">
      <c r="A934" s="216" t="s">
        <v>1996</v>
      </c>
      <c r="B934" s="217" t="str">
        <f>CONCATENATE(A934,C934,D934,E934)</f>
        <v>Def Tax1900120-186.01.38</v>
      </c>
      <c r="C934" s="186">
        <v>190012</v>
      </c>
      <c r="D934" s="201" t="s">
        <v>2240</v>
      </c>
      <c r="E934" s="162"/>
      <c r="F934" s="169" t="s">
        <v>2216</v>
      </c>
      <c r="G934" s="117" t="s">
        <v>4422</v>
      </c>
      <c r="H934" s="118" t="s">
        <v>4424</v>
      </c>
      <c r="I934" s="119"/>
      <c r="J934" s="120"/>
      <c r="K934" s="120" t="str">
        <f>IF(L934="N3","SFAS-109","")</f>
        <v/>
      </c>
      <c r="L934" s="170" t="s">
        <v>1895</v>
      </c>
      <c r="M934" s="122" t="str">
        <f>LEFT(L934,1)</f>
        <v>R</v>
      </c>
      <c r="N934" s="116" t="str">
        <f>IF($L934&lt;&gt;"",VLOOKUP($L934,Categories!$E:$G,2,FALSE),IF($F934&lt;&gt;"","NO CAT",""))</f>
        <v>Rate Base</v>
      </c>
      <c r="O934" s="116" t="str">
        <f>IF($L934&lt;&gt;"",VLOOKUP($L934,Categories!$E:$G,3,FALSE),IF($F934&lt;&gt;"","NO CAT",""))</f>
        <v>Deferred Income Taxes</v>
      </c>
      <c r="P934" s="170" t="s">
        <v>1184</v>
      </c>
      <c r="Q934" s="123" t="s">
        <v>1178</v>
      </c>
      <c r="R934" s="124">
        <v>0</v>
      </c>
      <c r="S934" s="124">
        <v>1</v>
      </c>
      <c r="T934" s="124">
        <v>0</v>
      </c>
      <c r="U934" s="121">
        <f>IF(ABS(X934)=0,"",IF($R934="NO ALLOC","NO ALLOC",ROUND($R934*X934,15)))</f>
        <v>0</v>
      </c>
      <c r="V934" s="121">
        <f>IF(ABS(X934)=0,"",IF($S934="NO ALLOC","NO ALLOC",ROUND($S934*X934,15)))</f>
        <v>2.28934375</v>
      </c>
      <c r="W934" s="121">
        <f>IF(ABS(X934)=0,"",IF($T934="NO ALLOC","NO ALLOC",ROUND($T934*X934,15)))</f>
        <v>0</v>
      </c>
      <c r="X934" s="121">
        <f t="shared" si="409"/>
        <v>2.28934375</v>
      </c>
      <c r="Y934" s="121">
        <f>IF(ABS(AB934)=0,"",IF($R934="NO ALLOC","NO ALLOC",ROUND($R934*AB934,15)))</f>
        <v>0</v>
      </c>
      <c r="Z934" s="121">
        <f>IF(ABS(AB934)=0,"",IF($S934="NO ALLOC","NO ALLOC",ROUND($S934*AB934,15)))</f>
        <v>-5.4781000000000004</v>
      </c>
      <c r="AA934" s="121">
        <f>IF(ABS(AB934)=0,"",IF($T934="NO ALLOC","NO ALLOC",ROUND($T934*AB934,15)))</f>
        <v>0</v>
      </c>
      <c r="AB934" s="121">
        <f t="shared" si="410"/>
        <v>-5.4780999999999995</v>
      </c>
      <c r="AC934" s="121">
        <v>10.876990000000001</v>
      </c>
      <c r="AD934" s="121">
        <v>10.876990000000001</v>
      </c>
      <c r="AE934" s="121">
        <v>11.124070000000001</v>
      </c>
      <c r="AF934" s="121">
        <v>11.124070000000001</v>
      </c>
      <c r="AG934" s="121">
        <v>1.6163700000000008</v>
      </c>
      <c r="AH934" s="121">
        <v>1.6163700000000008</v>
      </c>
      <c r="AI934" s="161">
        <v>1.6163700000000008</v>
      </c>
      <c r="AJ934" s="161">
        <v>1.6163700000000008</v>
      </c>
      <c r="AK934" s="161">
        <v>1.6163700000000008</v>
      </c>
      <c r="AL934" s="161">
        <v>-5.4780999999999995</v>
      </c>
      <c r="AM934" s="161">
        <v>-5.4780999999999995</v>
      </c>
      <c r="AN934" s="161">
        <v>-5.4780999999999995</v>
      </c>
      <c r="AO934" s="161">
        <v>-5.4780999999999995</v>
      </c>
      <c r="AP934" s="125" t="str">
        <f>CONCATENATE(A934,M934)</f>
        <v>Def TaxR</v>
      </c>
      <c r="AQ934" s="125" t="str">
        <f>CONCATENATE(AP934,L934,H934)</f>
        <v>Def TaxRR11GRT Audit Reserve</v>
      </c>
      <c r="AS934" s="125" t="str">
        <f>CONCATENATE(L934,H934,J934)</f>
        <v>R11GRT Audit Reserve</v>
      </c>
    </row>
    <row r="935" spans="1:46" s="125" customFormat="1" ht="25.5" customHeight="1">
      <c r="A935" s="216" t="s">
        <v>1996</v>
      </c>
      <c r="B935" s="217" t="str">
        <f t="shared" si="407"/>
        <v>Def Tax1900120-286.01.40BTHUNGDT</v>
      </c>
      <c r="C935" s="186">
        <v>190012</v>
      </c>
      <c r="D935" s="201" t="s">
        <v>1309</v>
      </c>
      <c r="E935" s="162" t="s">
        <v>616</v>
      </c>
      <c r="F935" s="169" t="s">
        <v>2216</v>
      </c>
      <c r="G935" s="117" t="s">
        <v>1310</v>
      </c>
      <c r="H935" s="118" t="s">
        <v>1167</v>
      </c>
      <c r="I935" s="119"/>
      <c r="J935" s="120"/>
      <c r="K935" s="120" t="str">
        <f t="shared" si="406"/>
        <v/>
      </c>
      <c r="L935" s="170" t="s">
        <v>1895</v>
      </c>
      <c r="M935" s="122" t="str">
        <f t="shared" si="404"/>
        <v>R</v>
      </c>
      <c r="N935" s="116" t="str">
        <f>IF($L935&lt;&gt;"",VLOOKUP($L935,Categories!$E:$G,2,FALSE),IF($F935&lt;&gt;"","NO CAT",""))</f>
        <v>Rate Base</v>
      </c>
      <c r="O935" s="116" t="str">
        <f>IF($L935&lt;&gt;"",VLOOKUP($L935,Categories!$E:$G,3,FALSE),IF($F935&lt;&gt;"","NO CAT",""))</f>
        <v>Deferred Income Taxes</v>
      </c>
      <c r="P935" s="170" t="s">
        <v>1188</v>
      </c>
      <c r="Q935" s="123" t="s">
        <v>1843</v>
      </c>
      <c r="R935" s="124">
        <v>0.76071990262269951</v>
      </c>
      <c r="S935" s="124">
        <v>0.23928009737730072</v>
      </c>
      <c r="T935" s="124">
        <v>0</v>
      </c>
      <c r="U935" s="121">
        <f t="shared" si="411"/>
        <v>5.6737026070609996E-3</v>
      </c>
      <c r="V935" s="121">
        <f t="shared" si="412"/>
        <v>1.7846307262719999E-3</v>
      </c>
      <c r="W935" s="121">
        <f t="shared" si="413"/>
        <v>0</v>
      </c>
      <c r="X935" s="121">
        <f t="shared" si="409"/>
        <v>7.4583333333330002E-3</v>
      </c>
      <c r="Y935" s="121" t="str">
        <f t="shared" si="414"/>
        <v/>
      </c>
      <c r="Z935" s="121" t="str">
        <f t="shared" si="415"/>
        <v/>
      </c>
      <c r="AA935" s="121" t="str">
        <f t="shared" si="416"/>
        <v/>
      </c>
      <c r="AB935" s="121">
        <f t="shared" si="410"/>
        <v>0</v>
      </c>
      <c r="AC935" s="121">
        <v>1E-3</v>
      </c>
      <c r="AD935" s="121">
        <v>1E-3</v>
      </c>
      <c r="AE935" s="121">
        <v>1E-3</v>
      </c>
      <c r="AF935" s="121">
        <v>2.9000000000000001E-2</v>
      </c>
      <c r="AG935" s="121">
        <v>2.9000000000000001E-2</v>
      </c>
      <c r="AH935" s="121">
        <v>2.9000000000000001E-2</v>
      </c>
      <c r="AI935" s="161">
        <v>0</v>
      </c>
      <c r="AJ935" s="161">
        <f t="shared" ref="AJ935:AK936" si="418">IF(AI935=0,0,0)</f>
        <v>0</v>
      </c>
      <c r="AK935" s="161">
        <f t="shared" si="418"/>
        <v>0</v>
      </c>
      <c r="AL935" s="161">
        <v>0</v>
      </c>
      <c r="AM935" s="161">
        <v>0</v>
      </c>
      <c r="AN935" s="161">
        <v>0</v>
      </c>
      <c r="AO935" s="161">
        <v>0</v>
      </c>
      <c r="AP935" s="125" t="str">
        <f>CONCATENATE(A935,M935)</f>
        <v>Def TaxR</v>
      </c>
      <c r="AQ935" s="125" t="str">
        <f>CONCATENATE(AP935,L935,H935)</f>
        <v>Def TaxRR11Hung Deferred Taxes</v>
      </c>
      <c r="AS935" s="125" t="str">
        <f>CONCATENATE(L935,H935,J935)</f>
        <v>R11Hung Deferred Taxes</v>
      </c>
    </row>
    <row r="936" spans="1:46" s="125" customFormat="1" ht="25.5" customHeight="1">
      <c r="A936" s="216" t="s">
        <v>1996</v>
      </c>
      <c r="B936" s="217" t="str">
        <f t="shared" si="407"/>
        <v>Def Tax1900120-286.01.31BTHUNGDT</v>
      </c>
      <c r="C936" s="186">
        <v>190012</v>
      </c>
      <c r="D936" s="201" t="s">
        <v>717</v>
      </c>
      <c r="E936" s="162" t="s">
        <v>616</v>
      </c>
      <c r="F936" s="169" t="s">
        <v>2216</v>
      </c>
      <c r="G936" s="117" t="s">
        <v>1278</v>
      </c>
      <c r="H936" s="118" t="s">
        <v>1167</v>
      </c>
      <c r="I936" s="119"/>
      <c r="J936" s="120"/>
      <c r="K936" s="120" t="str">
        <f t="shared" si="406"/>
        <v/>
      </c>
      <c r="L936" s="170" t="s">
        <v>928</v>
      </c>
      <c r="M936" s="122" t="str">
        <f t="shared" ref="M936:M969" si="419">LEFT(L936,1)</f>
        <v>N</v>
      </c>
      <c r="N936" s="116" t="str">
        <f>IF($L936&lt;&gt;"",VLOOKUP($L936,Categories!$E:$G,2,FALSE),IF($F936&lt;&gt;"","NO CAT",""))</f>
        <v>Not in Rate Base</v>
      </c>
      <c r="O936" s="116" t="str">
        <f>IF($L936&lt;&gt;"",VLOOKUP($L936,Categories!$E:$G,3,FALSE),IF($F936&lt;&gt;"","NO CAT",""))</f>
        <v>Direct Assign Items Not in RB</v>
      </c>
      <c r="P936" s="170" t="s">
        <v>1186</v>
      </c>
      <c r="Q936" s="123" t="s">
        <v>1187</v>
      </c>
      <c r="R936" s="124">
        <v>0</v>
      </c>
      <c r="S936" s="124">
        <v>0</v>
      </c>
      <c r="T936" s="124">
        <v>1</v>
      </c>
      <c r="U936" s="121">
        <f t="shared" si="411"/>
        <v>0</v>
      </c>
      <c r="V936" s="121">
        <f t="shared" si="412"/>
        <v>0</v>
      </c>
      <c r="W936" s="121">
        <f t="shared" si="413"/>
        <v>1.3083333333332999E-2</v>
      </c>
      <c r="X936" s="121">
        <f t="shared" si="409"/>
        <v>1.3083333333332999E-2</v>
      </c>
      <c r="Y936" s="121" t="str">
        <f t="shared" si="414"/>
        <v/>
      </c>
      <c r="Z936" s="121" t="str">
        <f t="shared" si="415"/>
        <v/>
      </c>
      <c r="AA936" s="121" t="str">
        <f t="shared" si="416"/>
        <v/>
      </c>
      <c r="AB936" s="121">
        <f t="shared" si="410"/>
        <v>0</v>
      </c>
      <c r="AC936" s="121">
        <v>2.8000000000000001E-2</v>
      </c>
      <c r="AD936" s="121">
        <v>2.8000000000000001E-2</v>
      </c>
      <c r="AE936" s="121">
        <v>2.8000000000000001E-2</v>
      </c>
      <c r="AF936" s="121">
        <v>2.9000000000000001E-2</v>
      </c>
      <c r="AG936" s="121">
        <v>2.9000000000000001E-2</v>
      </c>
      <c r="AH936" s="121">
        <v>2.9000000000000001E-2</v>
      </c>
      <c r="AI936" s="161">
        <v>0</v>
      </c>
      <c r="AJ936" s="161">
        <f t="shared" si="418"/>
        <v>0</v>
      </c>
      <c r="AK936" s="161">
        <f t="shared" si="418"/>
        <v>0</v>
      </c>
      <c r="AL936" s="161">
        <v>0</v>
      </c>
      <c r="AM936" s="161">
        <v>0</v>
      </c>
      <c r="AN936" s="161">
        <v>0</v>
      </c>
      <c r="AO936" s="161">
        <v>0</v>
      </c>
      <c r="AP936" s="125" t="str">
        <f>CONCATENATE(A936,M936)</f>
        <v>Def TaxN</v>
      </c>
      <c r="AQ936" s="125" t="str">
        <f>CONCATENATE(AP936,L936,H936)</f>
        <v>Def TaxNN2Hung Deferred Taxes</v>
      </c>
      <c r="AS936" s="125" t="str">
        <f>CONCATENATE(L936,H936,J936)</f>
        <v>N2Hung Deferred Taxes</v>
      </c>
    </row>
    <row r="937" spans="1:46" s="230" customFormat="1" ht="25.5" customHeight="1">
      <c r="A937" s="216" t="s">
        <v>1996</v>
      </c>
      <c r="B937" s="217" t="str">
        <f t="shared" si="407"/>
        <v>Def Tax190012Ptax pd v acBT010175</v>
      </c>
      <c r="C937" s="222">
        <v>190012</v>
      </c>
      <c r="D937" s="201" t="s">
        <v>141</v>
      </c>
      <c r="E937" s="162" t="s">
        <v>393</v>
      </c>
      <c r="F937" s="169" t="s">
        <v>2216</v>
      </c>
      <c r="G937" s="117" t="s">
        <v>392</v>
      </c>
      <c r="H937" s="223" t="s">
        <v>1084</v>
      </c>
      <c r="I937" s="224"/>
      <c r="J937" s="225"/>
      <c r="K937" s="225" t="str">
        <f t="shared" si="406"/>
        <v/>
      </c>
      <c r="L937" s="220" t="s">
        <v>1895</v>
      </c>
      <c r="M937" s="226" t="str">
        <f t="shared" si="419"/>
        <v>R</v>
      </c>
      <c r="N937" s="227" t="str">
        <f>IF($L937&lt;&gt;"",VLOOKUP($L937,Categories!$E:$G,2,FALSE),IF($F937&lt;&gt;"","NO CAT",""))</f>
        <v>Rate Base</v>
      </c>
      <c r="O937" s="227" t="str">
        <f>IF($L937&lt;&gt;"",VLOOKUP($L937,Categories!$E:$G,3,FALSE),IF($F937&lt;&gt;"","NO CAT",""))</f>
        <v>Deferred Income Taxes</v>
      </c>
      <c r="P937" s="220" t="s">
        <v>1554</v>
      </c>
      <c r="Q937" s="228" t="s">
        <v>1555</v>
      </c>
      <c r="R937" s="229">
        <v>0.80958645835662735</v>
      </c>
      <c r="S937" s="229">
        <v>0.19041354164337276</v>
      </c>
      <c r="T937" s="229">
        <v>0</v>
      </c>
      <c r="U937" s="121">
        <f t="shared" si="411"/>
        <v>20.464623272065399</v>
      </c>
      <c r="V937" s="121">
        <f t="shared" si="412"/>
        <v>4.8132492279346204</v>
      </c>
      <c r="W937" s="121">
        <f t="shared" si="413"/>
        <v>0</v>
      </c>
      <c r="X937" s="121">
        <f t="shared" si="409"/>
        <v>25.277872500000001</v>
      </c>
      <c r="Y937" s="121">
        <f t="shared" si="414"/>
        <v>30.139268479971399</v>
      </c>
      <c r="Z937" s="121">
        <f t="shared" si="415"/>
        <v>7.0887115200286503</v>
      </c>
      <c r="AA937" s="121">
        <f t="shared" si="416"/>
        <v>0</v>
      </c>
      <c r="AB937" s="121">
        <f t="shared" si="410"/>
        <v>37.227979999999995</v>
      </c>
      <c r="AC937" s="121">
        <v>20.35723999999999</v>
      </c>
      <c r="AD937" s="121">
        <v>20.35723999999999</v>
      </c>
      <c r="AE937" s="121">
        <v>20.35723999999999</v>
      </c>
      <c r="AF937" s="121">
        <v>20.35723999999999</v>
      </c>
      <c r="AG937" s="121">
        <v>20.35723999999999</v>
      </c>
      <c r="AH937" s="121">
        <v>20.35723999999999</v>
      </c>
      <c r="AI937" s="161">
        <v>20.35723999999999</v>
      </c>
      <c r="AJ937" s="161">
        <v>20.35723999999999</v>
      </c>
      <c r="AK937" s="161">
        <v>20.35723999999999</v>
      </c>
      <c r="AL937" s="161">
        <v>37.227979999999995</v>
      </c>
      <c r="AM937" s="161">
        <v>37.227979999999995</v>
      </c>
      <c r="AN937" s="161">
        <v>37.227979999999995</v>
      </c>
      <c r="AO937" s="161">
        <v>37.227979999999995</v>
      </c>
      <c r="AP937" s="125" t="str">
        <f>CONCATENATE(A937,M937)</f>
        <v>Def TaxR</v>
      </c>
      <c r="AQ937" s="125" t="str">
        <f>CONCATENATE(AP937,L937,H937)</f>
        <v>Def TaxRR11Property Tax Pd vs Accrued</v>
      </c>
      <c r="AR937" s="125"/>
      <c r="AS937" s="125" t="str">
        <f>CONCATENATE(L937,H937,J937)</f>
        <v>R11Property Tax Pd vs Accrued</v>
      </c>
      <c r="AT937" s="125"/>
    </row>
    <row r="938" spans="1:46" s="125" customFormat="1" ht="25.5" customHeight="1">
      <c r="A938" s="216" t="s">
        <v>1996</v>
      </c>
      <c r="B938" s="217" t="str">
        <f t="shared" si="407"/>
        <v>Def Tax1900120-186.01.08BT010089</v>
      </c>
      <c r="C938" s="186">
        <v>190012</v>
      </c>
      <c r="D938" s="201" t="s">
        <v>645</v>
      </c>
      <c r="E938" s="162" t="s">
        <v>1916</v>
      </c>
      <c r="F938" s="169" t="s">
        <v>2216</v>
      </c>
      <c r="G938" s="117" t="s">
        <v>2398</v>
      </c>
      <c r="H938" s="118" t="s">
        <v>170</v>
      </c>
      <c r="I938" s="119"/>
      <c r="J938" s="120"/>
      <c r="K938" s="120" t="str">
        <f t="shared" si="406"/>
        <v/>
      </c>
      <c r="L938" s="170" t="s">
        <v>1895</v>
      </c>
      <c r="M938" s="122" t="str">
        <f t="shared" si="419"/>
        <v>R</v>
      </c>
      <c r="N938" s="116" t="str">
        <f>IF($L938&lt;&gt;"",VLOOKUP($L938,Categories!$E:$G,2,FALSE),IF($F938&lt;&gt;"","NO CAT",""))</f>
        <v>Rate Base</v>
      </c>
      <c r="O938" s="116" t="str">
        <f>IF($L938&lt;&gt;"",VLOOKUP($L938,Categories!$E:$G,3,FALSE),IF($F938&lt;&gt;"","NO CAT",""))</f>
        <v>Deferred Income Taxes</v>
      </c>
      <c r="P938" s="170" t="s">
        <v>1553</v>
      </c>
      <c r="Q938" s="123" t="s">
        <v>2587</v>
      </c>
      <c r="R938" s="124">
        <v>0.81899999999999995</v>
      </c>
      <c r="S938" s="124">
        <v>0.18099999999999999</v>
      </c>
      <c r="T938" s="124">
        <v>0</v>
      </c>
      <c r="U938" s="121" t="str">
        <f t="shared" si="411"/>
        <v/>
      </c>
      <c r="V938" s="121" t="str">
        <f t="shared" si="412"/>
        <v/>
      </c>
      <c r="W938" s="121" t="str">
        <f t="shared" si="413"/>
        <v/>
      </c>
      <c r="X938" s="121">
        <f t="shared" si="409"/>
        <v>0</v>
      </c>
      <c r="Y938" s="121" t="str">
        <f t="shared" si="414"/>
        <v/>
      </c>
      <c r="Z938" s="121" t="str">
        <f t="shared" si="415"/>
        <v/>
      </c>
      <c r="AA938" s="121" t="str">
        <f t="shared" si="416"/>
        <v/>
      </c>
      <c r="AB938" s="121">
        <f t="shared" si="410"/>
        <v>0</v>
      </c>
      <c r="AC938" s="121">
        <v>0</v>
      </c>
      <c r="AD938" s="121">
        <v>0</v>
      </c>
      <c r="AE938" s="121">
        <v>0</v>
      </c>
      <c r="AF938" s="121">
        <v>0</v>
      </c>
      <c r="AG938" s="121">
        <v>0</v>
      </c>
      <c r="AH938" s="121">
        <v>0</v>
      </c>
      <c r="AI938" s="161">
        <v>0</v>
      </c>
      <c r="AJ938" s="161">
        <f t="shared" ref="AJ938:AK938" si="420">IF(AI938=0,0,0)</f>
        <v>0</v>
      </c>
      <c r="AK938" s="161">
        <f t="shared" si="420"/>
        <v>0</v>
      </c>
      <c r="AL938" s="161">
        <v>0</v>
      </c>
      <c r="AM938" s="161">
        <v>0</v>
      </c>
      <c r="AN938" s="161">
        <v>0</v>
      </c>
      <c r="AO938" s="161">
        <v>0</v>
      </c>
      <c r="AP938" s="125" t="str">
        <f>CONCATENATE(A938,M938)</f>
        <v>Def TaxR</v>
      </c>
      <c r="AQ938" s="125" t="str">
        <f>CONCATENATE(AP938,L938,H938)</f>
        <v>Def TaxRR11OPEBs</v>
      </c>
      <c r="AS938" s="125" t="str">
        <f>CONCATENATE(L938,H938,J938)</f>
        <v>R11OPEBs</v>
      </c>
    </row>
    <row r="939" spans="1:46" s="125" customFormat="1" ht="25.5" customHeight="1">
      <c r="A939" s="216" t="s">
        <v>1996</v>
      </c>
      <c r="B939" s="217" t="str">
        <f t="shared" si="407"/>
        <v>Def Tax190012Use Tax ResBT010240</v>
      </c>
      <c r="C939" s="186">
        <v>190012</v>
      </c>
      <c r="D939" s="201" t="s">
        <v>721</v>
      </c>
      <c r="E939" s="162" t="s">
        <v>986</v>
      </c>
      <c r="F939" s="169" t="s">
        <v>2216</v>
      </c>
      <c r="G939" s="117" t="s">
        <v>720</v>
      </c>
      <c r="H939" s="118" t="s">
        <v>1839</v>
      </c>
      <c r="I939" s="119"/>
      <c r="J939" s="120"/>
      <c r="K939" s="120" t="str">
        <f t="shared" si="406"/>
        <v/>
      </c>
      <c r="L939" s="170" t="s">
        <v>928</v>
      </c>
      <c r="M939" s="122" t="str">
        <f t="shared" si="419"/>
        <v>N</v>
      </c>
      <c r="N939" s="116" t="str">
        <f>IF($L939&lt;&gt;"",VLOOKUP($L939,Categories!$E:$G,2,FALSE),IF($F939&lt;&gt;"","NO CAT",""))</f>
        <v>Not in Rate Base</v>
      </c>
      <c r="O939" s="116" t="str">
        <f>IF($L939&lt;&gt;"",VLOOKUP($L939,Categories!$E:$G,3,FALSE),IF($F939&lt;&gt;"","NO CAT",""))</f>
        <v>Direct Assign Items Not in RB</v>
      </c>
      <c r="P939" s="170" t="s">
        <v>1186</v>
      </c>
      <c r="Q939" s="123" t="s">
        <v>1187</v>
      </c>
      <c r="R939" s="124">
        <v>0</v>
      </c>
      <c r="S939" s="124">
        <v>0</v>
      </c>
      <c r="T939" s="124">
        <v>1</v>
      </c>
      <c r="U939" s="121">
        <f t="shared" si="411"/>
        <v>0</v>
      </c>
      <c r="V939" s="121">
        <f t="shared" si="412"/>
        <v>0</v>
      </c>
      <c r="W939" s="121">
        <f t="shared" si="413"/>
        <v>9.4900350000000007</v>
      </c>
      <c r="X939" s="121">
        <f t="shared" si="409"/>
        <v>9.4900350000000007</v>
      </c>
      <c r="Y939" s="121">
        <f t="shared" si="414"/>
        <v>0</v>
      </c>
      <c r="Z939" s="121">
        <f t="shared" si="415"/>
        <v>0</v>
      </c>
      <c r="AA939" s="121">
        <f t="shared" si="416"/>
        <v>18.267410000000002</v>
      </c>
      <c r="AB939" s="121">
        <f t="shared" si="410"/>
        <v>18.267409999999998</v>
      </c>
      <c r="AC939" s="121">
        <v>9.1084099999999992</v>
      </c>
      <c r="AD939" s="121">
        <v>9.1084099999999992</v>
      </c>
      <c r="AE939" s="121">
        <v>9.1084099999999992</v>
      </c>
      <c r="AF939" s="121">
        <v>9.1084099999999992</v>
      </c>
      <c r="AG939" s="121">
        <v>9.1084099999999992</v>
      </c>
      <c r="AH939" s="121">
        <v>9.1084099999999992</v>
      </c>
      <c r="AI939" s="161">
        <v>9.1084099999999992</v>
      </c>
      <c r="AJ939" s="161">
        <v>9.1084099999999992</v>
      </c>
      <c r="AK939" s="161">
        <v>9.1084099999999992</v>
      </c>
      <c r="AL939" s="161">
        <v>9.1084099999999992</v>
      </c>
      <c r="AM939" s="161">
        <v>9.1084099999999992</v>
      </c>
      <c r="AN939" s="161">
        <v>9.1084099999999992</v>
      </c>
      <c r="AO939" s="161">
        <v>18.267409999999998</v>
      </c>
      <c r="AP939" s="125" t="str">
        <f>CONCATENATE(A939,M939)</f>
        <v>Def TaxN</v>
      </c>
      <c r="AQ939" s="125" t="str">
        <f>CONCATENATE(AP939,L939,H939)</f>
        <v>Def TaxNN2Use Tax Reserve</v>
      </c>
      <c r="AS939" s="125" t="str">
        <f>CONCATENATE(L939,H939,J939)</f>
        <v>N2Use Tax Reserve</v>
      </c>
    </row>
    <row r="940" spans="1:46" s="125" customFormat="1" ht="25.5" customHeight="1">
      <c r="A940" s="216" t="s">
        <v>1996</v>
      </c>
      <c r="B940" s="217" t="str">
        <f t="shared" si="407"/>
        <v>Def Tax1900120-186.01.16BT010241</v>
      </c>
      <c r="C940" s="186">
        <v>190012</v>
      </c>
      <c r="D940" s="201" t="s">
        <v>826</v>
      </c>
      <c r="E940" s="162" t="s">
        <v>988</v>
      </c>
      <c r="F940" s="169" t="s">
        <v>2216</v>
      </c>
      <c r="G940" s="117" t="s">
        <v>1005</v>
      </c>
      <c r="H940" s="118" t="s">
        <v>220</v>
      </c>
      <c r="I940" s="119"/>
      <c r="J940" s="120"/>
      <c r="K940" s="120" t="str">
        <f t="shared" si="406"/>
        <v/>
      </c>
      <c r="L940" s="170" t="s">
        <v>1419</v>
      </c>
      <c r="M940" s="122" t="str">
        <f t="shared" si="419"/>
        <v>A</v>
      </c>
      <c r="N940" s="116" t="str">
        <f>IF($L940&lt;&gt;"",VLOOKUP($L940,Categories!$E:$G,2,FALSE),IF($F940&lt;&gt;"","NO CAT",""))</f>
        <v>All Other</v>
      </c>
      <c r="O940" s="116" t="str">
        <f>IF($L940&lt;&gt;"",VLOOKUP($L940,Categories!$E:$G,3,FALSE),IF($F940&lt;&gt;"","NO CAT",""))</f>
        <v>EB-Cap</v>
      </c>
      <c r="P940" s="170" t="s">
        <v>1557</v>
      </c>
      <c r="Q940" s="123" t="s">
        <v>1891</v>
      </c>
      <c r="R940" s="124">
        <v>0.77544352505021785</v>
      </c>
      <c r="S940" s="124">
        <v>0.22455647494978223</v>
      </c>
      <c r="T940" s="124">
        <v>0</v>
      </c>
      <c r="U940" s="121">
        <f t="shared" si="411"/>
        <v>6.4620293754185001E-2</v>
      </c>
      <c r="V940" s="121">
        <f t="shared" si="412"/>
        <v>1.8713039579148001E-2</v>
      </c>
      <c r="W940" s="121">
        <f t="shared" si="413"/>
        <v>0</v>
      </c>
      <c r="X940" s="121">
        <f t="shared" si="409"/>
        <v>8.3333333333332996E-2</v>
      </c>
      <c r="Y940" s="121" t="str">
        <f t="shared" si="414"/>
        <v/>
      </c>
      <c r="Z940" s="121" t="str">
        <f t="shared" si="415"/>
        <v/>
      </c>
      <c r="AA940" s="121" t="str">
        <f t="shared" si="416"/>
        <v/>
      </c>
      <c r="AB940" s="121">
        <f t="shared" si="410"/>
        <v>0</v>
      </c>
      <c r="AC940" s="121">
        <v>0</v>
      </c>
      <c r="AD940" s="121">
        <v>1</v>
      </c>
      <c r="AE940" s="121">
        <v>0</v>
      </c>
      <c r="AF940" s="121">
        <v>0</v>
      </c>
      <c r="AG940" s="121">
        <v>0</v>
      </c>
      <c r="AH940" s="121">
        <v>0</v>
      </c>
      <c r="AI940" s="161">
        <v>0</v>
      </c>
      <c r="AJ940" s="161">
        <f>IF(AI940=0,0,0)</f>
        <v>0</v>
      </c>
      <c r="AK940" s="161">
        <f>IF(AJ940=0,0,0)</f>
        <v>0</v>
      </c>
      <c r="AL940" s="161">
        <v>0</v>
      </c>
      <c r="AM940" s="161">
        <v>0</v>
      </c>
      <c r="AN940" s="161">
        <v>0</v>
      </c>
      <c r="AO940" s="161">
        <v>0</v>
      </c>
      <c r="AP940" s="125" t="str">
        <f>CONCATENATE(A940,M940)</f>
        <v>Def TaxA</v>
      </c>
      <c r="AQ940" s="125" t="str">
        <f>CONCATENATE(AP940,L940,H940)</f>
        <v>Def TaxAA2Payroll-Related Costs</v>
      </c>
      <c r="AS940" s="125" t="str">
        <f>CONCATENATE(L940,H940,J940)</f>
        <v>A2Payroll-Related Costs</v>
      </c>
    </row>
    <row r="941" spans="1:46" s="125" customFormat="1" ht="25.5" customHeight="1">
      <c r="A941" s="216" t="s">
        <v>1996</v>
      </c>
      <c r="B941" s="217" t="str">
        <f t="shared" si="407"/>
        <v>Def Tax190012GSC RefundBG030586</v>
      </c>
      <c r="C941" s="186">
        <v>190012</v>
      </c>
      <c r="D941" s="201" t="s">
        <v>2704</v>
      </c>
      <c r="E941" s="162" t="s">
        <v>2705</v>
      </c>
      <c r="F941" s="169" t="s">
        <v>2216</v>
      </c>
      <c r="G941" s="117" t="s">
        <v>1117</v>
      </c>
      <c r="H941" s="118" t="s">
        <v>2704</v>
      </c>
      <c r="I941" s="119"/>
      <c r="J941" s="120"/>
      <c r="K941" s="120" t="str">
        <f>IF(L941="N3","SFAS-109","")</f>
        <v/>
      </c>
      <c r="L941" s="170" t="s">
        <v>928</v>
      </c>
      <c r="M941" s="122" t="str">
        <f t="shared" si="419"/>
        <v>N</v>
      </c>
      <c r="N941" s="116" t="str">
        <f>IF($L941&lt;&gt;"",VLOOKUP($L941,Categories!$E:$G,2,FALSE),IF($F941&lt;&gt;"","NO CAT",""))</f>
        <v>Not in Rate Base</v>
      </c>
      <c r="O941" s="116" t="str">
        <f>IF($L941&lt;&gt;"",VLOOKUP($L941,Categories!$E:$G,3,FALSE),IF($F941&lt;&gt;"","NO CAT",""))</f>
        <v>Direct Assign Items Not in RB</v>
      </c>
      <c r="P941" s="170" t="s">
        <v>1186</v>
      </c>
      <c r="Q941" s="123" t="s">
        <v>1187</v>
      </c>
      <c r="R941" s="124">
        <v>0</v>
      </c>
      <c r="S941" s="124">
        <v>0</v>
      </c>
      <c r="T941" s="124">
        <v>1</v>
      </c>
      <c r="U941" s="121">
        <f t="shared" si="411"/>
        <v>0</v>
      </c>
      <c r="V941" s="121">
        <f t="shared" si="412"/>
        <v>0</v>
      </c>
      <c r="W941" s="121">
        <f t="shared" si="413"/>
        <v>-62.173349999999999</v>
      </c>
      <c r="X941" s="121">
        <f t="shared" si="409"/>
        <v>-62.173349999999999</v>
      </c>
      <c r="Y941" s="121">
        <f t="shared" si="414"/>
        <v>0</v>
      </c>
      <c r="Z941" s="121">
        <f t="shared" si="415"/>
        <v>0</v>
      </c>
      <c r="AA941" s="121">
        <f t="shared" si="416"/>
        <v>-62.173349999999999</v>
      </c>
      <c r="AB941" s="121">
        <f t="shared" si="410"/>
        <v>-62.173349999999999</v>
      </c>
      <c r="AC941" s="121">
        <v>-62.173349999999999</v>
      </c>
      <c r="AD941" s="121">
        <v>-62.173349999999999</v>
      </c>
      <c r="AE941" s="121">
        <v>-62.173349999999999</v>
      </c>
      <c r="AF941" s="121">
        <v>-62.173349999999999</v>
      </c>
      <c r="AG941" s="121">
        <v>-62.173349999999999</v>
      </c>
      <c r="AH941" s="121">
        <v>-62.173349999999999</v>
      </c>
      <c r="AI941" s="161">
        <v>-62.173349999999999</v>
      </c>
      <c r="AJ941" s="161">
        <v>-62.173349999999999</v>
      </c>
      <c r="AK941" s="161">
        <v>-62.173349999999999</v>
      </c>
      <c r="AL941" s="161">
        <v>-62.173349999999999</v>
      </c>
      <c r="AM941" s="161">
        <v>-62.173349999999999</v>
      </c>
      <c r="AN941" s="161">
        <v>-62.173349999999999</v>
      </c>
      <c r="AO941" s="161">
        <v>-62.173349999999999</v>
      </c>
      <c r="AP941" s="125" t="str">
        <f>CONCATENATE(A941,M941)</f>
        <v>Def TaxN</v>
      </c>
      <c r="AQ941" s="125" t="str">
        <f>CONCATENATE(AP941,L941,H941)</f>
        <v>Def TaxNN2GSC Refund</v>
      </c>
      <c r="AS941" s="125" t="str">
        <f>CONCATENATE(L941,H941,J941)</f>
        <v>N2GSC Refund</v>
      </c>
    </row>
    <row r="942" spans="1:46" s="125" customFormat="1" ht="25.5" customHeight="1">
      <c r="A942" s="216" t="s">
        <v>1996</v>
      </c>
      <c r="B942" s="217" t="str">
        <f t="shared" si="407"/>
        <v>Def Tax190012BT010381</v>
      </c>
      <c r="C942" s="186">
        <v>190012</v>
      </c>
      <c r="D942" s="201"/>
      <c r="E942" s="162" t="s">
        <v>1532</v>
      </c>
      <c r="F942" s="169" t="s">
        <v>2216</v>
      </c>
      <c r="G942" s="117" t="s">
        <v>1531</v>
      </c>
      <c r="H942" s="118" t="s">
        <v>914</v>
      </c>
      <c r="I942" s="119"/>
      <c r="J942" s="120"/>
      <c r="K942" s="120" t="str">
        <f>IF(L942="N3","SFAS-109","")</f>
        <v/>
      </c>
      <c r="L942" s="170" t="s">
        <v>1895</v>
      </c>
      <c r="M942" s="122" t="str">
        <f t="shared" si="419"/>
        <v>R</v>
      </c>
      <c r="N942" s="116" t="str">
        <f>IF($L942&lt;&gt;"",VLOOKUP($L942,Categories!$E:$G,2,FALSE),IF($F942&lt;&gt;"","NO CAT",""))</f>
        <v>Rate Base</v>
      </c>
      <c r="O942" s="116" t="str">
        <f>IF($L942&lt;&gt;"",VLOOKUP($L942,Categories!$E:$G,3,FALSE),IF($F942&lt;&gt;"","NO CAT",""))</f>
        <v>Deferred Income Taxes</v>
      </c>
      <c r="P942" s="170" t="s">
        <v>1553</v>
      </c>
      <c r="Q942" s="123" t="s">
        <v>2587</v>
      </c>
      <c r="R942" s="124">
        <v>0.81899999999999995</v>
      </c>
      <c r="S942" s="124">
        <v>0.18099999999999999</v>
      </c>
      <c r="T942" s="124">
        <v>0</v>
      </c>
      <c r="U942" s="121" t="str">
        <f t="shared" si="411"/>
        <v/>
      </c>
      <c r="V942" s="121" t="str">
        <f t="shared" si="412"/>
        <v/>
      </c>
      <c r="W942" s="121" t="str">
        <f t="shared" si="413"/>
        <v/>
      </c>
      <c r="X942" s="121">
        <f t="shared" si="409"/>
        <v>0</v>
      </c>
      <c r="Y942" s="121" t="str">
        <f t="shared" si="414"/>
        <v/>
      </c>
      <c r="Z942" s="121" t="str">
        <f t="shared" si="415"/>
        <v/>
      </c>
      <c r="AA942" s="121" t="str">
        <f t="shared" si="416"/>
        <v/>
      </c>
      <c r="AB942" s="121">
        <f t="shared" si="410"/>
        <v>0</v>
      </c>
      <c r="AC942" s="121">
        <v>0</v>
      </c>
      <c r="AD942" s="121">
        <v>0</v>
      </c>
      <c r="AE942" s="121">
        <v>0</v>
      </c>
      <c r="AF942" s="121">
        <v>0</v>
      </c>
      <c r="AG942" s="121">
        <v>0</v>
      </c>
      <c r="AH942" s="121">
        <v>0</v>
      </c>
      <c r="AI942" s="161">
        <v>0</v>
      </c>
      <c r="AJ942" s="161">
        <f t="shared" ref="AJ942:AK944" si="421">IF(AI942=0,0,0)</f>
        <v>0</v>
      </c>
      <c r="AK942" s="161">
        <f t="shared" si="421"/>
        <v>0</v>
      </c>
      <c r="AL942" s="161">
        <v>0</v>
      </c>
      <c r="AM942" s="161">
        <v>0</v>
      </c>
      <c r="AN942" s="161">
        <v>0</v>
      </c>
      <c r="AO942" s="161">
        <v>0</v>
      </c>
      <c r="AP942" s="125" t="str">
        <f>CONCATENATE(A942,M942)</f>
        <v>Def TaxR</v>
      </c>
      <c r="AQ942" s="125" t="str">
        <f>CONCATENATE(AP942,L942,H942)</f>
        <v>Def TaxRR11Medicare Subsidy</v>
      </c>
      <c r="AS942" s="125" t="str">
        <f>CONCATENATE(L942,H942,J942)</f>
        <v>R11Medicare Subsidy</v>
      </c>
    </row>
    <row r="943" spans="1:46" s="125" customFormat="1" ht="25.5" customHeight="1">
      <c r="A943" s="216" t="s">
        <v>1996</v>
      </c>
      <c r="B943" s="217" t="str">
        <f t="shared" si="407"/>
        <v>Def Tax190012Medicare SubBT010125</v>
      </c>
      <c r="C943" s="186">
        <v>190012</v>
      </c>
      <c r="D943" s="201" t="s">
        <v>2652</v>
      </c>
      <c r="E943" s="162" t="s">
        <v>1024</v>
      </c>
      <c r="F943" s="169" t="s">
        <v>2216</v>
      </c>
      <c r="G943" s="117" t="s">
        <v>279</v>
      </c>
      <c r="H943" s="118" t="s">
        <v>914</v>
      </c>
      <c r="I943" s="119"/>
      <c r="J943" s="120"/>
      <c r="K943" s="120" t="str">
        <f>IF(L943="N3","SFAS-109","")</f>
        <v/>
      </c>
      <c r="L943" s="170" t="s">
        <v>1895</v>
      </c>
      <c r="M943" s="122" t="str">
        <f t="shared" si="419"/>
        <v>R</v>
      </c>
      <c r="N943" s="116" t="str">
        <f>IF($L943&lt;&gt;"",VLOOKUP($L943,Categories!$E:$G,2,FALSE),IF($F943&lt;&gt;"","NO CAT",""))</f>
        <v>Rate Base</v>
      </c>
      <c r="O943" s="116" t="str">
        <f>IF($L943&lt;&gt;"",VLOOKUP($L943,Categories!$E:$G,3,FALSE),IF($F943&lt;&gt;"","NO CAT",""))</f>
        <v>Deferred Income Taxes</v>
      </c>
      <c r="P943" s="170" t="s">
        <v>1553</v>
      </c>
      <c r="Q943" s="123" t="s">
        <v>2587</v>
      </c>
      <c r="R943" s="124">
        <v>0.81899999999999995</v>
      </c>
      <c r="S943" s="124">
        <v>0.18099999999999999</v>
      </c>
      <c r="T943" s="124">
        <v>0</v>
      </c>
      <c r="U943" s="121" t="str">
        <f t="shared" si="411"/>
        <v/>
      </c>
      <c r="V943" s="121" t="str">
        <f t="shared" si="412"/>
        <v/>
      </c>
      <c r="W943" s="121" t="str">
        <f t="shared" si="413"/>
        <v/>
      </c>
      <c r="X943" s="121">
        <f t="shared" si="409"/>
        <v>0</v>
      </c>
      <c r="Y943" s="121" t="str">
        <f t="shared" si="414"/>
        <v/>
      </c>
      <c r="Z943" s="121" t="str">
        <f t="shared" si="415"/>
        <v/>
      </c>
      <c r="AA943" s="121" t="str">
        <f t="shared" si="416"/>
        <v/>
      </c>
      <c r="AB943" s="121">
        <f t="shared" si="410"/>
        <v>0</v>
      </c>
      <c r="AC943" s="121">
        <v>0</v>
      </c>
      <c r="AD943" s="121">
        <v>0</v>
      </c>
      <c r="AE943" s="121">
        <v>0</v>
      </c>
      <c r="AF943" s="121">
        <v>0</v>
      </c>
      <c r="AG943" s="121">
        <v>0</v>
      </c>
      <c r="AH943" s="121">
        <v>0</v>
      </c>
      <c r="AI943" s="161">
        <v>0</v>
      </c>
      <c r="AJ943" s="161">
        <f t="shared" si="421"/>
        <v>0</v>
      </c>
      <c r="AK943" s="161">
        <f t="shared" si="421"/>
        <v>0</v>
      </c>
      <c r="AL943" s="161">
        <v>0</v>
      </c>
      <c r="AM943" s="161">
        <v>0</v>
      </c>
      <c r="AN943" s="161">
        <v>0</v>
      </c>
      <c r="AO943" s="161">
        <v>0</v>
      </c>
      <c r="AP943" s="125" t="str">
        <f>CONCATENATE(A943,M943)</f>
        <v>Def TaxR</v>
      </c>
      <c r="AQ943" s="125" t="str">
        <f>CONCATENATE(AP943,L943,H943)</f>
        <v>Def TaxRR11Medicare Subsidy</v>
      </c>
      <c r="AS943" s="125" t="str">
        <f>CONCATENATE(L943,H943,J943)</f>
        <v>R11Medicare Subsidy</v>
      </c>
    </row>
    <row r="944" spans="1:46" s="125" customFormat="1" ht="25.5" customHeight="1">
      <c r="A944" s="216" t="s">
        <v>1996</v>
      </c>
      <c r="B944" s="217" t="str">
        <f>CONCATENATE(A944,C944,D944,E944)</f>
        <v>Def Tax190012BTMISCDT</v>
      </c>
      <c r="C944" s="186">
        <v>190012</v>
      </c>
      <c r="D944" s="201"/>
      <c r="E944" s="162" t="s">
        <v>4763</v>
      </c>
      <c r="F944" s="169" t="s">
        <v>2216</v>
      </c>
      <c r="G944" s="117" t="s">
        <v>4764</v>
      </c>
      <c r="H944" s="118" t="s">
        <v>4761</v>
      </c>
      <c r="I944" s="119"/>
      <c r="J944" s="120"/>
      <c r="K944" s="120" t="str">
        <f>IF(L944="N3","SFAS-109","")</f>
        <v/>
      </c>
      <c r="L944" s="170" t="s">
        <v>1895</v>
      </c>
      <c r="M944" s="122" t="str">
        <f>LEFT(L944,1)</f>
        <v>R</v>
      </c>
      <c r="N944" s="116" t="str">
        <f>IF($L944&lt;&gt;"",VLOOKUP($L944,Categories!$E:$G,2,FALSE),IF($F944&lt;&gt;"","NO CAT",""))</f>
        <v>Rate Base</v>
      </c>
      <c r="O944" s="116" t="str">
        <f>IF($L944&lt;&gt;"",VLOOKUP($L944,Categories!$E:$G,3,FALSE),IF($F944&lt;&gt;"","NO CAT",""))</f>
        <v>Deferred Income Taxes</v>
      </c>
      <c r="P944" s="170" t="s">
        <v>1184</v>
      </c>
      <c r="Q944" s="123" t="s">
        <v>1178</v>
      </c>
      <c r="R944" s="124">
        <v>0</v>
      </c>
      <c r="S944" s="124">
        <v>1</v>
      </c>
      <c r="T944" s="124">
        <v>0</v>
      </c>
      <c r="U944" s="121">
        <f>IF(ABS(X944)=0,"",IF($R944="NO ALLOC","NO ALLOC",ROUND($R944*X944,15)))</f>
        <v>0</v>
      </c>
      <c r="V944" s="121">
        <f>IF(ABS(X944)=0,"",IF($S944="NO ALLOC","NO ALLOC",ROUND($S944*X944,15)))</f>
        <v>180.583333333333</v>
      </c>
      <c r="W944" s="121">
        <f>IF(ABS(X944)=0,"",IF($T944="NO ALLOC","NO ALLOC",ROUND($T944*X944,15)))</f>
        <v>0</v>
      </c>
      <c r="X944" s="121">
        <f t="shared" si="409"/>
        <v>180.583333333333</v>
      </c>
      <c r="Y944" s="121" t="str">
        <f>IF(ABS(AB944)=0,"",IF($R944="NO ALLOC","NO ALLOC",ROUND($R944*AB944,15)))</f>
        <v/>
      </c>
      <c r="Z944" s="121" t="str">
        <f>IF(ABS(AB944)=0,"",IF($S944="NO ALLOC","NO ALLOC",ROUND($S944*AB944,15)))</f>
        <v/>
      </c>
      <c r="AA944" s="121" t="str">
        <f>IF(ABS(AB944)=0,"",IF($T944="NO ALLOC","NO ALLOC",ROUND($T944*AB944,15)))</f>
        <v/>
      </c>
      <c r="AB944" s="121">
        <f t="shared" si="410"/>
        <v>0</v>
      </c>
      <c r="AC944" s="121"/>
      <c r="AD944" s="121"/>
      <c r="AE944" s="121"/>
      <c r="AF944" s="121"/>
      <c r="AG944" s="121"/>
      <c r="AH944" s="121"/>
      <c r="AI944" s="161">
        <v>2167</v>
      </c>
      <c r="AJ944" s="161">
        <v>0</v>
      </c>
      <c r="AK944" s="161">
        <f t="shared" si="421"/>
        <v>0</v>
      </c>
      <c r="AL944" s="161">
        <v>0</v>
      </c>
      <c r="AM944" s="161">
        <v>0</v>
      </c>
      <c r="AN944" s="161">
        <v>0</v>
      </c>
      <c r="AO944" s="161">
        <v>0</v>
      </c>
      <c r="AP944" s="125" t="str">
        <f>CONCATENATE(A944,M944)</f>
        <v>Def TaxR</v>
      </c>
      <c r="AQ944" s="125" t="str">
        <f>CONCATENATE(AP944,L944,H944)</f>
        <v>Def TaxRR11Excess DIT - New York State Tax Rate change</v>
      </c>
      <c r="AS944" s="125" t="str">
        <f>CONCATENATE(L944,H944,J944)</f>
        <v>R11Excess DIT - New York State Tax Rate change</v>
      </c>
    </row>
    <row r="945" spans="1:45" s="125" customFormat="1" ht="25.5" customHeight="1">
      <c r="A945" s="216" t="s">
        <v>1996</v>
      </c>
      <c r="B945" s="217" t="str">
        <f t="shared" si="407"/>
        <v>Def Tax1900130-286.01.26BT010121</v>
      </c>
      <c r="C945" s="186">
        <v>190013</v>
      </c>
      <c r="D945" s="201" t="s">
        <v>2998</v>
      </c>
      <c r="E945" s="162" t="s">
        <v>499</v>
      </c>
      <c r="F945" s="169" t="s">
        <v>2216</v>
      </c>
      <c r="G945" s="117" t="s">
        <v>428</v>
      </c>
      <c r="H945" s="118" t="s">
        <v>2860</v>
      </c>
      <c r="I945" s="119"/>
      <c r="J945" s="120"/>
      <c r="K945" s="120" t="str">
        <f t="shared" si="406"/>
        <v/>
      </c>
      <c r="L945" s="170" t="s">
        <v>2811</v>
      </c>
      <c r="M945" s="122" t="str">
        <f t="shared" si="419"/>
        <v>N</v>
      </c>
      <c r="N945" s="116" t="str">
        <f>IF($L945&lt;&gt;"",VLOOKUP($L945,Categories!$E:$G,2,FALSE),IF($F945&lt;&gt;"","NO CAT",""))</f>
        <v>Not in Rate Base</v>
      </c>
      <c r="O945" s="116" t="str">
        <f>IF($L945&lt;&gt;"",VLOOKUP($L945,Categories!$E:$G,3,FALSE),IF($F945&lt;&gt;"","NO CAT",""))</f>
        <v>Hedges &amp; OCI</v>
      </c>
      <c r="P945" s="170" t="s">
        <v>1186</v>
      </c>
      <c r="Q945" s="123" t="s">
        <v>1187</v>
      </c>
      <c r="R945" s="124">
        <v>0</v>
      </c>
      <c r="S945" s="124">
        <v>0</v>
      </c>
      <c r="T945" s="124">
        <v>1</v>
      </c>
      <c r="U945" s="121">
        <f t="shared" si="411"/>
        <v>0</v>
      </c>
      <c r="V945" s="121">
        <f t="shared" si="412"/>
        <v>0</v>
      </c>
      <c r="W945" s="121">
        <f t="shared" si="413"/>
        <v>63.776000000000003</v>
      </c>
      <c r="X945" s="121">
        <f t="shared" si="409"/>
        <v>63.776000000000003</v>
      </c>
      <c r="Y945" s="121">
        <f t="shared" si="414"/>
        <v>0</v>
      </c>
      <c r="Z945" s="121">
        <f t="shared" si="415"/>
        <v>0</v>
      </c>
      <c r="AA945" s="121">
        <f t="shared" si="416"/>
        <v>63.776000000000003</v>
      </c>
      <c r="AB945" s="121">
        <f t="shared" si="410"/>
        <v>63.776000000000003</v>
      </c>
      <c r="AC945" s="121">
        <v>63.776000000000003</v>
      </c>
      <c r="AD945" s="121">
        <v>63.776000000000003</v>
      </c>
      <c r="AE945" s="121">
        <v>63.776000000000003</v>
      </c>
      <c r="AF945" s="121">
        <v>63.776000000000003</v>
      </c>
      <c r="AG945" s="121">
        <v>63.776000000000003</v>
      </c>
      <c r="AH945" s="121">
        <v>63.776000000000003</v>
      </c>
      <c r="AI945" s="161">
        <v>63.776000000000003</v>
      </c>
      <c r="AJ945" s="161">
        <v>63.776000000000003</v>
      </c>
      <c r="AK945" s="161">
        <v>63.776000000000003</v>
      </c>
      <c r="AL945" s="161">
        <v>63.776000000000003</v>
      </c>
      <c r="AM945" s="161">
        <v>63.776000000000003</v>
      </c>
      <c r="AN945" s="161">
        <v>63.776000000000003</v>
      </c>
      <c r="AO945" s="161">
        <v>63.776000000000003</v>
      </c>
      <c r="AP945" s="125" t="str">
        <f>CONCATENATE(A945,M945)</f>
        <v>Def TaxN</v>
      </c>
      <c r="AQ945" s="125" t="str">
        <f>CONCATENATE(AP945,L945,H945)</f>
        <v>Def TaxNN5Hedges &amp; OCI</v>
      </c>
      <c r="AS945" s="125" t="str">
        <f>CONCATENATE(L945,H945,J945)</f>
        <v>N5Hedges &amp; OCI</v>
      </c>
    </row>
    <row r="946" spans="1:45" s="125" customFormat="1" ht="25.5" customHeight="1">
      <c r="A946" s="216" t="s">
        <v>1996</v>
      </c>
      <c r="B946" s="217" t="str">
        <f t="shared" ref="B946:B1000" si="422">CONCATENATE(A946,C946,D946,E946)</f>
        <v>Def Tax190015DerivativeBT010057</v>
      </c>
      <c r="C946" s="186">
        <v>190015</v>
      </c>
      <c r="D946" s="201" t="s">
        <v>1028</v>
      </c>
      <c r="E946" s="162" t="s">
        <v>498</v>
      </c>
      <c r="F946" s="169" t="s">
        <v>142</v>
      </c>
      <c r="G946" s="117" t="s">
        <v>1838</v>
      </c>
      <c r="H946" s="118" t="s">
        <v>1149</v>
      </c>
      <c r="I946" s="119"/>
      <c r="J946" s="120"/>
      <c r="K946" s="120" t="str">
        <f t="shared" ref="K946:K1041" si="423">IF(L946="N3","SFAS-109","")</f>
        <v>SFAS-109</v>
      </c>
      <c r="L946" s="170" t="s">
        <v>930</v>
      </c>
      <c r="M946" s="122" t="str">
        <f t="shared" si="419"/>
        <v>N</v>
      </c>
      <c r="N946" s="116" t="str">
        <f>IF($L946&lt;&gt;"",VLOOKUP($L946,Categories!$E:$G,2,FALSE),IF($F946&lt;&gt;"","NO CAT",""))</f>
        <v>Not in Rate Base</v>
      </c>
      <c r="O946" s="116" t="str">
        <f>IF($L946&lt;&gt;"",VLOOKUP($L946,Categories!$E:$G,3,FALSE),IF($F946&lt;&gt;"","NO CAT",""))</f>
        <v>SFAS-109   (offsetting)</v>
      </c>
      <c r="P946" s="170" t="s">
        <v>1186</v>
      </c>
      <c r="Q946" s="123" t="s">
        <v>1187</v>
      </c>
      <c r="R946" s="124">
        <v>0</v>
      </c>
      <c r="S946" s="124">
        <v>0</v>
      </c>
      <c r="T946" s="124">
        <v>1</v>
      </c>
      <c r="U946" s="121">
        <f t="shared" si="411"/>
        <v>0</v>
      </c>
      <c r="V946" s="121">
        <f t="shared" si="412"/>
        <v>0</v>
      </c>
      <c r="W946" s="121">
        <f t="shared" si="413"/>
        <v>127.06699999999999</v>
      </c>
      <c r="X946" s="121">
        <f t="shared" si="409"/>
        <v>127.06699999999999</v>
      </c>
      <c r="Y946" s="121">
        <f t="shared" si="414"/>
        <v>0</v>
      </c>
      <c r="Z946" s="121">
        <f t="shared" si="415"/>
        <v>0</v>
      </c>
      <c r="AA946" s="121">
        <f t="shared" si="416"/>
        <v>127.06699999999999</v>
      </c>
      <c r="AB946" s="121">
        <f t="shared" si="410"/>
        <v>127.06699999999999</v>
      </c>
      <c r="AC946" s="121">
        <v>127.06699999999999</v>
      </c>
      <c r="AD946" s="121">
        <v>127.06699999999999</v>
      </c>
      <c r="AE946" s="121">
        <v>127.06699999999999</v>
      </c>
      <c r="AF946" s="121">
        <v>127.06699999999999</v>
      </c>
      <c r="AG946" s="121">
        <v>127.06699999999999</v>
      </c>
      <c r="AH946" s="121">
        <v>127.06699999999999</v>
      </c>
      <c r="AI946" s="161">
        <v>127.06699999999999</v>
      </c>
      <c r="AJ946" s="161">
        <v>127.06699999999999</v>
      </c>
      <c r="AK946" s="161">
        <v>127.06699999999999</v>
      </c>
      <c r="AL946" s="161">
        <v>127.06699999999999</v>
      </c>
      <c r="AM946" s="161">
        <v>127.06699999999999</v>
      </c>
      <c r="AN946" s="161">
        <v>127.06699999999999</v>
      </c>
      <c r="AO946" s="161">
        <v>127.06699999999999</v>
      </c>
      <c r="AP946" s="125" t="str">
        <f>CONCATENATE(A946,M946)</f>
        <v>Def TaxN</v>
      </c>
      <c r="AQ946" s="125" t="str">
        <f>CONCATENATE(AP946,L946,H946)</f>
        <v>Def TaxNN3SFAS-109</v>
      </c>
      <c r="AS946" s="125" t="str">
        <f>CONCATENATE(L946,H946,J946)</f>
        <v>N3SFAS-109</v>
      </c>
    </row>
    <row r="947" spans="1:45" s="125" customFormat="1" ht="25.5" customHeight="1">
      <c r="A947" s="216" t="s">
        <v>1996</v>
      </c>
      <c r="B947" s="217" t="str">
        <f t="shared" si="422"/>
        <v>Def Tax190016A&amp;S Reserve</v>
      </c>
      <c r="C947" s="186">
        <v>190016</v>
      </c>
      <c r="D947" s="201" t="s">
        <v>920</v>
      </c>
      <c r="E947" s="162"/>
      <c r="F947" s="169" t="s">
        <v>1138</v>
      </c>
      <c r="G947" s="117" t="s">
        <v>920</v>
      </c>
      <c r="H947" s="118" t="s">
        <v>1405</v>
      </c>
      <c r="I947" s="119"/>
      <c r="J947" s="120"/>
      <c r="K947" s="120" t="str">
        <f t="shared" si="423"/>
        <v/>
      </c>
      <c r="L947" s="170" t="s">
        <v>1895</v>
      </c>
      <c r="M947" s="122" t="str">
        <f t="shared" si="419"/>
        <v>R</v>
      </c>
      <c r="N947" s="116" t="str">
        <f>IF($L947&lt;&gt;"",VLOOKUP($L947,Categories!$E:$G,2,FALSE),IF($F947&lt;&gt;"","NO CAT",""))</f>
        <v>Rate Base</v>
      </c>
      <c r="O947" s="116" t="str">
        <f>IF($L947&lt;&gt;"",VLOOKUP($L947,Categories!$E:$G,3,FALSE),IF($F947&lt;&gt;"","NO CAT",""))</f>
        <v>Deferred Income Taxes</v>
      </c>
      <c r="P947" s="170" t="s">
        <v>1188</v>
      </c>
      <c r="Q947" s="123" t="s">
        <v>1843</v>
      </c>
      <c r="R947" s="124">
        <v>0.76071990262269951</v>
      </c>
      <c r="S947" s="124">
        <v>0.23928009737730072</v>
      </c>
      <c r="T947" s="124">
        <v>0</v>
      </c>
      <c r="U947" s="121">
        <f t="shared" si="411"/>
        <v>-51.062258455684997</v>
      </c>
      <c r="V947" s="121">
        <f t="shared" si="412"/>
        <v>-16.061341544314999</v>
      </c>
      <c r="W947" s="121">
        <f t="shared" si="413"/>
        <v>0</v>
      </c>
      <c r="X947" s="121">
        <f t="shared" si="409"/>
        <v>-67.123599999999996</v>
      </c>
      <c r="Y947" s="121">
        <f t="shared" si="414"/>
        <v>-42.296254801792898</v>
      </c>
      <c r="Z947" s="121">
        <f t="shared" si="415"/>
        <v>-13.304045198207101</v>
      </c>
      <c r="AA947" s="121">
        <f t="shared" si="416"/>
        <v>0</v>
      </c>
      <c r="AB947" s="121">
        <f t="shared" si="410"/>
        <v>-55.600299999999997</v>
      </c>
      <c r="AC947" s="121">
        <v>-71.674700000000001</v>
      </c>
      <c r="AD947" s="121">
        <v>-71.674700000000001</v>
      </c>
      <c r="AE947" s="121">
        <v>-71.674700000000001</v>
      </c>
      <c r="AF947" s="121">
        <v>-71.674700000000001</v>
      </c>
      <c r="AG947" s="121">
        <v>-71.674700000000001</v>
      </c>
      <c r="AH947" s="121">
        <v>-71.674700000000001</v>
      </c>
      <c r="AI947" s="161">
        <v>-71.674700000000001</v>
      </c>
      <c r="AJ947" s="161">
        <v>-71.674700000000001</v>
      </c>
      <c r="AK947" s="161">
        <v>-71.674700000000001</v>
      </c>
      <c r="AL947" s="161">
        <v>-71.674700000000001</v>
      </c>
      <c r="AM947" s="161">
        <v>-48.386699999999998</v>
      </c>
      <c r="AN947" s="161">
        <v>-48.386699999999998</v>
      </c>
      <c r="AO947" s="161">
        <v>-55.600299999999997</v>
      </c>
      <c r="AP947" s="125" t="str">
        <f>CONCATENATE(A947,M947)</f>
        <v>Def TaxR</v>
      </c>
      <c r="AQ947" s="125" t="str">
        <f>CONCATENATE(AP947,L947,H947)</f>
        <v>Def TaxRR11A&amp;S CHIP</v>
      </c>
      <c r="AS947" s="125" t="str">
        <f>CONCATENATE(L947,H947,J947)</f>
        <v>R11A&amp;S CHIP</v>
      </c>
    </row>
    <row r="948" spans="1:45" s="125" customFormat="1" ht="25.5" customHeight="1">
      <c r="A948" s="216" t="s">
        <v>1996</v>
      </c>
      <c r="B948" s="217" t="str">
        <f t="shared" si="422"/>
        <v>Def Tax190016FAS 158 - OPEBBT010090</v>
      </c>
      <c r="C948" s="186">
        <v>190016</v>
      </c>
      <c r="D948" s="201" t="s">
        <v>722</v>
      </c>
      <c r="E948" s="162" t="s">
        <v>2690</v>
      </c>
      <c r="F948" s="169" t="s">
        <v>1138</v>
      </c>
      <c r="G948" s="117" t="s">
        <v>1836</v>
      </c>
      <c r="H948" s="118" t="s">
        <v>170</v>
      </c>
      <c r="I948" s="119"/>
      <c r="J948" s="120"/>
      <c r="K948" s="120" t="str">
        <f t="shared" si="423"/>
        <v/>
      </c>
      <c r="L948" s="170" t="s">
        <v>1895</v>
      </c>
      <c r="M948" s="122" t="str">
        <f t="shared" si="419"/>
        <v>R</v>
      </c>
      <c r="N948" s="116" t="str">
        <f>IF($L948&lt;&gt;"",VLOOKUP($L948,Categories!$E:$G,2,FALSE),IF($F948&lt;&gt;"","NO CAT",""))</f>
        <v>Rate Base</v>
      </c>
      <c r="O948" s="116" t="str">
        <f>IF($L948&lt;&gt;"",VLOOKUP($L948,Categories!$E:$G,3,FALSE),IF($F948&lt;&gt;"","NO CAT",""))</f>
        <v>Deferred Income Taxes</v>
      </c>
      <c r="P948" s="170" t="s">
        <v>1553</v>
      </c>
      <c r="Q948" s="123" t="s">
        <v>2587</v>
      </c>
      <c r="R948" s="124">
        <v>0.81899999999999995</v>
      </c>
      <c r="S948" s="124">
        <v>0.18099999999999999</v>
      </c>
      <c r="T948" s="124">
        <v>0</v>
      </c>
      <c r="U948" s="121" t="str">
        <f t="shared" si="411"/>
        <v/>
      </c>
      <c r="V948" s="121" t="str">
        <f t="shared" si="412"/>
        <v/>
      </c>
      <c r="W948" s="121" t="str">
        <f t="shared" si="413"/>
        <v/>
      </c>
      <c r="X948" s="121">
        <f t="shared" si="409"/>
        <v>0</v>
      </c>
      <c r="Y948" s="121" t="str">
        <f t="shared" si="414"/>
        <v/>
      </c>
      <c r="Z948" s="121" t="str">
        <f t="shared" si="415"/>
        <v/>
      </c>
      <c r="AA948" s="121" t="str">
        <f t="shared" si="416"/>
        <v/>
      </c>
      <c r="AB948" s="121">
        <f t="shared" si="410"/>
        <v>0</v>
      </c>
      <c r="AC948" s="121">
        <v>0</v>
      </c>
      <c r="AD948" s="121">
        <v>0</v>
      </c>
      <c r="AE948" s="121">
        <v>0</v>
      </c>
      <c r="AF948" s="121">
        <v>0</v>
      </c>
      <c r="AG948" s="121">
        <v>0</v>
      </c>
      <c r="AH948" s="121">
        <v>0</v>
      </c>
      <c r="AI948" s="161">
        <v>0</v>
      </c>
      <c r="AJ948" s="161">
        <f>IF(AI948=0,0,0)</f>
        <v>0</v>
      </c>
      <c r="AK948" s="161">
        <f>IF(AJ948=0,0,0)</f>
        <v>0</v>
      </c>
      <c r="AL948" s="161">
        <v>0</v>
      </c>
      <c r="AM948" s="161">
        <v>0</v>
      </c>
      <c r="AN948" s="161">
        <v>0</v>
      </c>
      <c r="AO948" s="161">
        <v>0</v>
      </c>
      <c r="AP948" s="125" t="str">
        <f>CONCATENATE(A948,M948)</f>
        <v>Def TaxR</v>
      </c>
      <c r="AQ948" s="125" t="str">
        <f>CONCATENATE(AP948,L948,H948)</f>
        <v>Def TaxRR11OPEBs</v>
      </c>
      <c r="AS948" s="125" t="str">
        <f>CONCATENATE(L948,H948,J948)</f>
        <v>R11OPEBs</v>
      </c>
    </row>
    <row r="949" spans="1:45" s="125" customFormat="1" ht="25.5" customHeight="1">
      <c r="A949" s="216" t="s">
        <v>1996</v>
      </c>
      <c r="B949" s="217" t="str">
        <f t="shared" si="422"/>
        <v xml:space="preserve">Def Tax190016Bad Debt </v>
      </c>
      <c r="C949" s="186">
        <v>190016</v>
      </c>
      <c r="D949" s="201" t="s">
        <v>921</v>
      </c>
      <c r="E949" s="162"/>
      <c r="F949" s="169" t="s">
        <v>1138</v>
      </c>
      <c r="G949" s="117" t="s">
        <v>921</v>
      </c>
      <c r="H949" s="118" t="s">
        <v>2221</v>
      </c>
      <c r="I949" s="119"/>
      <c r="J949" s="120"/>
      <c r="K949" s="120" t="str">
        <f t="shared" si="423"/>
        <v/>
      </c>
      <c r="L949" s="170" t="s">
        <v>1419</v>
      </c>
      <c r="M949" s="122" t="str">
        <f t="shared" si="419"/>
        <v>A</v>
      </c>
      <c r="N949" s="116" t="str">
        <f>IF($L949&lt;&gt;"",VLOOKUP($L949,Categories!$E:$G,2,FALSE),IF($F949&lt;&gt;"","NO CAT",""))</f>
        <v>All Other</v>
      </c>
      <c r="O949" s="116" t="str">
        <f>IF($L949&lt;&gt;"",VLOOKUP($L949,Categories!$E:$G,3,FALSE),IF($F949&lt;&gt;"","NO CAT",""))</f>
        <v>EB-Cap</v>
      </c>
      <c r="P949" s="170" t="s">
        <v>1557</v>
      </c>
      <c r="Q949" s="123" t="s">
        <v>1891</v>
      </c>
      <c r="R949" s="124">
        <v>0.77544352505021785</v>
      </c>
      <c r="S949" s="124">
        <v>0.22455647494978223</v>
      </c>
      <c r="T949" s="124">
        <v>0</v>
      </c>
      <c r="U949" s="121">
        <f t="shared" ref="U949:U1043" si="424">IF(ABS(X949)=0,"",IF($R949="NO ALLOC","NO ALLOC",ROUND($R949*X949,15)))</f>
        <v>1020.5803635265</v>
      </c>
      <c r="V949" s="121">
        <f t="shared" ref="V949:V1043" si="425">IF(ABS(X949)=0,"",IF($S949="NO ALLOC","NO ALLOC",ROUND($S949*X949,15)))</f>
        <v>295.544319390167</v>
      </c>
      <c r="W949" s="121">
        <f t="shared" ref="W949:W1043" si="426">IF(ABS(X949)=0,"",IF($T949="NO ALLOC","NO ALLOC",ROUND($T949*X949,15)))</f>
        <v>0</v>
      </c>
      <c r="X949" s="121">
        <f t="shared" si="409"/>
        <v>1316.1246829166701</v>
      </c>
      <c r="Y949" s="121">
        <f t="shared" ref="Y949:Y1043" si="427">IF(ABS(AB949)=0,"",IF($R949="NO ALLOC","NO ALLOC",ROUND($R949*AB949,15)))</f>
        <v>753.84008718182201</v>
      </c>
      <c r="Z949" s="121">
        <f t="shared" ref="Z949:Z1043" si="428">IF(ABS(AB949)=0,"",IF($S949="NO ALLOC","NO ALLOC",ROUND($S949*AB949,15)))</f>
        <v>218.300452818178</v>
      </c>
      <c r="AA949" s="121">
        <f t="shared" ref="AA949:AA1043" si="429">IF(ABS(AB949)=0,"",IF($T949="NO ALLOC","NO ALLOC",ROUND($T949*AB949,15)))</f>
        <v>0</v>
      </c>
      <c r="AB949" s="121">
        <f t="shared" si="410"/>
        <v>972.14053999999999</v>
      </c>
      <c r="AC949" s="121">
        <v>946.51734999999962</v>
      </c>
      <c r="AD949" s="121">
        <v>1086.7182099999995</v>
      </c>
      <c r="AE949" s="121">
        <v>1200.1087599999996</v>
      </c>
      <c r="AF949" s="121">
        <v>1291.1911099999995</v>
      </c>
      <c r="AG949" s="121">
        <v>1461.1878299999996</v>
      </c>
      <c r="AH949" s="121">
        <v>1485.0196900000001</v>
      </c>
      <c r="AI949" s="161">
        <v>1471.9287099999997</v>
      </c>
      <c r="AJ949" s="161">
        <v>1447.6623299999999</v>
      </c>
      <c r="AK949" s="161">
        <v>1392.3746299999998</v>
      </c>
      <c r="AL949" s="161">
        <v>1329.6340599999999</v>
      </c>
      <c r="AM949" s="161">
        <v>1332.8602999999998</v>
      </c>
      <c r="AN949" s="161">
        <v>1335.4816199999998</v>
      </c>
      <c r="AO949" s="161">
        <v>972.14053999999999</v>
      </c>
      <c r="AP949" s="125" t="str">
        <f>CONCATENATE(A949,M949)</f>
        <v>Def TaxA</v>
      </c>
      <c r="AQ949" s="125" t="str">
        <f>CONCATENATE(AP949,L949,H949)</f>
        <v>Def TaxAA2Bad Debts</v>
      </c>
      <c r="AS949" s="125" t="str">
        <f>CONCATENATE(L949,H949,J949)</f>
        <v>A2Bad Debts</v>
      </c>
    </row>
    <row r="950" spans="1:45" s="125" customFormat="1" ht="25.5" customHeight="1">
      <c r="A950" s="216" t="s">
        <v>1996</v>
      </c>
      <c r="B950" s="217" t="str">
        <f t="shared" si="422"/>
        <v>Def Tax190016DerivativeBT010057</v>
      </c>
      <c r="C950" s="186">
        <v>190016</v>
      </c>
      <c r="D950" s="201" t="s">
        <v>1028</v>
      </c>
      <c r="E950" s="162" t="s">
        <v>498</v>
      </c>
      <c r="F950" s="169" t="s">
        <v>1138</v>
      </c>
      <c r="G950" s="117" t="s">
        <v>4425</v>
      </c>
      <c r="H950" s="118" t="s">
        <v>1149</v>
      </c>
      <c r="I950" s="119"/>
      <c r="J950" s="120"/>
      <c r="K950" s="120" t="str">
        <f t="shared" si="423"/>
        <v>SFAS-109</v>
      </c>
      <c r="L950" s="170" t="s">
        <v>930</v>
      </c>
      <c r="M950" s="122" t="str">
        <f t="shared" si="419"/>
        <v>N</v>
      </c>
      <c r="N950" s="116" t="str">
        <f>IF($L950&lt;&gt;"",VLOOKUP($L950,Categories!$E:$G,2,FALSE),IF($F950&lt;&gt;"","NO CAT",""))</f>
        <v>Not in Rate Base</v>
      </c>
      <c r="O950" s="116" t="str">
        <f>IF($L950&lt;&gt;"",VLOOKUP($L950,Categories!$E:$G,3,FALSE),IF($F950&lt;&gt;"","NO CAT",""))</f>
        <v>SFAS-109   (offsetting)</v>
      </c>
      <c r="P950" s="170" t="s">
        <v>1186</v>
      </c>
      <c r="Q950" s="123" t="s">
        <v>1187</v>
      </c>
      <c r="R950" s="124">
        <v>0</v>
      </c>
      <c r="S950" s="124">
        <v>0</v>
      </c>
      <c r="T950" s="124">
        <v>1</v>
      </c>
      <c r="U950" s="121">
        <f t="shared" si="424"/>
        <v>0</v>
      </c>
      <c r="V950" s="121">
        <f t="shared" si="425"/>
        <v>0</v>
      </c>
      <c r="W950" s="121">
        <f t="shared" si="426"/>
        <v>26519.3137083332</v>
      </c>
      <c r="X950" s="121">
        <f t="shared" si="409"/>
        <v>26519.313708333299</v>
      </c>
      <c r="Y950" s="121">
        <f t="shared" si="427"/>
        <v>0</v>
      </c>
      <c r="Z950" s="121">
        <f t="shared" si="428"/>
        <v>0</v>
      </c>
      <c r="AA950" s="121">
        <f t="shared" si="429"/>
        <v>29137.760999999999</v>
      </c>
      <c r="AB950" s="121">
        <f t="shared" si="410"/>
        <v>29137.760999999999</v>
      </c>
      <c r="AC950" s="121">
        <v>25412.405999999999</v>
      </c>
      <c r="AD950" s="121">
        <v>25412.405999999999</v>
      </c>
      <c r="AE950" s="121">
        <v>25412.405999999999</v>
      </c>
      <c r="AF950" s="121">
        <v>25794.152999999998</v>
      </c>
      <c r="AG950" s="121">
        <v>25794.152999999998</v>
      </c>
      <c r="AH950" s="121">
        <v>26034.578000000001</v>
      </c>
      <c r="AI950" s="161">
        <v>26383.881000000001</v>
      </c>
      <c r="AJ950" s="161">
        <v>27163.418000000001</v>
      </c>
      <c r="AK950" s="161">
        <v>27163.418000000001</v>
      </c>
      <c r="AL950" s="161">
        <v>27163.418000000001</v>
      </c>
      <c r="AM950" s="161">
        <v>27317.424999999999</v>
      </c>
      <c r="AN950" s="161">
        <v>27317.424999999999</v>
      </c>
      <c r="AO950" s="161">
        <v>29137.760999999999</v>
      </c>
      <c r="AP950" s="125" t="str">
        <f>CONCATENATE(A950,M950)</f>
        <v>Def TaxN</v>
      </c>
      <c r="AQ950" s="125" t="str">
        <f>CONCATENATE(AP950,L950,H950)</f>
        <v>Def TaxNN3SFAS-109</v>
      </c>
      <c r="AS950" s="125" t="str">
        <f>CONCATENATE(L950,H950,J950)</f>
        <v>N3SFAS-109</v>
      </c>
    </row>
    <row r="951" spans="1:45" s="125" customFormat="1" ht="25.5" customHeight="1">
      <c r="A951" s="216" t="s">
        <v>1996</v>
      </c>
      <c r="B951" s="217" t="str">
        <f t="shared" si="422"/>
        <v>Def Tax190016Env OLBT010071</v>
      </c>
      <c r="C951" s="186">
        <v>190016</v>
      </c>
      <c r="D951" s="201" t="s">
        <v>75</v>
      </c>
      <c r="E951" s="162" t="s">
        <v>222</v>
      </c>
      <c r="F951" s="169" t="s">
        <v>1138</v>
      </c>
      <c r="G951" s="117" t="s">
        <v>74</v>
      </c>
      <c r="H951" s="118" t="s">
        <v>2369</v>
      </c>
      <c r="I951" s="119"/>
      <c r="J951" s="120"/>
      <c r="K951" s="120" t="str">
        <f t="shared" si="423"/>
        <v/>
      </c>
      <c r="L951" s="170" t="s">
        <v>928</v>
      </c>
      <c r="M951" s="122" t="str">
        <f t="shared" si="419"/>
        <v>N</v>
      </c>
      <c r="N951" s="116" t="str">
        <f>IF($L951&lt;&gt;"",VLOOKUP($L951,Categories!$E:$G,2,FALSE),IF($F951&lt;&gt;"","NO CAT",""))</f>
        <v>Not in Rate Base</v>
      </c>
      <c r="O951" s="116" t="str">
        <f>IF($L951&lt;&gt;"",VLOOKUP($L951,Categories!$E:$G,3,FALSE),IF($F951&lt;&gt;"","NO CAT",""))</f>
        <v>Direct Assign Items Not in RB</v>
      </c>
      <c r="P951" s="170" t="s">
        <v>1186</v>
      </c>
      <c r="Q951" s="123" t="s">
        <v>1187</v>
      </c>
      <c r="R951" s="124">
        <v>0</v>
      </c>
      <c r="S951" s="124">
        <v>0</v>
      </c>
      <c r="T951" s="124">
        <v>1</v>
      </c>
      <c r="U951" s="121">
        <f t="shared" si="424"/>
        <v>0</v>
      </c>
      <c r="V951" s="121">
        <f t="shared" si="425"/>
        <v>0</v>
      </c>
      <c r="W951" s="121">
        <f t="shared" si="426"/>
        <v>278.03714000000002</v>
      </c>
      <c r="X951" s="121">
        <f t="shared" si="409"/>
        <v>278.03714000000002</v>
      </c>
      <c r="Y951" s="121">
        <f t="shared" si="427"/>
        <v>0</v>
      </c>
      <c r="Z951" s="121">
        <f t="shared" si="428"/>
        <v>0</v>
      </c>
      <c r="AA951" s="121">
        <f t="shared" si="429"/>
        <v>278.03714000000002</v>
      </c>
      <c r="AB951" s="121">
        <f t="shared" si="410"/>
        <v>278.03713999999991</v>
      </c>
      <c r="AC951" s="121">
        <v>278.03713999999991</v>
      </c>
      <c r="AD951" s="121">
        <v>278.03713999999991</v>
      </c>
      <c r="AE951" s="121">
        <v>278.03713999999991</v>
      </c>
      <c r="AF951" s="121">
        <v>278.03713999999991</v>
      </c>
      <c r="AG951" s="121">
        <v>278.03713999999991</v>
      </c>
      <c r="AH951" s="121">
        <v>278.03713999999991</v>
      </c>
      <c r="AI951" s="161">
        <v>278.03713999999991</v>
      </c>
      <c r="AJ951" s="161">
        <v>278.03713999999991</v>
      </c>
      <c r="AK951" s="161">
        <v>278.03713999999991</v>
      </c>
      <c r="AL951" s="161">
        <v>278.03713999999991</v>
      </c>
      <c r="AM951" s="161">
        <v>278.03713999999991</v>
      </c>
      <c r="AN951" s="161">
        <v>278.03713999999991</v>
      </c>
      <c r="AO951" s="161">
        <v>278.03713999999991</v>
      </c>
      <c r="AP951" s="125" t="str">
        <f>CONCATENATE(A951,M951)</f>
        <v>Def TaxN</v>
      </c>
      <c r="AQ951" s="125" t="str">
        <f>CONCATENATE(AP951,L951,H951)</f>
        <v>Def TaxNN2Environmental</v>
      </c>
      <c r="AS951" s="125" t="str">
        <f>CONCATENATE(L951,H951,J951)</f>
        <v>N2Environmental</v>
      </c>
    </row>
    <row r="952" spans="1:45" s="125" customFormat="1" ht="25.5" customHeight="1">
      <c r="A952" s="216" t="s">
        <v>1996</v>
      </c>
      <c r="B952" s="217" t="str">
        <f t="shared" si="422"/>
        <v>Def Tax190016Restructuring</v>
      </c>
      <c r="C952" s="186">
        <v>190016</v>
      </c>
      <c r="D952" s="201" t="s">
        <v>922</v>
      </c>
      <c r="E952" s="162"/>
      <c r="F952" s="169" t="s">
        <v>1138</v>
      </c>
      <c r="G952" s="117" t="s">
        <v>922</v>
      </c>
      <c r="H952" s="118" t="s">
        <v>1149</v>
      </c>
      <c r="I952" s="119"/>
      <c r="J952" s="120"/>
      <c r="K952" s="120" t="str">
        <f t="shared" si="423"/>
        <v>SFAS-109</v>
      </c>
      <c r="L952" s="170" t="s">
        <v>930</v>
      </c>
      <c r="M952" s="122" t="str">
        <f t="shared" si="419"/>
        <v>N</v>
      </c>
      <c r="N952" s="116" t="str">
        <f>IF($L952&lt;&gt;"",VLOOKUP($L952,Categories!$E:$G,2,FALSE),IF($F952&lt;&gt;"","NO CAT",""))</f>
        <v>Not in Rate Base</v>
      </c>
      <c r="O952" s="116" t="str">
        <f>IF($L952&lt;&gt;"",VLOOKUP($L952,Categories!$E:$G,3,FALSE),IF($F952&lt;&gt;"","NO CAT",""))</f>
        <v>SFAS-109   (offsetting)</v>
      </c>
      <c r="P952" s="170" t="s">
        <v>1186</v>
      </c>
      <c r="Q952" s="123" t="s">
        <v>1187</v>
      </c>
      <c r="R952" s="124">
        <v>0</v>
      </c>
      <c r="S952" s="124">
        <v>0</v>
      </c>
      <c r="T952" s="124">
        <v>1</v>
      </c>
      <c r="U952" s="121">
        <f t="shared" si="424"/>
        <v>0</v>
      </c>
      <c r="V952" s="121">
        <f t="shared" si="425"/>
        <v>0</v>
      </c>
      <c r="W952" s="121">
        <f t="shared" si="426"/>
        <v>-3.1E-2</v>
      </c>
      <c r="X952" s="121">
        <f t="shared" ref="X952:X1000" si="430">IF(ISERROR(ROUND((SUM(AC952:AO952)-((AC952+AO952))/2)/12,15)),"",ROUND((SUM(AC952:AO952)-((AC952+AO952))/2)/12,15))</f>
        <v>-3.1E-2</v>
      </c>
      <c r="Y952" s="121">
        <f t="shared" si="427"/>
        <v>0</v>
      </c>
      <c r="Z952" s="121">
        <f t="shared" si="428"/>
        <v>0</v>
      </c>
      <c r="AA952" s="121">
        <f t="shared" si="429"/>
        <v>-3.1E-2</v>
      </c>
      <c r="AB952" s="121">
        <f t="shared" ref="AB952:AB1000" si="431">IF(AO952="",0,+AO952)</f>
        <v>-3.1E-2</v>
      </c>
      <c r="AC952" s="121">
        <v>-3.1E-2</v>
      </c>
      <c r="AD952" s="121">
        <v>-3.1E-2</v>
      </c>
      <c r="AE952" s="121">
        <v>-3.1E-2</v>
      </c>
      <c r="AF952" s="121">
        <v>-3.1E-2</v>
      </c>
      <c r="AG952" s="121">
        <v>-3.1E-2</v>
      </c>
      <c r="AH952" s="121">
        <v>-3.1E-2</v>
      </c>
      <c r="AI952" s="161">
        <v>-3.1E-2</v>
      </c>
      <c r="AJ952" s="161">
        <v>-3.1E-2</v>
      </c>
      <c r="AK952" s="161">
        <v>-3.1E-2</v>
      </c>
      <c r="AL952" s="161">
        <v>-3.1E-2</v>
      </c>
      <c r="AM952" s="161">
        <v>-3.1E-2</v>
      </c>
      <c r="AN952" s="161">
        <v>-3.1E-2</v>
      </c>
      <c r="AO952" s="161">
        <v>-3.1E-2</v>
      </c>
      <c r="AP952" s="125" t="str">
        <f>CONCATENATE(A952,M952)</f>
        <v>Def TaxN</v>
      </c>
      <c r="AQ952" s="125" t="str">
        <f>CONCATENATE(AP952,L952,H952)</f>
        <v>Def TaxNN3SFAS-109</v>
      </c>
      <c r="AS952" s="125" t="str">
        <f>CONCATENATE(L952,H952,J952)</f>
        <v>N3SFAS-109</v>
      </c>
    </row>
    <row r="953" spans="1:45" s="125" customFormat="1" ht="25.5" customHeight="1">
      <c r="A953" s="216" t="s">
        <v>1996</v>
      </c>
      <c r="B953" s="217" t="str">
        <f t="shared" si="422"/>
        <v>Def Tax190017A&amp;S ReserveBT010011</v>
      </c>
      <c r="C953" s="186">
        <v>190017</v>
      </c>
      <c r="D953" s="201" t="s">
        <v>920</v>
      </c>
      <c r="E953" s="162" t="s">
        <v>609</v>
      </c>
      <c r="F953" s="169" t="s">
        <v>724</v>
      </c>
      <c r="G953" s="117" t="s">
        <v>920</v>
      </c>
      <c r="H953" s="118" t="s">
        <v>1405</v>
      </c>
      <c r="I953" s="119"/>
      <c r="J953" s="120"/>
      <c r="K953" s="120" t="str">
        <f t="shared" si="423"/>
        <v/>
      </c>
      <c r="L953" s="170" t="s">
        <v>1895</v>
      </c>
      <c r="M953" s="122" t="str">
        <f t="shared" si="419"/>
        <v>R</v>
      </c>
      <c r="N953" s="116" t="str">
        <f>IF($L953&lt;&gt;"",VLOOKUP($L953,Categories!$E:$G,2,FALSE),IF($F953&lt;&gt;"","NO CAT",""))</f>
        <v>Rate Base</v>
      </c>
      <c r="O953" s="116" t="str">
        <f>IF($L953&lt;&gt;"",VLOOKUP($L953,Categories!$E:$G,3,FALSE),IF($F953&lt;&gt;"","NO CAT",""))</f>
        <v>Deferred Income Taxes</v>
      </c>
      <c r="P953" s="170" t="s">
        <v>1188</v>
      </c>
      <c r="Q953" s="123" t="s">
        <v>1843</v>
      </c>
      <c r="R953" s="124">
        <v>0.76071990262269951</v>
      </c>
      <c r="S953" s="124">
        <v>0.23928009737730072</v>
      </c>
      <c r="T953" s="124">
        <v>0</v>
      </c>
      <c r="U953" s="121">
        <f t="shared" si="424"/>
        <v>-16.8479641677465</v>
      </c>
      <c r="V953" s="121">
        <f t="shared" si="425"/>
        <v>-5.2994308322535399</v>
      </c>
      <c r="W953" s="121">
        <f t="shared" si="426"/>
        <v>0</v>
      </c>
      <c r="X953" s="121">
        <f t="shared" si="430"/>
        <v>-22.147394999999999</v>
      </c>
      <c r="Y953" s="121">
        <f t="shared" si="427"/>
        <v>-14.656463254273399</v>
      </c>
      <c r="Z953" s="121">
        <f t="shared" si="428"/>
        <v>-4.6101067457265801</v>
      </c>
      <c r="AA953" s="121">
        <f t="shared" si="429"/>
        <v>0</v>
      </c>
      <c r="AB953" s="121">
        <f t="shared" si="431"/>
        <v>-19.266570000000005</v>
      </c>
      <c r="AC953" s="121">
        <v>-23.285170000000001</v>
      </c>
      <c r="AD953" s="121">
        <v>-23.285170000000001</v>
      </c>
      <c r="AE953" s="121">
        <v>-23.285170000000001</v>
      </c>
      <c r="AF953" s="121">
        <v>-23.285170000000001</v>
      </c>
      <c r="AG953" s="121">
        <v>-23.285170000000001</v>
      </c>
      <c r="AH953" s="121">
        <v>-23.285170000000001</v>
      </c>
      <c r="AI953" s="161">
        <v>-23.285170000000001</v>
      </c>
      <c r="AJ953" s="161">
        <v>-23.285170000000001</v>
      </c>
      <c r="AK953" s="161">
        <v>-23.285170000000001</v>
      </c>
      <c r="AL953" s="161">
        <v>-23.285170000000001</v>
      </c>
      <c r="AM953" s="161">
        <v>-17.463170000000002</v>
      </c>
      <c r="AN953" s="161">
        <v>-17.463170000000002</v>
      </c>
      <c r="AO953" s="161">
        <v>-19.266570000000005</v>
      </c>
      <c r="AP953" s="125" t="str">
        <f>CONCATENATE(A953,M953)</f>
        <v>Def TaxR</v>
      </c>
      <c r="AQ953" s="125" t="str">
        <f>CONCATENATE(AP953,L953,H953)</f>
        <v>Def TaxRR11A&amp;S CHIP</v>
      </c>
      <c r="AS953" s="125" t="str">
        <f>CONCATENATE(L953,H953,J953)</f>
        <v>R11A&amp;S CHIP</v>
      </c>
    </row>
    <row r="954" spans="1:45" s="125" customFormat="1" ht="25.5" customHeight="1">
      <c r="A954" s="216" t="s">
        <v>1996</v>
      </c>
      <c r="B954" s="217" t="str">
        <f t="shared" si="422"/>
        <v>Def Tax190017FAS 158 - OPEBBT010090</v>
      </c>
      <c r="C954" s="186">
        <v>190017</v>
      </c>
      <c r="D954" s="201" t="s">
        <v>722</v>
      </c>
      <c r="E954" s="162" t="s">
        <v>2690</v>
      </c>
      <c r="F954" s="169" t="s">
        <v>724</v>
      </c>
      <c r="G954" s="117" t="s">
        <v>360</v>
      </c>
      <c r="H954" s="118" t="s">
        <v>170</v>
      </c>
      <c r="I954" s="119"/>
      <c r="J954" s="120"/>
      <c r="K954" s="120" t="str">
        <f t="shared" si="423"/>
        <v/>
      </c>
      <c r="L954" s="170" t="s">
        <v>1895</v>
      </c>
      <c r="M954" s="122" t="str">
        <f t="shared" si="419"/>
        <v>R</v>
      </c>
      <c r="N954" s="116" t="str">
        <f>IF($L954&lt;&gt;"",VLOOKUP($L954,Categories!$E:$G,2,FALSE),IF($F954&lt;&gt;"","NO CAT",""))</f>
        <v>Rate Base</v>
      </c>
      <c r="O954" s="116" t="str">
        <f>IF($L954&lt;&gt;"",VLOOKUP($L954,Categories!$E:$G,3,FALSE),IF($F954&lt;&gt;"","NO CAT",""))</f>
        <v>Deferred Income Taxes</v>
      </c>
      <c r="P954" s="170" t="s">
        <v>1553</v>
      </c>
      <c r="Q954" s="123" t="s">
        <v>2587</v>
      </c>
      <c r="R954" s="124">
        <v>0.81899999999999995</v>
      </c>
      <c r="S954" s="124">
        <v>0.18099999999999999</v>
      </c>
      <c r="T954" s="124">
        <v>0</v>
      </c>
      <c r="U954" s="121" t="str">
        <f t="shared" si="424"/>
        <v/>
      </c>
      <c r="V954" s="121" t="str">
        <f t="shared" si="425"/>
        <v/>
      </c>
      <c r="W954" s="121" t="str">
        <f t="shared" si="426"/>
        <v/>
      </c>
      <c r="X954" s="121">
        <f t="shared" si="430"/>
        <v>0</v>
      </c>
      <c r="Y954" s="121" t="str">
        <f t="shared" si="427"/>
        <v/>
      </c>
      <c r="Z954" s="121" t="str">
        <f t="shared" si="428"/>
        <v/>
      </c>
      <c r="AA954" s="121" t="str">
        <f t="shared" si="429"/>
        <v/>
      </c>
      <c r="AB954" s="121">
        <f t="shared" si="431"/>
        <v>0</v>
      </c>
      <c r="AC954" s="121">
        <v>0</v>
      </c>
      <c r="AD954" s="121">
        <v>0</v>
      </c>
      <c r="AE954" s="121">
        <v>0</v>
      </c>
      <c r="AF954" s="121">
        <v>0</v>
      </c>
      <c r="AG954" s="121">
        <v>0</v>
      </c>
      <c r="AH954" s="121">
        <v>0</v>
      </c>
      <c r="AI954" s="161">
        <v>0</v>
      </c>
      <c r="AJ954" s="161">
        <f>IF(AI954=0,0,0)</f>
        <v>0</v>
      </c>
      <c r="AK954" s="161">
        <f>IF(AJ954=0,0,0)</f>
        <v>0</v>
      </c>
      <c r="AL954" s="161">
        <v>0</v>
      </c>
      <c r="AM954" s="161">
        <v>0</v>
      </c>
      <c r="AN954" s="161">
        <v>0</v>
      </c>
      <c r="AO954" s="161">
        <v>0</v>
      </c>
      <c r="AP954" s="125" t="str">
        <f>CONCATENATE(A954,M954)</f>
        <v>Def TaxR</v>
      </c>
      <c r="AQ954" s="125" t="str">
        <f>CONCATENATE(AP954,L954,H954)</f>
        <v>Def TaxRR11OPEBs</v>
      </c>
      <c r="AS954" s="125" t="str">
        <f>CONCATENATE(L954,H954,J954)</f>
        <v>R11OPEBs</v>
      </c>
    </row>
    <row r="955" spans="1:45" s="125" customFormat="1" ht="25.5" customHeight="1">
      <c r="A955" s="216" t="s">
        <v>1996</v>
      </c>
      <c r="B955" s="217" t="str">
        <f t="shared" si="422"/>
        <v>Def Tax190017Bad Debt BT010016</v>
      </c>
      <c r="C955" s="186">
        <v>190017</v>
      </c>
      <c r="D955" s="201" t="s">
        <v>921</v>
      </c>
      <c r="E955" s="162" t="s">
        <v>610</v>
      </c>
      <c r="F955" s="169" t="s">
        <v>724</v>
      </c>
      <c r="G955" s="117" t="s">
        <v>921</v>
      </c>
      <c r="H955" s="118" t="s">
        <v>2221</v>
      </c>
      <c r="I955" s="119"/>
      <c r="J955" s="120"/>
      <c r="K955" s="120" t="str">
        <f t="shared" si="423"/>
        <v/>
      </c>
      <c r="L955" s="170" t="s">
        <v>1419</v>
      </c>
      <c r="M955" s="122" t="str">
        <f t="shared" si="419"/>
        <v>A</v>
      </c>
      <c r="N955" s="116" t="str">
        <f>IF($L955&lt;&gt;"",VLOOKUP($L955,Categories!$E:$G,2,FALSE),IF($F955&lt;&gt;"","NO CAT",""))</f>
        <v>All Other</v>
      </c>
      <c r="O955" s="116" t="str">
        <f>IF($L955&lt;&gt;"",VLOOKUP($L955,Categories!$E:$G,3,FALSE),IF($F955&lt;&gt;"","NO CAT",""))</f>
        <v>EB-Cap</v>
      </c>
      <c r="P955" s="170" t="s">
        <v>1557</v>
      </c>
      <c r="Q955" s="123" t="s">
        <v>1891</v>
      </c>
      <c r="R955" s="124">
        <v>0.77544352505021785</v>
      </c>
      <c r="S955" s="124">
        <v>0.22455647494978223</v>
      </c>
      <c r="T955" s="124">
        <v>0</v>
      </c>
      <c r="U955" s="121">
        <f t="shared" si="424"/>
        <v>199.141487855702</v>
      </c>
      <c r="V955" s="121">
        <f t="shared" si="425"/>
        <v>57.668300894298199</v>
      </c>
      <c r="W955" s="121">
        <f t="shared" si="426"/>
        <v>0</v>
      </c>
      <c r="X955" s="121">
        <f t="shared" si="430"/>
        <v>256.80978875</v>
      </c>
      <c r="Y955" s="121">
        <f t="shared" si="427"/>
        <v>188.48193195225599</v>
      </c>
      <c r="Z955" s="121">
        <f t="shared" si="428"/>
        <v>54.581458047744199</v>
      </c>
      <c r="AA955" s="121">
        <f t="shared" si="429"/>
        <v>0</v>
      </c>
      <c r="AB955" s="121">
        <f t="shared" si="431"/>
        <v>243.06339000000008</v>
      </c>
      <c r="AC955" s="121">
        <v>264.49757999999997</v>
      </c>
      <c r="AD955" s="121">
        <v>269.56271999999996</v>
      </c>
      <c r="AE955" s="121">
        <v>266.57716999999997</v>
      </c>
      <c r="AF955" s="121">
        <v>263.17982000000001</v>
      </c>
      <c r="AG955" s="121">
        <v>263.01510000000002</v>
      </c>
      <c r="AH955" s="121">
        <v>249.54924000000005</v>
      </c>
      <c r="AI955" s="161">
        <v>250.00222000000005</v>
      </c>
      <c r="AJ955" s="161">
        <v>251.69060000000007</v>
      </c>
      <c r="AK955" s="161">
        <v>252.30830000000009</v>
      </c>
      <c r="AL955" s="161">
        <v>252.78187000000008</v>
      </c>
      <c r="AM955" s="161">
        <v>254.0996300000001</v>
      </c>
      <c r="AN955" s="161">
        <v>255.17031000000009</v>
      </c>
      <c r="AO955" s="161">
        <v>243.06339000000008</v>
      </c>
      <c r="AP955" s="125" t="str">
        <f>CONCATENATE(A955,M955)</f>
        <v>Def TaxA</v>
      </c>
      <c r="AQ955" s="125" t="str">
        <f>CONCATENATE(AP955,L955,H955)</f>
        <v>Def TaxAA2Bad Debts</v>
      </c>
      <c r="AS955" s="125" t="str">
        <f>CONCATENATE(L955,H955,J955)</f>
        <v>A2Bad Debts</v>
      </c>
    </row>
    <row r="956" spans="1:45" s="125" customFormat="1" ht="25.5" customHeight="1">
      <c r="A956" s="216" t="s">
        <v>1996</v>
      </c>
      <c r="B956" s="217" t="str">
        <f t="shared" si="422"/>
        <v>Def Tax190017DerivativeBT010057</v>
      </c>
      <c r="C956" s="186">
        <v>190017</v>
      </c>
      <c r="D956" s="201" t="s">
        <v>1028</v>
      </c>
      <c r="E956" s="162" t="s">
        <v>498</v>
      </c>
      <c r="F956" s="169" t="s">
        <v>724</v>
      </c>
      <c r="G956" s="117" t="s">
        <v>1837</v>
      </c>
      <c r="H956" s="118" t="s">
        <v>1149</v>
      </c>
      <c r="I956" s="119"/>
      <c r="J956" s="120"/>
      <c r="K956" s="120" t="str">
        <f t="shared" si="423"/>
        <v>SFAS-109</v>
      </c>
      <c r="L956" s="170" t="s">
        <v>930</v>
      </c>
      <c r="M956" s="122" t="str">
        <f t="shared" si="419"/>
        <v>N</v>
      </c>
      <c r="N956" s="116" t="str">
        <f>IF($L956&lt;&gt;"",VLOOKUP($L956,Categories!$E:$G,2,FALSE),IF($F956&lt;&gt;"","NO CAT",""))</f>
        <v>Not in Rate Base</v>
      </c>
      <c r="O956" s="116" t="str">
        <f>IF($L956&lt;&gt;"",VLOOKUP($L956,Categories!$E:$G,3,FALSE),IF($F956&lt;&gt;"","NO CAT",""))</f>
        <v>SFAS-109   (offsetting)</v>
      </c>
      <c r="P956" s="170" t="s">
        <v>1186</v>
      </c>
      <c r="Q956" s="123" t="s">
        <v>1187</v>
      </c>
      <c r="R956" s="124">
        <v>0</v>
      </c>
      <c r="S956" s="124">
        <v>0</v>
      </c>
      <c r="T956" s="124">
        <v>1</v>
      </c>
      <c r="U956" s="121">
        <f t="shared" si="424"/>
        <v>0</v>
      </c>
      <c r="V956" s="121">
        <f t="shared" si="425"/>
        <v>0</v>
      </c>
      <c r="W956" s="121">
        <f t="shared" si="426"/>
        <v>15741.002416666701</v>
      </c>
      <c r="X956" s="121">
        <f t="shared" si="430"/>
        <v>15741.002416666701</v>
      </c>
      <c r="Y956" s="121">
        <f t="shared" si="427"/>
        <v>0</v>
      </c>
      <c r="Z956" s="121">
        <f t="shared" si="428"/>
        <v>0</v>
      </c>
      <c r="AA956" s="121">
        <f t="shared" si="429"/>
        <v>16559.373</v>
      </c>
      <c r="AB956" s="121">
        <f t="shared" si="431"/>
        <v>16559.373</v>
      </c>
      <c r="AC956" s="121">
        <v>15431.821</v>
      </c>
      <c r="AD956" s="121">
        <v>15431.821</v>
      </c>
      <c r="AE956" s="121">
        <v>15431.821</v>
      </c>
      <c r="AF956" s="121">
        <v>15527.258</v>
      </c>
      <c r="AG956" s="121">
        <v>15527.258</v>
      </c>
      <c r="AH956" s="121">
        <v>15587.364</v>
      </c>
      <c r="AI956" s="161">
        <v>15674.69</v>
      </c>
      <c r="AJ956" s="161">
        <v>15912.023999999999</v>
      </c>
      <c r="AK956" s="161">
        <v>15912.023999999999</v>
      </c>
      <c r="AL956" s="161">
        <v>15912.023999999999</v>
      </c>
      <c r="AM956" s="161">
        <v>15990.074000000001</v>
      </c>
      <c r="AN956" s="161">
        <v>15990.074000000001</v>
      </c>
      <c r="AO956" s="161">
        <v>16559.373</v>
      </c>
      <c r="AP956" s="125" t="str">
        <f>CONCATENATE(A956,M956)</f>
        <v>Def TaxN</v>
      </c>
      <c r="AQ956" s="125" t="str">
        <f>CONCATENATE(AP956,L956,H956)</f>
        <v>Def TaxNN3SFAS-109</v>
      </c>
      <c r="AS956" s="125" t="str">
        <f>CONCATENATE(L956,H956,J956)</f>
        <v>N3SFAS-109</v>
      </c>
    </row>
    <row r="957" spans="1:45" s="125" customFormat="1" ht="25.5" customHeight="1">
      <c r="A957" s="216" t="s">
        <v>1996</v>
      </c>
      <c r="B957" s="217" t="str">
        <f t="shared" si="422"/>
        <v>Def Tax190017Env OLBT010071</v>
      </c>
      <c r="C957" s="186">
        <v>190017</v>
      </c>
      <c r="D957" s="201" t="s">
        <v>75</v>
      </c>
      <c r="E957" s="162" t="s">
        <v>222</v>
      </c>
      <c r="F957" s="169" t="s">
        <v>724</v>
      </c>
      <c r="G957" s="117" t="s">
        <v>74</v>
      </c>
      <c r="H957" s="118" t="s">
        <v>2369</v>
      </c>
      <c r="I957" s="119"/>
      <c r="J957" s="120"/>
      <c r="K957" s="120" t="str">
        <f t="shared" si="423"/>
        <v/>
      </c>
      <c r="L957" s="170" t="s">
        <v>928</v>
      </c>
      <c r="M957" s="122" t="str">
        <f t="shared" si="419"/>
        <v>N</v>
      </c>
      <c r="N957" s="116" t="str">
        <f>IF($L957&lt;&gt;"",VLOOKUP($L957,Categories!$E:$G,2,FALSE),IF($F957&lt;&gt;"","NO CAT",""))</f>
        <v>Not in Rate Base</v>
      </c>
      <c r="O957" s="116" t="str">
        <f>IF($L957&lt;&gt;"",VLOOKUP($L957,Categories!$E:$G,3,FALSE),IF($F957&lt;&gt;"","NO CAT",""))</f>
        <v>Direct Assign Items Not in RB</v>
      </c>
      <c r="P957" s="170" t="s">
        <v>1186</v>
      </c>
      <c r="Q957" s="123" t="s">
        <v>1187</v>
      </c>
      <c r="R957" s="124">
        <v>0</v>
      </c>
      <c r="S957" s="124">
        <v>0</v>
      </c>
      <c r="T957" s="124">
        <v>1</v>
      </c>
      <c r="U957" s="121">
        <f t="shared" si="424"/>
        <v>0</v>
      </c>
      <c r="V957" s="121">
        <f t="shared" si="425"/>
        <v>0</v>
      </c>
      <c r="W957" s="121">
        <f t="shared" si="426"/>
        <v>41.17886</v>
      </c>
      <c r="X957" s="121">
        <f t="shared" si="430"/>
        <v>41.17886</v>
      </c>
      <c r="Y957" s="121">
        <f t="shared" si="427"/>
        <v>0</v>
      </c>
      <c r="Z957" s="121">
        <f t="shared" si="428"/>
        <v>0</v>
      </c>
      <c r="AA957" s="121">
        <f t="shared" si="429"/>
        <v>41.17886</v>
      </c>
      <c r="AB957" s="121">
        <f t="shared" si="431"/>
        <v>41.178859999999986</v>
      </c>
      <c r="AC957" s="121">
        <v>41.178859999999986</v>
      </c>
      <c r="AD957" s="121">
        <v>41.178859999999986</v>
      </c>
      <c r="AE957" s="121">
        <v>41.178859999999986</v>
      </c>
      <c r="AF957" s="121">
        <v>41.178859999999986</v>
      </c>
      <c r="AG957" s="121">
        <v>41.178859999999986</v>
      </c>
      <c r="AH957" s="121">
        <v>41.178859999999986</v>
      </c>
      <c r="AI957" s="161">
        <v>41.178859999999986</v>
      </c>
      <c r="AJ957" s="161">
        <v>41.178859999999986</v>
      </c>
      <c r="AK957" s="161">
        <v>41.178859999999986</v>
      </c>
      <c r="AL957" s="161">
        <v>41.178859999999986</v>
      </c>
      <c r="AM957" s="161">
        <v>41.178859999999986</v>
      </c>
      <c r="AN957" s="161">
        <v>41.178859999999986</v>
      </c>
      <c r="AO957" s="161">
        <v>41.178859999999986</v>
      </c>
      <c r="AP957" s="125" t="str">
        <f>CONCATENATE(A957,M957)</f>
        <v>Def TaxN</v>
      </c>
      <c r="AQ957" s="125" t="str">
        <f>CONCATENATE(AP957,L957,H957)</f>
        <v>Def TaxNN2Environmental</v>
      </c>
      <c r="AS957" s="125" t="str">
        <f>CONCATENATE(L957,H957,J957)</f>
        <v>N2Environmental</v>
      </c>
    </row>
    <row r="958" spans="1:45" s="125" customFormat="1" ht="25.5" customHeight="1">
      <c r="A958" s="216" t="s">
        <v>1996</v>
      </c>
      <c r="B958" s="217" t="str">
        <f t="shared" si="422"/>
        <v>Def Tax190017Restructuring</v>
      </c>
      <c r="C958" s="186">
        <v>190017</v>
      </c>
      <c r="D958" s="201" t="s">
        <v>922</v>
      </c>
      <c r="E958" s="162"/>
      <c r="F958" s="169" t="s">
        <v>724</v>
      </c>
      <c r="G958" s="117" t="s">
        <v>922</v>
      </c>
      <c r="H958" s="118" t="s">
        <v>1149</v>
      </c>
      <c r="I958" s="119"/>
      <c r="J958" s="120"/>
      <c r="K958" s="120" t="str">
        <f t="shared" si="423"/>
        <v>SFAS-109</v>
      </c>
      <c r="L958" s="170" t="s">
        <v>930</v>
      </c>
      <c r="M958" s="122" t="str">
        <f t="shared" si="419"/>
        <v>N</v>
      </c>
      <c r="N958" s="116" t="str">
        <f>IF($L958&lt;&gt;"",VLOOKUP($L958,Categories!$E:$G,2,FALSE),IF($F958&lt;&gt;"","NO CAT",""))</f>
        <v>Not in Rate Base</v>
      </c>
      <c r="O958" s="116" t="str">
        <f>IF($L958&lt;&gt;"",VLOOKUP($L958,Categories!$E:$G,3,FALSE),IF($F958&lt;&gt;"","NO CAT",""))</f>
        <v>SFAS-109   (offsetting)</v>
      </c>
      <c r="P958" s="170" t="s">
        <v>1186</v>
      </c>
      <c r="Q958" s="123" t="s">
        <v>1187</v>
      </c>
      <c r="R958" s="124">
        <v>0</v>
      </c>
      <c r="S958" s="124">
        <v>0</v>
      </c>
      <c r="T958" s="124">
        <v>1</v>
      </c>
      <c r="U958" s="121">
        <f t="shared" si="424"/>
        <v>0</v>
      </c>
      <c r="V958" s="121">
        <f t="shared" si="425"/>
        <v>0</v>
      </c>
      <c r="W958" s="121">
        <f t="shared" si="426"/>
        <v>-8.2500000000000004E-3</v>
      </c>
      <c r="X958" s="121">
        <f t="shared" si="430"/>
        <v>-8.2500000000000004E-3</v>
      </c>
      <c r="Y958" s="121">
        <f t="shared" si="427"/>
        <v>0</v>
      </c>
      <c r="Z958" s="121">
        <f t="shared" si="428"/>
        <v>0</v>
      </c>
      <c r="AA958" s="121">
        <f t="shared" si="429"/>
        <v>-8.9999999999999993E-3</v>
      </c>
      <c r="AB958" s="121">
        <f t="shared" si="431"/>
        <v>-8.9999999999999993E-3</v>
      </c>
      <c r="AC958" s="121">
        <v>-8.9999999999999993E-3</v>
      </c>
      <c r="AD958" s="121">
        <v>0</v>
      </c>
      <c r="AE958" s="121">
        <v>-8.9999999999999993E-3</v>
      </c>
      <c r="AF958" s="121">
        <v>-8.9999999999999993E-3</v>
      </c>
      <c r="AG958" s="121">
        <v>-8.9999999999999993E-3</v>
      </c>
      <c r="AH958" s="121">
        <v>-8.9999999999999993E-3</v>
      </c>
      <c r="AI958" s="161">
        <v>-8.9999999999999993E-3</v>
      </c>
      <c r="AJ958" s="161">
        <v>-8.9999999999999993E-3</v>
      </c>
      <c r="AK958" s="161">
        <v>-8.9999999999999993E-3</v>
      </c>
      <c r="AL958" s="161">
        <v>-8.9999999999999993E-3</v>
      </c>
      <c r="AM958" s="161">
        <v>-8.9999999999999993E-3</v>
      </c>
      <c r="AN958" s="161">
        <v>-8.9999999999999993E-3</v>
      </c>
      <c r="AO958" s="161">
        <v>-8.9999999999999993E-3</v>
      </c>
      <c r="AP958" s="125" t="str">
        <f>CONCATENATE(A958,M958)</f>
        <v>Def TaxN</v>
      </c>
      <c r="AQ958" s="125" t="str">
        <f>CONCATENATE(AP958,L958,H958)</f>
        <v>Def TaxNN3SFAS-109</v>
      </c>
      <c r="AS958" s="125" t="str">
        <f>CONCATENATE(L958,H958,J958)</f>
        <v>N3SFAS-109</v>
      </c>
    </row>
    <row r="959" spans="1:45" s="125" customFormat="1" ht="25.5" customHeight="1">
      <c r="A959" s="216" t="s">
        <v>1996</v>
      </c>
      <c r="B959" s="217" t="str">
        <f t="shared" si="422"/>
        <v>Def Tax190017Vacation Accrual</v>
      </c>
      <c r="C959" s="186">
        <v>190017</v>
      </c>
      <c r="D959" s="201" t="s">
        <v>987</v>
      </c>
      <c r="E959" s="162"/>
      <c r="F959" s="169" t="s">
        <v>724</v>
      </c>
      <c r="G959" s="117" t="s">
        <v>987</v>
      </c>
      <c r="H959" s="118" t="s">
        <v>220</v>
      </c>
      <c r="I959" s="119"/>
      <c r="J959" s="120"/>
      <c r="K959" s="120" t="str">
        <f t="shared" si="423"/>
        <v/>
      </c>
      <c r="L959" s="170" t="s">
        <v>1419</v>
      </c>
      <c r="M959" s="122" t="str">
        <f t="shared" si="419"/>
        <v>A</v>
      </c>
      <c r="N959" s="116" t="str">
        <f>IF($L959&lt;&gt;"",VLOOKUP($L959,Categories!$E:$G,2,FALSE),IF($F959&lt;&gt;"","NO CAT",""))</f>
        <v>All Other</v>
      </c>
      <c r="O959" s="116" t="str">
        <f>IF($L959&lt;&gt;"",VLOOKUP($L959,Categories!$E:$G,3,FALSE),IF($F959&lt;&gt;"","NO CAT",""))</f>
        <v>EB-Cap</v>
      </c>
      <c r="P959" s="170" t="s">
        <v>1557</v>
      </c>
      <c r="Q959" s="123" t="s">
        <v>1891</v>
      </c>
      <c r="R959" s="124">
        <v>0.77544352505021785</v>
      </c>
      <c r="S959" s="124">
        <v>0.22455647494978223</v>
      </c>
      <c r="T959" s="124">
        <v>0</v>
      </c>
      <c r="U959" s="121" t="str">
        <f t="shared" si="424"/>
        <v/>
      </c>
      <c r="V959" s="121" t="str">
        <f t="shared" si="425"/>
        <v/>
      </c>
      <c r="W959" s="121" t="str">
        <f t="shared" si="426"/>
        <v/>
      </c>
      <c r="X959" s="121">
        <f t="shared" si="430"/>
        <v>0</v>
      </c>
      <c r="Y959" s="121" t="str">
        <f t="shared" si="427"/>
        <v/>
      </c>
      <c r="Z959" s="121" t="str">
        <f t="shared" si="428"/>
        <v/>
      </c>
      <c r="AA959" s="121" t="str">
        <f t="shared" si="429"/>
        <v/>
      </c>
      <c r="AB959" s="121">
        <f t="shared" si="431"/>
        <v>0</v>
      </c>
      <c r="AC959" s="121">
        <v>1.1641798636219392E-15</v>
      </c>
      <c r="AD959" s="121">
        <v>0</v>
      </c>
      <c r="AE959" s="121">
        <v>0</v>
      </c>
      <c r="AF959" s="121">
        <v>0</v>
      </c>
      <c r="AG959" s="121">
        <v>0</v>
      </c>
      <c r="AH959" s="121">
        <v>0</v>
      </c>
      <c r="AI959" s="161">
        <v>0</v>
      </c>
      <c r="AJ959" s="161">
        <f>IF(AI959=0,0,0)</f>
        <v>0</v>
      </c>
      <c r="AK959" s="161">
        <f>IF(AJ959=0,0,0)</f>
        <v>0</v>
      </c>
      <c r="AL959" s="161">
        <v>0</v>
      </c>
      <c r="AM959" s="161">
        <v>0</v>
      </c>
      <c r="AN959" s="161">
        <v>0</v>
      </c>
      <c r="AO959" s="161">
        <v>0</v>
      </c>
      <c r="AP959" s="125" t="str">
        <f>CONCATENATE(A959,M959)</f>
        <v>Def TaxA</v>
      </c>
      <c r="AQ959" s="125" t="str">
        <f>CONCATENATE(AP959,L959,H959)</f>
        <v>Def TaxAA2Payroll-Related Costs</v>
      </c>
      <c r="AS959" s="125" t="str">
        <f>CONCATENATE(L959,H959,J959)</f>
        <v>A2Payroll-Related Costs</v>
      </c>
    </row>
    <row r="960" spans="1:45" s="125" customFormat="1" ht="25.5" customHeight="1">
      <c r="A960" s="216" t="s">
        <v>1996</v>
      </c>
      <c r="B960" s="217" t="str">
        <f t="shared" si="422"/>
        <v>Def Tax190018DerivativeBT010057</v>
      </c>
      <c r="C960" s="186">
        <v>190018</v>
      </c>
      <c r="D960" s="201" t="s">
        <v>1028</v>
      </c>
      <c r="E960" s="162" t="s">
        <v>498</v>
      </c>
      <c r="F960" s="169" t="s">
        <v>1140</v>
      </c>
      <c r="G960" s="117" t="s">
        <v>359</v>
      </c>
      <c r="H960" s="118" t="s">
        <v>1149</v>
      </c>
      <c r="I960" s="119"/>
      <c r="J960" s="120"/>
      <c r="K960" s="120" t="str">
        <f t="shared" si="423"/>
        <v>SFAS-109</v>
      </c>
      <c r="L960" s="170" t="s">
        <v>930</v>
      </c>
      <c r="M960" s="122" t="str">
        <f t="shared" si="419"/>
        <v>N</v>
      </c>
      <c r="N960" s="116" t="str">
        <f>IF($L960&lt;&gt;"",VLOOKUP($L960,Categories!$E:$G,2,FALSE),IF($F960&lt;&gt;"","NO CAT",""))</f>
        <v>Not in Rate Base</v>
      </c>
      <c r="O960" s="116" t="str">
        <f>IF($L960&lt;&gt;"",VLOOKUP($L960,Categories!$E:$G,3,FALSE),IF($F960&lt;&gt;"","NO CAT",""))</f>
        <v>SFAS-109   (offsetting)</v>
      </c>
      <c r="P960" s="170" t="s">
        <v>1186</v>
      </c>
      <c r="Q960" s="123" t="s">
        <v>1187</v>
      </c>
      <c r="R960" s="124">
        <v>0</v>
      </c>
      <c r="S960" s="124">
        <v>0</v>
      </c>
      <c r="T960" s="124">
        <v>1</v>
      </c>
      <c r="U960" s="121">
        <f t="shared" si="424"/>
        <v>0</v>
      </c>
      <c r="V960" s="121">
        <f t="shared" si="425"/>
        <v>0</v>
      </c>
      <c r="W960" s="121">
        <f t="shared" si="426"/>
        <v>150.779</v>
      </c>
      <c r="X960" s="121">
        <f t="shared" si="430"/>
        <v>150.779</v>
      </c>
      <c r="Y960" s="121">
        <f t="shared" si="427"/>
        <v>0</v>
      </c>
      <c r="Z960" s="121">
        <f t="shared" si="428"/>
        <v>0</v>
      </c>
      <c r="AA960" s="121">
        <f t="shared" si="429"/>
        <v>150.779</v>
      </c>
      <c r="AB960" s="121">
        <f t="shared" si="431"/>
        <v>150.779</v>
      </c>
      <c r="AC960" s="121">
        <v>150.779</v>
      </c>
      <c r="AD960" s="121">
        <v>150.779</v>
      </c>
      <c r="AE960" s="121">
        <v>150.779</v>
      </c>
      <c r="AF960" s="121">
        <v>150.779</v>
      </c>
      <c r="AG960" s="121">
        <v>150.779</v>
      </c>
      <c r="AH960" s="121">
        <v>150.779</v>
      </c>
      <c r="AI960" s="161">
        <v>150.779</v>
      </c>
      <c r="AJ960" s="161">
        <v>150.779</v>
      </c>
      <c r="AK960" s="161">
        <v>150.779</v>
      </c>
      <c r="AL960" s="161">
        <v>150.779</v>
      </c>
      <c r="AM960" s="161">
        <v>150.779</v>
      </c>
      <c r="AN960" s="161">
        <v>150.779</v>
      </c>
      <c r="AO960" s="161">
        <v>150.779</v>
      </c>
      <c r="AP960" s="125" t="str">
        <f>CONCATENATE(A960,M960)</f>
        <v>Def TaxN</v>
      </c>
      <c r="AQ960" s="125" t="str">
        <f>CONCATENATE(AP960,L960,H960)</f>
        <v>Def TaxNN3SFAS-109</v>
      </c>
      <c r="AS960" s="125" t="str">
        <f>CONCATENATE(L960,H960,J960)</f>
        <v>N3SFAS-109</v>
      </c>
    </row>
    <row r="961" spans="1:45" s="125" customFormat="1" ht="25.5" customHeight="1">
      <c r="A961" s="216" t="s">
        <v>1996</v>
      </c>
      <c r="B961" s="217" t="str">
        <f t="shared" si="422"/>
        <v>Def Tax190019DerivativeBT010057</v>
      </c>
      <c r="C961" s="186">
        <v>190019</v>
      </c>
      <c r="D961" s="201" t="s">
        <v>1028</v>
      </c>
      <c r="E961" s="162" t="s">
        <v>498</v>
      </c>
      <c r="F961" s="169" t="s">
        <v>143</v>
      </c>
      <c r="G961" s="117" t="s">
        <v>618</v>
      </c>
      <c r="H961" s="118" t="s">
        <v>1149</v>
      </c>
      <c r="I961" s="119"/>
      <c r="J961" s="120"/>
      <c r="K961" s="120" t="str">
        <f t="shared" si="423"/>
        <v>SFAS-109</v>
      </c>
      <c r="L961" s="170" t="s">
        <v>930</v>
      </c>
      <c r="M961" s="122" t="str">
        <f t="shared" si="419"/>
        <v>N</v>
      </c>
      <c r="N961" s="116" t="str">
        <f>IF($L961&lt;&gt;"",VLOOKUP($L961,Categories!$E:$G,2,FALSE),IF($F961&lt;&gt;"","NO CAT",""))</f>
        <v>Not in Rate Base</v>
      </c>
      <c r="O961" s="116" t="str">
        <f>IF($L961&lt;&gt;"",VLOOKUP($L961,Categories!$E:$G,3,FALSE),IF($F961&lt;&gt;"","NO CAT",""))</f>
        <v>SFAS-109   (offsetting)</v>
      </c>
      <c r="P961" s="170" t="s">
        <v>1186</v>
      </c>
      <c r="Q961" s="123" t="s">
        <v>1187</v>
      </c>
      <c r="R961" s="124">
        <v>0</v>
      </c>
      <c r="S961" s="124">
        <v>0</v>
      </c>
      <c r="T961" s="124">
        <v>1</v>
      </c>
      <c r="U961" s="121">
        <f t="shared" si="424"/>
        <v>0</v>
      </c>
      <c r="V961" s="121">
        <f t="shared" si="425"/>
        <v>0</v>
      </c>
      <c r="W961" s="121">
        <f t="shared" si="426"/>
        <v>27.745999999999999</v>
      </c>
      <c r="X961" s="121">
        <f t="shared" si="430"/>
        <v>27.745999999999999</v>
      </c>
      <c r="Y961" s="121">
        <f t="shared" si="427"/>
        <v>0</v>
      </c>
      <c r="Z961" s="121">
        <f t="shared" si="428"/>
        <v>0</v>
      </c>
      <c r="AA961" s="121">
        <f t="shared" si="429"/>
        <v>27.745999999999999</v>
      </c>
      <c r="AB961" s="121">
        <f t="shared" si="431"/>
        <v>27.745999999999999</v>
      </c>
      <c r="AC961" s="121">
        <v>27.745999999999999</v>
      </c>
      <c r="AD961" s="121">
        <v>27.745999999999999</v>
      </c>
      <c r="AE961" s="121">
        <v>27.745999999999999</v>
      </c>
      <c r="AF961" s="121">
        <v>27.745999999999999</v>
      </c>
      <c r="AG961" s="121">
        <v>27.745999999999999</v>
      </c>
      <c r="AH961" s="121">
        <v>27.745999999999999</v>
      </c>
      <c r="AI961" s="161">
        <v>27.745999999999999</v>
      </c>
      <c r="AJ961" s="161">
        <v>27.745999999999999</v>
      </c>
      <c r="AK961" s="161">
        <v>27.745999999999999</v>
      </c>
      <c r="AL961" s="161">
        <v>27.745999999999999</v>
      </c>
      <c r="AM961" s="161">
        <v>27.745999999999999</v>
      </c>
      <c r="AN961" s="161">
        <v>27.745999999999999</v>
      </c>
      <c r="AO961" s="161">
        <v>27.745999999999999</v>
      </c>
      <c r="AP961" s="125" t="str">
        <f>CONCATENATE(A961,M961)</f>
        <v>Def TaxN</v>
      </c>
      <c r="AQ961" s="125" t="str">
        <f>CONCATENATE(AP961,L961,H961)</f>
        <v>Def TaxNN3SFAS-109</v>
      </c>
      <c r="AS961" s="125" t="str">
        <f>CONCATENATE(L961,H961,J961)</f>
        <v>N3SFAS-109</v>
      </c>
    </row>
    <row r="962" spans="1:45" s="125" customFormat="1" ht="25.5" customHeight="1">
      <c r="A962" s="216" t="s">
        <v>1996</v>
      </c>
      <c r="B962" s="217" t="str">
        <f>CONCATENATE(A962,C962,D962,E962)</f>
        <v>Def Tax190030BT010145</v>
      </c>
      <c r="C962" s="186">
        <v>190030</v>
      </c>
      <c r="D962" s="201"/>
      <c r="E962" s="162" t="s">
        <v>4541</v>
      </c>
      <c r="F962" s="169" t="s">
        <v>4555</v>
      </c>
      <c r="G962" s="117" t="s">
        <v>4540</v>
      </c>
      <c r="H962" s="118" t="s">
        <v>2860</v>
      </c>
      <c r="I962" s="119"/>
      <c r="J962" s="120"/>
      <c r="K962" s="120" t="str">
        <f>IF(L962="N3","SFAS-109","")</f>
        <v/>
      </c>
      <c r="L962" s="170" t="s">
        <v>2811</v>
      </c>
      <c r="M962" s="122" t="str">
        <f>LEFT(L962,1)</f>
        <v>N</v>
      </c>
      <c r="N962" s="116" t="str">
        <f>IF($L962&lt;&gt;"",VLOOKUP($L962,Categories!$E:$G,2,FALSE),IF($F962&lt;&gt;"","NO CAT",""))</f>
        <v>Not in Rate Base</v>
      </c>
      <c r="O962" s="116" t="str">
        <f>IF($L962&lt;&gt;"",VLOOKUP($L962,Categories!$E:$G,3,FALSE),IF($F962&lt;&gt;"","NO CAT",""))</f>
        <v>Hedges &amp; OCI</v>
      </c>
      <c r="P962" s="170" t="s">
        <v>1186</v>
      </c>
      <c r="Q962" s="123" t="s">
        <v>1187</v>
      </c>
      <c r="R962" s="124">
        <v>0</v>
      </c>
      <c r="S962" s="124">
        <v>0</v>
      </c>
      <c r="T962" s="124">
        <v>1</v>
      </c>
      <c r="U962" s="121">
        <f>IF(ABS(X962)=0,"",IF($R962="NO ALLOC","NO ALLOC",ROUND($R962*X962,15)))</f>
        <v>0</v>
      </c>
      <c r="V962" s="121">
        <f>IF(ABS(X962)=0,"",IF($S962="NO ALLOC","NO ALLOC",ROUND($S962*X962,15)))</f>
        <v>0</v>
      </c>
      <c r="W962" s="121">
        <f>IF(ABS(X962)=0,"",IF($T962="NO ALLOC","NO ALLOC",ROUND($T962*X962,15)))</f>
        <v>407.42010416666699</v>
      </c>
      <c r="X962" s="121">
        <f t="shared" si="430"/>
        <v>407.42010416666699</v>
      </c>
      <c r="Y962" s="121">
        <f>IF(ABS(AB962)=0,"",IF($R962="NO ALLOC","NO ALLOC",ROUND($R962*AB962,15)))</f>
        <v>0</v>
      </c>
      <c r="Z962" s="121">
        <f>IF(ABS(AB962)=0,"",IF($S962="NO ALLOC","NO ALLOC",ROUND($S962*AB962,15)))</f>
        <v>0</v>
      </c>
      <c r="AA962" s="121">
        <f>IF(ABS(AB962)=0,"",IF($T962="NO ALLOC","NO ALLOC",ROUND($T962*AB962,15)))</f>
        <v>362.91520000000003</v>
      </c>
      <c r="AB962" s="121">
        <f t="shared" si="431"/>
        <v>362.91520000000003</v>
      </c>
      <c r="AC962" s="121">
        <v>450.70570000000004</v>
      </c>
      <c r="AD962" s="121">
        <v>450.70570000000004</v>
      </c>
      <c r="AE962" s="121">
        <v>436.07395000000002</v>
      </c>
      <c r="AF962" s="121">
        <v>428.75807000000003</v>
      </c>
      <c r="AG962" s="121">
        <v>421.44220000000001</v>
      </c>
      <c r="AH962" s="121">
        <v>414.12632000000002</v>
      </c>
      <c r="AI962" s="161">
        <v>406.81045</v>
      </c>
      <c r="AJ962" s="161">
        <v>399.49457000000001</v>
      </c>
      <c r="AK962" s="161">
        <v>392.17869999999999</v>
      </c>
      <c r="AL962" s="161">
        <v>384.86282</v>
      </c>
      <c r="AM962" s="161">
        <v>377.54695000000004</v>
      </c>
      <c r="AN962" s="161">
        <v>370.23106999999999</v>
      </c>
      <c r="AO962" s="161">
        <v>362.91520000000003</v>
      </c>
      <c r="AP962" s="125" t="str">
        <f>CONCATENATE(A962,M962)</f>
        <v>Def TaxN</v>
      </c>
      <c r="AQ962" s="125" t="str">
        <f>CONCATENATE(AP962,L962,H962)</f>
        <v>Def TaxNN5Hedges &amp; OCI</v>
      </c>
      <c r="AS962" s="125" t="str">
        <f>CONCATENATE(L962,H962,J962)</f>
        <v>N5Hedges &amp; OCI</v>
      </c>
    </row>
    <row r="963" spans="1:45" s="125" customFormat="1" ht="25.5" customHeight="1">
      <c r="A963" s="216" t="s">
        <v>1996</v>
      </c>
      <c r="B963" s="217" t="str">
        <f>CONCATENATE(A963,C963,D963,E963)</f>
        <v>Def Tax1900300-184.26.01BT010141</v>
      </c>
      <c r="C963" s="186">
        <v>190030</v>
      </c>
      <c r="D963" s="201" t="s">
        <v>2645</v>
      </c>
      <c r="E963" s="162" t="s">
        <v>1208</v>
      </c>
      <c r="F963" s="169" t="s">
        <v>4555</v>
      </c>
      <c r="G963" s="117" t="s">
        <v>1231</v>
      </c>
      <c r="H963" s="118" t="s">
        <v>2860</v>
      </c>
      <c r="I963" s="119"/>
      <c r="J963" s="120"/>
      <c r="K963" s="120" t="str">
        <f>IF(L963="N3","SFAS-109","")</f>
        <v/>
      </c>
      <c r="L963" s="170" t="s">
        <v>2811</v>
      </c>
      <c r="M963" s="122" t="str">
        <f>LEFT(L963,1)</f>
        <v>N</v>
      </c>
      <c r="N963" s="116" t="str">
        <f>IF($L963&lt;&gt;"",VLOOKUP($L963,Categories!$E:$G,2,FALSE),IF($F963&lt;&gt;"","NO CAT",""))</f>
        <v>Not in Rate Base</v>
      </c>
      <c r="O963" s="116" t="str">
        <f>IF($L963&lt;&gt;"",VLOOKUP($L963,Categories!$E:$G,3,FALSE),IF($F963&lt;&gt;"","NO CAT",""))</f>
        <v>Hedges &amp; OCI</v>
      </c>
      <c r="P963" s="170" t="s">
        <v>1186</v>
      </c>
      <c r="Q963" s="123" t="s">
        <v>1187</v>
      </c>
      <c r="R963" s="124">
        <v>0</v>
      </c>
      <c r="S963" s="124">
        <v>0</v>
      </c>
      <c r="T963" s="124">
        <v>1</v>
      </c>
      <c r="U963" s="121">
        <f>IF(ABS(X963)=0,"",IF($R963="NO ALLOC","NO ALLOC",ROUND($R963*X963,15)))</f>
        <v>0</v>
      </c>
      <c r="V963" s="121">
        <f>IF(ABS(X963)=0,"",IF($S963="NO ALLOC","NO ALLOC",ROUND($S963*X963,15)))</f>
        <v>0</v>
      </c>
      <c r="W963" s="121">
        <f>IF(ABS(X963)=0,"",IF($T963="NO ALLOC","NO ALLOC",ROUND($T963*X963,15)))</f>
        <v>400.46090083333303</v>
      </c>
      <c r="X963" s="121">
        <f t="shared" si="430"/>
        <v>400.46090083333303</v>
      </c>
      <c r="Y963" s="121">
        <f>IF(ABS(AB963)=0,"",IF($R963="NO ALLOC","NO ALLOC",ROUND($R963*AB963,15)))</f>
        <v>0</v>
      </c>
      <c r="Z963" s="121">
        <f>IF(ABS(AB963)=0,"",IF($S963="NO ALLOC","NO ALLOC",ROUND($S963*AB963,15)))</f>
        <v>0</v>
      </c>
      <c r="AA963" s="121">
        <f>IF(ABS(AB963)=0,"",IF($T963="NO ALLOC","NO ALLOC",ROUND($T963*AB963,15)))</f>
        <v>773.02710999999999</v>
      </c>
      <c r="AB963" s="121">
        <f t="shared" si="431"/>
        <v>773.02711000000011</v>
      </c>
      <c r="AC963" s="121">
        <v>419.91160999999994</v>
      </c>
      <c r="AD963" s="121">
        <v>413.69999999999993</v>
      </c>
      <c r="AE963" s="121">
        <v>407.48838999999998</v>
      </c>
      <c r="AF963" s="121">
        <v>401.27677999999997</v>
      </c>
      <c r="AG963" s="121">
        <v>395.06516999999997</v>
      </c>
      <c r="AH963" s="121">
        <v>388.85356000000002</v>
      </c>
      <c r="AI963" s="161">
        <v>382.64195000000001</v>
      </c>
      <c r="AJ963" s="161">
        <v>376.43034</v>
      </c>
      <c r="AK963" s="161">
        <v>370.21873000000005</v>
      </c>
      <c r="AL963" s="161">
        <v>364.00712000000004</v>
      </c>
      <c r="AM963" s="161">
        <v>357.79551000000009</v>
      </c>
      <c r="AN963" s="161">
        <v>351.58390000000009</v>
      </c>
      <c r="AO963" s="161">
        <v>773.02711000000011</v>
      </c>
      <c r="AP963" s="125" t="str">
        <f>CONCATENATE(A963,M963)</f>
        <v>Def TaxN</v>
      </c>
      <c r="AQ963" s="125" t="str">
        <f>CONCATENATE(AP963,L963,H963)</f>
        <v>Def TaxNN5Hedges &amp; OCI</v>
      </c>
      <c r="AS963" s="125" t="str">
        <f>CONCATENATE(L963,H963,J963)</f>
        <v>N5Hedges &amp; OCI</v>
      </c>
    </row>
    <row r="964" spans="1:45" s="125" customFormat="1" ht="25.5" customHeight="1">
      <c r="A964" s="216" t="s">
        <v>1996</v>
      </c>
      <c r="B964" s="217" t="str">
        <f t="shared" si="422"/>
        <v>Def Tax1900311BT010049</v>
      </c>
      <c r="C964" s="186">
        <v>190031</v>
      </c>
      <c r="D964" s="201">
        <v>1</v>
      </c>
      <c r="E964" s="162" t="s">
        <v>1744</v>
      </c>
      <c r="F964" s="169" t="s">
        <v>3143</v>
      </c>
      <c r="G964" s="117" t="s">
        <v>3144</v>
      </c>
      <c r="H964" s="118" t="s">
        <v>1218</v>
      </c>
      <c r="I964" s="119"/>
      <c r="J964" s="120"/>
      <c r="K964" s="120" t="str">
        <f t="shared" si="423"/>
        <v/>
      </c>
      <c r="L964" s="170" t="s">
        <v>1419</v>
      </c>
      <c r="M964" s="122" t="str">
        <f t="shared" si="419"/>
        <v>A</v>
      </c>
      <c r="N964" s="116" t="str">
        <f>IF($L964&lt;&gt;"",VLOOKUP($L964,Categories!$E:$G,2,FALSE),IF($F964&lt;&gt;"","NO CAT",""))</f>
        <v>All Other</v>
      </c>
      <c r="O964" s="116" t="str">
        <f>IF($L964&lt;&gt;"",VLOOKUP($L964,Categories!$E:$G,3,FALSE),IF($F964&lt;&gt;"","NO CAT",""))</f>
        <v>EB-Cap</v>
      </c>
      <c r="P964" s="170" t="s">
        <v>1557</v>
      </c>
      <c r="Q964" s="123" t="s">
        <v>1891</v>
      </c>
      <c r="R964" s="124">
        <v>0.77544352505021785</v>
      </c>
      <c r="S964" s="124">
        <v>0.22455647494978223</v>
      </c>
      <c r="T964" s="124">
        <v>0</v>
      </c>
      <c r="U964" s="121">
        <f t="shared" si="424"/>
        <v>391.27873134445701</v>
      </c>
      <c r="V964" s="121">
        <f t="shared" si="425"/>
        <v>113.30828073887599</v>
      </c>
      <c r="W964" s="121">
        <f t="shared" si="426"/>
        <v>0</v>
      </c>
      <c r="X964" s="121">
        <f t="shared" si="430"/>
        <v>504.58701208333298</v>
      </c>
      <c r="Y964" s="121">
        <f t="shared" si="427"/>
        <v>348.76957481269301</v>
      </c>
      <c r="Z964" s="121">
        <f t="shared" si="428"/>
        <v>100.998285187307</v>
      </c>
      <c r="AA964" s="121">
        <f t="shared" si="429"/>
        <v>0</v>
      </c>
      <c r="AB964" s="121">
        <f t="shared" si="431"/>
        <v>449.76785999999998</v>
      </c>
      <c r="AC964" s="121">
        <v>501.54903000000002</v>
      </c>
      <c r="AD964" s="121">
        <v>501.54903000000002</v>
      </c>
      <c r="AE964" s="121">
        <v>501.82337000000007</v>
      </c>
      <c r="AF964" s="121">
        <v>506.03550000000007</v>
      </c>
      <c r="AG964" s="121">
        <v>506.03550000000007</v>
      </c>
      <c r="AH964" s="121">
        <v>506.59238000000005</v>
      </c>
      <c r="AI964" s="161">
        <v>509.19704000000002</v>
      </c>
      <c r="AJ964" s="161">
        <v>512.42282999999998</v>
      </c>
      <c r="AK964" s="161">
        <v>512.42282999999998</v>
      </c>
      <c r="AL964" s="161">
        <v>516.06304</v>
      </c>
      <c r="AM964" s="161">
        <v>516.06304</v>
      </c>
      <c r="AN964" s="161">
        <v>491.18114000000003</v>
      </c>
      <c r="AO964" s="161">
        <v>449.76785999999998</v>
      </c>
      <c r="AP964" s="125" t="str">
        <f>CONCATENATE(A964,M964)</f>
        <v>Def TaxA</v>
      </c>
      <c r="AQ964" s="125" t="str">
        <f>CONCATENATE(AP964,L964,H964)</f>
        <v>Def TaxAA2Tracks 253040</v>
      </c>
      <c r="AS964" s="125" t="str">
        <f>CONCATENATE(L964,H964,J964)</f>
        <v>A2Tracks 253040</v>
      </c>
    </row>
    <row r="965" spans="1:45" s="125" customFormat="1" ht="25.5" customHeight="1">
      <c r="A965" s="216" t="s">
        <v>1996</v>
      </c>
      <c r="B965" s="217" t="str">
        <f t="shared" si="422"/>
        <v>Def Tax1900312BT010088</v>
      </c>
      <c r="C965" s="186">
        <v>190031</v>
      </c>
      <c r="D965" s="201">
        <v>2</v>
      </c>
      <c r="E965" s="162" t="s">
        <v>1915</v>
      </c>
      <c r="F965" s="169" t="s">
        <v>3143</v>
      </c>
      <c r="G965" s="117" t="s">
        <v>3145</v>
      </c>
      <c r="H965" s="118" t="s">
        <v>1488</v>
      </c>
      <c r="I965" s="119"/>
      <c r="J965" s="120"/>
      <c r="K965" s="120" t="str">
        <f t="shared" si="423"/>
        <v/>
      </c>
      <c r="L965" s="170" t="s">
        <v>1895</v>
      </c>
      <c r="M965" s="122" t="str">
        <f t="shared" si="419"/>
        <v>R</v>
      </c>
      <c r="N965" s="116" t="str">
        <f>IF($L965&lt;&gt;"",VLOOKUP($L965,Categories!$E:$G,2,FALSE),IF($F965&lt;&gt;"","NO CAT",""))</f>
        <v>Rate Base</v>
      </c>
      <c r="O965" s="116" t="str">
        <f>IF($L965&lt;&gt;"",VLOOKUP($L965,Categories!$E:$G,3,FALSE),IF($F965&lt;&gt;"","NO CAT",""))</f>
        <v>Deferred Income Taxes</v>
      </c>
      <c r="P965" s="170" t="s">
        <v>1553</v>
      </c>
      <c r="Q965" s="123" t="s">
        <v>2587</v>
      </c>
      <c r="R965" s="124">
        <v>0.81899999999999995</v>
      </c>
      <c r="S965" s="124">
        <v>0.18099999999999999</v>
      </c>
      <c r="T965" s="124">
        <v>0</v>
      </c>
      <c r="U965" s="121">
        <f t="shared" si="424"/>
        <v>536.38567402875003</v>
      </c>
      <c r="V965" s="121">
        <f t="shared" si="425"/>
        <v>118.541888887917</v>
      </c>
      <c r="W965" s="121">
        <f t="shared" si="426"/>
        <v>0</v>
      </c>
      <c r="X965" s="121">
        <f t="shared" si="430"/>
        <v>654.92756291666694</v>
      </c>
      <c r="Y965" s="121">
        <f t="shared" si="427"/>
        <v>468.23264397000003</v>
      </c>
      <c r="Z965" s="121">
        <f t="shared" si="428"/>
        <v>103.47998603000001</v>
      </c>
      <c r="AA965" s="121">
        <f t="shared" si="429"/>
        <v>0</v>
      </c>
      <c r="AB965" s="121">
        <f t="shared" si="431"/>
        <v>571.7126300000001</v>
      </c>
      <c r="AC965" s="121">
        <v>719.84670000000006</v>
      </c>
      <c r="AD965" s="121">
        <v>719.84670000000006</v>
      </c>
      <c r="AE965" s="121">
        <v>719.84670000000006</v>
      </c>
      <c r="AF965" s="121">
        <v>719.84670000000006</v>
      </c>
      <c r="AG965" s="121">
        <v>719.84670000000006</v>
      </c>
      <c r="AH965" s="121">
        <v>719.84670000000006</v>
      </c>
      <c r="AI965" s="161">
        <v>719.84670000000006</v>
      </c>
      <c r="AJ965" s="161">
        <v>666.77521000000013</v>
      </c>
      <c r="AK965" s="161">
        <v>670.26021000000003</v>
      </c>
      <c r="AL965" s="161">
        <v>522.09966000000009</v>
      </c>
      <c r="AM965" s="161">
        <v>525.32766000000015</v>
      </c>
      <c r="AN965" s="161">
        <v>509.80815000000013</v>
      </c>
      <c r="AO965" s="161">
        <v>571.7126300000001</v>
      </c>
      <c r="AP965" s="125" t="str">
        <f>CONCATENATE(A965,M965)</f>
        <v>Def TaxR</v>
      </c>
      <c r="AQ965" s="125" t="str">
        <f>CONCATENATE(AP965,L965,H965)</f>
        <v>Def TaxRR11SFAS-112</v>
      </c>
      <c r="AS965" s="125" t="str">
        <f>CONCATENATE(L965,H965,J965)</f>
        <v>R11SFAS-112</v>
      </c>
    </row>
    <row r="966" spans="1:45" s="125" customFormat="1" ht="25.5" customHeight="1">
      <c r="A966" s="216" t="s">
        <v>1996</v>
      </c>
      <c r="B966" s="217" t="str">
        <f t="shared" si="422"/>
        <v>Def Tax1900313BT010089</v>
      </c>
      <c r="C966" s="186">
        <v>190031</v>
      </c>
      <c r="D966" s="201">
        <v>3</v>
      </c>
      <c r="E966" s="162" t="s">
        <v>1916</v>
      </c>
      <c r="F966" s="169" t="s">
        <v>3143</v>
      </c>
      <c r="G966" s="117" t="s">
        <v>2537</v>
      </c>
      <c r="H966" s="118" t="s">
        <v>170</v>
      </c>
      <c r="I966" s="119"/>
      <c r="J966" s="120"/>
      <c r="K966" s="120" t="str">
        <f t="shared" si="423"/>
        <v/>
      </c>
      <c r="L966" s="170" t="s">
        <v>1895</v>
      </c>
      <c r="M966" s="122" t="str">
        <f t="shared" si="419"/>
        <v>R</v>
      </c>
      <c r="N966" s="116" t="str">
        <f>IF($L966&lt;&gt;"",VLOOKUP($L966,Categories!$E:$G,2,FALSE),IF($F966&lt;&gt;"","NO CAT",""))</f>
        <v>Rate Base</v>
      </c>
      <c r="O966" s="116" t="str">
        <f>IF($L966&lt;&gt;"",VLOOKUP($L966,Categories!$E:$G,3,FALSE),IF($F966&lt;&gt;"","NO CAT",""))</f>
        <v>Deferred Income Taxes</v>
      </c>
      <c r="P966" s="170" t="s">
        <v>1553</v>
      </c>
      <c r="Q966" s="123" t="s">
        <v>2587</v>
      </c>
      <c r="R966" s="124">
        <v>0.81899999999999995</v>
      </c>
      <c r="S966" s="124">
        <v>0.18099999999999999</v>
      </c>
      <c r="T966" s="124">
        <v>0</v>
      </c>
      <c r="U966" s="121">
        <f t="shared" si="424"/>
        <v>13217.546675628701</v>
      </c>
      <c r="V966" s="121">
        <f t="shared" si="425"/>
        <v>2921.0939539545798</v>
      </c>
      <c r="W966" s="121">
        <f t="shared" si="426"/>
        <v>0</v>
      </c>
      <c r="X966" s="121">
        <f t="shared" si="430"/>
        <v>16138.6406295833</v>
      </c>
      <c r="Y966" s="121">
        <f t="shared" si="427"/>
        <v>18169.199766900001</v>
      </c>
      <c r="Z966" s="121">
        <f t="shared" si="428"/>
        <v>4015.4153331000002</v>
      </c>
      <c r="AA966" s="121">
        <f t="shared" si="429"/>
        <v>0</v>
      </c>
      <c r="AB966" s="121">
        <f t="shared" si="431"/>
        <v>22184.615099999999</v>
      </c>
      <c r="AC966" s="121">
        <v>17539.154129999981</v>
      </c>
      <c r="AD966" s="121">
        <v>17479.067389999982</v>
      </c>
      <c r="AE966" s="121">
        <v>17302.971669999984</v>
      </c>
      <c r="AF966" s="121">
        <v>17031.476629999983</v>
      </c>
      <c r="AG966" s="121">
        <v>16914.063329999983</v>
      </c>
      <c r="AH966" s="121">
        <v>16612.715289999986</v>
      </c>
      <c r="AI966" s="161">
        <v>16219.876859999984</v>
      </c>
      <c r="AJ966" s="161">
        <v>15219.351299999984</v>
      </c>
      <c r="AK966" s="161">
        <v>14917.216709999984</v>
      </c>
      <c r="AL966" s="161">
        <v>14490.397189999985</v>
      </c>
      <c r="AM966" s="161">
        <v>14225.442209999985</v>
      </c>
      <c r="AN966" s="161">
        <v>13389.224359999984</v>
      </c>
      <c r="AO966" s="161">
        <v>22184.615099999999</v>
      </c>
      <c r="AP966" s="125" t="str">
        <f>CONCATENATE(A966,M966)</f>
        <v>Def TaxR</v>
      </c>
      <c r="AQ966" s="125" t="str">
        <f>CONCATENATE(AP966,L966,H966)</f>
        <v>Def TaxRR11OPEBs</v>
      </c>
      <c r="AS966" s="125" t="str">
        <f>CONCATENATE(L966,H966,J966)</f>
        <v>R11OPEBs</v>
      </c>
    </row>
    <row r="967" spans="1:45" s="125" customFormat="1" ht="25.5" customHeight="1">
      <c r="A967" s="216" t="s">
        <v>1996</v>
      </c>
      <c r="B967" s="217" t="str">
        <f t="shared" si="422"/>
        <v>Def Tax1900314BT010167</v>
      </c>
      <c r="C967" s="186">
        <v>190031</v>
      </c>
      <c r="D967" s="201">
        <v>4</v>
      </c>
      <c r="E967" s="162" t="s">
        <v>286</v>
      </c>
      <c r="F967" s="169" t="s">
        <v>3143</v>
      </c>
      <c r="G967" s="117" t="s">
        <v>1965</v>
      </c>
      <c r="H967" s="118" t="s">
        <v>1002</v>
      </c>
      <c r="I967" s="119"/>
      <c r="J967" s="120"/>
      <c r="K967" s="120" t="str">
        <f t="shared" si="423"/>
        <v/>
      </c>
      <c r="L967" s="170" t="s">
        <v>1895</v>
      </c>
      <c r="M967" s="122" t="str">
        <f t="shared" si="419"/>
        <v>R</v>
      </c>
      <c r="N967" s="116" t="str">
        <f>IF($L967&lt;&gt;"",VLOOKUP($L967,Categories!$E:$G,2,FALSE),IF($F967&lt;&gt;"","NO CAT",""))</f>
        <v>Rate Base</v>
      </c>
      <c r="O967" s="116" t="str">
        <f>IF($L967&lt;&gt;"",VLOOKUP($L967,Categories!$E:$G,3,FALSE),IF($F967&lt;&gt;"","NO CAT",""))</f>
        <v>Deferred Income Taxes</v>
      </c>
      <c r="P967" s="170" t="s">
        <v>1553</v>
      </c>
      <c r="Q967" s="123" t="s">
        <v>2587</v>
      </c>
      <c r="R967" s="124">
        <v>0.81899999999999995</v>
      </c>
      <c r="S967" s="124">
        <v>0.18099999999999999</v>
      </c>
      <c r="T967" s="124">
        <v>0</v>
      </c>
      <c r="U967" s="121">
        <f t="shared" si="424"/>
        <v>16182.008164139999</v>
      </c>
      <c r="V967" s="121">
        <f t="shared" si="425"/>
        <v>3576.2435625266698</v>
      </c>
      <c r="W967" s="121">
        <f t="shared" si="426"/>
        <v>0</v>
      </c>
      <c r="X967" s="121">
        <f t="shared" si="430"/>
        <v>19758.251726666698</v>
      </c>
      <c r="Y967" s="121">
        <f t="shared" si="427"/>
        <v>67031.527898789995</v>
      </c>
      <c r="Z967" s="121">
        <f t="shared" si="428"/>
        <v>14814.04951121</v>
      </c>
      <c r="AA967" s="121">
        <f t="shared" si="429"/>
        <v>0</v>
      </c>
      <c r="AB967" s="121">
        <f t="shared" si="431"/>
        <v>81845.577410000013</v>
      </c>
      <c r="AC967" s="121">
        <v>20115.132370000003</v>
      </c>
      <c r="AD967" s="121">
        <v>19582.611220000006</v>
      </c>
      <c r="AE967" s="121">
        <v>19050.090070000009</v>
      </c>
      <c r="AF967" s="121">
        <v>18517.413990000008</v>
      </c>
      <c r="AG967" s="121">
        <v>17984.892840000011</v>
      </c>
      <c r="AH967" s="121">
        <v>17452.371690000011</v>
      </c>
      <c r="AI967" s="161">
        <v>16919.850540000014</v>
      </c>
      <c r="AJ967" s="161">
        <v>16387.329400000013</v>
      </c>
      <c r="AK967" s="161">
        <v>15854.808250000013</v>
      </c>
      <c r="AL967" s="161">
        <v>15322.287100000012</v>
      </c>
      <c r="AM967" s="161">
        <v>14789.765940000012</v>
      </c>
      <c r="AN967" s="161">
        <v>14257.244790000012</v>
      </c>
      <c r="AO967" s="161">
        <v>81845.577410000013</v>
      </c>
      <c r="AP967" s="125" t="str">
        <f>CONCATENATE(A967,M967)</f>
        <v>Def TaxR</v>
      </c>
      <c r="AQ967" s="125" t="str">
        <f>CONCATENATE(AP967,L967,H967)</f>
        <v>Def TaxRR11Accrued Pension</v>
      </c>
      <c r="AS967" s="125" t="str">
        <f>CONCATENATE(L967,H967,J967)</f>
        <v>R11Accrued Pension</v>
      </c>
    </row>
    <row r="968" spans="1:45" s="125" customFormat="1" ht="25.5" customHeight="1">
      <c r="A968" s="216" t="s">
        <v>1996</v>
      </c>
      <c r="B968" s="217" t="str">
        <f t="shared" si="422"/>
        <v>Def Tax1900316BT010195</v>
      </c>
      <c r="C968" s="186">
        <v>190031</v>
      </c>
      <c r="D968" s="201">
        <v>6</v>
      </c>
      <c r="E968" s="162" t="s">
        <v>493</v>
      </c>
      <c r="F968" s="169" t="s">
        <v>3143</v>
      </c>
      <c r="G968" s="117" t="s">
        <v>84</v>
      </c>
      <c r="H968" s="118" t="s">
        <v>791</v>
      </c>
      <c r="I968" s="119"/>
      <c r="J968" s="120"/>
      <c r="K968" s="120" t="str">
        <f t="shared" si="423"/>
        <v/>
      </c>
      <c r="L968" s="170" t="s">
        <v>928</v>
      </c>
      <c r="M968" s="122" t="str">
        <f t="shared" si="419"/>
        <v>N</v>
      </c>
      <c r="N968" s="116" t="str">
        <f>IF($L968&lt;&gt;"",VLOOKUP($L968,Categories!$E:$G,2,FALSE),IF($F968&lt;&gt;"","NO CAT",""))</f>
        <v>Not in Rate Base</v>
      </c>
      <c r="O968" s="116" t="str">
        <f>IF($L968&lt;&gt;"",VLOOKUP($L968,Categories!$E:$G,3,FALSE),IF($F968&lt;&gt;"","NO CAT",""))</f>
        <v>Direct Assign Items Not in RB</v>
      </c>
      <c r="P968" s="170" t="s">
        <v>1186</v>
      </c>
      <c r="Q968" s="123" t="s">
        <v>1187</v>
      </c>
      <c r="R968" s="124">
        <v>0</v>
      </c>
      <c r="S968" s="124">
        <v>0</v>
      </c>
      <c r="T968" s="124">
        <v>1</v>
      </c>
      <c r="U968" s="121">
        <f t="shared" si="424"/>
        <v>0</v>
      </c>
      <c r="V968" s="121">
        <f t="shared" si="425"/>
        <v>0</v>
      </c>
      <c r="W968" s="121">
        <f t="shared" si="426"/>
        <v>-1999.6588995833299</v>
      </c>
      <c r="X968" s="121">
        <f t="shared" si="430"/>
        <v>-1999.6588995833299</v>
      </c>
      <c r="Y968" s="121">
        <f t="shared" si="427"/>
        <v>0</v>
      </c>
      <c r="Z968" s="121">
        <f t="shared" si="428"/>
        <v>0</v>
      </c>
      <c r="AA968" s="121">
        <f t="shared" si="429"/>
        <v>-2113.6136499999998</v>
      </c>
      <c r="AB968" s="121">
        <f t="shared" si="431"/>
        <v>-2113.6136499999998</v>
      </c>
      <c r="AC968" s="121">
        <v>-1913.8953399999998</v>
      </c>
      <c r="AD968" s="121">
        <v>-1913.8953399999998</v>
      </c>
      <c r="AE968" s="121">
        <v>-1941.2825199999997</v>
      </c>
      <c r="AF968" s="121">
        <v>-1942.1363099999999</v>
      </c>
      <c r="AG968" s="121">
        <v>-1942.1363099999999</v>
      </c>
      <c r="AH968" s="121">
        <v>-1942.1363099999999</v>
      </c>
      <c r="AI968" s="161">
        <v>-1942.1363099999999</v>
      </c>
      <c r="AJ968" s="161">
        <v>-1942.1363099999999</v>
      </c>
      <c r="AK968" s="161">
        <v>-2061.3885099999998</v>
      </c>
      <c r="AL968" s="161">
        <v>-2118.3014600000001</v>
      </c>
      <c r="AM968" s="161">
        <v>-2118.3014600000001</v>
      </c>
      <c r="AN968" s="161">
        <v>-2118.3014600000001</v>
      </c>
      <c r="AO968" s="161">
        <v>-2113.6136499999998</v>
      </c>
      <c r="AP968" s="125" t="str">
        <f>CONCATENATE(A968,M968)</f>
        <v>Def TaxN</v>
      </c>
      <c r="AQ968" s="125" t="str">
        <f>CONCATENATE(AP968,L968,H968)</f>
        <v>Def TaxNN2Non-Qualified Retiree Trust (net of related liability)</v>
      </c>
      <c r="AS968" s="125" t="str">
        <f>CONCATENATE(L968,H968,J968)</f>
        <v>N2Non-Qualified Retiree Trust (net of related liability)</v>
      </c>
    </row>
    <row r="969" spans="1:45" s="125" customFormat="1" ht="25.5" customHeight="1">
      <c r="A969" s="216" t="s">
        <v>1996</v>
      </c>
      <c r="B969" s="217" t="str">
        <f t="shared" si="422"/>
        <v>Def Tax1900318BT010244</v>
      </c>
      <c r="C969" s="186">
        <v>190031</v>
      </c>
      <c r="D969" s="201">
        <v>8</v>
      </c>
      <c r="E969" s="162" t="s">
        <v>989</v>
      </c>
      <c r="F969" s="169" t="s">
        <v>3143</v>
      </c>
      <c r="G969" s="117" t="s">
        <v>385</v>
      </c>
      <c r="H969" s="118" t="s">
        <v>1217</v>
      </c>
      <c r="I969" s="119"/>
      <c r="J969" s="120"/>
      <c r="K969" s="120" t="str">
        <f t="shared" si="423"/>
        <v/>
      </c>
      <c r="L969" s="170" t="s">
        <v>1895</v>
      </c>
      <c r="M969" s="122" t="str">
        <f t="shared" si="419"/>
        <v>R</v>
      </c>
      <c r="N969" s="116" t="str">
        <f>IF($L969&lt;&gt;"",VLOOKUP($L969,Categories!$E:$G,2,FALSE),IF($F969&lt;&gt;"","NO CAT",""))</f>
        <v>Rate Base</v>
      </c>
      <c r="O969" s="116" t="str">
        <f>IF($L969&lt;&gt;"",VLOOKUP($L969,Categories!$E:$G,3,FALSE),IF($F969&lt;&gt;"","NO CAT",""))</f>
        <v>Deferred Income Taxes</v>
      </c>
      <c r="P969" s="170" t="s">
        <v>1188</v>
      </c>
      <c r="Q969" s="123" t="s">
        <v>1843</v>
      </c>
      <c r="R969" s="124">
        <v>0.76071990262269951</v>
      </c>
      <c r="S969" s="124">
        <v>0.23928009737730072</v>
      </c>
      <c r="T969" s="124">
        <v>0</v>
      </c>
      <c r="U969" s="121">
        <f t="shared" si="424"/>
        <v>1612.92230715102</v>
      </c>
      <c r="V969" s="121">
        <f t="shared" si="425"/>
        <v>507.335492848981</v>
      </c>
      <c r="W969" s="121">
        <f t="shared" si="426"/>
        <v>0</v>
      </c>
      <c r="X969" s="121">
        <f t="shared" si="430"/>
        <v>2120.2577999999999</v>
      </c>
      <c r="Y969" s="121">
        <f t="shared" si="427"/>
        <v>1612.92230715102</v>
      </c>
      <c r="Z969" s="121">
        <f t="shared" si="428"/>
        <v>507.335492848981</v>
      </c>
      <c r="AA969" s="121">
        <f t="shared" si="429"/>
        <v>0</v>
      </c>
      <c r="AB969" s="121">
        <f t="shared" si="431"/>
        <v>2120.2577999999999</v>
      </c>
      <c r="AC969" s="121">
        <v>2120.2577999999999</v>
      </c>
      <c r="AD969" s="121">
        <v>2120.2577999999999</v>
      </c>
      <c r="AE969" s="121">
        <v>2120.2577999999999</v>
      </c>
      <c r="AF969" s="121">
        <v>2120.2577999999999</v>
      </c>
      <c r="AG969" s="121">
        <v>2120.2577999999999</v>
      </c>
      <c r="AH969" s="121">
        <v>2120.2577999999999</v>
      </c>
      <c r="AI969" s="161">
        <v>2120.2577999999999</v>
      </c>
      <c r="AJ969" s="161">
        <v>2120.2577999999999</v>
      </c>
      <c r="AK969" s="161">
        <v>2120.2577999999999</v>
      </c>
      <c r="AL969" s="161">
        <v>2120.2577999999999</v>
      </c>
      <c r="AM969" s="161">
        <v>2120.2577999999999</v>
      </c>
      <c r="AN969" s="161">
        <v>2120.2577999999999</v>
      </c>
      <c r="AO969" s="161">
        <v>2120.2577999999999</v>
      </c>
      <c r="AP969" s="125" t="str">
        <f>CONCATENATE(A969,M969)</f>
        <v>Def TaxR</v>
      </c>
      <c r="AQ969" s="125" t="str">
        <f>CONCATENATE(AP969,L969,H969)</f>
        <v>Def TaxRR11Workman's Comp Reserve</v>
      </c>
      <c r="AS969" s="125" t="str">
        <f>CONCATENATE(L969,H969,J969)</f>
        <v>R11Workman's Comp Reserve</v>
      </c>
    </row>
    <row r="970" spans="1:45" s="125" customFormat="1" ht="25.5" customHeight="1">
      <c r="A970" s="216" t="s">
        <v>1996</v>
      </c>
      <c r="B970" s="217" t="str">
        <f t="shared" si="422"/>
        <v>Def Tax1900319BT010244</v>
      </c>
      <c r="C970" s="186">
        <v>190031</v>
      </c>
      <c r="D970" s="201">
        <v>9</v>
      </c>
      <c r="E970" s="162" t="s">
        <v>989</v>
      </c>
      <c r="F970" s="169" t="s">
        <v>3143</v>
      </c>
      <c r="G970" s="117" t="s">
        <v>386</v>
      </c>
      <c r="H970" s="118" t="s">
        <v>1217</v>
      </c>
      <c r="I970" s="119"/>
      <c r="J970" s="120"/>
      <c r="K970" s="120" t="str">
        <f t="shared" si="423"/>
        <v/>
      </c>
      <c r="L970" s="170" t="s">
        <v>1895</v>
      </c>
      <c r="M970" s="122" t="str">
        <f>LEFT(L970,1)</f>
        <v>R</v>
      </c>
      <c r="N970" s="116" t="str">
        <f>IF($L970&lt;&gt;"",VLOOKUP($L970,Categories!$E:$G,2,FALSE),IF($F970&lt;&gt;"","NO CAT",""))</f>
        <v>Rate Base</v>
      </c>
      <c r="O970" s="116" t="str">
        <f>IF($L970&lt;&gt;"",VLOOKUP($L970,Categories!$E:$G,3,FALSE),IF($F970&lt;&gt;"","NO CAT",""))</f>
        <v>Deferred Income Taxes</v>
      </c>
      <c r="P970" s="170" t="s">
        <v>1188</v>
      </c>
      <c r="Q970" s="123" t="s">
        <v>1843</v>
      </c>
      <c r="R970" s="124">
        <v>0.76071990262269951</v>
      </c>
      <c r="S970" s="124">
        <v>0.23928009737730072</v>
      </c>
      <c r="T970" s="124">
        <v>0</v>
      </c>
      <c r="U970" s="121">
        <f>IF(ABS(X970)=0,"",IF($R970="NO ALLOC","NO ALLOC",ROUND($R970*X970,15)))</f>
        <v>-23.409139095471598</v>
      </c>
      <c r="V970" s="121">
        <f>IF(ABS(X970)=0,"",IF($S970="NO ALLOC","NO ALLOC",ROUND($S970*X970,15)))</f>
        <v>-7.3632109045283798</v>
      </c>
      <c r="W970" s="121">
        <f>IF(ABS(X970)=0,"",IF($T970="NO ALLOC","NO ALLOC",ROUND($T970*X970,15)))</f>
        <v>0</v>
      </c>
      <c r="X970" s="121">
        <f t="shared" si="430"/>
        <v>-30.772349999999999</v>
      </c>
      <c r="Y970" s="121">
        <f>IF(ABS(AB970)=0,"",IF($R970="NO ALLOC","NO ALLOC",ROUND($R970*AB970,15)))</f>
        <v>-23.409139095471598</v>
      </c>
      <c r="Z970" s="121">
        <f>IF(ABS(AB970)=0,"",IF($S970="NO ALLOC","NO ALLOC",ROUND($S970*AB970,15)))</f>
        <v>-7.3632109045283798</v>
      </c>
      <c r="AA970" s="121">
        <f>IF(ABS(AB970)=0,"",IF($T970="NO ALLOC","NO ALLOC",ROUND($T970*AB970,15)))</f>
        <v>0</v>
      </c>
      <c r="AB970" s="121">
        <f t="shared" si="431"/>
        <v>-30.772350000000003</v>
      </c>
      <c r="AC970" s="121">
        <v>-30.772350000000003</v>
      </c>
      <c r="AD970" s="121">
        <v>-30.772350000000003</v>
      </c>
      <c r="AE970" s="121">
        <v>-30.772350000000003</v>
      </c>
      <c r="AF970" s="121">
        <v>-30.772350000000003</v>
      </c>
      <c r="AG970" s="121">
        <v>-30.772350000000003</v>
      </c>
      <c r="AH970" s="121">
        <v>-30.772350000000003</v>
      </c>
      <c r="AI970" s="161">
        <v>-30.772350000000003</v>
      </c>
      <c r="AJ970" s="161">
        <v>-30.772350000000003</v>
      </c>
      <c r="AK970" s="161">
        <v>-30.772350000000003</v>
      </c>
      <c r="AL970" s="161">
        <v>-30.772350000000003</v>
      </c>
      <c r="AM970" s="161">
        <v>-30.772350000000003</v>
      </c>
      <c r="AN970" s="161">
        <v>-30.772350000000003</v>
      </c>
      <c r="AO970" s="161">
        <v>-30.772350000000003</v>
      </c>
      <c r="AP970" s="125" t="str">
        <f>CONCATENATE(A970,M970)</f>
        <v>Def TaxR</v>
      </c>
      <c r="AQ970" s="125" t="str">
        <f>CONCATENATE(AP970,L970,H970)</f>
        <v>Def TaxRR11Workman's Comp Reserve</v>
      </c>
      <c r="AS970" s="125" t="str">
        <f>CONCATENATE(L970,H970,J970)</f>
        <v>R11Workman's Comp Reserve</v>
      </c>
    </row>
    <row r="971" spans="1:45" s="125" customFormat="1" ht="25.5" customHeight="1">
      <c r="A971" s="216" t="s">
        <v>1996</v>
      </c>
      <c r="B971" s="217" t="str">
        <f>CONCATENATE(A971,C971,D971,E971)</f>
        <v>Def Tax190031BT010125</v>
      </c>
      <c r="C971" s="186">
        <v>190031</v>
      </c>
      <c r="D971" s="201"/>
      <c r="E971" s="162" t="s">
        <v>1024</v>
      </c>
      <c r="F971" s="169" t="s">
        <v>3143</v>
      </c>
      <c r="G971" s="117" t="s">
        <v>4557</v>
      </c>
      <c r="H971" s="118" t="s">
        <v>914</v>
      </c>
      <c r="I971" s="119"/>
      <c r="J971" s="120"/>
      <c r="K971" s="120" t="str">
        <f>IF(L971="N3","SFAS-109","")</f>
        <v/>
      </c>
      <c r="L971" s="170" t="s">
        <v>1895</v>
      </c>
      <c r="M971" s="122" t="str">
        <f>LEFT(L971,1)</f>
        <v>R</v>
      </c>
      <c r="N971" s="116" t="str">
        <f>IF($L971&lt;&gt;"",VLOOKUP($L971,Categories!$E:$G,2,FALSE),IF($F971&lt;&gt;"","NO CAT",""))</f>
        <v>Rate Base</v>
      </c>
      <c r="O971" s="116" t="str">
        <f>IF($L971&lt;&gt;"",VLOOKUP($L971,Categories!$E:$G,3,FALSE),IF($F971&lt;&gt;"","NO CAT",""))</f>
        <v>Deferred Income Taxes</v>
      </c>
      <c r="P971" s="170" t="s">
        <v>1553</v>
      </c>
      <c r="Q971" s="123" t="s">
        <v>2587</v>
      </c>
      <c r="R971" s="124">
        <v>0.81899999999999995</v>
      </c>
      <c r="S971" s="124">
        <v>0.18099999999999999</v>
      </c>
      <c r="T971" s="124">
        <v>0</v>
      </c>
      <c r="U971" s="121">
        <f>IF(ABS(X971)=0,"",IF($R971="NO ALLOC","NO ALLOC",ROUND($R971*X971,15)))</f>
        <v>-1072.8713431799999</v>
      </c>
      <c r="V971" s="121">
        <f>IF(ABS(X971)=0,"",IF($S971="NO ALLOC","NO ALLOC",ROUND($S971*X971,15)))</f>
        <v>-237.10587681999999</v>
      </c>
      <c r="W971" s="121">
        <f>IF(ABS(X971)=0,"",IF($T971="NO ALLOC","NO ALLOC",ROUND($T971*X971,15)))</f>
        <v>0</v>
      </c>
      <c r="X971" s="121">
        <f t="shared" si="430"/>
        <v>-1309.97722</v>
      </c>
      <c r="Y971" s="121">
        <f>IF(ABS(AB971)=0,"",IF($R971="NO ALLOC","NO ALLOC",ROUND($R971*AB971,15)))</f>
        <v>-1072.8713431799999</v>
      </c>
      <c r="Z971" s="121">
        <f>IF(ABS(AB971)=0,"",IF($S971="NO ALLOC","NO ALLOC",ROUND($S971*AB971,15)))</f>
        <v>-237.10587681999999</v>
      </c>
      <c r="AA971" s="121">
        <f>IF(ABS(AB971)=0,"",IF($T971="NO ALLOC","NO ALLOC",ROUND($T971*AB971,15)))</f>
        <v>0</v>
      </c>
      <c r="AB971" s="121">
        <f t="shared" si="431"/>
        <v>-1309.97722</v>
      </c>
      <c r="AC971" s="121">
        <v>-1309.97722</v>
      </c>
      <c r="AD971" s="121">
        <v>-1309.97722</v>
      </c>
      <c r="AE971" s="121">
        <v>-1309.97722</v>
      </c>
      <c r="AF971" s="121">
        <v>-1309.97722</v>
      </c>
      <c r="AG971" s="121">
        <v>-1309.97722</v>
      </c>
      <c r="AH971" s="121">
        <v>-1309.97722</v>
      </c>
      <c r="AI971" s="161">
        <v>-1309.97722</v>
      </c>
      <c r="AJ971" s="161">
        <v>-1309.97722</v>
      </c>
      <c r="AK971" s="161">
        <v>-1309.97722</v>
      </c>
      <c r="AL971" s="161">
        <v>-1309.97722</v>
      </c>
      <c r="AM971" s="161">
        <v>-1309.97722</v>
      </c>
      <c r="AN971" s="161">
        <v>-1309.97722</v>
      </c>
      <c r="AO971" s="161">
        <v>-1309.97722</v>
      </c>
      <c r="AP971" s="125" t="str">
        <f>CONCATENATE(A971,M971)</f>
        <v>Def TaxR</v>
      </c>
      <c r="AQ971" s="125" t="str">
        <f>CONCATENATE(AP971,L971,H971)</f>
        <v>Def TaxRR11Medicare Subsidy</v>
      </c>
      <c r="AS971" s="125" t="str">
        <f>CONCATENATE(L971,H971,J971)</f>
        <v>R11Medicare Subsidy</v>
      </c>
    </row>
    <row r="972" spans="1:45" s="125" customFormat="1" ht="25.5" customHeight="1">
      <c r="A972" s="216" t="s">
        <v>1996</v>
      </c>
      <c r="B972" s="217" t="str">
        <f>CONCATENATE(A972,C972,D972,E972)</f>
        <v>Def Tax190031BT010381</v>
      </c>
      <c r="C972" s="186">
        <v>190031</v>
      </c>
      <c r="D972" s="201"/>
      <c r="E972" s="162" t="s">
        <v>1532</v>
      </c>
      <c r="F972" s="169" t="s">
        <v>3143</v>
      </c>
      <c r="G972" s="117" t="s">
        <v>4558</v>
      </c>
      <c r="H972" s="118" t="s">
        <v>914</v>
      </c>
      <c r="I972" s="119"/>
      <c r="J972" s="120"/>
      <c r="K972" s="120" t="str">
        <f>IF(L972="N3","SFAS-109","")</f>
        <v/>
      </c>
      <c r="L972" s="170" t="s">
        <v>1895</v>
      </c>
      <c r="M972" s="122" t="str">
        <f>LEFT(L972,1)</f>
        <v>R</v>
      </c>
      <c r="N972" s="116" t="str">
        <f>IF($L972&lt;&gt;"",VLOOKUP($L972,Categories!$E:$G,2,FALSE),IF($F972&lt;&gt;"","NO CAT",""))</f>
        <v>Rate Base</v>
      </c>
      <c r="O972" s="116" t="str">
        <f>IF($L972&lt;&gt;"",VLOOKUP($L972,Categories!$E:$G,3,FALSE),IF($F972&lt;&gt;"","NO CAT",""))</f>
        <v>Deferred Income Taxes</v>
      </c>
      <c r="P972" s="170" t="s">
        <v>1553</v>
      </c>
      <c r="Q972" s="123" t="s">
        <v>2587</v>
      </c>
      <c r="R972" s="124">
        <v>0.81899999999999995</v>
      </c>
      <c r="S972" s="124">
        <v>0.18099999999999999</v>
      </c>
      <c r="T972" s="124">
        <v>0</v>
      </c>
      <c r="U972" s="121">
        <f>IF(ABS(X972)=0,"",IF($R972="NO ALLOC","NO ALLOC",ROUND($R972*X972,15)))</f>
        <v>367.65319499999998</v>
      </c>
      <c r="V972" s="121">
        <f>IF(ABS(X972)=0,"",IF($S972="NO ALLOC","NO ALLOC",ROUND($S972*X972,15)))</f>
        <v>81.251805000000004</v>
      </c>
      <c r="W972" s="121">
        <f>IF(ABS(X972)=0,"",IF($T972="NO ALLOC","NO ALLOC",ROUND($T972*X972,15)))</f>
        <v>0</v>
      </c>
      <c r="X972" s="121">
        <f t="shared" si="430"/>
        <v>448.90499999999997</v>
      </c>
      <c r="Y972" s="121">
        <f>IF(ABS(AB972)=0,"",IF($R972="NO ALLOC","NO ALLOC",ROUND($R972*AB972,15)))</f>
        <v>367.65319499999998</v>
      </c>
      <c r="Z972" s="121">
        <f>IF(ABS(AB972)=0,"",IF($S972="NO ALLOC","NO ALLOC",ROUND($S972*AB972,15)))</f>
        <v>81.251805000000004</v>
      </c>
      <c r="AA972" s="121">
        <f>IF(ABS(AB972)=0,"",IF($T972="NO ALLOC","NO ALLOC",ROUND($T972*AB972,15)))</f>
        <v>0</v>
      </c>
      <c r="AB972" s="121">
        <f t="shared" si="431"/>
        <v>448.90499999999997</v>
      </c>
      <c r="AC972" s="121">
        <v>448.90499999999997</v>
      </c>
      <c r="AD972" s="121">
        <v>448.90499999999997</v>
      </c>
      <c r="AE972" s="121">
        <v>448.90499999999997</v>
      </c>
      <c r="AF972" s="121">
        <v>448.90499999999997</v>
      </c>
      <c r="AG972" s="121">
        <v>448.90499999999997</v>
      </c>
      <c r="AH972" s="121">
        <v>448.90499999999997</v>
      </c>
      <c r="AI972" s="161">
        <v>448.90499999999997</v>
      </c>
      <c r="AJ972" s="161">
        <v>448.90499999999997</v>
      </c>
      <c r="AK972" s="161">
        <v>448.90499999999997</v>
      </c>
      <c r="AL972" s="161">
        <v>448.90499999999997</v>
      </c>
      <c r="AM972" s="161">
        <v>448.90499999999997</v>
      </c>
      <c r="AN972" s="161">
        <v>448.90499999999997</v>
      </c>
      <c r="AO972" s="161">
        <v>448.90499999999997</v>
      </c>
      <c r="AP972" s="125" t="str">
        <f>CONCATENATE(A972,M972)</f>
        <v>Def TaxR</v>
      </c>
      <c r="AQ972" s="125" t="str">
        <f>CONCATENATE(AP972,L972,H972)</f>
        <v>Def TaxRR11Medicare Subsidy</v>
      </c>
      <c r="AS972" s="125" t="str">
        <f>CONCATENATE(L972,H972,J972)</f>
        <v>R11Medicare Subsidy</v>
      </c>
    </row>
    <row r="973" spans="1:45" s="125" customFormat="1" ht="25.5" customHeight="1">
      <c r="A973" s="216" t="s">
        <v>1996</v>
      </c>
      <c r="B973" s="217" t="str">
        <f>CONCATENATE(A973,C973,D973,E973)</f>
        <v>Def Tax190031BT010356</v>
      </c>
      <c r="C973" s="186">
        <v>190031</v>
      </c>
      <c r="D973" s="201"/>
      <c r="E973" s="162" t="s">
        <v>2700</v>
      </c>
      <c r="F973" s="169" t="s">
        <v>3143</v>
      </c>
      <c r="G973" s="117" t="s">
        <v>1009</v>
      </c>
      <c r="H973" s="118" t="s">
        <v>790</v>
      </c>
      <c r="I973" s="119"/>
      <c r="J973" s="120"/>
      <c r="K973" s="120" t="str">
        <f>IF(L973="N3","SFAS-109","")</f>
        <v/>
      </c>
      <c r="L973" s="170" t="s">
        <v>928</v>
      </c>
      <c r="M973" s="122" t="str">
        <f>LEFT(L973,1)</f>
        <v>N</v>
      </c>
      <c r="N973" s="116" t="str">
        <f>IF($L973&lt;&gt;"",VLOOKUP($L973,Categories!$E:$G,2,FALSE),IF($F973&lt;&gt;"","NO CAT",""))</f>
        <v>Not in Rate Base</v>
      </c>
      <c r="O973" s="116" t="str">
        <f>IF($L973&lt;&gt;"",VLOOKUP($L973,Categories!$E:$G,3,FALSE),IF($F973&lt;&gt;"","NO CAT",""))</f>
        <v>Direct Assign Items Not in RB</v>
      </c>
      <c r="P973" s="170" t="s">
        <v>1186</v>
      </c>
      <c r="Q973" s="123" t="s">
        <v>1187</v>
      </c>
      <c r="R973" s="124">
        <v>0</v>
      </c>
      <c r="S973" s="124">
        <v>0</v>
      </c>
      <c r="T973" s="124">
        <v>1</v>
      </c>
      <c r="U973" s="121">
        <f>IF(ABS(X973)=0,"",IF($R973="NO ALLOC","NO ALLOC",ROUND($R973*X973,15)))</f>
        <v>0</v>
      </c>
      <c r="V973" s="121">
        <f>IF(ABS(X973)=0,"",IF($S973="NO ALLOC","NO ALLOC",ROUND($S973*X973,15)))</f>
        <v>0</v>
      </c>
      <c r="W973" s="121">
        <f>IF(ABS(X973)=0,"",IF($T973="NO ALLOC","NO ALLOC",ROUND($T973*X973,15)))</f>
        <v>268.07665041666701</v>
      </c>
      <c r="X973" s="121">
        <f t="shared" si="430"/>
        <v>268.07665041666701</v>
      </c>
      <c r="Y973" s="121">
        <f>IF(ABS(AB973)=0,"",IF($R973="NO ALLOC","NO ALLOC",ROUND($R973*AB973,15)))</f>
        <v>0</v>
      </c>
      <c r="Z973" s="121">
        <f>IF(ABS(AB973)=0,"",IF($S973="NO ALLOC","NO ALLOC",ROUND($S973*AB973,15)))</f>
        <v>0</v>
      </c>
      <c r="AA973" s="121">
        <f>IF(ABS(AB973)=0,"",IF($T973="NO ALLOC","NO ALLOC",ROUND($T973*AB973,15)))</f>
        <v>965.70298000000003</v>
      </c>
      <c r="AB973" s="121">
        <f t="shared" si="431"/>
        <v>965.70298000000003</v>
      </c>
      <c r="AC973" s="121">
        <v>-19.181249999999999</v>
      </c>
      <c r="AD973" s="121">
        <v>-19.181249999999999</v>
      </c>
      <c r="AE973" s="121">
        <v>-19.181249999999999</v>
      </c>
      <c r="AF973" s="121">
        <v>-19.181249999999999</v>
      </c>
      <c r="AG973" s="121">
        <v>-19.181249999999999</v>
      </c>
      <c r="AH973" s="121">
        <v>-19.181249999999999</v>
      </c>
      <c r="AI973" s="161">
        <v>-19.181249999999999</v>
      </c>
      <c r="AJ973" s="161">
        <v>-19.181249999999999</v>
      </c>
      <c r="AK973" s="161">
        <v>-19.181249999999999</v>
      </c>
      <c r="AL973" s="161">
        <v>965.70298000000003</v>
      </c>
      <c r="AM973" s="161">
        <v>965.70298000000003</v>
      </c>
      <c r="AN973" s="161">
        <v>965.70298000000003</v>
      </c>
      <c r="AO973" s="161">
        <v>965.70298000000003</v>
      </c>
      <c r="AP973" s="125" t="str">
        <f>CONCATENATE(A973,M973)</f>
        <v>Def TaxN</v>
      </c>
      <c r="AQ973" s="125" t="str">
        <f>CONCATENATE(AP973,L973,H973)</f>
        <v>Def TaxNN2Executive Compensation</v>
      </c>
      <c r="AS973" s="125" t="str">
        <f>CONCATENATE(L973,H973,J973)</f>
        <v>N2Executive Compensation</v>
      </c>
    </row>
    <row r="974" spans="1:45" s="125" customFormat="1" ht="25.5" customHeight="1">
      <c r="A974" s="216" t="s">
        <v>1996</v>
      </c>
      <c r="B974" s="217" t="str">
        <f t="shared" si="422"/>
        <v>Def Tax19003110BTHUNGDT</v>
      </c>
      <c r="C974" s="186">
        <v>190031</v>
      </c>
      <c r="D974" s="201">
        <v>10</v>
      </c>
      <c r="E974" s="162" t="s">
        <v>616</v>
      </c>
      <c r="F974" s="169" t="s">
        <v>3143</v>
      </c>
      <c r="G974" s="117" t="s">
        <v>1966</v>
      </c>
      <c r="H974" s="118" t="s">
        <v>1167</v>
      </c>
      <c r="I974" s="119"/>
      <c r="J974" s="120"/>
      <c r="K974" s="120" t="str">
        <f t="shared" si="423"/>
        <v/>
      </c>
      <c r="L974" s="170" t="s">
        <v>1895</v>
      </c>
      <c r="M974" s="122" t="str">
        <f>LEFT(L974,1)</f>
        <v>R</v>
      </c>
      <c r="N974" s="116" t="str">
        <f>IF($L974&lt;&gt;"",VLOOKUP($L974,Categories!$E:$G,2,FALSE),IF($F974&lt;&gt;"","NO CAT",""))</f>
        <v>Rate Base</v>
      </c>
      <c r="O974" s="116" t="str">
        <f>IF($L974&lt;&gt;"",VLOOKUP($L974,Categories!$E:$G,3,FALSE),IF($F974&lt;&gt;"","NO CAT",""))</f>
        <v>Deferred Income Taxes</v>
      </c>
      <c r="P974" s="170" t="s">
        <v>1183</v>
      </c>
      <c r="Q974" s="123" t="s">
        <v>1177</v>
      </c>
      <c r="R974" s="124">
        <v>1</v>
      </c>
      <c r="S974" s="124">
        <v>0</v>
      </c>
      <c r="T974" s="124">
        <v>0</v>
      </c>
      <c r="U974" s="121">
        <f>IF(ABS(X974)=0,"",IF($R974="NO ALLOC","NO ALLOC",ROUND($R974*X974,15)))</f>
        <v>-4.1666666666669997E-3</v>
      </c>
      <c r="V974" s="121">
        <f>IF(ABS(X974)=0,"",IF($S974="NO ALLOC","NO ALLOC",ROUND($S974*X974,15)))</f>
        <v>0</v>
      </c>
      <c r="W974" s="121">
        <f>IF(ABS(X974)=0,"",IF($T974="NO ALLOC","NO ALLOC",ROUND($T974*X974,15)))</f>
        <v>0</v>
      </c>
      <c r="X974" s="121">
        <f t="shared" si="430"/>
        <v>-4.1666666666669997E-3</v>
      </c>
      <c r="Y974" s="121" t="str">
        <f>IF(ABS(AB974)=0,"",IF($R974="NO ALLOC","NO ALLOC",ROUND($R974*AB974,15)))</f>
        <v/>
      </c>
      <c r="Z974" s="121" t="str">
        <f>IF(ABS(AB974)=0,"",IF($S974="NO ALLOC","NO ALLOC",ROUND($S974*AB974,15)))</f>
        <v/>
      </c>
      <c r="AA974" s="121" t="str">
        <f>IF(ABS(AB974)=0,"",IF($T974="NO ALLOC","NO ALLOC",ROUND($T974*AB974,15)))</f>
        <v/>
      </c>
      <c r="AB974" s="121">
        <f t="shared" si="431"/>
        <v>0</v>
      </c>
      <c r="AC974" s="121">
        <v>-4.0000000000000001E-3</v>
      </c>
      <c r="AD974" s="121">
        <v>-4.0000000000000001E-3</v>
      </c>
      <c r="AE974" s="121">
        <v>-4.0000000000000001E-3</v>
      </c>
      <c r="AF974" s="121">
        <v>-4.0000000000000001E-3</v>
      </c>
      <c r="AG974" s="121">
        <v>-4.0000000000000001E-3</v>
      </c>
      <c r="AH974" s="121">
        <v>-4.0000000000000001E-3</v>
      </c>
      <c r="AI974" s="161">
        <v>-4.0000000000000001E-3</v>
      </c>
      <c r="AJ974" s="161">
        <v>-8.0000000000000002E-3</v>
      </c>
      <c r="AK974" s="161">
        <v>-4.0000000000000001E-3</v>
      </c>
      <c r="AL974" s="161">
        <v>-4.0000000000000001E-3</v>
      </c>
      <c r="AM974" s="161">
        <v>-8.0000000000000002E-3</v>
      </c>
      <c r="AN974" s="161">
        <v>0</v>
      </c>
      <c r="AO974" s="161">
        <v>0</v>
      </c>
      <c r="AP974" s="125" t="str">
        <f>CONCATENATE(A974,M974)</f>
        <v>Def TaxR</v>
      </c>
      <c r="AQ974" s="125" t="str">
        <f>CONCATENATE(AP974,L974,H974)</f>
        <v>Def TaxRR11Hung Deferred Taxes</v>
      </c>
      <c r="AS974" s="125" t="str">
        <f>CONCATENATE(L974,H974,J974)</f>
        <v>R11Hung Deferred Taxes</v>
      </c>
    </row>
    <row r="975" spans="1:45" s="125" customFormat="1" ht="25.5" customHeight="1">
      <c r="A975" s="216" t="s">
        <v>1996</v>
      </c>
      <c r="B975" s="217" t="str">
        <f t="shared" si="422"/>
        <v>Def Tax1900321BT010049</v>
      </c>
      <c r="C975" s="186">
        <v>190032</v>
      </c>
      <c r="D975" s="201">
        <v>1</v>
      </c>
      <c r="E975" s="162" t="s">
        <v>1744</v>
      </c>
      <c r="F975" s="169" t="s">
        <v>3146</v>
      </c>
      <c r="G975" s="117" t="s">
        <v>3144</v>
      </c>
      <c r="H975" s="118" t="s">
        <v>220</v>
      </c>
      <c r="I975" s="119"/>
      <c r="J975" s="120"/>
      <c r="K975" s="120" t="str">
        <f t="shared" si="423"/>
        <v/>
      </c>
      <c r="L975" s="170" t="s">
        <v>928</v>
      </c>
      <c r="M975" s="122" t="str">
        <f t="shared" ref="M975:M986" si="432">LEFT(L975,1)</f>
        <v>N</v>
      </c>
      <c r="N975" s="116" t="str">
        <f>IF($L975&lt;&gt;"",VLOOKUP($L975,Categories!$E:$G,2,FALSE),IF($F975&lt;&gt;"","NO CAT",""))</f>
        <v>Not in Rate Base</v>
      </c>
      <c r="O975" s="116" t="str">
        <f>IF($L975&lt;&gt;"",VLOOKUP($L975,Categories!$E:$G,3,FALSE),IF($F975&lt;&gt;"","NO CAT",""))</f>
        <v>Direct Assign Items Not in RB</v>
      </c>
      <c r="P975" s="170" t="s">
        <v>1186</v>
      </c>
      <c r="Q975" s="123" t="s">
        <v>1187</v>
      </c>
      <c r="R975" s="124">
        <v>0</v>
      </c>
      <c r="S975" s="124">
        <v>0</v>
      </c>
      <c r="T975" s="124">
        <v>1</v>
      </c>
      <c r="U975" s="121">
        <f t="shared" ref="U975:U986" si="433">IF(ABS(X975)=0,"",IF($R975="NO ALLOC","NO ALLOC",ROUND($R975*X975,15)))</f>
        <v>0</v>
      </c>
      <c r="V975" s="121">
        <f t="shared" ref="V975:V986" si="434">IF(ABS(X975)=0,"",IF($S975="NO ALLOC","NO ALLOC",ROUND($S975*X975,15)))</f>
        <v>0</v>
      </c>
      <c r="W975" s="121">
        <f t="shared" ref="W975:W986" si="435">IF(ABS(X975)=0,"",IF($T975="NO ALLOC","NO ALLOC",ROUND($T975*X975,15)))</f>
        <v>100.11208208333299</v>
      </c>
      <c r="X975" s="121">
        <f t="shared" si="430"/>
        <v>100.11208208333299</v>
      </c>
      <c r="Y975" s="121">
        <f t="shared" ref="Y975:Y986" si="436">IF(ABS(AB975)=0,"",IF($R975="NO ALLOC","NO ALLOC",ROUND($R975*AB975,15)))</f>
        <v>0</v>
      </c>
      <c r="Z975" s="121">
        <f t="shared" ref="Z975:Z986" si="437">IF(ABS(AB975)=0,"",IF($S975="NO ALLOC","NO ALLOC",ROUND($S975*AB975,15)))</f>
        <v>0</v>
      </c>
      <c r="AA975" s="121">
        <f t="shared" ref="AA975:AA986" si="438">IF(ABS(AB975)=0,"",IF($T975="NO ALLOC","NO ALLOC",ROUND($T975*AB975,15)))</f>
        <v>91.993009999999998</v>
      </c>
      <c r="AB975" s="121">
        <f t="shared" si="431"/>
        <v>91.993010000000012</v>
      </c>
      <c r="AC975" s="121">
        <v>99.66216</v>
      </c>
      <c r="AD975" s="121">
        <v>99.66216</v>
      </c>
      <c r="AE975" s="121">
        <v>99.702790000000007</v>
      </c>
      <c r="AF975" s="121">
        <v>100.32663000000001</v>
      </c>
      <c r="AG975" s="121">
        <v>100.32663000000001</v>
      </c>
      <c r="AH975" s="121">
        <v>100.40911</v>
      </c>
      <c r="AI975" s="161">
        <v>100.79486999999999</v>
      </c>
      <c r="AJ975" s="161">
        <v>101.27262999999999</v>
      </c>
      <c r="AK975" s="161">
        <v>101.27262999999999</v>
      </c>
      <c r="AL975" s="161">
        <v>101.8117</v>
      </c>
      <c r="AM975" s="161">
        <v>101.8117</v>
      </c>
      <c r="AN975" s="161">
        <v>98.126550000000009</v>
      </c>
      <c r="AO975" s="161">
        <v>91.993010000000012</v>
      </c>
      <c r="AP975" s="125" t="str">
        <f>CONCATENATE(A975,M975)</f>
        <v>Def TaxN</v>
      </c>
      <c r="AQ975" s="125" t="str">
        <f>CONCATENATE(AP975,L975,H975)</f>
        <v>Def TaxNN2Payroll-Related Costs</v>
      </c>
      <c r="AS975" s="125" t="str">
        <f>CONCATENATE(L975,H975,J975)</f>
        <v>N2Payroll-Related Costs</v>
      </c>
    </row>
    <row r="976" spans="1:45" s="125" customFormat="1" ht="25.5" customHeight="1">
      <c r="A976" s="216" t="s">
        <v>1996</v>
      </c>
      <c r="B976" s="217" t="str">
        <f t="shared" si="422"/>
        <v>Def Tax1900322BT010088</v>
      </c>
      <c r="C976" s="186">
        <v>190032</v>
      </c>
      <c r="D976" s="201">
        <v>2</v>
      </c>
      <c r="E976" s="162" t="s">
        <v>1915</v>
      </c>
      <c r="F976" s="169" t="s">
        <v>3146</v>
      </c>
      <c r="G976" s="117" t="s">
        <v>3145</v>
      </c>
      <c r="H976" s="118" t="s">
        <v>1488</v>
      </c>
      <c r="I976" s="119"/>
      <c r="J976" s="120"/>
      <c r="K976" s="120" t="str">
        <f t="shared" si="423"/>
        <v/>
      </c>
      <c r="L976" s="170" t="s">
        <v>1895</v>
      </c>
      <c r="M976" s="122" t="str">
        <f t="shared" si="432"/>
        <v>R</v>
      </c>
      <c r="N976" s="116" t="str">
        <f>IF($L976&lt;&gt;"",VLOOKUP($L976,Categories!$E:$G,2,FALSE),IF($F976&lt;&gt;"","NO CAT",""))</f>
        <v>Rate Base</v>
      </c>
      <c r="O976" s="116" t="str">
        <f>IF($L976&lt;&gt;"",VLOOKUP($L976,Categories!$E:$G,3,FALSE),IF($F976&lt;&gt;"","NO CAT",""))</f>
        <v>Deferred Income Taxes</v>
      </c>
      <c r="P976" s="170" t="s">
        <v>1553</v>
      </c>
      <c r="Q976" s="123" t="s">
        <v>2587</v>
      </c>
      <c r="R976" s="124">
        <v>0.81899999999999995</v>
      </c>
      <c r="S976" s="124">
        <v>0.18099999999999999</v>
      </c>
      <c r="T976" s="124">
        <v>0</v>
      </c>
      <c r="U976" s="121">
        <f t="shared" si="433"/>
        <v>-49.483917210000001</v>
      </c>
      <c r="V976" s="121">
        <f t="shared" si="434"/>
        <v>-10.9360061233333</v>
      </c>
      <c r="W976" s="121">
        <f t="shared" si="435"/>
        <v>0</v>
      </c>
      <c r="X976" s="121">
        <f t="shared" si="430"/>
        <v>-60.419923333333301</v>
      </c>
      <c r="Y976" s="121">
        <f t="shared" si="436"/>
        <v>-61.229021490000001</v>
      </c>
      <c r="Z976" s="121">
        <f t="shared" si="437"/>
        <v>-13.53168851</v>
      </c>
      <c r="AA976" s="121">
        <f t="shared" si="438"/>
        <v>0</v>
      </c>
      <c r="AB976" s="121">
        <f t="shared" si="431"/>
        <v>-74.760710000000017</v>
      </c>
      <c r="AC976" s="121">
        <v>-49.232169999999996</v>
      </c>
      <c r="AD976" s="121">
        <v>-49.232169999999996</v>
      </c>
      <c r="AE976" s="121">
        <v>-49.232169999999996</v>
      </c>
      <c r="AF976" s="121">
        <v>-49.232169999999996</v>
      </c>
      <c r="AG976" s="121">
        <v>-49.232169999999996</v>
      </c>
      <c r="AH976" s="121">
        <v>-49.232169999999996</v>
      </c>
      <c r="AI976" s="161">
        <v>-49.232169999999996</v>
      </c>
      <c r="AJ976" s="161">
        <v>-58.378140000000002</v>
      </c>
      <c r="AK976" s="161">
        <v>-57.777560000000001</v>
      </c>
      <c r="AL976" s="161">
        <v>-83.310659999999999</v>
      </c>
      <c r="AM976" s="161">
        <v>-82.754370000000009</v>
      </c>
      <c r="AN976" s="161">
        <v>-85.42889000000001</v>
      </c>
      <c r="AO976" s="161">
        <v>-74.760710000000017</v>
      </c>
      <c r="AP976" s="125" t="str">
        <f>CONCATENATE(A976,M976)</f>
        <v>Def TaxR</v>
      </c>
      <c r="AQ976" s="125" t="str">
        <f>CONCATENATE(AP976,L976,H976)</f>
        <v>Def TaxRR11SFAS-112</v>
      </c>
      <c r="AS976" s="125" t="str">
        <f>CONCATENATE(L976,H976,J976)</f>
        <v>R11SFAS-112</v>
      </c>
    </row>
    <row r="977" spans="1:45" s="125" customFormat="1" ht="25.5" customHeight="1">
      <c r="A977" s="216" t="s">
        <v>1996</v>
      </c>
      <c r="B977" s="217" t="str">
        <f t="shared" si="422"/>
        <v>Def Tax1900323BT010089</v>
      </c>
      <c r="C977" s="186">
        <v>190032</v>
      </c>
      <c r="D977" s="201">
        <v>3</v>
      </c>
      <c r="E977" s="162" t="s">
        <v>1916</v>
      </c>
      <c r="F977" s="169" t="s">
        <v>3146</v>
      </c>
      <c r="G977" s="117" t="s">
        <v>2537</v>
      </c>
      <c r="H977" s="118" t="s">
        <v>170</v>
      </c>
      <c r="I977" s="119"/>
      <c r="J977" s="120"/>
      <c r="K977" s="120" t="str">
        <f t="shared" si="423"/>
        <v/>
      </c>
      <c r="L977" s="170" t="s">
        <v>1895</v>
      </c>
      <c r="M977" s="122" t="str">
        <f t="shared" si="432"/>
        <v>R</v>
      </c>
      <c r="N977" s="116" t="str">
        <f>IF($L977&lt;&gt;"",VLOOKUP($L977,Categories!$E:$G,2,FALSE),IF($F977&lt;&gt;"","NO CAT",""))</f>
        <v>Rate Base</v>
      </c>
      <c r="O977" s="116" t="str">
        <f>IF($L977&lt;&gt;"",VLOOKUP($L977,Categories!$E:$G,3,FALSE),IF($F977&lt;&gt;"","NO CAT",""))</f>
        <v>Deferred Income Taxes</v>
      </c>
      <c r="P977" s="170" t="s">
        <v>1553</v>
      </c>
      <c r="Q977" s="123" t="s">
        <v>2587</v>
      </c>
      <c r="R977" s="124">
        <v>0.81899999999999995</v>
      </c>
      <c r="S977" s="124">
        <v>0.18099999999999999</v>
      </c>
      <c r="T977" s="124">
        <v>0</v>
      </c>
      <c r="U977" s="121">
        <f t="shared" si="433"/>
        <v>1283.86242348</v>
      </c>
      <c r="V977" s="121">
        <f t="shared" si="434"/>
        <v>283.73516318666702</v>
      </c>
      <c r="W977" s="121">
        <f t="shared" si="435"/>
        <v>0</v>
      </c>
      <c r="X977" s="121">
        <f t="shared" si="430"/>
        <v>1567.5975866666699</v>
      </c>
      <c r="Y977" s="121">
        <f t="shared" si="436"/>
        <v>2713.2056897399998</v>
      </c>
      <c r="Z977" s="121">
        <f t="shared" si="437"/>
        <v>599.62177025999995</v>
      </c>
      <c r="AA977" s="121">
        <f t="shared" si="438"/>
        <v>0</v>
      </c>
      <c r="AB977" s="121">
        <f t="shared" si="431"/>
        <v>3312.82746</v>
      </c>
      <c r="AC977" s="121">
        <v>1971.86952</v>
      </c>
      <c r="AD977" s="121">
        <v>1954.52504</v>
      </c>
      <c r="AE977" s="121">
        <v>1903.6930400000001</v>
      </c>
      <c r="AF977" s="121">
        <v>1825.3234399999999</v>
      </c>
      <c r="AG977" s="121">
        <v>1791.4307800000001</v>
      </c>
      <c r="AH977" s="121">
        <v>1704.44372</v>
      </c>
      <c r="AI977" s="161">
        <v>1591.0473399999998</v>
      </c>
      <c r="AJ977" s="161">
        <v>1302.2357799999997</v>
      </c>
      <c r="AK977" s="161">
        <v>1215.0217699999998</v>
      </c>
      <c r="AL977" s="161">
        <v>1091.8159299999998</v>
      </c>
      <c r="AM977" s="161">
        <v>1015.3341499999997</v>
      </c>
      <c r="AN977" s="161">
        <v>773.95155999999974</v>
      </c>
      <c r="AO977" s="161">
        <v>3312.82746</v>
      </c>
      <c r="AP977" s="125" t="str">
        <f>CONCATENATE(A977,M977)</f>
        <v>Def TaxR</v>
      </c>
      <c r="AQ977" s="125" t="str">
        <f>CONCATENATE(AP977,L977,H977)</f>
        <v>Def TaxRR11OPEBs</v>
      </c>
      <c r="AS977" s="125" t="str">
        <f>CONCATENATE(L977,H977,J977)</f>
        <v>R11OPEBs</v>
      </c>
    </row>
    <row r="978" spans="1:45" s="125" customFormat="1" ht="25.5" customHeight="1">
      <c r="A978" s="216" t="s">
        <v>1996</v>
      </c>
      <c r="B978" s="217" t="str">
        <f t="shared" si="422"/>
        <v>Def Tax1900324BT010167</v>
      </c>
      <c r="C978" s="186">
        <v>190032</v>
      </c>
      <c r="D978" s="201">
        <v>4</v>
      </c>
      <c r="E978" s="162" t="s">
        <v>286</v>
      </c>
      <c r="F978" s="169" t="s">
        <v>3146</v>
      </c>
      <c r="G978" s="117" t="s">
        <v>1965</v>
      </c>
      <c r="H978" s="118" t="s">
        <v>1002</v>
      </c>
      <c r="I978" s="119"/>
      <c r="J978" s="120"/>
      <c r="K978" s="120" t="str">
        <f t="shared" si="423"/>
        <v/>
      </c>
      <c r="L978" s="170" t="s">
        <v>1895</v>
      </c>
      <c r="M978" s="122" t="str">
        <f t="shared" si="432"/>
        <v>R</v>
      </c>
      <c r="N978" s="116" t="str">
        <f>IF($L978&lt;&gt;"",VLOOKUP($L978,Categories!$E:$G,2,FALSE),IF($F978&lt;&gt;"","NO CAT",""))</f>
        <v>Rate Base</v>
      </c>
      <c r="O978" s="116" t="str">
        <f>IF($L978&lt;&gt;"",VLOOKUP($L978,Categories!$E:$G,3,FALSE),IF($F978&lt;&gt;"","NO CAT",""))</f>
        <v>Deferred Income Taxes</v>
      </c>
      <c r="P978" s="170" t="s">
        <v>1553</v>
      </c>
      <c r="Q978" s="123" t="s">
        <v>2587</v>
      </c>
      <c r="R978" s="124">
        <v>0.81899999999999995</v>
      </c>
      <c r="S978" s="124">
        <v>0.18099999999999999</v>
      </c>
      <c r="T978" s="124">
        <v>0</v>
      </c>
      <c r="U978" s="121">
        <f t="shared" si="433"/>
        <v>7130.5621162912503</v>
      </c>
      <c r="V978" s="121">
        <f t="shared" si="434"/>
        <v>1575.86293412542</v>
      </c>
      <c r="W978" s="121">
        <f t="shared" si="435"/>
        <v>0</v>
      </c>
      <c r="X978" s="121">
        <f t="shared" si="430"/>
        <v>8706.4250504166703</v>
      </c>
      <c r="Y978" s="121">
        <f t="shared" si="436"/>
        <v>22233.72684897</v>
      </c>
      <c r="Z978" s="121">
        <f t="shared" si="437"/>
        <v>4913.6807810299997</v>
      </c>
      <c r="AA978" s="121">
        <f t="shared" si="438"/>
        <v>0</v>
      </c>
      <c r="AB978" s="121">
        <f t="shared" si="431"/>
        <v>27147.407630000005</v>
      </c>
      <c r="AC978" s="121">
        <v>8812.4246400000029</v>
      </c>
      <c r="AD978" s="121">
        <v>8654.2568800000026</v>
      </c>
      <c r="AE978" s="121">
        <v>8496.0891100000026</v>
      </c>
      <c r="AF978" s="121">
        <v>8337.8753300000026</v>
      </c>
      <c r="AG978" s="121">
        <v>8179.7075700000032</v>
      </c>
      <c r="AH978" s="121">
        <v>8021.5398000000032</v>
      </c>
      <c r="AI978" s="161">
        <v>7863.3720400000038</v>
      </c>
      <c r="AJ978" s="161">
        <v>7705.2042800000036</v>
      </c>
      <c r="AK978" s="161">
        <v>7547.0365100000045</v>
      </c>
      <c r="AL978" s="161">
        <v>7388.8687500000051</v>
      </c>
      <c r="AM978" s="161">
        <v>7230.7009800000051</v>
      </c>
      <c r="AN978" s="161">
        <v>7072.5332200000057</v>
      </c>
      <c r="AO978" s="161">
        <v>27147.407630000005</v>
      </c>
      <c r="AP978" s="125" t="str">
        <f>CONCATENATE(A978,M978)</f>
        <v>Def TaxR</v>
      </c>
      <c r="AQ978" s="125" t="str">
        <f>CONCATENATE(AP978,L978,H978)</f>
        <v>Def TaxRR11Accrued Pension</v>
      </c>
      <c r="AS978" s="125" t="str">
        <f>CONCATENATE(L978,H978,J978)</f>
        <v>R11Accrued Pension</v>
      </c>
    </row>
    <row r="979" spans="1:45" s="125" customFormat="1" ht="25.5" customHeight="1">
      <c r="A979" s="216" t="s">
        <v>1996</v>
      </c>
      <c r="B979" s="217" t="str">
        <f t="shared" si="422"/>
        <v>Def Tax1900326BT010195</v>
      </c>
      <c r="C979" s="186">
        <v>190032</v>
      </c>
      <c r="D979" s="201">
        <v>6</v>
      </c>
      <c r="E979" s="162" t="s">
        <v>493</v>
      </c>
      <c r="F979" s="169" t="s">
        <v>3146</v>
      </c>
      <c r="G979" s="117" t="s">
        <v>84</v>
      </c>
      <c r="H979" s="118" t="s">
        <v>791</v>
      </c>
      <c r="I979" s="119"/>
      <c r="J979" s="120"/>
      <c r="K979" s="120" t="str">
        <f t="shared" si="423"/>
        <v/>
      </c>
      <c r="L979" s="170" t="s">
        <v>928</v>
      </c>
      <c r="M979" s="122" t="str">
        <f t="shared" si="432"/>
        <v>N</v>
      </c>
      <c r="N979" s="116" t="str">
        <f>IF($L979&lt;&gt;"",VLOOKUP($L979,Categories!$E:$G,2,FALSE),IF($F979&lt;&gt;"","NO CAT",""))</f>
        <v>Not in Rate Base</v>
      </c>
      <c r="O979" s="116" t="str">
        <f>IF($L979&lt;&gt;"",VLOOKUP($L979,Categories!$E:$G,3,FALSE),IF($F979&lt;&gt;"","NO CAT",""))</f>
        <v>Direct Assign Items Not in RB</v>
      </c>
      <c r="P979" s="170" t="s">
        <v>1186</v>
      </c>
      <c r="Q979" s="123" t="s">
        <v>1187</v>
      </c>
      <c r="R979" s="124">
        <v>0</v>
      </c>
      <c r="S979" s="124">
        <v>0</v>
      </c>
      <c r="T979" s="124">
        <v>1</v>
      </c>
      <c r="U979" s="121">
        <f t="shared" si="433"/>
        <v>0</v>
      </c>
      <c r="V979" s="121">
        <f t="shared" si="434"/>
        <v>0</v>
      </c>
      <c r="W979" s="121">
        <f t="shared" si="435"/>
        <v>-499.91340916666599</v>
      </c>
      <c r="X979" s="121">
        <f t="shared" si="430"/>
        <v>-499.91340916666599</v>
      </c>
      <c r="Y979" s="121">
        <f t="shared" si="436"/>
        <v>0</v>
      </c>
      <c r="Z979" s="121">
        <f t="shared" si="437"/>
        <v>0</v>
      </c>
      <c r="AA979" s="121">
        <f t="shared" si="438"/>
        <v>-528.40233999999998</v>
      </c>
      <c r="AB979" s="121">
        <f t="shared" si="431"/>
        <v>-528.40233999999998</v>
      </c>
      <c r="AC979" s="121">
        <v>-478.47242</v>
      </c>
      <c r="AD979" s="121">
        <v>-478.47242</v>
      </c>
      <c r="AE979" s="121">
        <v>-485.31921999999997</v>
      </c>
      <c r="AF979" s="121">
        <v>-485.53265999999996</v>
      </c>
      <c r="AG979" s="121">
        <v>-485.53265999999996</v>
      </c>
      <c r="AH979" s="121">
        <v>-485.53265999999996</v>
      </c>
      <c r="AI979" s="161">
        <v>-485.53265999999996</v>
      </c>
      <c r="AJ979" s="161">
        <v>-485.53265999999996</v>
      </c>
      <c r="AK979" s="161">
        <v>-515.34572000000003</v>
      </c>
      <c r="AL979" s="161">
        <v>-529.57428999999991</v>
      </c>
      <c r="AM979" s="161">
        <v>-529.57428999999991</v>
      </c>
      <c r="AN979" s="161">
        <v>-529.57428999999991</v>
      </c>
      <c r="AO979" s="161">
        <v>-528.40233999999998</v>
      </c>
      <c r="AP979" s="125" t="str">
        <f>CONCATENATE(A979,M979)</f>
        <v>Def TaxN</v>
      </c>
      <c r="AQ979" s="125" t="str">
        <f>CONCATENATE(AP979,L979,H979)</f>
        <v>Def TaxNN2Non-Qualified Retiree Trust (net of related liability)</v>
      </c>
      <c r="AS979" s="125" t="str">
        <f>CONCATENATE(L979,H979,J979)</f>
        <v>N2Non-Qualified Retiree Trust (net of related liability)</v>
      </c>
    </row>
    <row r="980" spans="1:45" s="125" customFormat="1" ht="25.5" customHeight="1">
      <c r="A980" s="216" t="s">
        <v>1996</v>
      </c>
      <c r="B980" s="217" t="str">
        <f t="shared" si="422"/>
        <v>Def Tax1900328BT010244</v>
      </c>
      <c r="C980" s="186">
        <v>190032</v>
      </c>
      <c r="D980" s="201">
        <v>8</v>
      </c>
      <c r="E980" s="162" t="s">
        <v>989</v>
      </c>
      <c r="F980" s="169" t="s">
        <v>3146</v>
      </c>
      <c r="G980" s="117" t="s">
        <v>385</v>
      </c>
      <c r="H980" s="118" t="s">
        <v>1217</v>
      </c>
      <c r="I980" s="119"/>
      <c r="J980" s="120"/>
      <c r="K980" s="120" t="str">
        <f t="shared" si="423"/>
        <v/>
      </c>
      <c r="L980" s="170" t="s">
        <v>1895</v>
      </c>
      <c r="M980" s="122" t="str">
        <f t="shared" si="432"/>
        <v>R</v>
      </c>
      <c r="N980" s="116" t="str">
        <f>IF($L980&lt;&gt;"",VLOOKUP($L980,Categories!$E:$G,2,FALSE),IF($F980&lt;&gt;"","NO CAT",""))</f>
        <v>Rate Base</v>
      </c>
      <c r="O980" s="116" t="str">
        <f>IF($L980&lt;&gt;"",VLOOKUP($L980,Categories!$E:$G,3,FALSE),IF($F980&lt;&gt;"","NO CAT",""))</f>
        <v>Deferred Income Taxes</v>
      </c>
      <c r="P980" s="170" t="s">
        <v>1188</v>
      </c>
      <c r="Q980" s="123" t="s">
        <v>1843</v>
      </c>
      <c r="R980" s="124">
        <v>0.76071990262269951</v>
      </c>
      <c r="S980" s="124">
        <v>0.23928009737730072</v>
      </c>
      <c r="T980" s="124">
        <v>0</v>
      </c>
      <c r="U980" s="121">
        <f t="shared" si="433"/>
        <v>176.389896298498</v>
      </c>
      <c r="V980" s="121">
        <f t="shared" si="434"/>
        <v>55.482433701501598</v>
      </c>
      <c r="W980" s="121">
        <f t="shared" si="435"/>
        <v>0</v>
      </c>
      <c r="X980" s="121">
        <f t="shared" si="430"/>
        <v>231.87233000000001</v>
      </c>
      <c r="Y980" s="121">
        <f t="shared" si="436"/>
        <v>176.389896298498</v>
      </c>
      <c r="Z980" s="121">
        <f t="shared" si="437"/>
        <v>55.482433701501598</v>
      </c>
      <c r="AA980" s="121">
        <f t="shared" si="438"/>
        <v>0</v>
      </c>
      <c r="AB980" s="121">
        <f t="shared" si="431"/>
        <v>231.87233000000001</v>
      </c>
      <c r="AC980" s="121">
        <v>231.87233000000001</v>
      </c>
      <c r="AD980" s="121">
        <v>231.87233000000001</v>
      </c>
      <c r="AE980" s="121">
        <v>231.87233000000001</v>
      </c>
      <c r="AF980" s="121">
        <v>231.87233000000001</v>
      </c>
      <c r="AG980" s="121">
        <v>231.87233000000001</v>
      </c>
      <c r="AH980" s="121">
        <v>231.87233000000001</v>
      </c>
      <c r="AI980" s="161">
        <v>231.87233000000001</v>
      </c>
      <c r="AJ980" s="161">
        <v>231.87233000000001</v>
      </c>
      <c r="AK980" s="161">
        <v>231.87233000000001</v>
      </c>
      <c r="AL980" s="161">
        <v>231.87233000000001</v>
      </c>
      <c r="AM980" s="161">
        <v>231.87233000000001</v>
      </c>
      <c r="AN980" s="161">
        <v>231.87233000000001</v>
      </c>
      <c r="AO980" s="161">
        <v>231.87233000000001</v>
      </c>
      <c r="AP980" s="125" t="str">
        <f>CONCATENATE(A980,M980)</f>
        <v>Def TaxR</v>
      </c>
      <c r="AQ980" s="125" t="str">
        <f>CONCATENATE(AP980,L980,H980)</f>
        <v>Def TaxRR11Workman's Comp Reserve</v>
      </c>
      <c r="AS980" s="125" t="str">
        <f>CONCATENATE(L980,H980,J980)</f>
        <v>R11Workman's Comp Reserve</v>
      </c>
    </row>
    <row r="981" spans="1:45" s="125" customFormat="1" ht="25.5" customHeight="1">
      <c r="A981" s="216" t="s">
        <v>1996</v>
      </c>
      <c r="B981" s="217" t="str">
        <f>CONCATENATE(A981,C981,D981,E981)</f>
        <v>Def Tax190032BT010125</v>
      </c>
      <c r="C981" s="186">
        <v>190032</v>
      </c>
      <c r="D981" s="201"/>
      <c r="E981" s="162" t="s">
        <v>1024</v>
      </c>
      <c r="F981" s="169" t="s">
        <v>3146</v>
      </c>
      <c r="G981" s="117" t="s">
        <v>4557</v>
      </c>
      <c r="H981" s="118" t="s">
        <v>914</v>
      </c>
      <c r="I981" s="119"/>
      <c r="J981" s="120"/>
      <c r="K981" s="120" t="str">
        <f>IF(L981="N3","SFAS-109","")</f>
        <v/>
      </c>
      <c r="L981" s="170" t="s">
        <v>1895</v>
      </c>
      <c r="M981" s="122" t="str">
        <f t="shared" si="432"/>
        <v>R</v>
      </c>
      <c r="N981" s="116" t="str">
        <f>IF($L981&lt;&gt;"",VLOOKUP($L981,Categories!$E:$G,2,FALSE),IF($F981&lt;&gt;"","NO CAT",""))</f>
        <v>Rate Base</v>
      </c>
      <c r="O981" s="116" t="str">
        <f>IF($L981&lt;&gt;"",VLOOKUP($L981,Categories!$E:$G,3,FALSE),IF($F981&lt;&gt;"","NO CAT",""))</f>
        <v>Deferred Income Taxes</v>
      </c>
      <c r="P981" s="170" t="s">
        <v>1553</v>
      </c>
      <c r="Q981" s="123" t="s">
        <v>2587</v>
      </c>
      <c r="R981" s="124">
        <v>0.81899999999999995</v>
      </c>
      <c r="S981" s="124">
        <v>0.18099999999999999</v>
      </c>
      <c r="T981" s="124">
        <v>0</v>
      </c>
      <c r="U981" s="121">
        <f t="shared" si="433"/>
        <v>-309.69489915000003</v>
      </c>
      <c r="V981" s="121">
        <f t="shared" si="434"/>
        <v>-68.442950850000003</v>
      </c>
      <c r="W981" s="121">
        <f t="shared" si="435"/>
        <v>0</v>
      </c>
      <c r="X981" s="121">
        <f t="shared" si="430"/>
        <v>-378.13785000000001</v>
      </c>
      <c r="Y981" s="121">
        <f t="shared" si="436"/>
        <v>-309.69489915000003</v>
      </c>
      <c r="Z981" s="121">
        <f t="shared" si="437"/>
        <v>-68.442950850000003</v>
      </c>
      <c r="AA981" s="121">
        <f t="shared" si="438"/>
        <v>0</v>
      </c>
      <c r="AB981" s="121">
        <f t="shared" si="431"/>
        <v>-378.13784999999996</v>
      </c>
      <c r="AC981" s="121">
        <v>-378.13784999999996</v>
      </c>
      <c r="AD981" s="121">
        <v>-378.13784999999996</v>
      </c>
      <c r="AE981" s="121">
        <v>-378.13784999999996</v>
      </c>
      <c r="AF981" s="121">
        <v>-378.13784999999996</v>
      </c>
      <c r="AG981" s="121">
        <v>-378.13784999999996</v>
      </c>
      <c r="AH981" s="121">
        <v>-378.13784999999996</v>
      </c>
      <c r="AI981" s="161">
        <v>-378.13784999999996</v>
      </c>
      <c r="AJ981" s="161">
        <v>-378.13784999999996</v>
      </c>
      <c r="AK981" s="161">
        <v>-378.13784999999996</v>
      </c>
      <c r="AL981" s="161">
        <v>-378.13784999999996</v>
      </c>
      <c r="AM981" s="161">
        <v>-378.13784999999996</v>
      </c>
      <c r="AN981" s="161">
        <v>-378.13784999999996</v>
      </c>
      <c r="AO981" s="161">
        <v>-378.13784999999996</v>
      </c>
      <c r="AP981" s="125" t="str">
        <f>CONCATENATE(A981,M981)</f>
        <v>Def TaxR</v>
      </c>
      <c r="AQ981" s="125" t="str">
        <f>CONCATENATE(AP981,L981,H981)</f>
        <v>Def TaxRR11Medicare Subsidy</v>
      </c>
      <c r="AS981" s="125" t="str">
        <f>CONCATENATE(L981,H981,J981)</f>
        <v>R11Medicare Subsidy</v>
      </c>
    </row>
    <row r="982" spans="1:45" s="125" customFormat="1" ht="25.5" customHeight="1">
      <c r="A982" s="216" t="s">
        <v>1996</v>
      </c>
      <c r="B982" s="217" t="str">
        <f>CONCATENATE(A982,C982,D982,E982)</f>
        <v>Def Tax190032BT010381</v>
      </c>
      <c r="C982" s="186">
        <v>190032</v>
      </c>
      <c r="D982" s="201"/>
      <c r="E982" s="162" t="s">
        <v>1532</v>
      </c>
      <c r="F982" s="169" t="s">
        <v>3146</v>
      </c>
      <c r="G982" s="117" t="s">
        <v>4558</v>
      </c>
      <c r="H982" s="118" t="s">
        <v>914</v>
      </c>
      <c r="I982" s="119"/>
      <c r="J982" s="120"/>
      <c r="K982" s="120" t="str">
        <f>IF(L982="N3","SFAS-109","")</f>
        <v/>
      </c>
      <c r="L982" s="170" t="s">
        <v>1895</v>
      </c>
      <c r="M982" s="122" t="str">
        <f t="shared" si="432"/>
        <v>R</v>
      </c>
      <c r="N982" s="116" t="str">
        <f>IF($L982&lt;&gt;"",VLOOKUP($L982,Categories!$E:$G,2,FALSE),IF($F982&lt;&gt;"","NO CAT",""))</f>
        <v>Rate Base</v>
      </c>
      <c r="O982" s="116" t="str">
        <f>IF($L982&lt;&gt;"",VLOOKUP($L982,Categories!$E:$G,3,FALSE),IF($F982&lt;&gt;"","NO CAT",""))</f>
        <v>Deferred Income Taxes</v>
      </c>
      <c r="P982" s="170" t="s">
        <v>1553</v>
      </c>
      <c r="Q982" s="123" t="s">
        <v>2587</v>
      </c>
      <c r="R982" s="124">
        <v>0.81899999999999995</v>
      </c>
      <c r="S982" s="124">
        <v>0.18099999999999999</v>
      </c>
      <c r="T982" s="124">
        <v>0</v>
      </c>
      <c r="U982" s="121">
        <f t="shared" si="433"/>
        <v>106.126839</v>
      </c>
      <c r="V982" s="121">
        <f t="shared" si="434"/>
        <v>23.454160999999999</v>
      </c>
      <c r="W982" s="121">
        <f t="shared" si="435"/>
        <v>0</v>
      </c>
      <c r="X982" s="121">
        <f t="shared" si="430"/>
        <v>129.58099999999999</v>
      </c>
      <c r="Y982" s="121">
        <f t="shared" si="436"/>
        <v>106.126839</v>
      </c>
      <c r="Z982" s="121">
        <f t="shared" si="437"/>
        <v>23.454160999999999</v>
      </c>
      <c r="AA982" s="121">
        <f t="shared" si="438"/>
        <v>0</v>
      </c>
      <c r="AB982" s="121">
        <f t="shared" si="431"/>
        <v>129.58099999999999</v>
      </c>
      <c r="AC982" s="121">
        <v>129.58099999999999</v>
      </c>
      <c r="AD982" s="121">
        <v>129.58099999999999</v>
      </c>
      <c r="AE982" s="121">
        <v>129.58099999999999</v>
      </c>
      <c r="AF982" s="121">
        <v>129.58099999999999</v>
      </c>
      <c r="AG982" s="121">
        <v>129.58099999999999</v>
      </c>
      <c r="AH982" s="121">
        <v>129.58099999999999</v>
      </c>
      <c r="AI982" s="161">
        <v>129.58099999999999</v>
      </c>
      <c r="AJ982" s="161">
        <v>129.58099999999999</v>
      </c>
      <c r="AK982" s="161">
        <v>129.58099999999999</v>
      </c>
      <c r="AL982" s="161">
        <v>129.58099999999999</v>
      </c>
      <c r="AM982" s="161">
        <v>129.58099999999999</v>
      </c>
      <c r="AN982" s="161">
        <v>129.58099999999999</v>
      </c>
      <c r="AO982" s="161">
        <v>129.58099999999999</v>
      </c>
      <c r="AP982" s="125" t="str">
        <f>CONCATENATE(A982,M982)</f>
        <v>Def TaxR</v>
      </c>
      <c r="AQ982" s="125" t="str">
        <f>CONCATENATE(AP982,L982,H982)</f>
        <v>Def TaxRR11Medicare Subsidy</v>
      </c>
      <c r="AS982" s="125" t="str">
        <f>CONCATENATE(L982,H982,J982)</f>
        <v>R11Medicare Subsidy</v>
      </c>
    </row>
    <row r="983" spans="1:45" s="125" customFormat="1" ht="25.5" customHeight="1">
      <c r="A983" s="216" t="s">
        <v>1996</v>
      </c>
      <c r="B983" s="217" t="str">
        <f>CONCATENATE(A983,C983,D983,E983)</f>
        <v>Def Tax190032BT010356</v>
      </c>
      <c r="C983" s="186">
        <v>190032</v>
      </c>
      <c r="D983" s="201"/>
      <c r="E983" s="162" t="s">
        <v>2700</v>
      </c>
      <c r="F983" s="169" t="s">
        <v>3146</v>
      </c>
      <c r="G983" s="117" t="s">
        <v>1009</v>
      </c>
      <c r="H983" s="118" t="s">
        <v>790</v>
      </c>
      <c r="I983" s="119"/>
      <c r="J983" s="120"/>
      <c r="K983" s="120" t="str">
        <f>IF(L983="N3","SFAS-109","")</f>
        <v/>
      </c>
      <c r="L983" s="170" t="s">
        <v>928</v>
      </c>
      <c r="M983" s="122" t="str">
        <f t="shared" si="432"/>
        <v>N</v>
      </c>
      <c r="N983" s="116" t="str">
        <f>IF($L983&lt;&gt;"",VLOOKUP($L983,Categories!$E:$G,2,FALSE),IF($F983&lt;&gt;"","NO CAT",""))</f>
        <v>Not in Rate Base</v>
      </c>
      <c r="O983" s="116" t="str">
        <f>IF($L983&lt;&gt;"",VLOOKUP($L983,Categories!$E:$G,3,FALSE),IF($F983&lt;&gt;"","NO CAT",""))</f>
        <v>Direct Assign Items Not in RB</v>
      </c>
      <c r="P983" s="170" t="s">
        <v>1186</v>
      </c>
      <c r="Q983" s="123" t="s">
        <v>1187</v>
      </c>
      <c r="R983" s="124">
        <v>0</v>
      </c>
      <c r="S983" s="124">
        <v>0</v>
      </c>
      <c r="T983" s="124">
        <v>1</v>
      </c>
      <c r="U983" s="121">
        <f t="shared" si="433"/>
        <v>0</v>
      </c>
      <c r="V983" s="121">
        <f t="shared" si="434"/>
        <v>0</v>
      </c>
      <c r="W983" s="121">
        <f t="shared" si="435"/>
        <v>57.690635</v>
      </c>
      <c r="X983" s="121">
        <f t="shared" si="430"/>
        <v>57.690635</v>
      </c>
      <c r="Y983" s="121">
        <f t="shared" si="436"/>
        <v>0</v>
      </c>
      <c r="Z983" s="121">
        <f t="shared" si="437"/>
        <v>0</v>
      </c>
      <c r="AA983" s="121">
        <f t="shared" si="438"/>
        <v>161.01298</v>
      </c>
      <c r="AB983" s="121">
        <f t="shared" si="431"/>
        <v>161.01297999999997</v>
      </c>
      <c r="AC983" s="121">
        <v>15.146139999999999</v>
      </c>
      <c r="AD983" s="121">
        <v>15.146139999999999</v>
      </c>
      <c r="AE983" s="121">
        <v>15.146139999999999</v>
      </c>
      <c r="AF983" s="121">
        <v>15.146139999999999</v>
      </c>
      <c r="AG983" s="121">
        <v>15.146139999999999</v>
      </c>
      <c r="AH983" s="121">
        <v>15.146139999999999</v>
      </c>
      <c r="AI983" s="161">
        <v>15.146139999999999</v>
      </c>
      <c r="AJ983" s="161">
        <v>15.146139999999999</v>
      </c>
      <c r="AK983" s="161">
        <v>15.146139999999999</v>
      </c>
      <c r="AL983" s="161">
        <v>161.01297999999997</v>
      </c>
      <c r="AM983" s="161">
        <v>161.01297999999997</v>
      </c>
      <c r="AN983" s="161">
        <v>161.01297999999997</v>
      </c>
      <c r="AO983" s="161">
        <v>161.01297999999997</v>
      </c>
      <c r="AP983" s="125" t="str">
        <f>CONCATENATE(A983,M983)</f>
        <v>Def TaxN</v>
      </c>
      <c r="AQ983" s="125" t="str">
        <f>CONCATENATE(AP983,L983,H983)</f>
        <v>Def TaxNN2Executive Compensation</v>
      </c>
      <c r="AS983" s="125" t="str">
        <f>CONCATENATE(L983,H983,J983)</f>
        <v>N2Executive Compensation</v>
      </c>
    </row>
    <row r="984" spans="1:45" s="125" customFormat="1" ht="25.5" customHeight="1">
      <c r="A984" s="216" t="s">
        <v>1996</v>
      </c>
      <c r="B984" s="217" t="str">
        <f t="shared" si="422"/>
        <v>Def Tax1900329BT010244</v>
      </c>
      <c r="C984" s="186">
        <v>190032</v>
      </c>
      <c r="D984" s="201">
        <v>9</v>
      </c>
      <c r="E984" s="162" t="s">
        <v>989</v>
      </c>
      <c r="F984" s="169" t="s">
        <v>3146</v>
      </c>
      <c r="G984" s="117" t="s">
        <v>386</v>
      </c>
      <c r="H984" s="118" t="s">
        <v>1217</v>
      </c>
      <c r="I984" s="119"/>
      <c r="J984" s="120"/>
      <c r="K984" s="120" t="str">
        <f t="shared" si="423"/>
        <v/>
      </c>
      <c r="L984" s="170" t="s">
        <v>1895</v>
      </c>
      <c r="M984" s="122" t="str">
        <f t="shared" si="432"/>
        <v>R</v>
      </c>
      <c r="N984" s="116" t="str">
        <f>IF($L984&lt;&gt;"",VLOOKUP($L984,Categories!$E:$G,2,FALSE),IF($F984&lt;&gt;"","NO CAT",""))</f>
        <v>Rate Base</v>
      </c>
      <c r="O984" s="116" t="str">
        <f>IF($L984&lt;&gt;"",VLOOKUP($L984,Categories!$E:$G,3,FALSE),IF($F984&lt;&gt;"","NO CAT",""))</f>
        <v>Deferred Income Taxes</v>
      </c>
      <c r="P984" s="170" t="s">
        <v>1188</v>
      </c>
      <c r="Q984" s="123" t="s">
        <v>1843</v>
      </c>
      <c r="R984" s="124">
        <v>0.76071990262269951</v>
      </c>
      <c r="S984" s="124">
        <v>0.23928009737730072</v>
      </c>
      <c r="T984" s="124">
        <v>0</v>
      </c>
      <c r="U984" s="121">
        <f t="shared" si="433"/>
        <v>-7.2927934904730298</v>
      </c>
      <c r="V984" s="121">
        <f t="shared" si="434"/>
        <v>-2.2939065095269702</v>
      </c>
      <c r="W984" s="121">
        <f t="shared" si="435"/>
        <v>0</v>
      </c>
      <c r="X984" s="121">
        <f t="shared" si="430"/>
        <v>-9.5867000000000004</v>
      </c>
      <c r="Y984" s="121">
        <f t="shared" si="436"/>
        <v>-7.2927934904730298</v>
      </c>
      <c r="Z984" s="121">
        <f t="shared" si="437"/>
        <v>-2.2939065095269702</v>
      </c>
      <c r="AA984" s="121">
        <f t="shared" si="438"/>
        <v>0</v>
      </c>
      <c r="AB984" s="121">
        <f t="shared" si="431"/>
        <v>-9.5867000000000004</v>
      </c>
      <c r="AC984" s="121">
        <v>-9.5867000000000004</v>
      </c>
      <c r="AD984" s="121">
        <v>-9.5867000000000004</v>
      </c>
      <c r="AE984" s="121">
        <v>-9.5867000000000004</v>
      </c>
      <c r="AF984" s="121">
        <v>-9.5867000000000004</v>
      </c>
      <c r="AG984" s="121">
        <v>-9.5867000000000004</v>
      </c>
      <c r="AH984" s="121">
        <v>-9.5867000000000004</v>
      </c>
      <c r="AI984" s="161">
        <v>-9.5867000000000004</v>
      </c>
      <c r="AJ984" s="161">
        <v>-9.5867000000000004</v>
      </c>
      <c r="AK984" s="161">
        <v>-9.5867000000000004</v>
      </c>
      <c r="AL984" s="161">
        <v>-9.5867000000000004</v>
      </c>
      <c r="AM984" s="161">
        <v>-9.5867000000000004</v>
      </c>
      <c r="AN984" s="161">
        <v>-9.5867000000000004</v>
      </c>
      <c r="AO984" s="161">
        <v>-9.5867000000000004</v>
      </c>
      <c r="AP984" s="125" t="str">
        <f>CONCATENATE(A984,M984)</f>
        <v>Def TaxR</v>
      </c>
      <c r="AQ984" s="125" t="str">
        <f>CONCATENATE(AP984,L984,H984)</f>
        <v>Def TaxRR11Workman's Comp Reserve</v>
      </c>
      <c r="AS984" s="125" t="str">
        <f>CONCATENATE(L984,H984,J984)</f>
        <v>R11Workman's Comp Reserve</v>
      </c>
    </row>
    <row r="985" spans="1:45" s="125" customFormat="1" ht="25.5" customHeight="1">
      <c r="A985" s="216" t="s">
        <v>1996</v>
      </c>
      <c r="B985" s="217" t="str">
        <f t="shared" si="422"/>
        <v>Def Tax1900362BT010241</v>
      </c>
      <c r="C985" s="186">
        <v>190036</v>
      </c>
      <c r="D985" s="201">
        <v>2</v>
      </c>
      <c r="E985" s="162" t="s">
        <v>988</v>
      </c>
      <c r="F985" s="169" t="s">
        <v>3147</v>
      </c>
      <c r="G985" s="117" t="s">
        <v>987</v>
      </c>
      <c r="H985" s="118" t="s">
        <v>220</v>
      </c>
      <c r="I985" s="119"/>
      <c r="J985" s="120"/>
      <c r="K985" s="120" t="str">
        <f t="shared" si="423"/>
        <v/>
      </c>
      <c r="L985" s="170" t="s">
        <v>1419</v>
      </c>
      <c r="M985" s="122" t="str">
        <f t="shared" si="432"/>
        <v>A</v>
      </c>
      <c r="N985" s="116" t="str">
        <f>IF($L985&lt;&gt;"",VLOOKUP($L985,Categories!$E:$G,2,FALSE),IF($F985&lt;&gt;"","NO CAT",""))</f>
        <v>All Other</v>
      </c>
      <c r="O985" s="116" t="str">
        <f>IF($L985&lt;&gt;"",VLOOKUP($L985,Categories!$E:$G,3,FALSE),IF($F985&lt;&gt;"","NO CAT",""))</f>
        <v>EB-Cap</v>
      </c>
      <c r="P985" s="170" t="s">
        <v>1557</v>
      </c>
      <c r="Q985" s="123" t="s">
        <v>1891</v>
      </c>
      <c r="R985" s="124">
        <v>0.77544352505021785</v>
      </c>
      <c r="S985" s="124">
        <v>0.22455647494978223</v>
      </c>
      <c r="T985" s="124">
        <v>0</v>
      </c>
      <c r="U985" s="121">
        <f t="shared" si="433"/>
        <v>1350.4836510093701</v>
      </c>
      <c r="V985" s="121">
        <f t="shared" si="434"/>
        <v>391.07921899062598</v>
      </c>
      <c r="W985" s="121">
        <f t="shared" si="435"/>
        <v>0</v>
      </c>
      <c r="X985" s="121">
        <f t="shared" si="430"/>
        <v>1741.56287</v>
      </c>
      <c r="Y985" s="121">
        <f t="shared" si="436"/>
        <v>1350.4836510093701</v>
      </c>
      <c r="Z985" s="121">
        <f t="shared" si="437"/>
        <v>391.07921899062598</v>
      </c>
      <c r="AA985" s="121">
        <f t="shared" si="438"/>
        <v>0</v>
      </c>
      <c r="AB985" s="121">
        <f t="shared" si="431"/>
        <v>1741.5628700000002</v>
      </c>
      <c r="AC985" s="121">
        <v>1741.5628700000002</v>
      </c>
      <c r="AD985" s="121">
        <v>1741.5628700000002</v>
      </c>
      <c r="AE985" s="121">
        <v>1741.5628700000002</v>
      </c>
      <c r="AF985" s="121">
        <v>1741.5628700000002</v>
      </c>
      <c r="AG985" s="121">
        <v>1741.5628700000002</v>
      </c>
      <c r="AH985" s="121">
        <v>1741.5628700000002</v>
      </c>
      <c r="AI985" s="161">
        <v>1741.5628700000002</v>
      </c>
      <c r="AJ985" s="161">
        <v>1741.5628700000002</v>
      </c>
      <c r="AK985" s="161">
        <v>1741.5628700000002</v>
      </c>
      <c r="AL985" s="161">
        <v>1741.5628700000002</v>
      </c>
      <c r="AM985" s="161">
        <v>1741.5628700000002</v>
      </c>
      <c r="AN985" s="161">
        <v>1741.5628700000002</v>
      </c>
      <c r="AO985" s="161">
        <v>1741.5628700000002</v>
      </c>
      <c r="AP985" s="125" t="str">
        <f>CONCATENATE(A985,M985)</f>
        <v>Def TaxA</v>
      </c>
      <c r="AQ985" s="125" t="str">
        <f>CONCATENATE(AP985,L985,H985)</f>
        <v>Def TaxAA2Payroll-Related Costs</v>
      </c>
      <c r="AS985" s="125" t="str">
        <f>CONCATENATE(L985,H985,J985)</f>
        <v>A2Payroll-Related Costs</v>
      </c>
    </row>
    <row r="986" spans="1:45" s="125" customFormat="1" ht="25.5" customHeight="1">
      <c r="A986" s="216" t="s">
        <v>1996</v>
      </c>
      <c r="B986" s="217" t="str">
        <f t="shared" si="422"/>
        <v>Def Tax1900363BT010356</v>
      </c>
      <c r="C986" s="186">
        <v>190036</v>
      </c>
      <c r="D986" s="201">
        <v>3</v>
      </c>
      <c r="E986" s="162" t="s">
        <v>2700</v>
      </c>
      <c r="F986" s="169" t="s">
        <v>3147</v>
      </c>
      <c r="G986" s="117" t="s">
        <v>3148</v>
      </c>
      <c r="H986" s="118" t="s">
        <v>790</v>
      </c>
      <c r="I986" s="119"/>
      <c r="J986" s="120"/>
      <c r="K986" s="120" t="str">
        <f t="shared" si="423"/>
        <v/>
      </c>
      <c r="L986" s="170" t="s">
        <v>928</v>
      </c>
      <c r="M986" s="122" t="str">
        <f t="shared" si="432"/>
        <v>N</v>
      </c>
      <c r="N986" s="116" t="str">
        <f>IF($L986&lt;&gt;"",VLOOKUP($L986,Categories!$E:$G,2,FALSE),IF($F986&lt;&gt;"","NO CAT",""))</f>
        <v>Not in Rate Base</v>
      </c>
      <c r="O986" s="116" t="str">
        <f>IF($L986&lt;&gt;"",VLOOKUP($L986,Categories!$E:$G,3,FALSE),IF($F986&lt;&gt;"","NO CAT",""))</f>
        <v>Direct Assign Items Not in RB</v>
      </c>
      <c r="P986" s="170" t="s">
        <v>1186</v>
      </c>
      <c r="Q986" s="123" t="s">
        <v>1187</v>
      </c>
      <c r="R986" s="124">
        <v>0</v>
      </c>
      <c r="S986" s="124">
        <v>0</v>
      </c>
      <c r="T986" s="124">
        <v>1</v>
      </c>
      <c r="U986" s="121">
        <f t="shared" si="433"/>
        <v>0</v>
      </c>
      <c r="V986" s="121">
        <f t="shared" si="434"/>
        <v>0</v>
      </c>
      <c r="W986" s="121">
        <f t="shared" si="435"/>
        <v>165.73695291666701</v>
      </c>
      <c r="X986" s="121">
        <f t="shared" si="430"/>
        <v>165.73695291666701</v>
      </c>
      <c r="Y986" s="121">
        <f t="shared" si="436"/>
        <v>0</v>
      </c>
      <c r="Z986" s="121">
        <f t="shared" si="437"/>
        <v>0</v>
      </c>
      <c r="AA986" s="121">
        <f t="shared" si="438"/>
        <v>210.76494</v>
      </c>
      <c r="AB986" s="121">
        <f t="shared" si="431"/>
        <v>210.76494</v>
      </c>
      <c r="AC986" s="121">
        <v>143.25603000000001</v>
      </c>
      <c r="AD986" s="121">
        <v>143.25603000000001</v>
      </c>
      <c r="AE986" s="121">
        <v>143.25603000000001</v>
      </c>
      <c r="AF986" s="121">
        <v>143.25603000000001</v>
      </c>
      <c r="AG986" s="121">
        <v>143.25603000000001</v>
      </c>
      <c r="AH986" s="121">
        <v>143.25603000000001</v>
      </c>
      <c r="AI986" s="161">
        <v>143.25603000000001</v>
      </c>
      <c r="AJ986" s="161">
        <v>143.25603000000001</v>
      </c>
      <c r="AK986" s="161">
        <v>143.25603000000001</v>
      </c>
      <c r="AL986" s="161">
        <v>228.07856000000001</v>
      </c>
      <c r="AM986" s="161">
        <v>228.07856000000001</v>
      </c>
      <c r="AN986" s="161">
        <v>209.62759</v>
      </c>
      <c r="AO986" s="161">
        <v>210.76494</v>
      </c>
      <c r="AP986" s="125" t="str">
        <f>CONCATENATE(A986,M986)</f>
        <v>Def TaxN</v>
      </c>
      <c r="AQ986" s="125" t="str">
        <f>CONCATENATE(AP986,L986,H986)</f>
        <v>Def TaxNN2Executive Compensation</v>
      </c>
      <c r="AS986" s="125" t="str">
        <f>CONCATENATE(L986,H986,J986)</f>
        <v>N2Executive Compensation</v>
      </c>
    </row>
    <row r="987" spans="1:45" s="125" customFormat="1" ht="25.5" customHeight="1">
      <c r="A987" s="216" t="s">
        <v>1996</v>
      </c>
      <c r="B987" s="217" t="str">
        <f t="shared" si="422"/>
        <v>Def Tax1900371BT010241</v>
      </c>
      <c r="C987" s="186">
        <v>190037</v>
      </c>
      <c r="D987" s="201">
        <v>1</v>
      </c>
      <c r="E987" s="162" t="s">
        <v>988</v>
      </c>
      <c r="F987" s="169" t="s">
        <v>3149</v>
      </c>
      <c r="G987" s="117" t="s">
        <v>987</v>
      </c>
      <c r="H987" s="118" t="s">
        <v>220</v>
      </c>
      <c r="I987" s="119"/>
      <c r="J987" s="120"/>
      <c r="K987" s="120" t="str">
        <f t="shared" si="423"/>
        <v/>
      </c>
      <c r="L987" s="170" t="s">
        <v>1419</v>
      </c>
      <c r="M987" s="122" t="str">
        <f t="shared" ref="M987:M991" si="439">LEFT(L987,1)</f>
        <v>A</v>
      </c>
      <c r="N987" s="116" t="str">
        <f>IF($L987&lt;&gt;"",VLOOKUP($L987,Categories!$E:$G,2,FALSE),IF($F987&lt;&gt;"","NO CAT",""))</f>
        <v>All Other</v>
      </c>
      <c r="O987" s="116" t="str">
        <f>IF($L987&lt;&gt;"",VLOOKUP($L987,Categories!$E:$G,3,FALSE),IF($F987&lt;&gt;"","NO CAT",""))</f>
        <v>EB-Cap</v>
      </c>
      <c r="P987" s="170" t="s">
        <v>1557</v>
      </c>
      <c r="Q987" s="123" t="s">
        <v>1891</v>
      </c>
      <c r="R987" s="124">
        <v>0.77544352505021785</v>
      </c>
      <c r="S987" s="124">
        <v>0.22455647494978223</v>
      </c>
      <c r="T987" s="124">
        <v>0</v>
      </c>
      <c r="U987" s="121">
        <f t="shared" ref="U987:U991" si="440">IF(ABS(X987)=0,"",IF($R987="NO ALLOC","NO ALLOC",ROUND($R987*X987,15)))</f>
        <v>307.10211731626703</v>
      </c>
      <c r="V987" s="121">
        <f t="shared" ref="V987:V991" si="441">IF(ABS(X987)=0,"",IF($S987="NO ALLOC","NO ALLOC",ROUND($S987*X987,15)))</f>
        <v>88.932032683733297</v>
      </c>
      <c r="W987" s="121">
        <f t="shared" ref="W987:W991" si="442">IF(ABS(X987)=0,"",IF($T987="NO ALLOC","NO ALLOC",ROUND($T987*X987,15)))</f>
        <v>0</v>
      </c>
      <c r="X987" s="121">
        <f t="shared" si="430"/>
        <v>396.03415000000001</v>
      </c>
      <c r="Y987" s="121">
        <f t="shared" ref="Y987:Y991" si="443">IF(ABS(AB987)=0,"",IF($R987="NO ALLOC","NO ALLOC",ROUND($R987*AB987,15)))</f>
        <v>307.10211731626703</v>
      </c>
      <c r="Z987" s="121">
        <f t="shared" ref="Z987:Z991" si="444">IF(ABS(AB987)=0,"",IF($S987="NO ALLOC","NO ALLOC",ROUND($S987*AB987,15)))</f>
        <v>88.932032683733297</v>
      </c>
      <c r="AA987" s="121">
        <f t="shared" ref="AA987:AA991" si="445">IF(ABS(AB987)=0,"",IF($T987="NO ALLOC","NO ALLOC",ROUND($T987*AB987,15)))</f>
        <v>0</v>
      </c>
      <c r="AB987" s="121">
        <f t="shared" si="431"/>
        <v>396.03415000000001</v>
      </c>
      <c r="AC987" s="121">
        <v>396.03415000000001</v>
      </c>
      <c r="AD987" s="121">
        <v>396.03415000000001</v>
      </c>
      <c r="AE987" s="121">
        <v>396.03415000000001</v>
      </c>
      <c r="AF987" s="121">
        <v>396.03415000000001</v>
      </c>
      <c r="AG987" s="121">
        <v>396.03415000000001</v>
      </c>
      <c r="AH987" s="121">
        <v>396.03415000000001</v>
      </c>
      <c r="AI987" s="161">
        <v>396.03415000000001</v>
      </c>
      <c r="AJ987" s="161">
        <v>396.03415000000001</v>
      </c>
      <c r="AK987" s="161">
        <v>396.03415000000001</v>
      </c>
      <c r="AL987" s="161">
        <v>396.03415000000001</v>
      </c>
      <c r="AM987" s="161">
        <v>396.03415000000001</v>
      </c>
      <c r="AN987" s="161">
        <v>396.03415000000001</v>
      </c>
      <c r="AO987" s="161">
        <v>396.03415000000001</v>
      </c>
      <c r="AP987" s="125" t="str">
        <f>CONCATENATE(A987,M987)</f>
        <v>Def TaxA</v>
      </c>
      <c r="AQ987" s="125" t="str">
        <f>CONCATENATE(AP987,L987,H987)</f>
        <v>Def TaxAA2Payroll-Related Costs</v>
      </c>
      <c r="AS987" s="125" t="str">
        <f>CONCATENATE(L987,H987,J987)</f>
        <v>A2Payroll-Related Costs</v>
      </c>
    </row>
    <row r="988" spans="1:45" s="125" customFormat="1" ht="25.5" customHeight="1">
      <c r="A988" s="216" t="s">
        <v>1996</v>
      </c>
      <c r="B988" s="217" t="str">
        <f t="shared" si="422"/>
        <v>Def Tax1900373BT010356</v>
      </c>
      <c r="C988" s="186">
        <v>190037</v>
      </c>
      <c r="D988" s="201">
        <v>3</v>
      </c>
      <c r="E988" s="162" t="s">
        <v>2700</v>
      </c>
      <c r="F988" s="169" t="s">
        <v>3149</v>
      </c>
      <c r="G988" s="117" t="s">
        <v>3148</v>
      </c>
      <c r="H988" s="118" t="s">
        <v>790</v>
      </c>
      <c r="I988" s="119"/>
      <c r="J988" s="120"/>
      <c r="K988" s="120" t="str">
        <f t="shared" si="423"/>
        <v/>
      </c>
      <c r="L988" s="170" t="s">
        <v>928</v>
      </c>
      <c r="M988" s="122" t="str">
        <f t="shared" si="439"/>
        <v>N</v>
      </c>
      <c r="N988" s="116" t="str">
        <f>IF($L988&lt;&gt;"",VLOOKUP($L988,Categories!$E:$G,2,FALSE),IF($F988&lt;&gt;"","NO CAT",""))</f>
        <v>Not in Rate Base</v>
      </c>
      <c r="O988" s="116" t="str">
        <f>IF($L988&lt;&gt;"",VLOOKUP($L988,Categories!$E:$G,3,FALSE),IF($F988&lt;&gt;"","NO CAT",""))</f>
        <v>Direct Assign Items Not in RB</v>
      </c>
      <c r="P988" s="170" t="s">
        <v>1186</v>
      </c>
      <c r="Q988" s="123" t="s">
        <v>1187</v>
      </c>
      <c r="R988" s="124">
        <v>0</v>
      </c>
      <c r="S988" s="124">
        <v>0</v>
      </c>
      <c r="T988" s="124">
        <v>1</v>
      </c>
      <c r="U988" s="121">
        <f t="shared" si="440"/>
        <v>0</v>
      </c>
      <c r="V988" s="121">
        <f t="shared" si="441"/>
        <v>0</v>
      </c>
      <c r="W988" s="121">
        <f t="shared" si="442"/>
        <v>29.499934166666701</v>
      </c>
      <c r="X988" s="121">
        <f t="shared" si="430"/>
        <v>29.499934166666701</v>
      </c>
      <c r="Y988" s="121">
        <f t="shared" si="443"/>
        <v>0</v>
      </c>
      <c r="Z988" s="121">
        <f t="shared" si="444"/>
        <v>0</v>
      </c>
      <c r="AA988" s="121">
        <f t="shared" si="445"/>
        <v>43.421810000000001</v>
      </c>
      <c r="AB988" s="121">
        <f t="shared" si="431"/>
        <v>43.421810000000001</v>
      </c>
      <c r="AC988" s="121">
        <v>25.275970000000001</v>
      </c>
      <c r="AD988" s="121">
        <v>25.275970000000001</v>
      </c>
      <c r="AE988" s="121">
        <v>25.275970000000001</v>
      </c>
      <c r="AF988" s="121">
        <v>25.275970000000001</v>
      </c>
      <c r="AG988" s="121">
        <v>25.275970000000001</v>
      </c>
      <c r="AH988" s="121">
        <v>25.275970000000001</v>
      </c>
      <c r="AI988" s="161">
        <v>25.275970000000001</v>
      </c>
      <c r="AJ988" s="161">
        <v>25.275970000000001</v>
      </c>
      <c r="AK988" s="161">
        <v>25.275970000000001</v>
      </c>
      <c r="AL988" s="161">
        <v>40.232870000000005</v>
      </c>
      <c r="AM988" s="161">
        <v>40.232870000000005</v>
      </c>
      <c r="AN988" s="161">
        <v>36.976819999999996</v>
      </c>
      <c r="AO988" s="161">
        <v>43.421810000000001</v>
      </c>
      <c r="AP988" s="125" t="str">
        <f>CONCATENATE(A988,M988)</f>
        <v>Def TaxN</v>
      </c>
      <c r="AQ988" s="125" t="str">
        <f>CONCATENATE(AP988,L988,H988)</f>
        <v>Def TaxNN2Executive Compensation</v>
      </c>
      <c r="AS988" s="125" t="str">
        <f>CONCATENATE(L988,H988,J988)</f>
        <v>N2Executive Compensation</v>
      </c>
    </row>
    <row r="989" spans="1:45" s="125" customFormat="1" ht="25.5" customHeight="1">
      <c r="A989" s="216" t="s">
        <v>1996</v>
      </c>
      <c r="B989" s="217" t="str">
        <f t="shared" si="422"/>
        <v>Def Tax1900374BTHUNGD</v>
      </c>
      <c r="C989" s="186">
        <v>190037</v>
      </c>
      <c r="D989" s="201">
        <v>4</v>
      </c>
      <c r="E989" s="162" t="s">
        <v>3790</v>
      </c>
      <c r="F989" s="169" t="s">
        <v>3149</v>
      </c>
      <c r="G989" s="117" t="s">
        <v>3148</v>
      </c>
      <c r="H989" s="118" t="s">
        <v>1167</v>
      </c>
      <c r="I989" s="119"/>
      <c r="J989" s="120"/>
      <c r="K989" s="120" t="str">
        <f t="shared" si="423"/>
        <v/>
      </c>
      <c r="L989" s="170" t="s">
        <v>928</v>
      </c>
      <c r="M989" s="122" t="str">
        <f t="shared" si="439"/>
        <v>N</v>
      </c>
      <c r="N989" s="116" t="str">
        <f>IF($L989&lt;&gt;"",VLOOKUP($L989,Categories!$E:$G,2,FALSE),IF($F989&lt;&gt;"","NO CAT",""))</f>
        <v>Not in Rate Base</v>
      </c>
      <c r="O989" s="116" t="str">
        <f>IF($L989&lt;&gt;"",VLOOKUP($L989,Categories!$E:$G,3,FALSE),IF($F989&lt;&gt;"","NO CAT",""))</f>
        <v>Direct Assign Items Not in RB</v>
      </c>
      <c r="P989" s="170" t="s">
        <v>1186</v>
      </c>
      <c r="Q989" s="123" t="s">
        <v>1187</v>
      </c>
      <c r="R989" s="124">
        <v>0</v>
      </c>
      <c r="S989" s="124">
        <v>0</v>
      </c>
      <c r="T989" s="124">
        <v>1</v>
      </c>
      <c r="U989" s="121" t="str">
        <f t="shared" si="440"/>
        <v/>
      </c>
      <c r="V989" s="121" t="str">
        <f t="shared" si="441"/>
        <v/>
      </c>
      <c r="W989" s="121" t="str">
        <f t="shared" si="442"/>
        <v/>
      </c>
      <c r="X989" s="121">
        <f t="shared" si="430"/>
        <v>0</v>
      </c>
      <c r="Y989" s="121" t="str">
        <f t="shared" si="443"/>
        <v/>
      </c>
      <c r="Z989" s="121" t="str">
        <f t="shared" si="444"/>
        <v/>
      </c>
      <c r="AA989" s="121" t="str">
        <f t="shared" si="445"/>
        <v/>
      </c>
      <c r="AB989" s="121">
        <f t="shared" si="431"/>
        <v>0</v>
      </c>
      <c r="AC989" s="121">
        <v>0</v>
      </c>
      <c r="AD989" s="121">
        <v>0</v>
      </c>
      <c r="AE989" s="121">
        <v>0</v>
      </c>
      <c r="AF989" s="121">
        <v>0</v>
      </c>
      <c r="AG989" s="121">
        <v>0</v>
      </c>
      <c r="AH989" s="121">
        <v>0</v>
      </c>
      <c r="AI989" s="161">
        <v>0</v>
      </c>
      <c r="AJ989" s="161">
        <f>IF(AI989=0,0,0)</f>
        <v>0</v>
      </c>
      <c r="AK989" s="161">
        <v>0</v>
      </c>
      <c r="AL989" s="161">
        <v>0</v>
      </c>
      <c r="AM989" s="161">
        <v>0</v>
      </c>
      <c r="AN989" s="161">
        <v>0</v>
      </c>
      <c r="AO989" s="161">
        <v>0</v>
      </c>
      <c r="AP989" s="125" t="str">
        <f>CONCATENATE(A989,M989)</f>
        <v>Def TaxN</v>
      </c>
      <c r="AQ989" s="125" t="str">
        <f>CONCATENATE(AP989,L989,H989)</f>
        <v>Def TaxNN2Hung Deferred Taxes</v>
      </c>
      <c r="AS989" s="125" t="str">
        <f>CONCATENATE(L989,H989,J989)</f>
        <v>N2Hung Deferred Taxes</v>
      </c>
    </row>
    <row r="990" spans="1:45" s="125" customFormat="1" ht="25.5" customHeight="1">
      <c r="A990" s="216" t="s">
        <v>1996</v>
      </c>
      <c r="B990" s="217" t="str">
        <f>CONCATENATE(A990,C990,D990,E990)</f>
        <v>Def Tax190040BT010145</v>
      </c>
      <c r="C990" s="186">
        <v>190040</v>
      </c>
      <c r="D990" s="201"/>
      <c r="E990" s="162" t="s">
        <v>4541</v>
      </c>
      <c r="F990" s="169" t="s">
        <v>4556</v>
      </c>
      <c r="G990" s="117" t="s">
        <v>4540</v>
      </c>
      <c r="H990" s="118" t="s">
        <v>2860</v>
      </c>
      <c r="I990" s="119"/>
      <c r="J990" s="120"/>
      <c r="K990" s="120" t="str">
        <f t="shared" si="423"/>
        <v/>
      </c>
      <c r="L990" s="170" t="s">
        <v>2811</v>
      </c>
      <c r="M990" s="122" t="str">
        <f t="shared" si="439"/>
        <v>N</v>
      </c>
      <c r="N990" s="116" t="str">
        <f>IF($L990&lt;&gt;"",VLOOKUP($L990,Categories!$E:$G,2,FALSE),IF($F990&lt;&gt;"","NO CAT",""))</f>
        <v>Not in Rate Base</v>
      </c>
      <c r="O990" s="116"/>
      <c r="P990" s="170" t="s">
        <v>1186</v>
      </c>
      <c r="Q990" s="123" t="s">
        <v>1187</v>
      </c>
      <c r="R990" s="124">
        <v>0</v>
      </c>
      <c r="S990" s="124">
        <v>0</v>
      </c>
      <c r="T990" s="124">
        <v>1</v>
      </c>
      <c r="U990" s="121">
        <f t="shared" si="440"/>
        <v>0</v>
      </c>
      <c r="V990" s="121">
        <f t="shared" si="441"/>
        <v>0</v>
      </c>
      <c r="W990" s="121">
        <f t="shared" si="442"/>
        <v>88.964564999999993</v>
      </c>
      <c r="X990" s="121">
        <f t="shared" si="430"/>
        <v>88.964564999999993</v>
      </c>
      <c r="Y990" s="121">
        <f t="shared" si="443"/>
        <v>0</v>
      </c>
      <c r="Z990" s="121">
        <f t="shared" si="444"/>
        <v>0</v>
      </c>
      <c r="AA990" s="121">
        <f t="shared" si="445"/>
        <v>79.246440000000007</v>
      </c>
      <c r="AB990" s="121">
        <f t="shared" si="431"/>
        <v>79.246440000000007</v>
      </c>
      <c r="AC990" s="121">
        <v>98.416440000000009</v>
      </c>
      <c r="AD990" s="121">
        <v>98.416440000000009</v>
      </c>
      <c r="AE990" s="121">
        <v>95.221440000000001</v>
      </c>
      <c r="AF990" s="121">
        <v>93.623940000000005</v>
      </c>
      <c r="AG990" s="121">
        <v>92.026440000000008</v>
      </c>
      <c r="AH990" s="121">
        <v>90.428939999999997</v>
      </c>
      <c r="AI990" s="161">
        <v>88.831440000000001</v>
      </c>
      <c r="AJ990" s="161">
        <v>87.233940000000004</v>
      </c>
      <c r="AK990" s="161">
        <v>85.636440000000007</v>
      </c>
      <c r="AL990" s="161">
        <v>84.038939999999997</v>
      </c>
      <c r="AM990" s="161">
        <v>82.44144</v>
      </c>
      <c r="AN990" s="161">
        <v>80.843940000000003</v>
      </c>
      <c r="AO990" s="161">
        <v>79.246440000000007</v>
      </c>
      <c r="AP990" s="125" t="str">
        <f>CONCATENATE(A990,M990)</f>
        <v>Def TaxN</v>
      </c>
      <c r="AQ990" s="125" t="str">
        <f>CONCATENATE(AP990,L990,H990)</f>
        <v>Def TaxNN5Hedges &amp; OCI</v>
      </c>
      <c r="AS990" s="125" t="str">
        <f>CONCATENATE(L990,H990,J990)</f>
        <v>N5Hedges &amp; OCI</v>
      </c>
    </row>
    <row r="991" spans="1:45" s="125" customFormat="1" ht="25.5" customHeight="1">
      <c r="A991" s="216" t="s">
        <v>1996</v>
      </c>
      <c r="B991" s="217" t="str">
        <f>CONCATENATE(A991,C991,D991,E991)</f>
        <v>Def Tax190040BT010141</v>
      </c>
      <c r="C991" s="186">
        <v>190040</v>
      </c>
      <c r="D991" s="201"/>
      <c r="E991" s="162" t="s">
        <v>1208</v>
      </c>
      <c r="F991" s="169" t="s">
        <v>4556</v>
      </c>
      <c r="G991" s="117" t="s">
        <v>1231</v>
      </c>
      <c r="H991" s="118" t="s">
        <v>2860</v>
      </c>
      <c r="I991" s="119"/>
      <c r="J991" s="120"/>
      <c r="K991" s="120" t="str">
        <f t="shared" si="423"/>
        <v/>
      </c>
      <c r="L991" s="170" t="s">
        <v>2811</v>
      </c>
      <c r="M991" s="122" t="str">
        <f t="shared" si="439"/>
        <v>N</v>
      </c>
      <c r="N991" s="116" t="str">
        <f>IF($L991&lt;&gt;"",VLOOKUP($L991,Categories!$E:$G,2,FALSE),IF($F991&lt;&gt;"","NO CAT",""))</f>
        <v>Not in Rate Base</v>
      </c>
      <c r="O991" s="116"/>
      <c r="P991" s="170" t="s">
        <v>1186</v>
      </c>
      <c r="Q991" s="123" t="s">
        <v>1187</v>
      </c>
      <c r="R991" s="124">
        <v>0</v>
      </c>
      <c r="S991" s="124">
        <v>0</v>
      </c>
      <c r="T991" s="124">
        <v>1</v>
      </c>
      <c r="U991" s="121">
        <f t="shared" si="440"/>
        <v>0</v>
      </c>
      <c r="V991" s="121">
        <f t="shared" si="441"/>
        <v>0</v>
      </c>
      <c r="W991" s="121">
        <f t="shared" si="442"/>
        <v>87.445514166666698</v>
      </c>
      <c r="X991" s="121">
        <f t="shared" si="430"/>
        <v>87.445514166666698</v>
      </c>
      <c r="Y991" s="121">
        <f t="shared" si="443"/>
        <v>0</v>
      </c>
      <c r="Z991" s="121">
        <f t="shared" si="444"/>
        <v>0</v>
      </c>
      <c r="AA991" s="121">
        <f t="shared" si="445"/>
        <v>168.79935</v>
      </c>
      <c r="AB991" s="121">
        <f t="shared" si="431"/>
        <v>168.79935</v>
      </c>
      <c r="AC991" s="121">
        <v>91.692789999999974</v>
      </c>
      <c r="AD991" s="121">
        <v>90.336409999999972</v>
      </c>
      <c r="AE991" s="121">
        <v>88.980039999999974</v>
      </c>
      <c r="AF991" s="121">
        <v>87.62366999999999</v>
      </c>
      <c r="AG991" s="121">
        <v>86.267299999999992</v>
      </c>
      <c r="AH991" s="121">
        <v>84.910929999999993</v>
      </c>
      <c r="AI991" s="161">
        <v>83.554549999999992</v>
      </c>
      <c r="AJ991" s="161">
        <v>82.198179999999994</v>
      </c>
      <c r="AK991" s="161">
        <v>80.841809999999995</v>
      </c>
      <c r="AL991" s="161">
        <v>79.485439999999997</v>
      </c>
      <c r="AM991" s="161">
        <v>78.129070000000013</v>
      </c>
      <c r="AN991" s="161">
        <v>76.772700000000015</v>
      </c>
      <c r="AO991" s="161">
        <v>168.79935</v>
      </c>
      <c r="AP991" s="125" t="str">
        <f>CONCATENATE(A991,M991)</f>
        <v>Def TaxN</v>
      </c>
      <c r="AQ991" s="125" t="str">
        <f>CONCATENATE(AP991,L991,H991)</f>
        <v>Def TaxNN5Hedges &amp; OCI</v>
      </c>
      <c r="AS991" s="125" t="str">
        <f>CONCATENATE(L991,H991,J991)</f>
        <v>N5Hedges &amp; OCI</v>
      </c>
    </row>
    <row r="992" spans="1:45" s="125" customFormat="1" ht="25.5" customHeight="1">
      <c r="A992" s="216" t="s">
        <v>1996</v>
      </c>
      <c r="B992" s="217" t="str">
        <f t="shared" si="422"/>
        <v>Def Tax1900411BT010049</v>
      </c>
      <c r="C992" s="186">
        <v>190041</v>
      </c>
      <c r="D992" s="201">
        <v>1</v>
      </c>
      <c r="E992" s="162" t="s">
        <v>1744</v>
      </c>
      <c r="F992" s="169" t="s">
        <v>3150</v>
      </c>
      <c r="G992" s="117" t="s">
        <v>3144</v>
      </c>
      <c r="H992" s="118" t="s">
        <v>1218</v>
      </c>
      <c r="I992" s="119"/>
      <c r="J992" s="120"/>
      <c r="K992" s="120" t="str">
        <f t="shared" si="423"/>
        <v/>
      </c>
      <c r="L992" s="170" t="s">
        <v>1419</v>
      </c>
      <c r="M992" s="122" t="str">
        <f t="shared" ref="M992:M1012" si="446">LEFT(L992,1)</f>
        <v>A</v>
      </c>
      <c r="N992" s="116" t="str">
        <f>IF($L992&lt;&gt;"",VLOOKUP($L992,Categories!$E:$G,2,FALSE),IF($F992&lt;&gt;"","NO CAT",""))</f>
        <v>All Other</v>
      </c>
      <c r="O992" s="116" t="str">
        <f>IF($L992&lt;&gt;"",VLOOKUP($L992,Categories!$E:$G,3,FALSE),IF($F992&lt;&gt;"","NO CAT",""))</f>
        <v>EB-Cap</v>
      </c>
      <c r="P992" s="170" t="s">
        <v>1557</v>
      </c>
      <c r="Q992" s="123" t="s">
        <v>1891</v>
      </c>
      <c r="R992" s="124">
        <v>0.77544352505021785</v>
      </c>
      <c r="S992" s="124">
        <v>0.22455647494978223</v>
      </c>
      <c r="T992" s="124">
        <v>0</v>
      </c>
      <c r="U992" s="121">
        <f t="shared" ref="U992:U1012" si="447">IF(ABS(X992)=0,"",IF($R992="NO ALLOC","NO ALLOC",ROUND($R992*X992,15)))</f>
        <v>-151.791623180203</v>
      </c>
      <c r="V992" s="121">
        <f t="shared" ref="V992:V1012" si="448">IF(ABS(X992)=0,"",IF($S992="NO ALLOC","NO ALLOC",ROUND($S992*X992,15)))</f>
        <v>-43.956510986463798</v>
      </c>
      <c r="W992" s="121">
        <f t="shared" ref="W992:W1012" si="449">IF(ABS(X992)=0,"",IF($T992="NO ALLOC","NO ALLOC",ROUND($T992*X992,15)))</f>
        <v>0</v>
      </c>
      <c r="X992" s="121">
        <f t="shared" si="430"/>
        <v>-195.748134166667</v>
      </c>
      <c r="Y992" s="121">
        <f t="shared" ref="Y992:Y1012" si="450">IF(ABS(AB992)=0,"",IF($R992="NO ALLOC","NO ALLOC",ROUND($R992*AB992,15)))</f>
        <v>-161.07395810370801</v>
      </c>
      <c r="Z992" s="121">
        <f t="shared" ref="Z992:Z1012" si="451">IF(ABS(AB992)=0,"",IF($S992="NO ALLOC","NO ALLOC",ROUND($S992*AB992,15)))</f>
        <v>-46.644531896291603</v>
      </c>
      <c r="AA992" s="121">
        <f t="shared" ref="AA992:AA1012" si="452">IF(ABS(AB992)=0,"",IF($T992="NO ALLOC","NO ALLOC",ROUND($T992*AB992,15)))</f>
        <v>0</v>
      </c>
      <c r="AB992" s="121">
        <f t="shared" si="431"/>
        <v>-207.71848999999995</v>
      </c>
      <c r="AC992" s="121">
        <v>-196.41150999999999</v>
      </c>
      <c r="AD992" s="121">
        <v>-196.41150999999999</v>
      </c>
      <c r="AE992" s="121">
        <v>-196.35159999999999</v>
      </c>
      <c r="AF992" s="121">
        <v>-195.43183999999997</v>
      </c>
      <c r="AG992" s="121">
        <v>-195.43183999999997</v>
      </c>
      <c r="AH992" s="121">
        <v>-195.31023999999996</v>
      </c>
      <c r="AI992" s="161">
        <v>-194.74147999999994</v>
      </c>
      <c r="AJ992" s="161">
        <v>-194.03709999999995</v>
      </c>
      <c r="AK992" s="161">
        <v>-194.03709999999995</v>
      </c>
      <c r="AL992" s="161">
        <v>-193.24221999999995</v>
      </c>
      <c r="AM992" s="161">
        <v>-193.24221999999995</v>
      </c>
      <c r="AN992" s="161">
        <v>-198.67545999999993</v>
      </c>
      <c r="AO992" s="161">
        <v>-207.71848999999995</v>
      </c>
      <c r="AP992" s="125" t="str">
        <f>CONCATENATE(A992,M992)</f>
        <v>Def TaxA</v>
      </c>
      <c r="AQ992" s="125" t="str">
        <f>CONCATENATE(AP992,L992,H992)</f>
        <v>Def TaxAA2Tracks 253040</v>
      </c>
      <c r="AS992" s="125" t="str">
        <f>CONCATENATE(L992,H992,J992)</f>
        <v>A2Tracks 253040</v>
      </c>
    </row>
    <row r="993" spans="1:45" s="125" customFormat="1" ht="25.5" customHeight="1">
      <c r="A993" s="216" t="s">
        <v>1996</v>
      </c>
      <c r="B993" s="217" t="str">
        <f t="shared" si="422"/>
        <v>Def Tax1900412BT010088</v>
      </c>
      <c r="C993" s="186">
        <v>190041</v>
      </c>
      <c r="D993" s="201">
        <v>2</v>
      </c>
      <c r="E993" s="162" t="s">
        <v>1915</v>
      </c>
      <c r="F993" s="169" t="s">
        <v>3150</v>
      </c>
      <c r="G993" s="117" t="s">
        <v>3145</v>
      </c>
      <c r="H993" s="118" t="s">
        <v>1488</v>
      </c>
      <c r="I993" s="119"/>
      <c r="J993" s="120"/>
      <c r="K993" s="120" t="str">
        <f t="shared" si="423"/>
        <v/>
      </c>
      <c r="L993" s="170" t="s">
        <v>1895</v>
      </c>
      <c r="M993" s="122" t="str">
        <f t="shared" si="446"/>
        <v>R</v>
      </c>
      <c r="N993" s="116" t="str">
        <f>IF($L993&lt;&gt;"",VLOOKUP($L993,Categories!$E:$G,2,FALSE),IF($F993&lt;&gt;"","NO CAT",""))</f>
        <v>Rate Base</v>
      </c>
      <c r="O993" s="116" t="str">
        <f>IF($L993&lt;&gt;"",VLOOKUP($L993,Categories!$E:$G,3,FALSE),IF($F993&lt;&gt;"","NO CAT",""))</f>
        <v>Deferred Income Taxes</v>
      </c>
      <c r="P993" s="170" t="s">
        <v>1553</v>
      </c>
      <c r="Q993" s="123" t="s">
        <v>2587</v>
      </c>
      <c r="R993" s="124">
        <v>0.81899999999999995</v>
      </c>
      <c r="S993" s="124">
        <v>0.18099999999999999</v>
      </c>
      <c r="T993" s="124">
        <v>0</v>
      </c>
      <c r="U993" s="121">
        <f t="shared" si="447"/>
        <v>-66.694882458750001</v>
      </c>
      <c r="V993" s="121">
        <f t="shared" si="448"/>
        <v>-14.739650457916699</v>
      </c>
      <c r="W993" s="121">
        <f t="shared" si="449"/>
        <v>0</v>
      </c>
      <c r="X993" s="121">
        <f t="shared" si="430"/>
        <v>-81.434532916666697</v>
      </c>
      <c r="Y993" s="121">
        <f t="shared" si="450"/>
        <v>-81.576830790000002</v>
      </c>
      <c r="Z993" s="121">
        <f t="shared" si="451"/>
        <v>-18.02857921</v>
      </c>
      <c r="AA993" s="121">
        <f t="shared" si="452"/>
        <v>0</v>
      </c>
      <c r="AB993" s="121">
        <f t="shared" si="431"/>
        <v>-99.60541000000002</v>
      </c>
      <c r="AC993" s="121">
        <v>-67.258740000000003</v>
      </c>
      <c r="AD993" s="121">
        <v>-67.258740000000003</v>
      </c>
      <c r="AE993" s="121">
        <v>-67.258740000000003</v>
      </c>
      <c r="AF993" s="121">
        <v>-67.258740000000003</v>
      </c>
      <c r="AG993" s="121">
        <v>-67.258740000000003</v>
      </c>
      <c r="AH993" s="121">
        <v>-67.258740000000003</v>
      </c>
      <c r="AI993" s="161">
        <v>-67.258740000000003</v>
      </c>
      <c r="AJ993" s="161">
        <v>-78.847470000000001</v>
      </c>
      <c r="AK993" s="161">
        <v>-78.086479999999995</v>
      </c>
      <c r="AL993" s="161">
        <v>-110.43894</v>
      </c>
      <c r="AM993" s="161">
        <v>-109.73407</v>
      </c>
      <c r="AN993" s="161">
        <v>-113.12292000000001</v>
      </c>
      <c r="AO993" s="161">
        <v>-99.60541000000002</v>
      </c>
      <c r="AP993" s="125" t="str">
        <f>CONCATENATE(A993,M993)</f>
        <v>Def TaxR</v>
      </c>
      <c r="AQ993" s="125" t="str">
        <f>CONCATENATE(AP993,L993,H993)</f>
        <v>Def TaxRR11SFAS-112</v>
      </c>
      <c r="AS993" s="125" t="str">
        <f>CONCATENATE(L993,H993,J993)</f>
        <v>R11SFAS-112</v>
      </c>
    </row>
    <row r="994" spans="1:45" s="125" customFormat="1" ht="25.5" customHeight="1">
      <c r="A994" s="216" t="s">
        <v>1996</v>
      </c>
      <c r="B994" s="217" t="str">
        <f t="shared" si="422"/>
        <v>Def Tax1900413BT010089</v>
      </c>
      <c r="C994" s="186">
        <v>190041</v>
      </c>
      <c r="D994" s="201">
        <v>3</v>
      </c>
      <c r="E994" s="162" t="s">
        <v>1916</v>
      </c>
      <c r="F994" s="169" t="s">
        <v>3150</v>
      </c>
      <c r="G994" s="117" t="s">
        <v>2537</v>
      </c>
      <c r="H994" s="118" t="s">
        <v>170</v>
      </c>
      <c r="I994" s="119"/>
      <c r="J994" s="120"/>
      <c r="K994" s="120" t="str">
        <f t="shared" si="423"/>
        <v/>
      </c>
      <c r="L994" s="170" t="s">
        <v>1895</v>
      </c>
      <c r="M994" s="122" t="str">
        <f t="shared" si="446"/>
        <v>R</v>
      </c>
      <c r="N994" s="116" t="str">
        <f>IF($L994&lt;&gt;"",VLOOKUP($L994,Categories!$E:$G,2,FALSE),IF($F994&lt;&gt;"","NO CAT",""))</f>
        <v>Rate Base</v>
      </c>
      <c r="O994" s="116" t="str">
        <f>IF($L994&lt;&gt;"",VLOOKUP($L994,Categories!$E:$G,3,FALSE),IF($F994&lt;&gt;"","NO CAT",""))</f>
        <v>Deferred Income Taxes</v>
      </c>
      <c r="P994" s="170" t="s">
        <v>1553</v>
      </c>
      <c r="Q994" s="123" t="s">
        <v>2587</v>
      </c>
      <c r="R994" s="124">
        <v>0.81899999999999995</v>
      </c>
      <c r="S994" s="124">
        <v>0.18099999999999999</v>
      </c>
      <c r="T994" s="124">
        <v>0</v>
      </c>
      <c r="U994" s="121">
        <f t="shared" si="447"/>
        <v>-2410.5121898812499</v>
      </c>
      <c r="V994" s="121">
        <f t="shared" si="448"/>
        <v>-532.72613720208301</v>
      </c>
      <c r="W994" s="121">
        <f t="shared" si="449"/>
        <v>0</v>
      </c>
      <c r="X994" s="121">
        <f t="shared" si="430"/>
        <v>-2943.2383270833302</v>
      </c>
      <c r="Y994" s="121">
        <f t="shared" si="450"/>
        <v>-1329.26547663</v>
      </c>
      <c r="Z994" s="121">
        <f t="shared" si="451"/>
        <v>-293.76929337000001</v>
      </c>
      <c r="AA994" s="121">
        <f t="shared" si="452"/>
        <v>0</v>
      </c>
      <c r="AB994" s="121">
        <f t="shared" si="431"/>
        <v>-1623.03477</v>
      </c>
      <c r="AC994" s="121">
        <v>-2637.4211399999995</v>
      </c>
      <c r="AD994" s="121">
        <v>-2650.5417299999995</v>
      </c>
      <c r="AE994" s="121">
        <v>-2688.9941199999998</v>
      </c>
      <c r="AF994" s="121">
        <v>-2748.2779799999994</v>
      </c>
      <c r="AG994" s="121">
        <v>-2773.9164399999995</v>
      </c>
      <c r="AH994" s="121">
        <v>-2839.7190299999993</v>
      </c>
      <c r="AI994" s="161">
        <v>-2925.4995199999994</v>
      </c>
      <c r="AJ994" s="161">
        <v>-3143.9750399999994</v>
      </c>
      <c r="AK994" s="161">
        <v>-3209.9493799999996</v>
      </c>
      <c r="AL994" s="161">
        <v>-3303.1500099999994</v>
      </c>
      <c r="AM994" s="161">
        <v>-3361.0057799999995</v>
      </c>
      <c r="AN994" s="161">
        <v>-3543.6029399999993</v>
      </c>
      <c r="AO994" s="161">
        <v>-1623.03477</v>
      </c>
      <c r="AP994" s="125" t="str">
        <f>CONCATENATE(A994,M994)</f>
        <v>Def TaxR</v>
      </c>
      <c r="AQ994" s="125" t="str">
        <f>CONCATENATE(AP994,L994,H994)</f>
        <v>Def TaxRR11OPEBs</v>
      </c>
      <c r="AS994" s="125" t="str">
        <f>CONCATENATE(L994,H994,J994)</f>
        <v>R11OPEBs</v>
      </c>
    </row>
    <row r="995" spans="1:45" s="125" customFormat="1" ht="25.5" customHeight="1">
      <c r="A995" s="216" t="s">
        <v>1996</v>
      </c>
      <c r="B995" s="217" t="str">
        <f t="shared" si="422"/>
        <v>Def Tax1900414BT010167</v>
      </c>
      <c r="C995" s="186">
        <v>190041</v>
      </c>
      <c r="D995" s="201">
        <v>4</v>
      </c>
      <c r="E995" s="162" t="s">
        <v>286</v>
      </c>
      <c r="F995" s="169" t="s">
        <v>3150</v>
      </c>
      <c r="G995" s="117" t="s">
        <v>1965</v>
      </c>
      <c r="H995" s="118" t="s">
        <v>1002</v>
      </c>
      <c r="I995" s="119"/>
      <c r="J995" s="120"/>
      <c r="K995" s="120" t="str">
        <f t="shared" si="423"/>
        <v/>
      </c>
      <c r="L995" s="170" t="s">
        <v>1895</v>
      </c>
      <c r="M995" s="122" t="str">
        <f t="shared" si="446"/>
        <v>R</v>
      </c>
      <c r="N995" s="116" t="str">
        <f>IF($L995&lt;&gt;"",VLOOKUP($L995,Categories!$E:$G,2,FALSE),IF($F995&lt;&gt;"","NO CAT",""))</f>
        <v>Rate Base</v>
      </c>
      <c r="O995" s="116" t="str">
        <f>IF($L995&lt;&gt;"",VLOOKUP($L995,Categories!$E:$G,3,FALSE),IF($F995&lt;&gt;"","NO CAT",""))</f>
        <v>Deferred Income Taxes</v>
      </c>
      <c r="P995" s="170" t="s">
        <v>1553</v>
      </c>
      <c r="Q995" s="123" t="s">
        <v>2587</v>
      </c>
      <c r="R995" s="124">
        <v>0.81899999999999995</v>
      </c>
      <c r="S995" s="124">
        <v>0.18099999999999999</v>
      </c>
      <c r="T995" s="124">
        <v>0</v>
      </c>
      <c r="U995" s="121">
        <f t="shared" si="447"/>
        <v>11021.40927615</v>
      </c>
      <c r="V995" s="121">
        <f t="shared" si="448"/>
        <v>2435.7449071833298</v>
      </c>
      <c r="W995" s="121">
        <f t="shared" si="449"/>
        <v>0</v>
      </c>
      <c r="X995" s="121">
        <f t="shared" si="430"/>
        <v>13457.154183333299</v>
      </c>
      <c r="Y995" s="121">
        <f t="shared" si="450"/>
        <v>22124.94887421</v>
      </c>
      <c r="Z995" s="121">
        <f t="shared" si="451"/>
        <v>4889.6407157900003</v>
      </c>
      <c r="AA995" s="121">
        <f t="shared" si="452"/>
        <v>0</v>
      </c>
      <c r="AB995" s="121">
        <f t="shared" si="431"/>
        <v>27014.589589999992</v>
      </c>
      <c r="AC995" s="121">
        <v>13535.082910000001</v>
      </c>
      <c r="AD995" s="121">
        <v>13418.80119</v>
      </c>
      <c r="AE995" s="121">
        <v>13302.519469999999</v>
      </c>
      <c r="AF995" s="121">
        <v>13186.203919999998</v>
      </c>
      <c r="AG995" s="121">
        <v>13069.922199999997</v>
      </c>
      <c r="AH995" s="121">
        <v>12953.640469999997</v>
      </c>
      <c r="AI995" s="161">
        <v>12837.358749999996</v>
      </c>
      <c r="AJ995" s="161">
        <v>12721.077029999995</v>
      </c>
      <c r="AK995" s="161">
        <v>12604.795309999994</v>
      </c>
      <c r="AL995" s="161">
        <v>12488.513589999995</v>
      </c>
      <c r="AM995" s="161">
        <v>12372.231869999994</v>
      </c>
      <c r="AN995" s="161">
        <v>12255.950149999993</v>
      </c>
      <c r="AO995" s="161">
        <v>27014.589589999992</v>
      </c>
      <c r="AP995" s="125" t="str">
        <f>CONCATENATE(A995,M995)</f>
        <v>Def TaxR</v>
      </c>
      <c r="AQ995" s="125" t="str">
        <f>CONCATENATE(AP995,L995,H995)</f>
        <v>Def TaxRR11Accrued Pension</v>
      </c>
      <c r="AS995" s="125" t="str">
        <f>CONCATENATE(L995,H995,J995)</f>
        <v>R11Accrued Pension</v>
      </c>
    </row>
    <row r="996" spans="1:45" s="125" customFormat="1" ht="25.5" customHeight="1">
      <c r="A996" s="216" t="s">
        <v>1996</v>
      </c>
      <c r="B996" s="217" t="str">
        <f t="shared" si="422"/>
        <v>Def Tax1900416BT010195</v>
      </c>
      <c r="C996" s="186">
        <v>190041</v>
      </c>
      <c r="D996" s="201">
        <v>6</v>
      </c>
      <c r="E996" s="162" t="s">
        <v>493</v>
      </c>
      <c r="F996" s="169" t="s">
        <v>3150</v>
      </c>
      <c r="G996" s="117" t="s">
        <v>84</v>
      </c>
      <c r="H996" s="118" t="s">
        <v>791</v>
      </c>
      <c r="I996" s="119"/>
      <c r="J996" s="120"/>
      <c r="K996" s="120" t="str">
        <f t="shared" si="423"/>
        <v/>
      </c>
      <c r="L996" s="170" t="s">
        <v>928</v>
      </c>
      <c r="M996" s="122" t="str">
        <f t="shared" si="446"/>
        <v>N</v>
      </c>
      <c r="N996" s="116" t="str">
        <f>IF($L996&lt;&gt;"",VLOOKUP($L996,Categories!$E:$G,2,FALSE),IF($F996&lt;&gt;"","NO CAT",""))</f>
        <v>Not in Rate Base</v>
      </c>
      <c r="O996" s="116" t="str">
        <f>IF($L996&lt;&gt;"",VLOOKUP($L996,Categories!$E:$G,3,FALSE),IF($F996&lt;&gt;"","NO CAT",""))</f>
        <v>Direct Assign Items Not in RB</v>
      </c>
      <c r="P996" s="170" t="s">
        <v>1186</v>
      </c>
      <c r="Q996" s="123" t="s">
        <v>1187</v>
      </c>
      <c r="R996" s="124">
        <v>0</v>
      </c>
      <c r="S996" s="124">
        <v>0</v>
      </c>
      <c r="T996" s="124">
        <v>1</v>
      </c>
      <c r="U996" s="121">
        <f t="shared" si="447"/>
        <v>0</v>
      </c>
      <c r="V996" s="121">
        <f t="shared" si="448"/>
        <v>0</v>
      </c>
      <c r="W996" s="121">
        <f t="shared" si="449"/>
        <v>-436.64680791666598</v>
      </c>
      <c r="X996" s="121">
        <f t="shared" si="430"/>
        <v>-436.64680791666598</v>
      </c>
      <c r="Y996" s="121">
        <f t="shared" si="450"/>
        <v>0</v>
      </c>
      <c r="Z996" s="121">
        <f t="shared" si="451"/>
        <v>0</v>
      </c>
      <c r="AA996" s="121">
        <f t="shared" si="452"/>
        <v>-461.53005999999999</v>
      </c>
      <c r="AB996" s="121">
        <f t="shared" si="431"/>
        <v>-461.53005999999988</v>
      </c>
      <c r="AC996" s="121">
        <v>-417.91940999999991</v>
      </c>
      <c r="AD996" s="121">
        <v>-417.91940999999991</v>
      </c>
      <c r="AE996" s="121">
        <v>-423.89969999999988</v>
      </c>
      <c r="AF996" s="121">
        <v>-424.08612999999991</v>
      </c>
      <c r="AG996" s="121">
        <v>-424.08612999999991</v>
      </c>
      <c r="AH996" s="121">
        <v>-424.08612999999991</v>
      </c>
      <c r="AI996" s="161">
        <v>-424.08612999999991</v>
      </c>
      <c r="AJ996" s="161">
        <v>-424.08612999999991</v>
      </c>
      <c r="AK996" s="161">
        <v>-450.12612999999988</v>
      </c>
      <c r="AL996" s="161">
        <v>-462.5536899999999</v>
      </c>
      <c r="AM996" s="161">
        <v>-462.5536899999999</v>
      </c>
      <c r="AN996" s="161">
        <v>-462.5536899999999</v>
      </c>
      <c r="AO996" s="161">
        <v>-461.53005999999988</v>
      </c>
      <c r="AP996" s="125" t="str">
        <f>CONCATENATE(A996,M996)</f>
        <v>Def TaxN</v>
      </c>
      <c r="AQ996" s="125" t="str">
        <f>CONCATENATE(AP996,L996,H996)</f>
        <v>Def TaxNN2Non-Qualified Retiree Trust (net of related liability)</v>
      </c>
      <c r="AS996" s="125" t="str">
        <f>CONCATENATE(L996,H996,J996)</f>
        <v>N2Non-Qualified Retiree Trust (net of related liability)</v>
      </c>
    </row>
    <row r="997" spans="1:45" s="125" customFormat="1" ht="25.5" customHeight="1">
      <c r="A997" s="216" t="s">
        <v>1996</v>
      </c>
      <c r="B997" s="217" t="str">
        <f>CONCATENATE(A997,C997,D997,E997)</f>
        <v>Def Tax190041BT010125</v>
      </c>
      <c r="C997" s="186">
        <v>190041</v>
      </c>
      <c r="D997" s="201"/>
      <c r="E997" s="162" t="s">
        <v>1024</v>
      </c>
      <c r="F997" s="169" t="s">
        <v>3150</v>
      </c>
      <c r="G997" s="117" t="s">
        <v>4557</v>
      </c>
      <c r="H997" s="118" t="s">
        <v>914</v>
      </c>
      <c r="I997" s="119"/>
      <c r="J997" s="120"/>
      <c r="K997" s="120" t="str">
        <f>IF(L997="N3","SFAS-109","")</f>
        <v/>
      </c>
      <c r="L997" s="170" t="s">
        <v>1895</v>
      </c>
      <c r="M997" s="122" t="str">
        <f t="shared" si="446"/>
        <v>R</v>
      </c>
      <c r="N997" s="116" t="str">
        <f>IF($L997&lt;&gt;"",VLOOKUP($L997,Categories!$E:$G,2,FALSE),IF($F997&lt;&gt;"","NO CAT",""))</f>
        <v>Rate Base</v>
      </c>
      <c r="O997" s="116" t="str">
        <f>IF($L997&lt;&gt;"",VLOOKUP($L997,Categories!$E:$G,3,FALSE),IF($F997&lt;&gt;"","NO CAT",""))</f>
        <v>Deferred Income Taxes</v>
      </c>
      <c r="P997" s="170" t="s">
        <v>1553</v>
      </c>
      <c r="Q997" s="123" t="s">
        <v>2587</v>
      </c>
      <c r="R997" s="124">
        <v>0.81899999999999995</v>
      </c>
      <c r="S997" s="124">
        <v>0.18099999999999999</v>
      </c>
      <c r="T997" s="124">
        <v>0</v>
      </c>
      <c r="U997" s="121">
        <f t="shared" si="447"/>
        <v>-234.27300077999999</v>
      </c>
      <c r="V997" s="121">
        <f t="shared" si="448"/>
        <v>-51.774619219999998</v>
      </c>
      <c r="W997" s="121">
        <f t="shared" si="449"/>
        <v>0</v>
      </c>
      <c r="X997" s="121">
        <f t="shared" si="430"/>
        <v>-286.04761999999999</v>
      </c>
      <c r="Y997" s="121">
        <f t="shared" si="450"/>
        <v>-234.27300077999999</v>
      </c>
      <c r="Z997" s="121">
        <f t="shared" si="451"/>
        <v>-51.774619219999998</v>
      </c>
      <c r="AA997" s="121">
        <f t="shared" si="452"/>
        <v>0</v>
      </c>
      <c r="AB997" s="121">
        <f t="shared" si="431"/>
        <v>-286.04761999999999</v>
      </c>
      <c r="AC997" s="121">
        <v>-286.04761999999999</v>
      </c>
      <c r="AD997" s="121">
        <v>-286.04761999999999</v>
      </c>
      <c r="AE997" s="121">
        <v>-286.04761999999999</v>
      </c>
      <c r="AF997" s="121">
        <v>-286.04761999999999</v>
      </c>
      <c r="AG997" s="121">
        <v>-286.04761999999999</v>
      </c>
      <c r="AH997" s="121">
        <v>-286.04761999999999</v>
      </c>
      <c r="AI997" s="161">
        <v>-286.04761999999999</v>
      </c>
      <c r="AJ997" s="161">
        <v>-286.04761999999999</v>
      </c>
      <c r="AK997" s="161">
        <v>-286.04761999999999</v>
      </c>
      <c r="AL997" s="161">
        <v>-286.04761999999999</v>
      </c>
      <c r="AM997" s="161">
        <v>-286.04761999999999</v>
      </c>
      <c r="AN997" s="161">
        <v>-286.04761999999999</v>
      </c>
      <c r="AO997" s="161">
        <v>-286.04761999999999</v>
      </c>
      <c r="AP997" s="125" t="str">
        <f>CONCATENATE(A997,M997)</f>
        <v>Def TaxR</v>
      </c>
      <c r="AQ997" s="125" t="str">
        <f>CONCATENATE(AP997,L997,H997)</f>
        <v>Def TaxRR11Medicare Subsidy</v>
      </c>
      <c r="AS997" s="125" t="str">
        <f>CONCATENATE(L997,H997,J997)</f>
        <v>R11Medicare Subsidy</v>
      </c>
    </row>
    <row r="998" spans="1:45" s="125" customFormat="1" ht="25.5" customHeight="1">
      <c r="A998" s="216" t="s">
        <v>1996</v>
      </c>
      <c r="B998" s="217" t="str">
        <f>CONCATENATE(A998,C998,D998,E998)</f>
        <v>Def Tax190041BT010381</v>
      </c>
      <c r="C998" s="186">
        <v>190041</v>
      </c>
      <c r="D998" s="201"/>
      <c r="E998" s="162" t="s">
        <v>1532</v>
      </c>
      <c r="F998" s="169" t="s">
        <v>3150</v>
      </c>
      <c r="G998" s="117" t="s">
        <v>4559</v>
      </c>
      <c r="H998" s="118" t="s">
        <v>914</v>
      </c>
      <c r="I998" s="119"/>
      <c r="J998" s="120"/>
      <c r="K998" s="120" t="str">
        <f>IF(L998="N3","SFAS-109","")</f>
        <v/>
      </c>
      <c r="L998" s="170" t="s">
        <v>1895</v>
      </c>
      <c r="M998" s="122" t="str">
        <f t="shared" si="446"/>
        <v>R</v>
      </c>
      <c r="N998" s="116" t="str">
        <f>IF($L998&lt;&gt;"",VLOOKUP($L998,Categories!$E:$G,2,FALSE),IF($F998&lt;&gt;"","NO CAT",""))</f>
        <v>Rate Base</v>
      </c>
      <c r="O998" s="116" t="str">
        <f>IF($L998&lt;&gt;"",VLOOKUP($L998,Categories!$E:$G,3,FALSE),IF($F998&lt;&gt;"","NO CAT",""))</f>
        <v>Deferred Income Taxes</v>
      </c>
      <c r="P998" s="170" t="s">
        <v>1553</v>
      </c>
      <c r="Q998" s="123" t="s">
        <v>2587</v>
      </c>
      <c r="R998" s="124">
        <v>0.81899999999999995</v>
      </c>
      <c r="S998" s="124">
        <v>0.18099999999999999</v>
      </c>
      <c r="T998" s="124">
        <v>0</v>
      </c>
      <c r="U998" s="121">
        <f t="shared" si="447"/>
        <v>80.280837000000005</v>
      </c>
      <c r="V998" s="121">
        <f t="shared" si="448"/>
        <v>17.742163000000001</v>
      </c>
      <c r="W998" s="121">
        <f t="shared" si="449"/>
        <v>0</v>
      </c>
      <c r="X998" s="121">
        <f t="shared" si="430"/>
        <v>98.022999999999996</v>
      </c>
      <c r="Y998" s="121">
        <f t="shared" si="450"/>
        <v>80.280837000000005</v>
      </c>
      <c r="Z998" s="121">
        <f t="shared" si="451"/>
        <v>17.742163000000001</v>
      </c>
      <c r="AA998" s="121">
        <f t="shared" si="452"/>
        <v>0</v>
      </c>
      <c r="AB998" s="121">
        <f t="shared" si="431"/>
        <v>98.022999999999996</v>
      </c>
      <c r="AC998" s="121">
        <v>98.022999999999996</v>
      </c>
      <c r="AD998" s="121">
        <v>98.022999999999996</v>
      </c>
      <c r="AE998" s="121">
        <v>98.022999999999996</v>
      </c>
      <c r="AF998" s="121">
        <v>98.022999999999996</v>
      </c>
      <c r="AG998" s="121">
        <v>98.022999999999996</v>
      </c>
      <c r="AH998" s="121">
        <v>98.022999999999996</v>
      </c>
      <c r="AI998" s="161">
        <v>98.022999999999996</v>
      </c>
      <c r="AJ998" s="161">
        <v>98.022999999999996</v>
      </c>
      <c r="AK998" s="161">
        <v>98.022999999999996</v>
      </c>
      <c r="AL998" s="161">
        <v>98.022999999999996</v>
      </c>
      <c r="AM998" s="161">
        <v>98.022999999999996</v>
      </c>
      <c r="AN998" s="161">
        <v>98.022999999999996</v>
      </c>
      <c r="AO998" s="161">
        <v>98.022999999999996</v>
      </c>
      <c r="AP998" s="125" t="str">
        <f>CONCATENATE(A998,M998)</f>
        <v>Def TaxR</v>
      </c>
      <c r="AQ998" s="125" t="str">
        <f>CONCATENATE(AP998,L998,H998)</f>
        <v>Def TaxRR11Medicare Subsidy</v>
      </c>
      <c r="AS998" s="125" t="str">
        <f>CONCATENATE(L998,H998,J998)</f>
        <v>R11Medicare Subsidy</v>
      </c>
    </row>
    <row r="999" spans="1:45" s="125" customFormat="1" ht="25.5" customHeight="1">
      <c r="A999" s="216" t="s">
        <v>1996</v>
      </c>
      <c r="B999" s="217" t="str">
        <f>CONCATENATE(A999,C999,D999,E999)</f>
        <v>Def Tax190041BT010356</v>
      </c>
      <c r="C999" s="186">
        <v>190041</v>
      </c>
      <c r="D999" s="201"/>
      <c r="E999" s="162" t="s">
        <v>2700</v>
      </c>
      <c r="F999" s="169" t="s">
        <v>3150</v>
      </c>
      <c r="G999" s="117" t="s">
        <v>1009</v>
      </c>
      <c r="H999" s="118" t="s">
        <v>790</v>
      </c>
      <c r="I999" s="119"/>
      <c r="J999" s="120"/>
      <c r="K999" s="120" t="str">
        <f>IF(L999="N3","SFAS-109","")</f>
        <v/>
      </c>
      <c r="L999" s="170" t="s">
        <v>928</v>
      </c>
      <c r="M999" s="122" t="str">
        <f t="shared" si="446"/>
        <v>N</v>
      </c>
      <c r="N999" s="116" t="str">
        <f>IF($L999&lt;&gt;"",VLOOKUP($L999,Categories!$E:$G,2,FALSE),IF($F999&lt;&gt;"","NO CAT",""))</f>
        <v>Not in Rate Base</v>
      </c>
      <c r="O999" s="116" t="str">
        <f>IF($L999&lt;&gt;"",VLOOKUP($L999,Categories!$E:$G,3,FALSE),IF($F999&lt;&gt;"","NO CAT",""))</f>
        <v>Direct Assign Items Not in RB</v>
      </c>
      <c r="P999" s="170" t="s">
        <v>1186</v>
      </c>
      <c r="Q999" s="123" t="s">
        <v>1187</v>
      </c>
      <c r="R999" s="124">
        <v>0</v>
      </c>
      <c r="S999" s="124">
        <v>0</v>
      </c>
      <c r="T999" s="124">
        <v>1</v>
      </c>
      <c r="U999" s="121">
        <f t="shared" si="447"/>
        <v>0</v>
      </c>
      <c r="V999" s="121">
        <f t="shared" si="448"/>
        <v>0</v>
      </c>
      <c r="W999" s="121">
        <f t="shared" si="449"/>
        <v>58.537423750000002</v>
      </c>
      <c r="X999" s="121">
        <f t="shared" si="430"/>
        <v>58.537423750000002</v>
      </c>
      <c r="Y999" s="121">
        <f t="shared" si="450"/>
        <v>0</v>
      </c>
      <c r="Z999" s="121">
        <f t="shared" si="451"/>
        <v>0</v>
      </c>
      <c r="AA999" s="121">
        <f t="shared" si="452"/>
        <v>210.87164000000001</v>
      </c>
      <c r="AB999" s="121">
        <f t="shared" si="431"/>
        <v>210.87164000000001</v>
      </c>
      <c r="AC999" s="121">
        <v>-4.1884299999999932</v>
      </c>
      <c r="AD999" s="121">
        <v>-4.1884299999999932</v>
      </c>
      <c r="AE999" s="121">
        <v>-4.1884299999999932</v>
      </c>
      <c r="AF999" s="121">
        <v>-4.1884299999999932</v>
      </c>
      <c r="AG999" s="121">
        <v>-4.1884299999999932</v>
      </c>
      <c r="AH999" s="121">
        <v>-4.1884299999999932</v>
      </c>
      <c r="AI999" s="161">
        <v>-4.1884299999999932</v>
      </c>
      <c r="AJ999" s="161">
        <v>-4.1884299999999932</v>
      </c>
      <c r="AK999" s="161">
        <v>-4.1884299999999932</v>
      </c>
      <c r="AL999" s="161">
        <v>210.87164000000001</v>
      </c>
      <c r="AM999" s="161">
        <v>210.87164000000001</v>
      </c>
      <c r="AN999" s="161">
        <v>210.87164000000001</v>
      </c>
      <c r="AO999" s="161">
        <v>210.87164000000001</v>
      </c>
      <c r="AP999" s="125" t="str">
        <f>CONCATENATE(A999,M999)</f>
        <v>Def TaxN</v>
      </c>
      <c r="AQ999" s="125" t="str">
        <f>CONCATENATE(AP999,L999,H999)</f>
        <v>Def TaxNN2Executive Compensation</v>
      </c>
      <c r="AS999" s="125" t="str">
        <f>CONCATENATE(L999,H999,J999)</f>
        <v>N2Executive Compensation</v>
      </c>
    </row>
    <row r="1000" spans="1:45" s="125" customFormat="1" ht="25.5" customHeight="1">
      <c r="A1000" s="216" t="s">
        <v>1996</v>
      </c>
      <c r="B1000" s="217" t="str">
        <f t="shared" si="422"/>
        <v>Def Tax1900418BT010244</v>
      </c>
      <c r="C1000" s="186">
        <v>190041</v>
      </c>
      <c r="D1000" s="201">
        <v>8</v>
      </c>
      <c r="E1000" s="162" t="s">
        <v>989</v>
      </c>
      <c r="F1000" s="169" t="s">
        <v>3150</v>
      </c>
      <c r="G1000" s="117" t="s">
        <v>386</v>
      </c>
      <c r="H1000" s="118" t="s">
        <v>1217</v>
      </c>
      <c r="I1000" s="119"/>
      <c r="J1000" s="120"/>
      <c r="K1000" s="120" t="str">
        <f t="shared" si="423"/>
        <v/>
      </c>
      <c r="L1000" s="170" t="s">
        <v>1895</v>
      </c>
      <c r="M1000" s="122" t="str">
        <f t="shared" si="446"/>
        <v>R</v>
      </c>
      <c r="N1000" s="116" t="str">
        <f>IF($L1000&lt;&gt;"",VLOOKUP($L1000,Categories!$E:$G,2,FALSE),IF($F1000&lt;&gt;"","NO CAT",""))</f>
        <v>Rate Base</v>
      </c>
      <c r="O1000" s="116" t="str">
        <f>IF($L1000&lt;&gt;"",VLOOKUP($L1000,Categories!$E:$G,3,FALSE),IF($F1000&lt;&gt;"","NO CAT",""))</f>
        <v>Deferred Income Taxes</v>
      </c>
      <c r="P1000" s="170" t="s">
        <v>1188</v>
      </c>
      <c r="Q1000" s="123" t="s">
        <v>1843</v>
      </c>
      <c r="R1000" s="124">
        <v>0.76071990262269951</v>
      </c>
      <c r="S1000" s="124">
        <v>0.23928009737730072</v>
      </c>
      <c r="T1000" s="124">
        <v>0</v>
      </c>
      <c r="U1000" s="121">
        <f t="shared" si="447"/>
        <v>145.34441499733001</v>
      </c>
      <c r="V1000" s="121">
        <f t="shared" si="448"/>
        <v>45.717255002669702</v>
      </c>
      <c r="W1000" s="121">
        <f t="shared" si="449"/>
        <v>0</v>
      </c>
      <c r="X1000" s="121">
        <f t="shared" si="430"/>
        <v>191.06166999999999</v>
      </c>
      <c r="Y1000" s="121">
        <f t="shared" si="450"/>
        <v>145.34441499733001</v>
      </c>
      <c r="Z1000" s="121">
        <f t="shared" si="451"/>
        <v>45.717255002669702</v>
      </c>
      <c r="AA1000" s="121">
        <f t="shared" si="452"/>
        <v>0</v>
      </c>
      <c r="AB1000" s="121">
        <f t="shared" si="431"/>
        <v>191.06166999999999</v>
      </c>
      <c r="AC1000" s="121">
        <v>191.06166999999999</v>
      </c>
      <c r="AD1000" s="121">
        <v>191.06166999999999</v>
      </c>
      <c r="AE1000" s="121">
        <v>191.06166999999999</v>
      </c>
      <c r="AF1000" s="121">
        <v>191.06166999999999</v>
      </c>
      <c r="AG1000" s="121">
        <v>191.06166999999999</v>
      </c>
      <c r="AH1000" s="121">
        <v>191.06166999999999</v>
      </c>
      <c r="AI1000" s="161">
        <v>191.06166999999999</v>
      </c>
      <c r="AJ1000" s="161">
        <v>191.06166999999999</v>
      </c>
      <c r="AK1000" s="161">
        <v>191.06166999999999</v>
      </c>
      <c r="AL1000" s="161">
        <v>191.06166999999999</v>
      </c>
      <c r="AM1000" s="161">
        <v>191.06166999999999</v>
      </c>
      <c r="AN1000" s="161">
        <v>191.06166999999999</v>
      </c>
      <c r="AO1000" s="161">
        <v>191.06166999999999</v>
      </c>
      <c r="AP1000" s="125" t="str">
        <f>CONCATENATE(A1000,M1000)</f>
        <v>Def TaxR</v>
      </c>
      <c r="AQ1000" s="125" t="str">
        <f>CONCATENATE(AP1000,L1000,H1000)</f>
        <v>Def TaxRR11Workman's Comp Reserve</v>
      </c>
      <c r="AS1000" s="125" t="str">
        <f>CONCATENATE(L1000,H1000,J1000)</f>
        <v>R11Workman's Comp Reserve</v>
      </c>
    </row>
    <row r="1001" spans="1:45" s="125" customFormat="1" ht="25.5" customHeight="1">
      <c r="A1001" s="216" t="s">
        <v>1996</v>
      </c>
      <c r="B1001" s="217" t="str">
        <f t="shared" ref="B1001:B1053" si="453">CONCATENATE(A1001,C1001,D1001,E1001)</f>
        <v>Def Tax1900421BT010049</v>
      </c>
      <c r="C1001" s="186">
        <v>190042</v>
      </c>
      <c r="D1001" s="201">
        <v>1</v>
      </c>
      <c r="E1001" s="162" t="s">
        <v>1744</v>
      </c>
      <c r="F1001" s="169" t="s">
        <v>3151</v>
      </c>
      <c r="G1001" s="117" t="s">
        <v>3144</v>
      </c>
      <c r="H1001" s="118" t="s">
        <v>1218</v>
      </c>
      <c r="I1001" s="119"/>
      <c r="J1001" s="120"/>
      <c r="K1001" s="120" t="str">
        <f t="shared" si="423"/>
        <v/>
      </c>
      <c r="L1001" s="170" t="s">
        <v>1419</v>
      </c>
      <c r="M1001" s="122" t="str">
        <f t="shared" si="446"/>
        <v>A</v>
      </c>
      <c r="N1001" s="116" t="str">
        <f>IF($L1001&lt;&gt;"",VLOOKUP($L1001,Categories!$E:$G,2,FALSE),IF($F1001&lt;&gt;"","NO CAT",""))</f>
        <v>All Other</v>
      </c>
      <c r="O1001" s="116" t="str">
        <f>IF($L1001&lt;&gt;"",VLOOKUP($L1001,Categories!$E:$G,3,FALSE),IF($F1001&lt;&gt;"","NO CAT",""))</f>
        <v>EB-Cap</v>
      </c>
      <c r="P1001" s="170" t="s">
        <v>1557</v>
      </c>
      <c r="Q1001" s="123" t="s">
        <v>1891</v>
      </c>
      <c r="R1001" s="124">
        <v>0.77544352505021785</v>
      </c>
      <c r="S1001" s="124">
        <v>0.22455647494978223</v>
      </c>
      <c r="T1001" s="124">
        <v>0</v>
      </c>
      <c r="U1001" s="121">
        <f t="shared" si="447"/>
        <v>-26.283152627778499</v>
      </c>
      <c r="V1001" s="121">
        <f t="shared" si="448"/>
        <v>-7.6111952888881698</v>
      </c>
      <c r="W1001" s="121">
        <f t="shared" si="449"/>
        <v>0</v>
      </c>
      <c r="X1001" s="121">
        <f t="shared" ref="X1001:X1044" si="454">IF(ISERROR(ROUND((SUM(AC1001:AO1001)-((AC1001+AO1001))/2)/12,15)),"",ROUND((SUM(AC1001:AO1001)-((AC1001+AO1001))/2)/12,15))</f>
        <v>-33.894347916666703</v>
      </c>
      <c r="Y1001" s="121">
        <f t="shared" si="450"/>
        <v>-27.657930314412098</v>
      </c>
      <c r="Z1001" s="121">
        <f t="shared" si="451"/>
        <v>-8.0093096855878692</v>
      </c>
      <c r="AA1001" s="121">
        <f t="shared" si="452"/>
        <v>0</v>
      </c>
      <c r="AB1001" s="121">
        <f t="shared" ref="AB1001:AB1044" si="455">IF(AO1001="",0,+AO1001)</f>
        <v>-35.667240000000007</v>
      </c>
      <c r="AC1001" s="121">
        <v>-33.992590000000007</v>
      </c>
      <c r="AD1001" s="121">
        <v>-33.992590000000007</v>
      </c>
      <c r="AE1001" s="121">
        <v>-33.983719999999998</v>
      </c>
      <c r="AF1001" s="121">
        <v>-33.847499999999997</v>
      </c>
      <c r="AG1001" s="121">
        <v>-33.847499999999997</v>
      </c>
      <c r="AH1001" s="121">
        <v>-33.82949</v>
      </c>
      <c r="AI1001" s="161">
        <v>-33.745249999999999</v>
      </c>
      <c r="AJ1001" s="161">
        <v>-33.640929999999997</v>
      </c>
      <c r="AK1001" s="161">
        <v>-33.640929999999997</v>
      </c>
      <c r="AL1001" s="161">
        <v>-33.523220000000002</v>
      </c>
      <c r="AM1001" s="161">
        <v>-33.523220000000002</v>
      </c>
      <c r="AN1001" s="161">
        <v>-34.327910000000003</v>
      </c>
      <c r="AO1001" s="161">
        <v>-35.667240000000007</v>
      </c>
      <c r="AP1001" s="125" t="str">
        <f>CONCATENATE(A1001,M1001)</f>
        <v>Def TaxA</v>
      </c>
      <c r="AQ1001" s="125" t="str">
        <f>CONCATENATE(AP1001,L1001,H1001)</f>
        <v>Def TaxAA2Tracks 253040</v>
      </c>
      <c r="AS1001" s="125" t="str">
        <f>CONCATENATE(L1001,H1001,J1001)</f>
        <v>A2Tracks 253040</v>
      </c>
    </row>
    <row r="1002" spans="1:45" s="125" customFormat="1" ht="25.5" customHeight="1">
      <c r="A1002" s="216" t="s">
        <v>1996</v>
      </c>
      <c r="B1002" s="217" t="str">
        <f t="shared" si="453"/>
        <v>Def Tax1900422BT010088</v>
      </c>
      <c r="C1002" s="186">
        <v>190042</v>
      </c>
      <c r="D1002" s="201">
        <v>2</v>
      </c>
      <c r="E1002" s="162" t="s">
        <v>1915</v>
      </c>
      <c r="F1002" s="169" t="s">
        <v>3151</v>
      </c>
      <c r="G1002" s="117" t="s">
        <v>3145</v>
      </c>
      <c r="H1002" s="118" t="s">
        <v>1488</v>
      </c>
      <c r="I1002" s="119"/>
      <c r="J1002" s="120"/>
      <c r="K1002" s="120" t="str">
        <f t="shared" si="423"/>
        <v/>
      </c>
      <c r="L1002" s="170" t="s">
        <v>1895</v>
      </c>
      <c r="M1002" s="122" t="str">
        <f t="shared" si="446"/>
        <v>R</v>
      </c>
      <c r="N1002" s="116" t="str">
        <f>IF($L1002&lt;&gt;"",VLOOKUP($L1002,Categories!$E:$G,2,FALSE),IF($F1002&lt;&gt;"","NO CAT",""))</f>
        <v>Rate Base</v>
      </c>
      <c r="O1002" s="116" t="str">
        <f>IF($L1002&lt;&gt;"",VLOOKUP($L1002,Categories!$E:$G,3,FALSE),IF($F1002&lt;&gt;"","NO CAT",""))</f>
        <v>Deferred Income Taxes</v>
      </c>
      <c r="P1002" s="170" t="s">
        <v>1553</v>
      </c>
      <c r="Q1002" s="123" t="s">
        <v>2587</v>
      </c>
      <c r="R1002" s="124">
        <v>0.81899999999999995</v>
      </c>
      <c r="S1002" s="124">
        <v>0.18099999999999999</v>
      </c>
      <c r="T1002" s="124">
        <v>0</v>
      </c>
      <c r="U1002" s="121">
        <f t="shared" si="447"/>
        <v>-10.80524342625</v>
      </c>
      <c r="V1002" s="121">
        <f t="shared" si="448"/>
        <v>-2.3879719904166699</v>
      </c>
      <c r="W1002" s="121">
        <f t="shared" si="449"/>
        <v>0</v>
      </c>
      <c r="X1002" s="121">
        <f t="shared" si="454"/>
        <v>-13.1932154166667</v>
      </c>
      <c r="Y1002" s="121">
        <f t="shared" si="450"/>
        <v>-13.369912920000001</v>
      </c>
      <c r="Z1002" s="121">
        <f t="shared" si="451"/>
        <v>-2.9547670799999999</v>
      </c>
      <c r="AA1002" s="121">
        <f t="shared" si="452"/>
        <v>0</v>
      </c>
      <c r="AB1002" s="121">
        <f t="shared" si="455"/>
        <v>-16.324679999999997</v>
      </c>
      <c r="AC1002" s="121">
        <v>-10.750249999999998</v>
      </c>
      <c r="AD1002" s="121">
        <v>-10.750249999999998</v>
      </c>
      <c r="AE1002" s="121">
        <v>-10.750249999999998</v>
      </c>
      <c r="AF1002" s="121">
        <v>-10.750249999999998</v>
      </c>
      <c r="AG1002" s="121">
        <v>-10.750249999999998</v>
      </c>
      <c r="AH1002" s="121">
        <v>-10.750249999999998</v>
      </c>
      <c r="AI1002" s="161">
        <v>-10.750249999999998</v>
      </c>
      <c r="AJ1002" s="161">
        <v>-12.747369999999998</v>
      </c>
      <c r="AK1002" s="161">
        <v>-12.61623</v>
      </c>
      <c r="AL1002" s="161">
        <v>-18.191650000000003</v>
      </c>
      <c r="AM1002" s="161">
        <v>-18.070180000000001</v>
      </c>
      <c r="AN1002" s="161">
        <v>-18.65419</v>
      </c>
      <c r="AO1002" s="161">
        <v>-16.324679999999997</v>
      </c>
      <c r="AP1002" s="125" t="str">
        <f>CONCATENATE(A1002,M1002)</f>
        <v>Def TaxR</v>
      </c>
      <c r="AQ1002" s="125" t="str">
        <f>CONCATENATE(AP1002,L1002,H1002)</f>
        <v>Def TaxRR11SFAS-112</v>
      </c>
      <c r="AS1002" s="125" t="str">
        <f>CONCATENATE(L1002,H1002,J1002)</f>
        <v>R11SFAS-112</v>
      </c>
    </row>
    <row r="1003" spans="1:45" s="125" customFormat="1" ht="25.5" customHeight="1">
      <c r="A1003" s="216" t="s">
        <v>1996</v>
      </c>
      <c r="B1003" s="217" t="str">
        <f t="shared" si="453"/>
        <v>Def Tax1900423BT010089</v>
      </c>
      <c r="C1003" s="186">
        <v>190042</v>
      </c>
      <c r="D1003" s="201">
        <v>3</v>
      </c>
      <c r="E1003" s="162" t="s">
        <v>1916</v>
      </c>
      <c r="F1003" s="169" t="s">
        <v>3151</v>
      </c>
      <c r="G1003" s="117" t="s">
        <v>2537</v>
      </c>
      <c r="H1003" s="118" t="s">
        <v>170</v>
      </c>
      <c r="I1003" s="119"/>
      <c r="J1003" s="120"/>
      <c r="K1003" s="120" t="str">
        <f t="shared" si="423"/>
        <v/>
      </c>
      <c r="L1003" s="170" t="s">
        <v>1895</v>
      </c>
      <c r="M1003" s="122" t="str">
        <f t="shared" si="446"/>
        <v>R</v>
      </c>
      <c r="N1003" s="116" t="str">
        <f>IF($L1003&lt;&gt;"",VLOOKUP($L1003,Categories!$E:$G,2,FALSE),IF($F1003&lt;&gt;"","NO CAT",""))</f>
        <v>Rate Base</v>
      </c>
      <c r="O1003" s="116" t="str">
        <f>IF($L1003&lt;&gt;"",VLOOKUP($L1003,Categories!$E:$G,3,FALSE),IF($F1003&lt;&gt;"","NO CAT",""))</f>
        <v>Deferred Income Taxes</v>
      </c>
      <c r="P1003" s="170" t="s">
        <v>1553</v>
      </c>
      <c r="Q1003" s="123" t="s">
        <v>2587</v>
      </c>
      <c r="R1003" s="124">
        <v>0.81899999999999995</v>
      </c>
      <c r="S1003" s="124">
        <v>0.18099999999999999</v>
      </c>
      <c r="T1003" s="124">
        <v>0</v>
      </c>
      <c r="U1003" s="121">
        <f t="shared" si="447"/>
        <v>-1078.1188526062499</v>
      </c>
      <c r="V1003" s="121">
        <f t="shared" si="448"/>
        <v>-238.26558281041699</v>
      </c>
      <c r="W1003" s="121">
        <f t="shared" si="449"/>
        <v>0</v>
      </c>
      <c r="X1003" s="121">
        <f t="shared" si="454"/>
        <v>-1316.3844354166699</v>
      </c>
      <c r="Y1003" s="121">
        <f t="shared" si="450"/>
        <v>-766.00637568000104</v>
      </c>
      <c r="Z1003" s="121">
        <f t="shared" si="451"/>
        <v>-169.28834431999999</v>
      </c>
      <c r="AA1003" s="121">
        <f t="shared" si="452"/>
        <v>0</v>
      </c>
      <c r="AB1003" s="121">
        <f t="shared" si="455"/>
        <v>-935.29472000000101</v>
      </c>
      <c r="AC1003" s="121">
        <v>-1228.1073099999999</v>
      </c>
      <c r="AD1003" s="121">
        <v>-1231.8946599999999</v>
      </c>
      <c r="AE1003" s="121">
        <v>-1242.9943799999999</v>
      </c>
      <c r="AF1003" s="121">
        <v>-1260.1072199999999</v>
      </c>
      <c r="AG1003" s="121">
        <v>-1267.5080500000001</v>
      </c>
      <c r="AH1003" s="121">
        <v>-1286.50261</v>
      </c>
      <c r="AI1003" s="161">
        <v>-1311.2639300000001</v>
      </c>
      <c r="AJ1003" s="161">
        <v>-1374.3290400000003</v>
      </c>
      <c r="AK1003" s="161">
        <v>-1393.3731600000003</v>
      </c>
      <c r="AL1003" s="161">
        <v>-1420.2764800000004</v>
      </c>
      <c r="AM1003" s="161">
        <v>-1436.9771000000005</v>
      </c>
      <c r="AN1003" s="161">
        <v>-1489.6855800000005</v>
      </c>
      <c r="AO1003" s="161">
        <v>-935.29472000000101</v>
      </c>
      <c r="AP1003" s="125" t="str">
        <f>CONCATENATE(A1003,M1003)</f>
        <v>Def TaxR</v>
      </c>
      <c r="AQ1003" s="125" t="str">
        <f>CONCATENATE(AP1003,L1003,H1003)</f>
        <v>Def TaxRR11OPEBs</v>
      </c>
      <c r="AS1003" s="125" t="str">
        <f>CONCATENATE(L1003,H1003,J1003)</f>
        <v>R11OPEBs</v>
      </c>
    </row>
    <row r="1004" spans="1:45" s="125" customFormat="1" ht="25.5" customHeight="1">
      <c r="A1004" s="216" t="s">
        <v>1996</v>
      </c>
      <c r="B1004" s="217" t="str">
        <f t="shared" si="453"/>
        <v>Def Tax1900424BT010167</v>
      </c>
      <c r="C1004" s="186">
        <v>190042</v>
      </c>
      <c r="D1004" s="201">
        <v>4</v>
      </c>
      <c r="E1004" s="162" t="s">
        <v>286</v>
      </c>
      <c r="F1004" s="169" t="s">
        <v>3151</v>
      </c>
      <c r="G1004" s="117" t="s">
        <v>1965</v>
      </c>
      <c r="H1004" s="118" t="s">
        <v>1002</v>
      </c>
      <c r="I1004" s="119"/>
      <c r="J1004" s="120"/>
      <c r="K1004" s="120" t="str">
        <f t="shared" si="423"/>
        <v/>
      </c>
      <c r="L1004" s="170" t="s">
        <v>1895</v>
      </c>
      <c r="M1004" s="122" t="str">
        <f t="shared" si="446"/>
        <v>R</v>
      </c>
      <c r="N1004" s="116" t="str">
        <f>IF($L1004&lt;&gt;"",VLOOKUP($L1004,Categories!$E:$G,2,FALSE),IF($F1004&lt;&gt;"","NO CAT",""))</f>
        <v>Rate Base</v>
      </c>
      <c r="O1004" s="116" t="str">
        <f>IF($L1004&lt;&gt;"",VLOOKUP($L1004,Categories!$E:$G,3,FALSE),IF($F1004&lt;&gt;"","NO CAT",""))</f>
        <v>Deferred Income Taxes</v>
      </c>
      <c r="P1004" s="170" t="s">
        <v>1553</v>
      </c>
      <c r="Q1004" s="123" t="s">
        <v>2587</v>
      </c>
      <c r="R1004" s="124">
        <v>0.81899999999999995</v>
      </c>
      <c r="S1004" s="124">
        <v>0.18099999999999999</v>
      </c>
      <c r="T1004" s="124">
        <v>0</v>
      </c>
      <c r="U1004" s="121">
        <f t="shared" si="447"/>
        <v>2876.9752959675002</v>
      </c>
      <c r="V1004" s="121">
        <f t="shared" si="448"/>
        <v>635.81505319916698</v>
      </c>
      <c r="W1004" s="121">
        <f t="shared" si="449"/>
        <v>0</v>
      </c>
      <c r="X1004" s="121">
        <f t="shared" si="454"/>
        <v>3512.7903491666698</v>
      </c>
      <c r="Y1004" s="121">
        <f t="shared" si="450"/>
        <v>6174.9137759400001</v>
      </c>
      <c r="Z1004" s="121">
        <f t="shared" si="451"/>
        <v>1364.66348406</v>
      </c>
      <c r="AA1004" s="121">
        <f t="shared" si="452"/>
        <v>0</v>
      </c>
      <c r="AB1004" s="121">
        <f t="shared" si="455"/>
        <v>7539.5772600000028</v>
      </c>
      <c r="AC1004" s="121">
        <v>3535.936500000003</v>
      </c>
      <c r="AD1004" s="121">
        <v>3501.3988700000027</v>
      </c>
      <c r="AE1004" s="121">
        <v>3466.8612300000027</v>
      </c>
      <c r="AF1004" s="121">
        <v>3432.3135500000026</v>
      </c>
      <c r="AG1004" s="121">
        <v>3397.7759200000028</v>
      </c>
      <c r="AH1004" s="121">
        <v>3363.238290000003</v>
      </c>
      <c r="AI1004" s="161">
        <v>3328.7006600000032</v>
      </c>
      <c r="AJ1004" s="161">
        <v>3294.1630200000027</v>
      </c>
      <c r="AK1004" s="161">
        <v>3259.6253900000029</v>
      </c>
      <c r="AL1004" s="161">
        <v>3225.0877600000031</v>
      </c>
      <c r="AM1004" s="161">
        <v>3190.5501300000033</v>
      </c>
      <c r="AN1004" s="161">
        <v>3156.0124900000028</v>
      </c>
      <c r="AO1004" s="161">
        <v>7539.5772600000028</v>
      </c>
      <c r="AP1004" s="125" t="str">
        <f>CONCATENATE(A1004,M1004)</f>
        <v>Def TaxR</v>
      </c>
      <c r="AQ1004" s="125" t="str">
        <f>CONCATENATE(AP1004,L1004,H1004)</f>
        <v>Def TaxRR11Accrued Pension</v>
      </c>
      <c r="AS1004" s="125" t="str">
        <f>CONCATENATE(L1004,H1004,J1004)</f>
        <v>R11Accrued Pension</v>
      </c>
    </row>
    <row r="1005" spans="1:45" s="125" customFormat="1" ht="25.5" customHeight="1">
      <c r="A1005" s="216" t="s">
        <v>1996</v>
      </c>
      <c r="B1005" s="217" t="str">
        <f t="shared" si="453"/>
        <v>Def Tax1900426BT010195</v>
      </c>
      <c r="C1005" s="186">
        <v>190042</v>
      </c>
      <c r="D1005" s="201">
        <v>6</v>
      </c>
      <c r="E1005" s="162" t="s">
        <v>493</v>
      </c>
      <c r="F1005" s="169" t="s">
        <v>3151</v>
      </c>
      <c r="G1005" s="117" t="s">
        <v>84</v>
      </c>
      <c r="H1005" s="118" t="s">
        <v>791</v>
      </c>
      <c r="I1005" s="119"/>
      <c r="J1005" s="120"/>
      <c r="K1005" s="120" t="str">
        <f t="shared" si="423"/>
        <v/>
      </c>
      <c r="L1005" s="170" t="s">
        <v>928</v>
      </c>
      <c r="M1005" s="122" t="str">
        <f t="shared" si="446"/>
        <v>N</v>
      </c>
      <c r="N1005" s="116" t="str">
        <f>IF($L1005&lt;&gt;"",VLOOKUP($L1005,Categories!$E:$G,2,FALSE),IF($F1005&lt;&gt;"","NO CAT",""))</f>
        <v>Not in Rate Base</v>
      </c>
      <c r="O1005" s="116" t="str">
        <f>IF($L1005&lt;&gt;"",VLOOKUP($L1005,Categories!$E:$G,3,FALSE),IF($F1005&lt;&gt;"","NO CAT",""))</f>
        <v>Direct Assign Items Not in RB</v>
      </c>
      <c r="P1005" s="170" t="s">
        <v>1186</v>
      </c>
      <c r="Q1005" s="123" t="s">
        <v>1187</v>
      </c>
      <c r="R1005" s="124">
        <v>0</v>
      </c>
      <c r="S1005" s="124">
        <v>0</v>
      </c>
      <c r="T1005" s="124">
        <v>1</v>
      </c>
      <c r="U1005" s="121">
        <f t="shared" si="447"/>
        <v>0</v>
      </c>
      <c r="V1005" s="121">
        <f t="shared" si="448"/>
        <v>0</v>
      </c>
      <c r="W1005" s="121">
        <f t="shared" si="449"/>
        <v>-109.16192958333301</v>
      </c>
      <c r="X1005" s="121">
        <f t="shared" si="454"/>
        <v>-109.16192958333301</v>
      </c>
      <c r="Y1005" s="121">
        <f t="shared" si="450"/>
        <v>0</v>
      </c>
      <c r="Z1005" s="121">
        <f t="shared" si="451"/>
        <v>0</v>
      </c>
      <c r="AA1005" s="121">
        <f t="shared" si="452"/>
        <v>-115.38279</v>
      </c>
      <c r="AB1005" s="121">
        <f t="shared" si="455"/>
        <v>-115.38279</v>
      </c>
      <c r="AC1005" s="121">
        <v>-104.48005999999998</v>
      </c>
      <c r="AD1005" s="121">
        <v>-104.48005999999998</v>
      </c>
      <c r="AE1005" s="121">
        <v>-105.97512999999999</v>
      </c>
      <c r="AF1005" s="121">
        <v>-106.02173999999999</v>
      </c>
      <c r="AG1005" s="121">
        <v>-106.02173999999999</v>
      </c>
      <c r="AH1005" s="121">
        <v>-106.02173999999999</v>
      </c>
      <c r="AI1005" s="161">
        <v>-106.02173999999999</v>
      </c>
      <c r="AJ1005" s="161">
        <v>-106.02173999999999</v>
      </c>
      <c r="AK1005" s="161">
        <v>-112.53173999999999</v>
      </c>
      <c r="AL1005" s="161">
        <v>-115.6387</v>
      </c>
      <c r="AM1005" s="161">
        <v>-115.6387</v>
      </c>
      <c r="AN1005" s="161">
        <v>-115.6387</v>
      </c>
      <c r="AO1005" s="161">
        <v>-115.38279</v>
      </c>
      <c r="AP1005" s="125" t="str">
        <f>CONCATENATE(A1005,M1005)</f>
        <v>Def TaxN</v>
      </c>
      <c r="AQ1005" s="125" t="str">
        <f>CONCATENATE(AP1005,L1005,H1005)</f>
        <v>Def TaxNN2Non-Qualified Retiree Trust (net of related liability)</v>
      </c>
      <c r="AS1005" s="125" t="str">
        <f>CONCATENATE(L1005,H1005,J1005)</f>
        <v>N2Non-Qualified Retiree Trust (net of related liability)</v>
      </c>
    </row>
    <row r="1006" spans="1:45" s="125" customFormat="1" ht="25.5" customHeight="1">
      <c r="A1006" s="216" t="s">
        <v>1996</v>
      </c>
      <c r="B1006" s="217" t="str">
        <f>CONCATENATE(A1006,C1006,D1006,E1006)</f>
        <v>Def Tax190042BT010125</v>
      </c>
      <c r="C1006" s="186">
        <v>190042</v>
      </c>
      <c r="D1006" s="201"/>
      <c r="E1006" s="162" t="s">
        <v>1024</v>
      </c>
      <c r="F1006" s="169" t="s">
        <v>3151</v>
      </c>
      <c r="G1006" s="117" t="s">
        <v>4557</v>
      </c>
      <c r="H1006" s="118" t="s">
        <v>914</v>
      </c>
      <c r="I1006" s="119"/>
      <c r="J1006" s="120"/>
      <c r="K1006" s="120" t="str">
        <f>IF(L1006="N3","SFAS-109","")</f>
        <v/>
      </c>
      <c r="L1006" s="170" t="s">
        <v>1895</v>
      </c>
      <c r="M1006" s="122" t="str">
        <f>LEFT(L1006,1)</f>
        <v>R</v>
      </c>
      <c r="N1006" s="116" t="str">
        <f>IF($L1006&lt;&gt;"",VLOOKUP($L1006,Categories!$E:$G,2,FALSE),IF($F1006&lt;&gt;"","NO CAT",""))</f>
        <v>Rate Base</v>
      </c>
      <c r="O1006" s="116" t="str">
        <f>IF($L1006&lt;&gt;"",VLOOKUP($L1006,Categories!$E:$G,3,FALSE),IF($F1006&lt;&gt;"","NO CAT",""))</f>
        <v>Deferred Income Taxes</v>
      </c>
      <c r="P1006" s="170" t="s">
        <v>1553</v>
      </c>
      <c r="Q1006" s="123" t="s">
        <v>2587</v>
      </c>
      <c r="R1006" s="124">
        <v>0.81899999999999995</v>
      </c>
      <c r="S1006" s="124">
        <v>0.18099999999999999</v>
      </c>
      <c r="T1006" s="124">
        <v>0</v>
      </c>
      <c r="U1006" s="121">
        <f>IF(ABS(X1006)=0,"",IF($R1006="NO ALLOC","NO ALLOC",ROUND($R1006*X1006,15)))</f>
        <v>-67.625214929999999</v>
      </c>
      <c r="V1006" s="121">
        <f>IF(ABS(X1006)=0,"",IF($S1006="NO ALLOC","NO ALLOC",ROUND($S1006*X1006,15)))</f>
        <v>-14.94525507</v>
      </c>
      <c r="W1006" s="121">
        <f>IF(ABS(X1006)=0,"",IF($T1006="NO ALLOC","NO ALLOC",ROUND($T1006*X1006,15)))</f>
        <v>0</v>
      </c>
      <c r="X1006" s="121">
        <f t="shared" si="454"/>
        <v>-82.57047</v>
      </c>
      <c r="Y1006" s="121">
        <f>IF(ABS(AB1006)=0,"",IF($R1006="NO ALLOC","NO ALLOC",ROUND($R1006*AB1006,15)))</f>
        <v>-67.625214929999999</v>
      </c>
      <c r="Z1006" s="121">
        <f>IF(ABS(AB1006)=0,"",IF($S1006="NO ALLOC","NO ALLOC",ROUND($S1006*AB1006,15)))</f>
        <v>-14.94525507</v>
      </c>
      <c r="AA1006" s="121">
        <f>IF(ABS(AB1006)=0,"",IF($T1006="NO ALLOC","NO ALLOC",ROUND($T1006*AB1006,15)))</f>
        <v>0</v>
      </c>
      <c r="AB1006" s="121">
        <f t="shared" si="455"/>
        <v>-82.57047</v>
      </c>
      <c r="AC1006" s="121">
        <v>-82.57047</v>
      </c>
      <c r="AD1006" s="121">
        <v>-82.57047</v>
      </c>
      <c r="AE1006" s="121">
        <v>-82.57047</v>
      </c>
      <c r="AF1006" s="121">
        <v>-82.57047</v>
      </c>
      <c r="AG1006" s="121">
        <v>-82.57047</v>
      </c>
      <c r="AH1006" s="121">
        <v>-82.57047</v>
      </c>
      <c r="AI1006" s="161">
        <v>-82.57047</v>
      </c>
      <c r="AJ1006" s="161">
        <v>-82.57047</v>
      </c>
      <c r="AK1006" s="161">
        <v>-82.57047</v>
      </c>
      <c r="AL1006" s="161">
        <v>-82.57047</v>
      </c>
      <c r="AM1006" s="161">
        <v>-82.57047</v>
      </c>
      <c r="AN1006" s="161">
        <v>-82.57047</v>
      </c>
      <c r="AO1006" s="161">
        <v>-82.57047</v>
      </c>
      <c r="AP1006" s="125" t="str">
        <f>CONCATENATE(A1006,M1006)</f>
        <v>Def TaxR</v>
      </c>
      <c r="AQ1006" s="125" t="str">
        <f>CONCATENATE(AP1006,L1006,H1006)</f>
        <v>Def TaxRR11Medicare Subsidy</v>
      </c>
      <c r="AS1006" s="125" t="str">
        <f>CONCATENATE(L1006,H1006,J1006)</f>
        <v>R11Medicare Subsidy</v>
      </c>
    </row>
    <row r="1007" spans="1:45" s="125" customFormat="1" ht="25.5" customHeight="1">
      <c r="A1007" s="216" t="s">
        <v>1996</v>
      </c>
      <c r="B1007" s="217" t="str">
        <f>CONCATENATE(A1007,C1007,D1007,E1007)</f>
        <v>Def Tax190042BT010381</v>
      </c>
      <c r="C1007" s="186">
        <v>190042</v>
      </c>
      <c r="D1007" s="201"/>
      <c r="E1007" s="162" t="s">
        <v>1532</v>
      </c>
      <c r="F1007" s="169" t="s">
        <v>3151</v>
      </c>
      <c r="G1007" s="117" t="s">
        <v>4559</v>
      </c>
      <c r="H1007" s="118" t="s">
        <v>914</v>
      </c>
      <c r="I1007" s="119"/>
      <c r="J1007" s="120"/>
      <c r="K1007" s="120" t="str">
        <f>IF(L1007="N3","SFAS-109","")</f>
        <v/>
      </c>
      <c r="L1007" s="170" t="s">
        <v>1895</v>
      </c>
      <c r="M1007" s="122" t="str">
        <f>LEFT(L1007,1)</f>
        <v>R</v>
      </c>
      <c r="N1007" s="116" t="str">
        <f>IF($L1007&lt;&gt;"",VLOOKUP($L1007,Categories!$E:$G,2,FALSE),IF($F1007&lt;&gt;"","NO CAT",""))</f>
        <v>Rate Base</v>
      </c>
      <c r="O1007" s="116" t="str">
        <f>IF($L1007&lt;&gt;"",VLOOKUP($L1007,Categories!$E:$G,3,FALSE),IF($F1007&lt;&gt;"","NO CAT",""))</f>
        <v>Deferred Income Taxes</v>
      </c>
      <c r="P1007" s="170" t="s">
        <v>1553</v>
      </c>
      <c r="Q1007" s="123" t="s">
        <v>2587</v>
      </c>
      <c r="R1007" s="124">
        <v>0.81899999999999995</v>
      </c>
      <c r="S1007" s="124">
        <v>0.18099999999999999</v>
      </c>
      <c r="T1007" s="124">
        <v>0</v>
      </c>
      <c r="U1007" s="121">
        <f>IF(ABS(X1007)=0,"",IF($R1007="NO ALLOC","NO ALLOC",ROUND($R1007*X1007,15)))</f>
        <v>23.173604999999998</v>
      </c>
      <c r="V1007" s="121">
        <f>IF(ABS(X1007)=0,"",IF($S1007="NO ALLOC","NO ALLOC",ROUND($S1007*X1007,15)))</f>
        <v>5.1213949999999997</v>
      </c>
      <c r="W1007" s="121">
        <f>IF(ABS(X1007)=0,"",IF($T1007="NO ALLOC","NO ALLOC",ROUND($T1007*X1007,15)))</f>
        <v>0</v>
      </c>
      <c r="X1007" s="121">
        <f t="shared" si="454"/>
        <v>28.295000000000002</v>
      </c>
      <c r="Y1007" s="121">
        <f>IF(ABS(AB1007)=0,"",IF($R1007="NO ALLOC","NO ALLOC",ROUND($R1007*AB1007,15)))</f>
        <v>23.173604999999998</v>
      </c>
      <c r="Z1007" s="121">
        <f>IF(ABS(AB1007)=0,"",IF($S1007="NO ALLOC","NO ALLOC",ROUND($S1007*AB1007,15)))</f>
        <v>5.1213949999999997</v>
      </c>
      <c r="AA1007" s="121">
        <f>IF(ABS(AB1007)=0,"",IF($T1007="NO ALLOC","NO ALLOC",ROUND($T1007*AB1007,15)))</f>
        <v>0</v>
      </c>
      <c r="AB1007" s="121">
        <f t="shared" si="455"/>
        <v>28.295000000000002</v>
      </c>
      <c r="AC1007" s="121">
        <v>28.295000000000002</v>
      </c>
      <c r="AD1007" s="121">
        <v>28.295000000000002</v>
      </c>
      <c r="AE1007" s="121">
        <v>28.295000000000002</v>
      </c>
      <c r="AF1007" s="121">
        <v>28.295000000000002</v>
      </c>
      <c r="AG1007" s="121">
        <v>28.295000000000002</v>
      </c>
      <c r="AH1007" s="121">
        <v>28.295000000000002</v>
      </c>
      <c r="AI1007" s="161">
        <v>28.295000000000002</v>
      </c>
      <c r="AJ1007" s="161">
        <v>28.295000000000002</v>
      </c>
      <c r="AK1007" s="161">
        <v>28.295000000000002</v>
      </c>
      <c r="AL1007" s="161">
        <v>28.295000000000002</v>
      </c>
      <c r="AM1007" s="161">
        <v>28.295000000000002</v>
      </c>
      <c r="AN1007" s="161">
        <v>28.295000000000002</v>
      </c>
      <c r="AO1007" s="161">
        <v>28.295000000000002</v>
      </c>
      <c r="AP1007" s="125" t="str">
        <f>CONCATENATE(A1007,M1007)</f>
        <v>Def TaxR</v>
      </c>
      <c r="AQ1007" s="125" t="str">
        <f>CONCATENATE(AP1007,L1007,H1007)</f>
        <v>Def TaxRR11Medicare Subsidy</v>
      </c>
      <c r="AS1007" s="125" t="str">
        <f>CONCATENATE(L1007,H1007,J1007)</f>
        <v>R11Medicare Subsidy</v>
      </c>
    </row>
    <row r="1008" spans="1:45" s="125" customFormat="1" ht="25.5" customHeight="1">
      <c r="A1008" s="216" t="s">
        <v>1996</v>
      </c>
      <c r="B1008" s="217" t="str">
        <f>CONCATENATE(A1008,C1008,D1008,E1008)</f>
        <v>Def Tax190042BT010356</v>
      </c>
      <c r="C1008" s="186">
        <v>190042</v>
      </c>
      <c r="D1008" s="201"/>
      <c r="E1008" s="162" t="s">
        <v>2700</v>
      </c>
      <c r="F1008" s="169" t="s">
        <v>3151</v>
      </c>
      <c r="G1008" s="117" t="s">
        <v>1009</v>
      </c>
      <c r="H1008" s="118" t="s">
        <v>790</v>
      </c>
      <c r="I1008" s="119"/>
      <c r="J1008" s="120"/>
      <c r="K1008" s="120" t="str">
        <f>IF(L1008="N3","SFAS-109","")</f>
        <v/>
      </c>
      <c r="L1008" s="170" t="s">
        <v>928</v>
      </c>
      <c r="M1008" s="122" t="str">
        <f>LEFT(L1008,1)</f>
        <v>N</v>
      </c>
      <c r="N1008" s="116" t="str">
        <f>IF($L1008&lt;&gt;"",VLOOKUP($L1008,Categories!$E:$G,2,FALSE),IF($F1008&lt;&gt;"","NO CAT",""))</f>
        <v>Not in Rate Base</v>
      </c>
      <c r="O1008" s="116" t="str">
        <f>IF($L1008&lt;&gt;"",VLOOKUP($L1008,Categories!$E:$G,3,FALSE),IF($F1008&lt;&gt;"","NO CAT",""))</f>
        <v>Direct Assign Items Not in RB</v>
      </c>
      <c r="P1008" s="170" t="s">
        <v>1186</v>
      </c>
      <c r="Q1008" s="123" t="s">
        <v>1187</v>
      </c>
      <c r="R1008" s="124">
        <v>0</v>
      </c>
      <c r="S1008" s="124">
        <v>0</v>
      </c>
      <c r="T1008" s="124">
        <v>1</v>
      </c>
      <c r="U1008" s="121">
        <f>IF(ABS(X1008)=0,"",IF($R1008="NO ALLOC","NO ALLOC",ROUND($R1008*X1008,15)))</f>
        <v>0</v>
      </c>
      <c r="V1008" s="121">
        <f>IF(ABS(X1008)=0,"",IF($S1008="NO ALLOC","NO ALLOC",ROUND($S1008*X1008,15)))</f>
        <v>0</v>
      </c>
      <c r="W1008" s="121">
        <f>IF(ABS(X1008)=0,"",IF($T1008="NO ALLOC","NO ALLOC",ROUND($T1008*X1008,15)))</f>
        <v>12.597377083333299</v>
      </c>
      <c r="X1008" s="121">
        <f t="shared" si="454"/>
        <v>12.597377083333299</v>
      </c>
      <c r="Y1008" s="121">
        <f>IF(ABS(AB1008)=0,"",IF($R1008="NO ALLOC","NO ALLOC",ROUND($R1008*AB1008,15)))</f>
        <v>0</v>
      </c>
      <c r="Z1008" s="121">
        <f>IF(ABS(AB1008)=0,"",IF($S1008="NO ALLOC","NO ALLOC",ROUND($S1008*AB1008,15)))</f>
        <v>0</v>
      </c>
      <c r="AA1008" s="121">
        <f>IF(ABS(AB1008)=0,"",IF($T1008="NO ALLOC","NO ALLOC",ROUND($T1008*AB1008,15)))</f>
        <v>35.158920000000002</v>
      </c>
      <c r="AB1008" s="121">
        <f t="shared" si="455"/>
        <v>35.158919999999995</v>
      </c>
      <c r="AC1008" s="121">
        <v>3.3073299999999981</v>
      </c>
      <c r="AD1008" s="121">
        <v>3.3073299999999981</v>
      </c>
      <c r="AE1008" s="121">
        <v>3.3073299999999981</v>
      </c>
      <c r="AF1008" s="121">
        <v>3.3073299999999981</v>
      </c>
      <c r="AG1008" s="121">
        <v>3.3073299999999981</v>
      </c>
      <c r="AH1008" s="121">
        <v>3.3073299999999981</v>
      </c>
      <c r="AI1008" s="161">
        <v>3.3073299999999981</v>
      </c>
      <c r="AJ1008" s="161">
        <v>3.3073299999999981</v>
      </c>
      <c r="AK1008" s="161">
        <v>3.3073299999999981</v>
      </c>
      <c r="AL1008" s="161">
        <v>35.158919999999995</v>
      </c>
      <c r="AM1008" s="161">
        <v>35.158919999999995</v>
      </c>
      <c r="AN1008" s="161">
        <v>35.158919999999995</v>
      </c>
      <c r="AO1008" s="161">
        <v>35.158919999999995</v>
      </c>
      <c r="AP1008" s="125" t="str">
        <f>CONCATENATE(A1008,M1008)</f>
        <v>Def TaxN</v>
      </c>
      <c r="AQ1008" s="125" t="str">
        <f>CONCATENATE(AP1008,L1008,H1008)</f>
        <v>Def TaxNN2Executive Compensation</v>
      </c>
      <c r="AS1008" s="125" t="str">
        <f>CONCATENATE(L1008,H1008,J1008)</f>
        <v>N2Executive Compensation</v>
      </c>
    </row>
    <row r="1009" spans="1:45" s="125" customFormat="1" ht="25.5" customHeight="1">
      <c r="A1009" s="216" t="s">
        <v>1996</v>
      </c>
      <c r="B1009" s="217" t="str">
        <f t="shared" si="453"/>
        <v>Def Tax1900428BT010244</v>
      </c>
      <c r="C1009" s="186">
        <v>190042</v>
      </c>
      <c r="D1009" s="201">
        <v>8</v>
      </c>
      <c r="E1009" s="162" t="s">
        <v>989</v>
      </c>
      <c r="F1009" s="169" t="s">
        <v>3151</v>
      </c>
      <c r="G1009" s="117" t="s">
        <v>386</v>
      </c>
      <c r="H1009" s="118" t="s">
        <v>1217</v>
      </c>
      <c r="I1009" s="119"/>
      <c r="J1009" s="120"/>
      <c r="K1009" s="120" t="str">
        <f t="shared" si="423"/>
        <v/>
      </c>
      <c r="L1009" s="170" t="s">
        <v>1895</v>
      </c>
      <c r="M1009" s="122" t="str">
        <f t="shared" si="446"/>
        <v>R</v>
      </c>
      <c r="N1009" s="116" t="str">
        <f>IF($L1009&lt;&gt;"",VLOOKUP($L1009,Categories!$E:$G,2,FALSE),IF($F1009&lt;&gt;"","NO CAT",""))</f>
        <v>Rate Base</v>
      </c>
      <c r="O1009" s="116" t="str">
        <f>IF($L1009&lt;&gt;"",VLOOKUP($L1009,Categories!$E:$G,3,FALSE),IF($F1009&lt;&gt;"","NO CAT",""))</f>
        <v>Deferred Income Taxes</v>
      </c>
      <c r="P1009" s="170" t="s">
        <v>1188</v>
      </c>
      <c r="Q1009" s="123" t="s">
        <v>1843</v>
      </c>
      <c r="R1009" s="124">
        <v>0.76071990262269951</v>
      </c>
      <c r="S1009" s="124">
        <v>0.23928009737730072</v>
      </c>
      <c r="T1009" s="124">
        <v>0</v>
      </c>
      <c r="U1009" s="121">
        <f t="shared" si="447"/>
        <v>25.911055568809399</v>
      </c>
      <c r="V1009" s="121">
        <f t="shared" si="448"/>
        <v>8.1501744311906403</v>
      </c>
      <c r="W1009" s="121">
        <f t="shared" si="449"/>
        <v>0</v>
      </c>
      <c r="X1009" s="121">
        <f t="shared" si="454"/>
        <v>34.061230000000002</v>
      </c>
      <c r="Y1009" s="121">
        <f t="shared" si="450"/>
        <v>25.911055568809399</v>
      </c>
      <c r="Z1009" s="121">
        <f t="shared" si="451"/>
        <v>8.1501744311906403</v>
      </c>
      <c r="AA1009" s="121">
        <f t="shared" si="452"/>
        <v>0</v>
      </c>
      <c r="AB1009" s="121">
        <f t="shared" si="455"/>
        <v>34.061229999999995</v>
      </c>
      <c r="AC1009" s="121">
        <v>34.061229999999995</v>
      </c>
      <c r="AD1009" s="121">
        <v>34.061229999999995</v>
      </c>
      <c r="AE1009" s="121">
        <v>34.061229999999995</v>
      </c>
      <c r="AF1009" s="121">
        <v>34.061229999999995</v>
      </c>
      <c r="AG1009" s="121">
        <v>34.061229999999995</v>
      </c>
      <c r="AH1009" s="121">
        <v>34.061229999999995</v>
      </c>
      <c r="AI1009" s="161">
        <v>34.061229999999995</v>
      </c>
      <c r="AJ1009" s="161">
        <v>34.061229999999995</v>
      </c>
      <c r="AK1009" s="161">
        <v>34.061229999999995</v>
      </c>
      <c r="AL1009" s="161">
        <v>34.061229999999995</v>
      </c>
      <c r="AM1009" s="161">
        <v>34.061229999999995</v>
      </c>
      <c r="AN1009" s="161">
        <v>34.061229999999995</v>
      </c>
      <c r="AO1009" s="161">
        <v>34.061229999999995</v>
      </c>
      <c r="AP1009" s="125" t="str">
        <f>CONCATENATE(A1009,M1009)</f>
        <v>Def TaxR</v>
      </c>
      <c r="AQ1009" s="125" t="str">
        <f>CONCATENATE(AP1009,L1009,H1009)</f>
        <v>Def TaxRR11Workman's Comp Reserve</v>
      </c>
      <c r="AS1009" s="125" t="str">
        <f>CONCATENATE(L1009,H1009,J1009)</f>
        <v>R11Workman's Comp Reserve</v>
      </c>
    </row>
    <row r="1010" spans="1:45" s="125" customFormat="1" ht="25.5" customHeight="1">
      <c r="A1010" s="216" t="s">
        <v>1996</v>
      </c>
      <c r="B1010" s="217" t="str">
        <f t="shared" si="453"/>
        <v>Def Tax1900462BT010241</v>
      </c>
      <c r="C1010" s="186">
        <v>190046</v>
      </c>
      <c r="D1010" s="201">
        <v>2</v>
      </c>
      <c r="E1010" s="162" t="s">
        <v>988</v>
      </c>
      <c r="F1010" s="169" t="s">
        <v>3152</v>
      </c>
      <c r="G1010" s="117" t="s">
        <v>987</v>
      </c>
      <c r="H1010" s="118" t="s">
        <v>220</v>
      </c>
      <c r="I1010" s="119"/>
      <c r="J1010" s="120"/>
      <c r="K1010" s="120" t="str">
        <f t="shared" si="423"/>
        <v/>
      </c>
      <c r="L1010" s="170" t="s">
        <v>1419</v>
      </c>
      <c r="M1010" s="122" t="str">
        <f t="shared" si="446"/>
        <v>A</v>
      </c>
      <c r="N1010" s="116" t="str">
        <f>IF($L1010&lt;&gt;"",VLOOKUP($L1010,Categories!$E:$G,2,FALSE),IF($F1010&lt;&gt;"","NO CAT",""))</f>
        <v>All Other</v>
      </c>
      <c r="O1010" s="116" t="str">
        <f>IF($L1010&lt;&gt;"",VLOOKUP($L1010,Categories!$E:$G,3,FALSE),IF($F1010&lt;&gt;"","NO CAT",""))</f>
        <v>EB-Cap</v>
      </c>
      <c r="P1010" s="170" t="s">
        <v>1557</v>
      </c>
      <c r="Q1010" s="123" t="s">
        <v>1891</v>
      </c>
      <c r="R1010" s="124">
        <v>0.77544352505021785</v>
      </c>
      <c r="S1010" s="124">
        <v>0.22455647494978223</v>
      </c>
      <c r="T1010" s="124">
        <v>0</v>
      </c>
      <c r="U1010" s="121">
        <f t="shared" si="447"/>
        <v>53.979740417421702</v>
      </c>
      <c r="V1010" s="121">
        <f t="shared" si="448"/>
        <v>15.6316995825783</v>
      </c>
      <c r="W1010" s="121">
        <f t="shared" si="449"/>
        <v>0</v>
      </c>
      <c r="X1010" s="121">
        <f t="shared" si="454"/>
        <v>69.611440000000002</v>
      </c>
      <c r="Y1010" s="121">
        <f t="shared" si="450"/>
        <v>53.979740417421702</v>
      </c>
      <c r="Z1010" s="121">
        <f t="shared" si="451"/>
        <v>15.6316995825783</v>
      </c>
      <c r="AA1010" s="121">
        <f t="shared" si="452"/>
        <v>0</v>
      </c>
      <c r="AB1010" s="121">
        <f t="shared" si="455"/>
        <v>69.611440000000002</v>
      </c>
      <c r="AC1010" s="121">
        <v>69.611440000000002</v>
      </c>
      <c r="AD1010" s="121">
        <v>69.611440000000002</v>
      </c>
      <c r="AE1010" s="121">
        <v>69.611440000000002</v>
      </c>
      <c r="AF1010" s="121">
        <v>69.611440000000002</v>
      </c>
      <c r="AG1010" s="121">
        <v>69.611440000000002</v>
      </c>
      <c r="AH1010" s="121">
        <v>69.611440000000002</v>
      </c>
      <c r="AI1010" s="161">
        <v>69.611440000000002</v>
      </c>
      <c r="AJ1010" s="161">
        <v>69.611440000000002</v>
      </c>
      <c r="AK1010" s="161">
        <v>69.611440000000002</v>
      </c>
      <c r="AL1010" s="161">
        <v>69.611440000000002</v>
      </c>
      <c r="AM1010" s="161">
        <v>69.611440000000002</v>
      </c>
      <c r="AN1010" s="161">
        <v>69.611440000000002</v>
      </c>
      <c r="AO1010" s="161">
        <v>69.611440000000002</v>
      </c>
      <c r="AP1010" s="125" t="str">
        <f>CONCATENATE(A1010,M1010)</f>
        <v>Def TaxA</v>
      </c>
      <c r="AQ1010" s="125" t="str">
        <f>CONCATENATE(AP1010,L1010,H1010)</f>
        <v>Def TaxAA2Payroll-Related Costs</v>
      </c>
      <c r="AS1010" s="125" t="str">
        <f>CONCATENATE(L1010,H1010,J1010)</f>
        <v>A2Payroll-Related Costs</v>
      </c>
    </row>
    <row r="1011" spans="1:45" s="125" customFormat="1" ht="25.5" customHeight="1">
      <c r="A1011" s="216" t="s">
        <v>1996</v>
      </c>
      <c r="B1011" s="217" t="str">
        <f t="shared" si="453"/>
        <v>Def Tax1900463BT010356</v>
      </c>
      <c r="C1011" s="186">
        <v>190046</v>
      </c>
      <c r="D1011" s="201">
        <v>3</v>
      </c>
      <c r="E1011" s="162" t="s">
        <v>2700</v>
      </c>
      <c r="F1011" s="169" t="s">
        <v>3152</v>
      </c>
      <c r="G1011" s="117" t="s">
        <v>3148</v>
      </c>
      <c r="H1011" s="118" t="s">
        <v>790</v>
      </c>
      <c r="I1011" s="119"/>
      <c r="J1011" s="120"/>
      <c r="K1011" s="120" t="str">
        <f t="shared" si="423"/>
        <v/>
      </c>
      <c r="L1011" s="170" t="s">
        <v>928</v>
      </c>
      <c r="M1011" s="122" t="str">
        <f t="shared" si="446"/>
        <v>N</v>
      </c>
      <c r="N1011" s="116" t="str">
        <f>IF($L1011&lt;&gt;"",VLOOKUP($L1011,Categories!$E:$G,2,FALSE),IF($F1011&lt;&gt;"","NO CAT",""))</f>
        <v>Not in Rate Base</v>
      </c>
      <c r="O1011" s="116" t="str">
        <f>IF($L1011&lt;&gt;"",VLOOKUP($L1011,Categories!$E:$G,3,FALSE),IF($F1011&lt;&gt;"","NO CAT",""))</f>
        <v>Direct Assign Items Not in RB</v>
      </c>
      <c r="P1011" s="170" t="s">
        <v>1186</v>
      </c>
      <c r="Q1011" s="123" t="s">
        <v>1187</v>
      </c>
      <c r="R1011" s="124">
        <v>0</v>
      </c>
      <c r="S1011" s="124">
        <v>0</v>
      </c>
      <c r="T1011" s="124">
        <v>1</v>
      </c>
      <c r="U1011" s="121">
        <f t="shared" si="447"/>
        <v>0</v>
      </c>
      <c r="V1011" s="121">
        <f t="shared" si="448"/>
        <v>0</v>
      </c>
      <c r="W1011" s="121">
        <f t="shared" si="449"/>
        <v>36.1904504166667</v>
      </c>
      <c r="X1011" s="121">
        <f t="shared" si="454"/>
        <v>36.1904504166667</v>
      </c>
      <c r="Y1011" s="121">
        <f t="shared" si="450"/>
        <v>0</v>
      </c>
      <c r="Z1011" s="121">
        <f t="shared" si="451"/>
        <v>0</v>
      </c>
      <c r="AA1011" s="121">
        <f t="shared" si="452"/>
        <v>46.022790000000001</v>
      </c>
      <c r="AB1011" s="121">
        <f t="shared" si="455"/>
        <v>46.022790000000001</v>
      </c>
      <c r="AC1011" s="121">
        <v>31.281500000000001</v>
      </c>
      <c r="AD1011" s="121">
        <v>31.281500000000001</v>
      </c>
      <c r="AE1011" s="121">
        <v>31.281500000000001</v>
      </c>
      <c r="AF1011" s="121">
        <v>31.281500000000001</v>
      </c>
      <c r="AG1011" s="121">
        <v>31.281500000000001</v>
      </c>
      <c r="AH1011" s="121">
        <v>31.281500000000001</v>
      </c>
      <c r="AI1011" s="161">
        <v>31.281500000000001</v>
      </c>
      <c r="AJ1011" s="161">
        <v>31.281500000000001</v>
      </c>
      <c r="AK1011" s="161">
        <v>31.281500000000001</v>
      </c>
      <c r="AL1011" s="161">
        <v>49.803410000000007</v>
      </c>
      <c r="AM1011" s="161">
        <v>49.803410000000007</v>
      </c>
      <c r="AN1011" s="161">
        <v>45.774440000000006</v>
      </c>
      <c r="AO1011" s="161">
        <v>46.022790000000001</v>
      </c>
      <c r="AP1011" s="125" t="str">
        <f>CONCATENATE(A1011,M1011)</f>
        <v>Def TaxN</v>
      </c>
      <c r="AQ1011" s="125" t="str">
        <f>CONCATENATE(AP1011,L1011,H1011)</f>
        <v>Def TaxNN2Executive Compensation</v>
      </c>
      <c r="AS1011" s="125" t="str">
        <f>CONCATENATE(L1011,H1011,J1011)</f>
        <v>N2Executive Compensation</v>
      </c>
    </row>
    <row r="1012" spans="1:45" s="125" customFormat="1" ht="25.5" customHeight="1">
      <c r="A1012" s="216" t="s">
        <v>1996</v>
      </c>
      <c r="B1012" s="217" t="str">
        <f t="shared" si="453"/>
        <v>Def Tax1900464BTHUNGD</v>
      </c>
      <c r="C1012" s="186">
        <v>190046</v>
      </c>
      <c r="D1012" s="201">
        <v>4</v>
      </c>
      <c r="E1012" s="162" t="s">
        <v>3790</v>
      </c>
      <c r="F1012" s="169" t="s">
        <v>3152</v>
      </c>
      <c r="G1012" s="117" t="s">
        <v>3148</v>
      </c>
      <c r="H1012" s="118" t="s">
        <v>1167</v>
      </c>
      <c r="I1012" s="119"/>
      <c r="J1012" s="120"/>
      <c r="K1012" s="120" t="str">
        <f t="shared" si="423"/>
        <v/>
      </c>
      <c r="L1012" s="170" t="s">
        <v>928</v>
      </c>
      <c r="M1012" s="122" t="str">
        <f t="shared" si="446"/>
        <v>N</v>
      </c>
      <c r="N1012" s="116" t="str">
        <f>IF($L1012&lt;&gt;"",VLOOKUP($L1012,Categories!$E:$G,2,FALSE),IF($F1012&lt;&gt;"","NO CAT",""))</f>
        <v>Not in Rate Base</v>
      </c>
      <c r="O1012" s="116" t="str">
        <f>IF($L1012&lt;&gt;"",VLOOKUP($L1012,Categories!$E:$G,3,FALSE),IF($F1012&lt;&gt;"","NO CAT",""))</f>
        <v>Direct Assign Items Not in RB</v>
      </c>
      <c r="P1012" s="170" t="s">
        <v>1186</v>
      </c>
      <c r="Q1012" s="123" t="s">
        <v>1187</v>
      </c>
      <c r="R1012" s="124">
        <v>0</v>
      </c>
      <c r="S1012" s="124">
        <v>0</v>
      </c>
      <c r="T1012" s="124">
        <v>1</v>
      </c>
      <c r="U1012" s="121" t="str">
        <f t="shared" si="447"/>
        <v/>
      </c>
      <c r="V1012" s="121" t="str">
        <f t="shared" si="448"/>
        <v/>
      </c>
      <c r="W1012" s="121" t="str">
        <f t="shared" si="449"/>
        <v/>
      </c>
      <c r="X1012" s="121">
        <f t="shared" si="454"/>
        <v>0</v>
      </c>
      <c r="Y1012" s="121" t="str">
        <f t="shared" si="450"/>
        <v/>
      </c>
      <c r="Z1012" s="121" t="str">
        <f t="shared" si="451"/>
        <v/>
      </c>
      <c r="AA1012" s="121" t="str">
        <f t="shared" si="452"/>
        <v/>
      </c>
      <c r="AB1012" s="121">
        <f t="shared" si="455"/>
        <v>0</v>
      </c>
      <c r="AC1012" s="121">
        <v>0</v>
      </c>
      <c r="AD1012" s="121">
        <v>0</v>
      </c>
      <c r="AE1012" s="121">
        <v>0</v>
      </c>
      <c r="AF1012" s="121">
        <v>0</v>
      </c>
      <c r="AG1012" s="121">
        <v>0</v>
      </c>
      <c r="AH1012" s="121">
        <v>0</v>
      </c>
      <c r="AI1012" s="161">
        <v>0</v>
      </c>
      <c r="AJ1012" s="161">
        <f>IF(AI1012=0,0,0)</f>
        <v>0</v>
      </c>
      <c r="AK1012" s="161">
        <v>0</v>
      </c>
      <c r="AL1012" s="161">
        <v>0</v>
      </c>
      <c r="AM1012" s="161">
        <v>0</v>
      </c>
      <c r="AN1012" s="161">
        <v>0</v>
      </c>
      <c r="AO1012" s="161">
        <v>0</v>
      </c>
      <c r="AP1012" s="125" t="str">
        <f>CONCATENATE(A1012,M1012)</f>
        <v>Def TaxN</v>
      </c>
      <c r="AQ1012" s="125" t="str">
        <f>CONCATENATE(AP1012,L1012,H1012)</f>
        <v>Def TaxNN2Hung Deferred Taxes</v>
      </c>
      <c r="AS1012" s="125" t="str">
        <f>CONCATENATE(L1012,H1012,J1012)</f>
        <v>N2Hung Deferred Taxes</v>
      </c>
    </row>
    <row r="1013" spans="1:45" s="125" customFormat="1" ht="25.5" customHeight="1">
      <c r="A1013" s="216" t="s">
        <v>1996</v>
      </c>
      <c r="B1013" s="217" t="str">
        <f t="shared" si="453"/>
        <v>Def Tax1900471BT010241</v>
      </c>
      <c r="C1013" s="186">
        <v>190047</v>
      </c>
      <c r="D1013" s="201">
        <v>1</v>
      </c>
      <c r="E1013" s="162" t="s">
        <v>988</v>
      </c>
      <c r="F1013" s="169" t="s">
        <v>3152</v>
      </c>
      <c r="G1013" s="117" t="s">
        <v>987</v>
      </c>
      <c r="H1013" s="118" t="s">
        <v>220</v>
      </c>
      <c r="I1013" s="119"/>
      <c r="J1013" s="120"/>
      <c r="K1013" s="120" t="str">
        <f>IF(L1013="N3","SFAS-109","")</f>
        <v/>
      </c>
      <c r="L1013" s="170" t="s">
        <v>1419</v>
      </c>
      <c r="M1013" s="122" t="str">
        <f>LEFT(L1013,1)</f>
        <v>A</v>
      </c>
      <c r="N1013" s="116" t="str">
        <f>IF($L1013&lt;&gt;"",VLOOKUP($L1013,Categories!$E:$G,2,FALSE),IF($F1013&lt;&gt;"","NO CAT",""))</f>
        <v>All Other</v>
      </c>
      <c r="O1013" s="116" t="str">
        <f>IF($L1013&lt;&gt;"",VLOOKUP($L1013,Categories!$E:$G,3,FALSE),IF($F1013&lt;&gt;"","NO CAT",""))</f>
        <v>EB-Cap</v>
      </c>
      <c r="P1013" s="170" t="s">
        <v>1557</v>
      </c>
      <c r="Q1013" s="123" t="s">
        <v>1891</v>
      </c>
      <c r="R1013" s="124">
        <v>0.77544352505021785</v>
      </c>
      <c r="S1013" s="124">
        <v>0.22455647494978223</v>
      </c>
      <c r="T1013" s="124">
        <v>0</v>
      </c>
      <c r="U1013" s="121">
        <f>IF(ABS(X1013)=0,"",IF($R1013="NO ALLOC","NO ALLOC",ROUND($R1013*X1013,15)))</f>
        <v>15.1254602044785</v>
      </c>
      <c r="V1013" s="121">
        <f>IF(ABS(X1013)=0,"",IF($S1013="NO ALLOC","NO ALLOC",ROUND($S1013*X1013,15)))</f>
        <v>4.3800997955214704</v>
      </c>
      <c r="W1013" s="121">
        <f>IF(ABS(X1013)=0,"",IF($T1013="NO ALLOC","NO ALLOC",ROUND($T1013*X1013,15)))</f>
        <v>0</v>
      </c>
      <c r="X1013" s="121">
        <f t="shared" si="454"/>
        <v>19.505559999999999</v>
      </c>
      <c r="Y1013" s="121">
        <f>IF(ABS(AB1013)=0,"",IF($R1013="NO ALLOC","NO ALLOC",ROUND($R1013*AB1013,15)))</f>
        <v>15.1254602044785</v>
      </c>
      <c r="Z1013" s="121">
        <f>IF(ABS(AB1013)=0,"",IF($S1013="NO ALLOC","NO ALLOC",ROUND($S1013*AB1013,15)))</f>
        <v>4.3800997955214704</v>
      </c>
      <c r="AA1013" s="121">
        <f>IF(ABS(AB1013)=0,"",IF($T1013="NO ALLOC","NO ALLOC",ROUND($T1013*AB1013,15)))</f>
        <v>0</v>
      </c>
      <c r="AB1013" s="121">
        <f t="shared" si="455"/>
        <v>19.505559999999999</v>
      </c>
      <c r="AC1013" s="121">
        <v>19.505559999999999</v>
      </c>
      <c r="AD1013" s="121">
        <v>19.505559999999999</v>
      </c>
      <c r="AE1013" s="121">
        <v>19.505559999999999</v>
      </c>
      <c r="AF1013" s="121">
        <v>19.505559999999999</v>
      </c>
      <c r="AG1013" s="121">
        <v>19.505559999999999</v>
      </c>
      <c r="AH1013" s="121">
        <v>19.505559999999999</v>
      </c>
      <c r="AI1013" s="161">
        <v>19.505559999999999</v>
      </c>
      <c r="AJ1013" s="161">
        <v>19.505559999999999</v>
      </c>
      <c r="AK1013" s="161">
        <v>19.505559999999999</v>
      </c>
      <c r="AL1013" s="161">
        <v>19.505559999999999</v>
      </c>
      <c r="AM1013" s="161">
        <v>19.505559999999999</v>
      </c>
      <c r="AN1013" s="161">
        <v>19.505559999999999</v>
      </c>
      <c r="AO1013" s="161">
        <v>19.505559999999999</v>
      </c>
      <c r="AP1013" s="125" t="str">
        <f>CONCATENATE(A1013,M1013)</f>
        <v>Def TaxA</v>
      </c>
      <c r="AQ1013" s="125" t="str">
        <f>CONCATENATE(AP1013,L1013,H1013)</f>
        <v>Def TaxAA2Payroll-Related Costs</v>
      </c>
      <c r="AS1013" s="125" t="str">
        <f>CONCATENATE(L1013,H1013,J1013)</f>
        <v>A2Payroll-Related Costs</v>
      </c>
    </row>
    <row r="1014" spans="1:45" s="125" customFormat="1" ht="25.5" customHeight="1">
      <c r="A1014" s="216" t="s">
        <v>1996</v>
      </c>
      <c r="B1014" s="217" t="str">
        <f t="shared" si="453"/>
        <v>Def Tax1900473BT010356</v>
      </c>
      <c r="C1014" s="186">
        <v>190047</v>
      </c>
      <c r="D1014" s="201">
        <v>3</v>
      </c>
      <c r="E1014" s="162" t="s">
        <v>2700</v>
      </c>
      <c r="F1014" s="169" t="s">
        <v>3152</v>
      </c>
      <c r="G1014" s="117" t="s">
        <v>3148</v>
      </c>
      <c r="H1014" s="118" t="s">
        <v>790</v>
      </c>
      <c r="I1014" s="119"/>
      <c r="J1014" s="120"/>
      <c r="K1014" s="120" t="str">
        <f>IF(L1014="N3","SFAS-109","")</f>
        <v/>
      </c>
      <c r="L1014" s="170" t="s">
        <v>928</v>
      </c>
      <c r="M1014" s="122" t="str">
        <f>LEFT(L1014,1)</f>
        <v>N</v>
      </c>
      <c r="N1014" s="116" t="str">
        <f>IF($L1014&lt;&gt;"",VLOOKUP($L1014,Categories!$E:$G,2,FALSE),IF($F1014&lt;&gt;"","NO CAT",""))</f>
        <v>Not in Rate Base</v>
      </c>
      <c r="O1014" s="116" t="str">
        <f>IF($L1014&lt;&gt;"",VLOOKUP($L1014,Categories!$E:$G,3,FALSE),IF($F1014&lt;&gt;"","NO CAT",""))</f>
        <v>Direct Assign Items Not in RB</v>
      </c>
      <c r="P1014" s="170" t="s">
        <v>1186</v>
      </c>
      <c r="Q1014" s="123" t="s">
        <v>1187</v>
      </c>
      <c r="R1014" s="124">
        <v>0</v>
      </c>
      <c r="S1014" s="124">
        <v>0</v>
      </c>
      <c r="T1014" s="124">
        <v>1</v>
      </c>
      <c r="U1014" s="121">
        <f>IF(ABS(X1014)=0,"",IF($R1014="NO ALLOC","NO ALLOC",ROUND($R1014*X1014,15)))</f>
        <v>0</v>
      </c>
      <c r="V1014" s="121">
        <f>IF(ABS(X1014)=0,"",IF($S1014="NO ALLOC","NO ALLOC",ROUND($S1014*X1014,15)))</f>
        <v>0</v>
      </c>
      <c r="W1014" s="121">
        <f>IF(ABS(X1014)=0,"",IF($T1014="NO ALLOC","NO ALLOC",ROUND($T1014*X1014,15)))</f>
        <v>0.22997000000000001</v>
      </c>
      <c r="X1014" s="121">
        <f t="shared" si="454"/>
        <v>0.22997000000000001</v>
      </c>
      <c r="Y1014" s="121" t="str">
        <f>IF(ABS(AB1014)=0,"",IF($R1014="NO ALLOC","NO ALLOC",ROUND($R1014*AB1014,15)))</f>
        <v/>
      </c>
      <c r="Z1014" s="121" t="str">
        <f>IF(ABS(AB1014)=0,"",IF($S1014="NO ALLOC","NO ALLOC",ROUND($S1014*AB1014,15)))</f>
        <v/>
      </c>
      <c r="AA1014" s="121" t="str">
        <f>IF(ABS(AB1014)=0,"",IF($T1014="NO ALLOC","NO ALLOC",ROUND($T1014*AB1014,15)))</f>
        <v/>
      </c>
      <c r="AB1014" s="121">
        <f t="shared" si="455"/>
        <v>0</v>
      </c>
      <c r="AC1014" s="121">
        <v>5.5192800000000011</v>
      </c>
      <c r="AD1014" s="121">
        <v>0</v>
      </c>
      <c r="AE1014" s="121">
        <v>0</v>
      </c>
      <c r="AF1014" s="121">
        <v>0</v>
      </c>
      <c r="AG1014" s="121">
        <v>0</v>
      </c>
      <c r="AH1014" s="121">
        <v>0</v>
      </c>
      <c r="AI1014" s="161">
        <v>0</v>
      </c>
      <c r="AJ1014" s="161">
        <f>IF(AI1014=0,0,0)</f>
        <v>0</v>
      </c>
      <c r="AK1014" s="161">
        <v>0</v>
      </c>
      <c r="AL1014" s="161">
        <v>0</v>
      </c>
      <c r="AM1014" s="161">
        <v>0</v>
      </c>
      <c r="AN1014" s="161">
        <v>0</v>
      </c>
      <c r="AO1014" s="161">
        <v>0</v>
      </c>
      <c r="AP1014" s="125" t="str">
        <f>CONCATENATE(A1014,M1014)</f>
        <v>Def TaxN</v>
      </c>
      <c r="AQ1014" s="125" t="str">
        <f>CONCATENATE(AP1014,L1014,H1014)</f>
        <v>Def TaxNN2Executive Compensation</v>
      </c>
      <c r="AS1014" s="125" t="str">
        <f>CONCATENATE(L1014,H1014,J1014)</f>
        <v>N2Executive Compensation</v>
      </c>
    </row>
    <row r="1015" spans="1:45" s="125" customFormat="1" ht="25.5" customHeight="1">
      <c r="A1015" s="216" t="s">
        <v>1996</v>
      </c>
      <c r="B1015" s="217" t="str">
        <f t="shared" si="453"/>
        <v>Def Tax1900474BTHUNGD</v>
      </c>
      <c r="C1015" s="186">
        <v>190047</v>
      </c>
      <c r="D1015" s="201">
        <v>4</v>
      </c>
      <c r="E1015" s="162" t="s">
        <v>3790</v>
      </c>
      <c r="F1015" s="169" t="s">
        <v>3152</v>
      </c>
      <c r="G1015" s="117" t="s">
        <v>3148</v>
      </c>
      <c r="H1015" s="118" t="s">
        <v>1167</v>
      </c>
      <c r="I1015" s="119"/>
      <c r="J1015" s="120"/>
      <c r="K1015" s="120" t="str">
        <f>IF(L1015="N3","SFAS-109","")</f>
        <v/>
      </c>
      <c r="L1015" s="170" t="s">
        <v>928</v>
      </c>
      <c r="M1015" s="122" t="str">
        <f>LEFT(L1015,1)</f>
        <v>N</v>
      </c>
      <c r="N1015" s="116" t="str">
        <f>IF($L1015&lt;&gt;"",VLOOKUP($L1015,Categories!$E:$G,2,FALSE),IF($F1015&lt;&gt;"","NO CAT",""))</f>
        <v>Not in Rate Base</v>
      </c>
      <c r="O1015" s="116" t="str">
        <f>IF($L1015&lt;&gt;"",VLOOKUP($L1015,Categories!$E:$G,3,FALSE),IF($F1015&lt;&gt;"","NO CAT",""))</f>
        <v>Direct Assign Items Not in RB</v>
      </c>
      <c r="P1015" s="170" t="s">
        <v>1186</v>
      </c>
      <c r="Q1015" s="123" t="s">
        <v>1187</v>
      </c>
      <c r="R1015" s="124">
        <v>0</v>
      </c>
      <c r="S1015" s="124">
        <v>0</v>
      </c>
      <c r="T1015" s="124">
        <v>1</v>
      </c>
      <c r="U1015" s="121">
        <f>IF(ABS(X1015)=0,"",IF($R1015="NO ALLOC","NO ALLOC",ROUND($R1015*X1015,15)))</f>
        <v>0</v>
      </c>
      <c r="V1015" s="121">
        <f>IF(ABS(X1015)=0,"",IF($S1015="NO ALLOC","NO ALLOC",ROUND($S1015*X1015,15)))</f>
        <v>0</v>
      </c>
      <c r="W1015" s="121">
        <f>IF(ABS(X1015)=0,"",IF($T1015="NO ALLOC","NO ALLOC",ROUND($T1015*X1015,15)))</f>
        <v>6.2116583333333404</v>
      </c>
      <c r="X1015" s="121">
        <f t="shared" si="454"/>
        <v>6.2116583333333404</v>
      </c>
      <c r="Y1015" s="121">
        <f>IF(ABS(AB1015)=0,"",IF($R1015="NO ALLOC","NO ALLOC",ROUND($R1015*AB1015,15)))</f>
        <v>0</v>
      </c>
      <c r="Z1015" s="121">
        <f>IF(ABS(AB1015)=0,"",IF($S1015="NO ALLOC","NO ALLOC",ROUND($S1015*AB1015,15)))</f>
        <v>0</v>
      </c>
      <c r="AA1015" s="121">
        <f>IF(ABS(AB1015)=0,"",IF($T1015="NO ALLOC","NO ALLOC",ROUND($T1015*AB1015,15)))</f>
        <v>9.4816199999999995</v>
      </c>
      <c r="AB1015" s="121">
        <f t="shared" si="455"/>
        <v>9.4816200000000013</v>
      </c>
      <c r="AC1015" s="121">
        <v>0</v>
      </c>
      <c r="AD1015" s="121">
        <v>5.5192800000000011</v>
      </c>
      <c r="AE1015" s="121">
        <v>5.5192800000000011</v>
      </c>
      <c r="AF1015" s="121">
        <v>5.5192800000000011</v>
      </c>
      <c r="AG1015" s="121">
        <v>5.5192800000000011</v>
      </c>
      <c r="AH1015" s="121">
        <v>5.5192800000000011</v>
      </c>
      <c r="AI1015" s="161">
        <v>5.5192800000000011</v>
      </c>
      <c r="AJ1015" s="161">
        <v>5.5192800000000011</v>
      </c>
      <c r="AK1015" s="161">
        <v>5.5192800000000011</v>
      </c>
      <c r="AL1015" s="161">
        <v>8.7852800000000002</v>
      </c>
      <c r="AM1015" s="161">
        <v>8.7852800000000002</v>
      </c>
      <c r="AN1015" s="161">
        <v>8.0742900000000013</v>
      </c>
      <c r="AO1015" s="161">
        <v>9.4816200000000013</v>
      </c>
      <c r="AP1015" s="125" t="str">
        <f>CONCATENATE(A1015,M1015)</f>
        <v>Def TaxN</v>
      </c>
      <c r="AQ1015" s="125" t="str">
        <f>CONCATENATE(AP1015,L1015,H1015)</f>
        <v>Def TaxNN2Hung Deferred Taxes</v>
      </c>
      <c r="AS1015" s="125" t="str">
        <f>CONCATENATE(L1015,H1015,J1015)</f>
        <v>N2Hung Deferred Taxes</v>
      </c>
    </row>
    <row r="1016" spans="1:45" s="125" customFormat="1" ht="25.5" customHeight="1">
      <c r="A1016" s="216" t="s">
        <v>1996</v>
      </c>
      <c r="B1016" s="217" t="str">
        <f t="shared" si="453"/>
        <v>Def Tax190501ASGA Gross-up-aBT010009</v>
      </c>
      <c r="C1016" s="186">
        <v>190501</v>
      </c>
      <c r="D1016" s="201" t="s">
        <v>2363</v>
      </c>
      <c r="E1016" s="162" t="s">
        <v>1124</v>
      </c>
      <c r="F1016" s="169" t="s">
        <v>862</v>
      </c>
      <c r="G1016" s="117" t="s">
        <v>1374</v>
      </c>
      <c r="H1016" s="118" t="s">
        <v>521</v>
      </c>
      <c r="I1016" s="119"/>
      <c r="J1016" s="120" t="s">
        <v>105</v>
      </c>
      <c r="K1016" s="120" t="str">
        <f t="shared" si="423"/>
        <v/>
      </c>
      <c r="L1016" s="170" t="s">
        <v>2817</v>
      </c>
      <c r="M1016" s="122" t="str">
        <f t="shared" ref="M1016:M1107" si="456">LEFT(L1016,1)</f>
        <v>N</v>
      </c>
      <c r="N1016" s="116" t="str">
        <f>IF($L1016&lt;&gt;"",VLOOKUP($L1016,Categories!$E:$G,2,FALSE),IF($F1016&lt;&gt;"","NO CAT",""))</f>
        <v>Not in Rate Base</v>
      </c>
      <c r="O1016" s="116" t="str">
        <f>IF($L1016&lt;&gt;"",VLOOKUP($L1016,Categories!$E:$G,3,FALSE),IF($F1016&lt;&gt;"","NO CAT",""))</f>
        <v>NM-2 ASGA</v>
      </c>
      <c r="P1016" s="170" t="s">
        <v>1186</v>
      </c>
      <c r="Q1016" s="123" t="s">
        <v>1187</v>
      </c>
      <c r="R1016" s="124">
        <v>0</v>
      </c>
      <c r="S1016" s="124">
        <v>0</v>
      </c>
      <c r="T1016" s="124">
        <v>1</v>
      </c>
      <c r="U1016" s="121">
        <f t="shared" si="424"/>
        <v>0</v>
      </c>
      <c r="V1016" s="121">
        <f t="shared" si="425"/>
        <v>0</v>
      </c>
      <c r="W1016" s="121">
        <f t="shared" si="426"/>
        <v>-20558.299052499999</v>
      </c>
      <c r="X1016" s="121">
        <f t="shared" si="454"/>
        <v>-20558.299052499999</v>
      </c>
      <c r="Y1016" s="121">
        <f t="shared" si="427"/>
        <v>0</v>
      </c>
      <c r="Z1016" s="121">
        <f t="shared" si="428"/>
        <v>0</v>
      </c>
      <c r="AA1016" s="121">
        <f t="shared" si="429"/>
        <v>-20827.500370000002</v>
      </c>
      <c r="AB1016" s="121">
        <f t="shared" si="455"/>
        <v>-20827.500369999991</v>
      </c>
      <c r="AC1016" s="121">
        <v>-20314.100549999996</v>
      </c>
      <c r="AD1016" s="121">
        <v>-20313.050319999995</v>
      </c>
      <c r="AE1016" s="121">
        <v>-20311.993899999994</v>
      </c>
      <c r="AF1016" s="121">
        <v>-20310.235489999995</v>
      </c>
      <c r="AG1016" s="121">
        <v>-20346.913709999993</v>
      </c>
      <c r="AH1016" s="121">
        <v>-20347.488579999994</v>
      </c>
      <c r="AI1016" s="161">
        <v>-20348.066689999992</v>
      </c>
      <c r="AJ1016" s="161">
        <v>-20831.995569999992</v>
      </c>
      <c r="AK1016" s="161">
        <v>-20831.107909999992</v>
      </c>
      <c r="AL1016" s="161">
        <v>-20830.213099999994</v>
      </c>
      <c r="AM1016" s="161">
        <v>-20829.313409999992</v>
      </c>
      <c r="AN1016" s="161">
        <v>-20828.409489999991</v>
      </c>
      <c r="AO1016" s="161">
        <v>-20827.500369999991</v>
      </c>
      <c r="AP1016" s="125" t="str">
        <f>CONCATENATE(A1016,M1016)</f>
        <v>Def TaxN</v>
      </c>
      <c r="AQ1016" s="125" t="str">
        <f>CONCATENATE(AP1016,L1016,H1016)</f>
        <v>Def TaxNN8ASGA</v>
      </c>
      <c r="AS1016" s="125" t="str">
        <f>CONCATENATE(L1016,H1016,J1016)</f>
        <v>N8ASGANCR</v>
      </c>
    </row>
    <row r="1017" spans="1:45" s="125" customFormat="1" ht="25.5" customHeight="1">
      <c r="A1017" s="216" t="s">
        <v>1996</v>
      </c>
      <c r="B1017" s="217" t="str">
        <f t="shared" si="453"/>
        <v>Def Tax190501BE030579</v>
      </c>
      <c r="C1017" s="186">
        <v>190501</v>
      </c>
      <c r="D1017" s="201"/>
      <c r="E1017" s="162" t="s">
        <v>1998</v>
      </c>
      <c r="F1017" s="169" t="s">
        <v>862</v>
      </c>
      <c r="G1017" s="117" t="s">
        <v>4386</v>
      </c>
      <c r="H1017" s="118" t="s">
        <v>2698</v>
      </c>
      <c r="I1017" s="119"/>
      <c r="J1017" s="120"/>
      <c r="K1017" s="120" t="str">
        <f>IF(L1017="N3","SFAS-109","")</f>
        <v/>
      </c>
      <c r="L1017" s="170" t="s">
        <v>928</v>
      </c>
      <c r="M1017" s="122" t="str">
        <f t="shared" si="456"/>
        <v>N</v>
      </c>
      <c r="N1017" s="116" t="str">
        <f>IF($L1017&lt;&gt;"",VLOOKUP($L1017,Categories!$E:$G,2,FALSE),IF($F1017&lt;&gt;"","NO CAT",""))</f>
        <v>Not in Rate Base</v>
      </c>
      <c r="O1017" s="116" t="str">
        <f>IF($L1017&lt;&gt;"",VLOOKUP($L1017,Categories!$E:$G,3,FALSE),IF($F1017&lt;&gt;"","NO CAT",""))</f>
        <v>Direct Assign Items Not in RB</v>
      </c>
      <c r="P1017" s="170" t="s">
        <v>1186</v>
      </c>
      <c r="Q1017" s="123" t="s">
        <v>1187</v>
      </c>
      <c r="R1017" s="124">
        <v>0</v>
      </c>
      <c r="S1017" s="124">
        <v>0</v>
      </c>
      <c r="T1017" s="124">
        <v>1</v>
      </c>
      <c r="U1017" s="121">
        <f t="shared" si="424"/>
        <v>0</v>
      </c>
      <c r="V1017" s="121">
        <f t="shared" si="425"/>
        <v>0</v>
      </c>
      <c r="W1017" s="121">
        <f t="shared" si="426"/>
        <v>-49.422800000000002</v>
      </c>
      <c r="X1017" s="121">
        <f t="shared" si="454"/>
        <v>-49.422800000000002</v>
      </c>
      <c r="Y1017" s="121">
        <f t="shared" si="427"/>
        <v>0</v>
      </c>
      <c r="Z1017" s="121">
        <f t="shared" si="428"/>
        <v>0</v>
      </c>
      <c r="AA1017" s="121">
        <f t="shared" si="429"/>
        <v>-49.422800000000002</v>
      </c>
      <c r="AB1017" s="121">
        <f t="shared" si="455"/>
        <v>-49.422800000000045</v>
      </c>
      <c r="AC1017" s="121">
        <v>-49.422800000000045</v>
      </c>
      <c r="AD1017" s="121">
        <v>-49.422800000000045</v>
      </c>
      <c r="AE1017" s="121">
        <v>-49.422800000000045</v>
      </c>
      <c r="AF1017" s="121">
        <v>-49.422800000000045</v>
      </c>
      <c r="AG1017" s="121">
        <v>-49.422800000000045</v>
      </c>
      <c r="AH1017" s="121">
        <v>-49.422800000000045</v>
      </c>
      <c r="AI1017" s="161">
        <v>-49.422800000000045</v>
      </c>
      <c r="AJ1017" s="161">
        <v>-49.422800000000045</v>
      </c>
      <c r="AK1017" s="161">
        <v>-49.422800000000045</v>
      </c>
      <c r="AL1017" s="161">
        <v>-49.422800000000045</v>
      </c>
      <c r="AM1017" s="161">
        <v>-49.422800000000045</v>
      </c>
      <c r="AN1017" s="161">
        <v>-49.422800000000045</v>
      </c>
      <c r="AO1017" s="161">
        <v>-49.422800000000045</v>
      </c>
      <c r="AP1017" s="125" t="str">
        <f>CONCATENATE(A1017,M1017)</f>
        <v>Def TaxN</v>
      </c>
      <c r="AQ1017" s="125" t="str">
        <f>CONCATENATE(AP1017,L1017,H1017)</f>
        <v>Def TaxNN2CapEx Customer Credit</v>
      </c>
      <c r="AS1017" s="125" t="str">
        <f>CONCATENATE(L1017,H1017,J1017)</f>
        <v>N2CapEx Customer Credit</v>
      </c>
    </row>
    <row r="1018" spans="1:45" s="125" customFormat="1" ht="25.5" customHeight="1">
      <c r="A1018" s="216" t="s">
        <v>1996</v>
      </c>
      <c r="B1018" s="217" t="str">
        <f t="shared" si="453"/>
        <v>Def Tax190501Multiple: 283.20.43/286.01.23/286.01.24/283.30.67/283.30.63/283.30.64/283.30.53/283.30.54/183.06.00/183.07.00/186.01.03/186.01.04/283.21.95/Loss Re Debt/283.20.42/283.21.96-aBT010096</v>
      </c>
      <c r="C1018" s="186">
        <v>190501</v>
      </c>
      <c r="D1018" s="201" t="s">
        <v>2557</v>
      </c>
      <c r="E1018" s="162" t="s">
        <v>2990</v>
      </c>
      <c r="F1018" s="169" t="s">
        <v>862</v>
      </c>
      <c r="G1018" s="117" t="s">
        <v>1380</v>
      </c>
      <c r="H1018" s="118" t="s">
        <v>45</v>
      </c>
      <c r="I1018" s="119"/>
      <c r="J1018" s="120"/>
      <c r="K1018" s="120" t="str">
        <f t="shared" si="423"/>
        <v/>
      </c>
      <c r="L1018" s="170" t="s">
        <v>1895</v>
      </c>
      <c r="M1018" s="122" t="str">
        <f t="shared" si="456"/>
        <v>R</v>
      </c>
      <c r="N1018" s="116" t="str">
        <f>IF($L1018&lt;&gt;"",VLOOKUP($L1018,Categories!$E:$G,2,FALSE),IF($F1018&lt;&gt;"","NO CAT",""))</f>
        <v>Rate Base</v>
      </c>
      <c r="O1018" s="116" t="str">
        <f>IF($L1018&lt;&gt;"",VLOOKUP($L1018,Categories!$E:$G,3,FALSE),IF($F1018&lt;&gt;"","NO CAT",""))</f>
        <v>Deferred Income Taxes</v>
      </c>
      <c r="P1018" s="170" t="s">
        <v>1188</v>
      </c>
      <c r="Q1018" s="123" t="s">
        <v>1843</v>
      </c>
      <c r="R1018" s="124">
        <v>0.76071990262269951</v>
      </c>
      <c r="S1018" s="124">
        <v>0.23928009737730072</v>
      </c>
      <c r="T1018" s="124">
        <v>0</v>
      </c>
      <c r="U1018" s="121">
        <f t="shared" si="424"/>
        <v>4903.3488857829698</v>
      </c>
      <c r="V1018" s="121">
        <f t="shared" si="425"/>
        <v>1542.3203663003701</v>
      </c>
      <c r="W1018" s="121">
        <f t="shared" si="426"/>
        <v>0</v>
      </c>
      <c r="X1018" s="121">
        <f t="shared" si="454"/>
        <v>6445.6692520833403</v>
      </c>
      <c r="Y1018" s="121">
        <f t="shared" si="427"/>
        <v>5005.8532589856804</v>
      </c>
      <c r="Z1018" s="121">
        <f t="shared" si="428"/>
        <v>1574.56253101433</v>
      </c>
      <c r="AA1018" s="121">
        <f t="shared" si="429"/>
        <v>0</v>
      </c>
      <c r="AB1018" s="121">
        <f t="shared" si="455"/>
        <v>6580.41579000001</v>
      </c>
      <c r="AC1018" s="121">
        <v>6332.2541400000064</v>
      </c>
      <c r="AD1018" s="121">
        <v>6350.56412000001</v>
      </c>
      <c r="AE1018" s="121">
        <v>6368.8741000000073</v>
      </c>
      <c r="AF1018" s="121">
        <v>6387.1840800000073</v>
      </c>
      <c r="AG1018" s="121">
        <v>6405.4940600000082</v>
      </c>
      <c r="AH1018" s="121">
        <v>6423.80404000001</v>
      </c>
      <c r="AI1018" s="161">
        <v>6442.1140100000084</v>
      </c>
      <c r="AJ1018" s="161">
        <v>6460.4239900000084</v>
      </c>
      <c r="AK1018" s="161">
        <v>6478.7339700000093</v>
      </c>
      <c r="AL1018" s="161">
        <v>6497.0439500000093</v>
      </c>
      <c r="AM1018" s="161">
        <v>6515.3539300000102</v>
      </c>
      <c r="AN1018" s="161">
        <v>6562.10581000001</v>
      </c>
      <c r="AO1018" s="161">
        <v>6580.41579000001</v>
      </c>
      <c r="AP1018" s="125" t="str">
        <f>CONCATENATE(A1018,M1018)</f>
        <v>Def TaxR</v>
      </c>
      <c r="AQ1018" s="125" t="str">
        <f>CONCATENATE(AP1018,L1018,H1018)</f>
        <v>Def TaxRR11Gain / Loss on Reacquired Debt</v>
      </c>
      <c r="AS1018" s="125" t="str">
        <f>CONCATENATE(L1018,H1018,J1018)</f>
        <v>R11Gain / Loss on Reacquired Debt</v>
      </c>
    </row>
    <row r="1019" spans="1:45" s="125" customFormat="1" ht="25.5" customHeight="1">
      <c r="A1019" s="216" t="s">
        <v>1996</v>
      </c>
      <c r="B1019" s="217" t="str">
        <f t="shared" si="453"/>
        <v>Def Tax190501Multiple: 283.20.43/286.01.23/286.01.24/283.30.67/283.30.63/283.30.64/283.30.53/283.30.54/183.06.00/183.07.00/186.01.03/186.01.04/283.21.95/Loss Re Debt/283.20.42/283.21.96-bBT010096</v>
      </c>
      <c r="C1019" s="186">
        <v>190501</v>
      </c>
      <c r="D1019" s="201" t="s">
        <v>2558</v>
      </c>
      <c r="E1019" s="162" t="s">
        <v>2990</v>
      </c>
      <c r="F1019" s="169" t="s">
        <v>862</v>
      </c>
      <c r="G1019" s="117" t="s">
        <v>191</v>
      </c>
      <c r="H1019" s="118" t="s">
        <v>45</v>
      </c>
      <c r="I1019" s="119"/>
      <c r="J1019" s="120"/>
      <c r="K1019" s="120" t="str">
        <f>IF(L1019="N3","SFAS-109","")</f>
        <v/>
      </c>
      <c r="L1019" s="170" t="s">
        <v>1895</v>
      </c>
      <c r="M1019" s="122" t="str">
        <f t="shared" si="456"/>
        <v>R</v>
      </c>
      <c r="N1019" s="116" t="str">
        <f>IF($L1019&lt;&gt;"",VLOOKUP($L1019,Categories!$E:$G,2,FALSE),IF($F1019&lt;&gt;"","NO CAT",""))</f>
        <v>Rate Base</v>
      </c>
      <c r="O1019" s="116" t="str">
        <f>IF($L1019&lt;&gt;"",VLOOKUP($L1019,Categories!$E:$G,3,FALSE),IF($F1019&lt;&gt;"","NO CAT",""))</f>
        <v>Deferred Income Taxes</v>
      </c>
      <c r="P1019" s="170" t="s">
        <v>1188</v>
      </c>
      <c r="Q1019" s="123" t="s">
        <v>1843</v>
      </c>
      <c r="R1019" s="124">
        <v>0.76071990262269951</v>
      </c>
      <c r="S1019" s="124">
        <v>0.23928009737730072</v>
      </c>
      <c r="T1019" s="124">
        <v>0</v>
      </c>
      <c r="U1019" s="121">
        <f t="shared" si="424"/>
        <v>-348.13780621493601</v>
      </c>
      <c r="V1019" s="121">
        <f t="shared" si="425"/>
        <v>-109.50475711839699</v>
      </c>
      <c r="W1019" s="121">
        <f t="shared" si="426"/>
        <v>0</v>
      </c>
      <c r="X1019" s="121">
        <f t="shared" si="454"/>
        <v>-457.64256333333299</v>
      </c>
      <c r="Y1019" s="121">
        <f t="shared" si="427"/>
        <v>-355.41561859479299</v>
      </c>
      <c r="Z1019" s="121">
        <f t="shared" si="428"/>
        <v>-111.793951405207</v>
      </c>
      <c r="AA1019" s="121">
        <f t="shared" si="429"/>
        <v>0</v>
      </c>
      <c r="AB1019" s="121">
        <f t="shared" si="455"/>
        <v>-467.20956999999964</v>
      </c>
      <c r="AC1019" s="121">
        <v>-449.59008999999958</v>
      </c>
      <c r="AD1019" s="121">
        <v>-450.89010000000002</v>
      </c>
      <c r="AE1019" s="121">
        <v>-452.19010999999961</v>
      </c>
      <c r="AF1019" s="121">
        <v>-453.49011999999959</v>
      </c>
      <c r="AG1019" s="121">
        <v>-454.7901199999996</v>
      </c>
      <c r="AH1019" s="121">
        <v>-456.09012999999999</v>
      </c>
      <c r="AI1019" s="161">
        <v>-457.39013999999963</v>
      </c>
      <c r="AJ1019" s="161">
        <v>-458.69014999999962</v>
      </c>
      <c r="AK1019" s="161">
        <v>-459.99015999999961</v>
      </c>
      <c r="AL1019" s="161">
        <v>-461.29016999999965</v>
      </c>
      <c r="AM1019" s="161">
        <v>-462.59016999999966</v>
      </c>
      <c r="AN1019" s="161">
        <v>-465.90955999999966</v>
      </c>
      <c r="AO1019" s="161">
        <v>-467.20956999999964</v>
      </c>
      <c r="AP1019" s="125" t="str">
        <f>CONCATENATE(A1019,M1019)</f>
        <v>Def TaxR</v>
      </c>
      <c r="AQ1019" s="125" t="str">
        <f>CONCATENATE(AP1019,L1019,H1019)</f>
        <v>Def TaxRR11Gain / Loss on Reacquired Debt</v>
      </c>
      <c r="AS1019" s="125" t="str">
        <f>CONCATENATE(L1019,H1019,J1019)</f>
        <v>R11Gain / Loss on Reacquired Debt</v>
      </c>
    </row>
    <row r="1020" spans="1:45" s="125" customFormat="1" ht="25.5" customHeight="1">
      <c r="A1020" s="216" t="s">
        <v>1996</v>
      </c>
      <c r="B1020" s="217" t="str">
        <f t="shared" si="453"/>
        <v>Def Tax1905010-184.22.22BT010073</v>
      </c>
      <c r="C1020" s="186">
        <v>190501</v>
      </c>
      <c r="D1020" s="201" t="s">
        <v>1619</v>
      </c>
      <c r="E1020" s="162" t="s">
        <v>2988</v>
      </c>
      <c r="F1020" s="169" t="s">
        <v>862</v>
      </c>
      <c r="G1020" s="117" t="s">
        <v>335</v>
      </c>
      <c r="H1020" s="118" t="s">
        <v>2369</v>
      </c>
      <c r="I1020" s="119"/>
      <c r="J1020" s="120"/>
      <c r="K1020" s="120" t="str">
        <f t="shared" si="423"/>
        <v/>
      </c>
      <c r="L1020" s="170" t="s">
        <v>928</v>
      </c>
      <c r="M1020" s="122" t="str">
        <f t="shared" si="456"/>
        <v>N</v>
      </c>
      <c r="N1020" s="116" t="str">
        <f>IF($L1020&lt;&gt;"",VLOOKUP($L1020,Categories!$E:$G,2,FALSE),IF($F1020&lt;&gt;"","NO CAT",""))</f>
        <v>Not in Rate Base</v>
      </c>
      <c r="O1020" s="116" t="str">
        <f>IF($L1020&lt;&gt;"",VLOOKUP($L1020,Categories!$E:$G,3,FALSE),IF($F1020&lt;&gt;"","NO CAT",""))</f>
        <v>Direct Assign Items Not in RB</v>
      </c>
      <c r="P1020" s="170" t="s">
        <v>1186</v>
      </c>
      <c r="Q1020" s="123" t="s">
        <v>1187</v>
      </c>
      <c r="R1020" s="124">
        <v>0</v>
      </c>
      <c r="S1020" s="124">
        <v>0</v>
      </c>
      <c r="T1020" s="124">
        <v>1</v>
      </c>
      <c r="U1020" s="121">
        <f t="shared" si="424"/>
        <v>0</v>
      </c>
      <c r="V1020" s="121">
        <f t="shared" si="425"/>
        <v>0</v>
      </c>
      <c r="W1020" s="121">
        <f t="shared" si="426"/>
        <v>5664.44</v>
      </c>
      <c r="X1020" s="121">
        <f t="shared" si="454"/>
        <v>5664.44</v>
      </c>
      <c r="Y1020" s="121">
        <f t="shared" si="427"/>
        <v>0</v>
      </c>
      <c r="Z1020" s="121">
        <f t="shared" si="428"/>
        <v>0</v>
      </c>
      <c r="AA1020" s="121">
        <f t="shared" si="429"/>
        <v>5664.44</v>
      </c>
      <c r="AB1020" s="121">
        <f t="shared" si="455"/>
        <v>5664.44</v>
      </c>
      <c r="AC1020" s="121">
        <v>5664.44</v>
      </c>
      <c r="AD1020" s="121">
        <v>5664.44</v>
      </c>
      <c r="AE1020" s="121">
        <v>5664.44</v>
      </c>
      <c r="AF1020" s="121">
        <v>5664.44</v>
      </c>
      <c r="AG1020" s="121">
        <v>5664.44</v>
      </c>
      <c r="AH1020" s="121">
        <v>5664.44</v>
      </c>
      <c r="AI1020" s="161">
        <v>5664.44</v>
      </c>
      <c r="AJ1020" s="161">
        <v>5664.44</v>
      </c>
      <c r="AK1020" s="161">
        <v>5664.44</v>
      </c>
      <c r="AL1020" s="161">
        <v>5664.44</v>
      </c>
      <c r="AM1020" s="161">
        <v>5664.44</v>
      </c>
      <c r="AN1020" s="161">
        <v>5664.44</v>
      </c>
      <c r="AO1020" s="161">
        <v>5664.44</v>
      </c>
      <c r="AP1020" s="125" t="str">
        <f>CONCATENATE(A1020,M1020)</f>
        <v>Def TaxN</v>
      </c>
      <c r="AQ1020" s="125" t="str">
        <f>CONCATENATE(AP1020,L1020,H1020)</f>
        <v>Def TaxNN2Environmental</v>
      </c>
      <c r="AS1020" s="125" t="str">
        <f>CONCATENATE(L1020,H1020,J1020)</f>
        <v>N2Environmental</v>
      </c>
    </row>
    <row r="1021" spans="1:45" s="125" customFormat="1" ht="25.5" customHeight="1">
      <c r="A1021" s="216" t="s">
        <v>1996</v>
      </c>
      <c r="B1021" s="217" t="str">
        <f t="shared" si="453"/>
        <v>Def Tax1905010-283.22.30BT010269</v>
      </c>
      <c r="C1021" s="186">
        <v>190501</v>
      </c>
      <c r="D1021" s="201" t="s">
        <v>1412</v>
      </c>
      <c r="E1021" s="162" t="s">
        <v>1126</v>
      </c>
      <c r="F1021" s="169" t="s">
        <v>862</v>
      </c>
      <c r="G1021" s="117" t="s">
        <v>1413</v>
      </c>
      <c r="H1021" s="118" t="s">
        <v>2369</v>
      </c>
      <c r="I1021" s="119"/>
      <c r="J1021" s="120"/>
      <c r="K1021" s="120" t="str">
        <f t="shared" si="423"/>
        <v/>
      </c>
      <c r="L1021" s="170" t="s">
        <v>928</v>
      </c>
      <c r="M1021" s="122" t="str">
        <f t="shared" si="456"/>
        <v>N</v>
      </c>
      <c r="N1021" s="116" t="str">
        <f>IF($L1021&lt;&gt;"",VLOOKUP($L1021,Categories!$E:$G,2,FALSE),IF($F1021&lt;&gt;"","NO CAT",""))</f>
        <v>Not in Rate Base</v>
      </c>
      <c r="O1021" s="116" t="str">
        <f>IF($L1021&lt;&gt;"",VLOOKUP($L1021,Categories!$E:$G,3,FALSE),IF($F1021&lt;&gt;"","NO CAT",""))</f>
        <v>Direct Assign Items Not in RB</v>
      </c>
      <c r="P1021" s="170" t="s">
        <v>1186</v>
      </c>
      <c r="Q1021" s="123" t="s">
        <v>1187</v>
      </c>
      <c r="R1021" s="124">
        <v>0</v>
      </c>
      <c r="S1021" s="124">
        <v>0</v>
      </c>
      <c r="T1021" s="124">
        <v>1</v>
      </c>
      <c r="U1021" s="121">
        <f t="shared" si="424"/>
        <v>0</v>
      </c>
      <c r="V1021" s="121">
        <f t="shared" si="425"/>
        <v>0</v>
      </c>
      <c r="W1021" s="121">
        <f t="shared" si="426"/>
        <v>540.89599999999996</v>
      </c>
      <c r="X1021" s="121">
        <f t="shared" si="454"/>
        <v>540.89599999999996</v>
      </c>
      <c r="Y1021" s="121">
        <f t="shared" si="427"/>
        <v>0</v>
      </c>
      <c r="Z1021" s="121">
        <f t="shared" si="428"/>
        <v>0</v>
      </c>
      <c r="AA1021" s="121">
        <f t="shared" si="429"/>
        <v>540.89599999999996</v>
      </c>
      <c r="AB1021" s="121">
        <f t="shared" si="455"/>
        <v>540.89599999999996</v>
      </c>
      <c r="AC1021" s="121">
        <v>540.89599999999996</v>
      </c>
      <c r="AD1021" s="121">
        <v>540.89599999999996</v>
      </c>
      <c r="AE1021" s="121">
        <v>540.89599999999996</v>
      </c>
      <c r="AF1021" s="121">
        <v>540.89599999999996</v>
      </c>
      <c r="AG1021" s="121">
        <v>540.89599999999996</v>
      </c>
      <c r="AH1021" s="121">
        <v>540.89599999999996</v>
      </c>
      <c r="AI1021" s="161">
        <v>540.89599999999996</v>
      </c>
      <c r="AJ1021" s="161">
        <v>540.89599999999996</v>
      </c>
      <c r="AK1021" s="161">
        <v>540.89599999999996</v>
      </c>
      <c r="AL1021" s="161">
        <v>540.89599999999996</v>
      </c>
      <c r="AM1021" s="161">
        <v>540.89599999999996</v>
      </c>
      <c r="AN1021" s="161">
        <v>540.89599999999996</v>
      </c>
      <c r="AO1021" s="161">
        <v>540.89599999999996</v>
      </c>
      <c r="AP1021" s="125" t="str">
        <f>CONCATENATE(A1021,M1021)</f>
        <v>Def TaxN</v>
      </c>
      <c r="AQ1021" s="125" t="str">
        <f>CONCATENATE(AP1021,L1021,H1021)</f>
        <v>Def TaxNN2Environmental</v>
      </c>
      <c r="AS1021" s="125" t="str">
        <f>CONCATENATE(L1021,H1021,J1021)</f>
        <v>N2Environmental</v>
      </c>
    </row>
    <row r="1022" spans="1:45" s="125" customFormat="1" ht="25.5" customHeight="1">
      <c r="A1022" s="216" t="s">
        <v>1996</v>
      </c>
      <c r="B1022" s="217" t="str">
        <f t="shared" si="453"/>
        <v>Def Tax190501NCR/Non NCR-a0</v>
      </c>
      <c r="C1022" s="186">
        <v>190501</v>
      </c>
      <c r="D1022" s="201" t="s">
        <v>2354</v>
      </c>
      <c r="E1022" s="162">
        <v>0</v>
      </c>
      <c r="F1022" s="169" t="s">
        <v>862</v>
      </c>
      <c r="G1022" s="117" t="s">
        <v>1118</v>
      </c>
      <c r="H1022" s="118" t="s">
        <v>967</v>
      </c>
      <c r="I1022" s="119"/>
      <c r="J1022" s="120"/>
      <c r="K1022" s="120" t="str">
        <f t="shared" si="423"/>
        <v/>
      </c>
      <c r="L1022" s="170" t="s">
        <v>1895</v>
      </c>
      <c r="M1022" s="122" t="str">
        <f t="shared" si="456"/>
        <v>R</v>
      </c>
      <c r="N1022" s="116" t="str">
        <f>IF($L1022&lt;&gt;"",VLOOKUP($L1022,Categories!$E:$G,2,FALSE),IF($F1022&lt;&gt;"","NO CAT",""))</f>
        <v>Rate Base</v>
      </c>
      <c r="O1022" s="116" t="str">
        <f>IF($L1022&lt;&gt;"",VLOOKUP($L1022,Categories!$E:$G,3,FALSE),IF($F1022&lt;&gt;"","NO CAT",""))</f>
        <v>Deferred Income Taxes</v>
      </c>
      <c r="P1022" s="170" t="s">
        <v>1183</v>
      </c>
      <c r="Q1022" s="123" t="s">
        <v>1177</v>
      </c>
      <c r="R1022" s="124">
        <v>1</v>
      </c>
      <c r="S1022" s="124">
        <v>0</v>
      </c>
      <c r="T1022" s="124">
        <v>0</v>
      </c>
      <c r="U1022" s="121">
        <f t="shared" si="424"/>
        <v>-465.32803000000001</v>
      </c>
      <c r="V1022" s="121">
        <f t="shared" si="425"/>
        <v>0</v>
      </c>
      <c r="W1022" s="121">
        <f t="shared" si="426"/>
        <v>0</v>
      </c>
      <c r="X1022" s="121">
        <f t="shared" si="454"/>
        <v>-465.32803000000001</v>
      </c>
      <c r="Y1022" s="121">
        <f t="shared" si="427"/>
        <v>-465.32803000000001</v>
      </c>
      <c r="Z1022" s="121">
        <f t="shared" si="428"/>
        <v>0</v>
      </c>
      <c r="AA1022" s="121">
        <f t="shared" si="429"/>
        <v>0</v>
      </c>
      <c r="AB1022" s="121">
        <f t="shared" si="455"/>
        <v>-465.32802999999996</v>
      </c>
      <c r="AC1022" s="121">
        <v>-465.32802999999996</v>
      </c>
      <c r="AD1022" s="121">
        <v>-465.32802999999996</v>
      </c>
      <c r="AE1022" s="121">
        <v>-465.32802999999996</v>
      </c>
      <c r="AF1022" s="121">
        <v>-465.32802999999996</v>
      </c>
      <c r="AG1022" s="121">
        <v>-465.32802999999996</v>
      </c>
      <c r="AH1022" s="121">
        <v>-465.32802999999996</v>
      </c>
      <c r="AI1022" s="161">
        <v>-465.32802999999996</v>
      </c>
      <c r="AJ1022" s="161">
        <v>-465.32802999999996</v>
      </c>
      <c r="AK1022" s="161">
        <v>-465.32802999999996</v>
      </c>
      <c r="AL1022" s="161">
        <v>-465.32802999999996</v>
      </c>
      <c r="AM1022" s="161">
        <v>-465.32802999999996</v>
      </c>
      <c r="AN1022" s="161">
        <v>-465.32802999999996</v>
      </c>
      <c r="AO1022" s="161">
        <v>-465.32802999999996</v>
      </c>
      <c r="AP1022" s="125" t="str">
        <f>CONCATENATE(A1022,M1022)</f>
        <v>Def TaxR</v>
      </c>
      <c r="AQ1022" s="125" t="str">
        <f>CONCATENATE(AP1022,L1022,H1022)</f>
        <v>Def TaxRR11Excess DIT &gt; 7.1% (NYS)</v>
      </c>
      <c r="AS1022" s="125" t="str">
        <f>CONCATENATE(L1022,H1022,J1022)</f>
        <v>R11Excess DIT &gt; 7.1% (NYS)</v>
      </c>
    </row>
    <row r="1023" spans="1:45" s="125" customFormat="1" ht="25.5" customHeight="1">
      <c r="A1023" s="216" t="s">
        <v>1996</v>
      </c>
      <c r="B1023" s="217" t="str">
        <f t="shared" si="453"/>
        <v>Def Tax190501NCR/Non NCR-b0</v>
      </c>
      <c r="C1023" s="186">
        <v>190501</v>
      </c>
      <c r="D1023" s="201" t="s">
        <v>2355</v>
      </c>
      <c r="E1023" s="162">
        <v>0</v>
      </c>
      <c r="F1023" s="169" t="s">
        <v>862</v>
      </c>
      <c r="G1023" s="117" t="s">
        <v>1376</v>
      </c>
      <c r="H1023" s="118" t="s">
        <v>967</v>
      </c>
      <c r="I1023" s="119"/>
      <c r="J1023" s="120"/>
      <c r="K1023" s="120" t="str">
        <f t="shared" si="423"/>
        <v/>
      </c>
      <c r="L1023" s="170" t="s">
        <v>1895</v>
      </c>
      <c r="M1023" s="122" t="str">
        <f t="shared" si="456"/>
        <v>R</v>
      </c>
      <c r="N1023" s="116" t="str">
        <f>IF($L1023&lt;&gt;"",VLOOKUP($L1023,Categories!$E:$G,2,FALSE),IF($F1023&lt;&gt;"","NO CAT",""))</f>
        <v>Rate Base</v>
      </c>
      <c r="O1023" s="116" t="str">
        <f>IF($L1023&lt;&gt;"",VLOOKUP($L1023,Categories!$E:$G,3,FALSE),IF($F1023&lt;&gt;"","NO CAT",""))</f>
        <v>Deferred Income Taxes</v>
      </c>
      <c r="P1023" s="170" t="s">
        <v>1183</v>
      </c>
      <c r="Q1023" s="123" t="s">
        <v>1177</v>
      </c>
      <c r="R1023" s="124">
        <v>1</v>
      </c>
      <c r="S1023" s="124">
        <v>0</v>
      </c>
      <c r="T1023" s="124">
        <v>0</v>
      </c>
      <c r="U1023" s="121">
        <f t="shared" si="424"/>
        <v>-179.20293000000001</v>
      </c>
      <c r="V1023" s="121">
        <f t="shared" si="425"/>
        <v>0</v>
      </c>
      <c r="W1023" s="121">
        <f t="shared" si="426"/>
        <v>0</v>
      </c>
      <c r="X1023" s="121">
        <f t="shared" si="454"/>
        <v>-179.20293000000001</v>
      </c>
      <c r="Y1023" s="121">
        <f t="shared" si="427"/>
        <v>-179.20293000000001</v>
      </c>
      <c r="Z1023" s="121">
        <f t="shared" si="428"/>
        <v>0</v>
      </c>
      <c r="AA1023" s="121">
        <f t="shared" si="429"/>
        <v>0</v>
      </c>
      <c r="AB1023" s="121">
        <f t="shared" si="455"/>
        <v>-179.20292999999998</v>
      </c>
      <c r="AC1023" s="121">
        <v>-179.20292999999998</v>
      </c>
      <c r="AD1023" s="121">
        <v>-179.20292999999998</v>
      </c>
      <c r="AE1023" s="121">
        <v>-179.20292999999998</v>
      </c>
      <c r="AF1023" s="121">
        <v>-179.20292999999998</v>
      </c>
      <c r="AG1023" s="121">
        <v>-179.20292999999998</v>
      </c>
      <c r="AH1023" s="121">
        <v>-179.20292999999998</v>
      </c>
      <c r="AI1023" s="121">
        <v>-179.20292999999998</v>
      </c>
      <c r="AJ1023" s="121">
        <v>-179.20292999999998</v>
      </c>
      <c r="AK1023" s="121">
        <v>-179.20292999999998</v>
      </c>
      <c r="AL1023" s="121">
        <v>-179.20292999999998</v>
      </c>
      <c r="AM1023" s="121">
        <v>-179.20292999999998</v>
      </c>
      <c r="AN1023" s="121">
        <v>-179.20292999999998</v>
      </c>
      <c r="AO1023" s="121">
        <v>-179.20292999999998</v>
      </c>
      <c r="AP1023" s="125" t="str">
        <f>CONCATENATE(A1023,M1023)</f>
        <v>Def TaxR</v>
      </c>
      <c r="AQ1023" s="125" t="str">
        <f>CONCATENATE(AP1023,L1023,H1023)</f>
        <v>Def TaxRR11Excess DIT &gt; 7.1% (NYS)</v>
      </c>
      <c r="AS1023" s="125" t="str">
        <f>CONCATENATE(L1023,H1023,J1023)</f>
        <v>R11Excess DIT &gt; 7.1% (NYS)</v>
      </c>
    </row>
    <row r="1024" spans="1:45" s="125" customFormat="1" ht="25.5" customHeight="1">
      <c r="A1024" s="216" t="s">
        <v>1996</v>
      </c>
      <c r="B1024" s="217" t="str">
        <f t="shared" si="453"/>
        <v>Def Tax190501NCR/Non NCR-c0</v>
      </c>
      <c r="C1024" s="186">
        <v>190501</v>
      </c>
      <c r="D1024" s="201" t="s">
        <v>2356</v>
      </c>
      <c r="E1024" s="162">
        <v>0</v>
      </c>
      <c r="F1024" s="169" t="s">
        <v>862</v>
      </c>
      <c r="G1024" s="117" t="s">
        <v>1377</v>
      </c>
      <c r="H1024" s="118" t="s">
        <v>967</v>
      </c>
      <c r="I1024" s="119"/>
      <c r="J1024" s="120"/>
      <c r="K1024" s="120" t="str">
        <f>IF(L1024="N3","SFAS-109","")</f>
        <v/>
      </c>
      <c r="L1024" s="170" t="s">
        <v>1895</v>
      </c>
      <c r="M1024" s="122" t="str">
        <f t="shared" si="456"/>
        <v>R</v>
      </c>
      <c r="N1024" s="116" t="str">
        <f>IF($L1024&lt;&gt;"",VLOOKUP($L1024,Categories!$E:$G,2,FALSE),IF($F1024&lt;&gt;"","NO CAT",""))</f>
        <v>Rate Base</v>
      </c>
      <c r="O1024" s="116" t="str">
        <f>IF($L1024&lt;&gt;"",VLOOKUP($L1024,Categories!$E:$G,3,FALSE),IF($F1024&lt;&gt;"","NO CAT",""))</f>
        <v>Deferred Income Taxes</v>
      </c>
      <c r="P1024" s="170" t="s">
        <v>1183</v>
      </c>
      <c r="Q1024" s="123" t="s">
        <v>1177</v>
      </c>
      <c r="R1024" s="124">
        <v>1</v>
      </c>
      <c r="S1024" s="124">
        <v>0</v>
      </c>
      <c r="T1024" s="124">
        <v>0</v>
      </c>
      <c r="U1024" s="121">
        <f t="shared" si="424"/>
        <v>662.80308000000002</v>
      </c>
      <c r="V1024" s="121">
        <f t="shared" si="425"/>
        <v>0</v>
      </c>
      <c r="W1024" s="121">
        <f t="shared" si="426"/>
        <v>0</v>
      </c>
      <c r="X1024" s="121">
        <f t="shared" si="454"/>
        <v>662.80308000000002</v>
      </c>
      <c r="Y1024" s="121">
        <f t="shared" si="427"/>
        <v>662.80308000000002</v>
      </c>
      <c r="Z1024" s="121">
        <f t="shared" si="428"/>
        <v>0</v>
      </c>
      <c r="AA1024" s="121">
        <f t="shared" si="429"/>
        <v>0</v>
      </c>
      <c r="AB1024" s="121">
        <f t="shared" si="455"/>
        <v>662.80307999999991</v>
      </c>
      <c r="AC1024" s="121">
        <v>662.80307999999991</v>
      </c>
      <c r="AD1024" s="121">
        <v>662.80307999999991</v>
      </c>
      <c r="AE1024" s="121">
        <v>662.80307999999991</v>
      </c>
      <c r="AF1024" s="121">
        <v>662.80307999999991</v>
      </c>
      <c r="AG1024" s="121">
        <v>662.80307999999991</v>
      </c>
      <c r="AH1024" s="121">
        <v>662.80307999999991</v>
      </c>
      <c r="AI1024" s="121">
        <v>662.80307999999991</v>
      </c>
      <c r="AJ1024" s="121">
        <v>662.80307999999991</v>
      </c>
      <c r="AK1024" s="121">
        <v>662.80307999999991</v>
      </c>
      <c r="AL1024" s="121">
        <v>662.80307999999991</v>
      </c>
      <c r="AM1024" s="121">
        <v>662.80307999999991</v>
      </c>
      <c r="AN1024" s="121">
        <v>662.80307999999991</v>
      </c>
      <c r="AO1024" s="121">
        <v>662.80307999999991</v>
      </c>
      <c r="AP1024" s="125" t="str">
        <f>CONCATENATE(A1024,M1024)</f>
        <v>Def TaxR</v>
      </c>
      <c r="AQ1024" s="125" t="str">
        <f>CONCATENATE(AP1024,L1024,H1024)</f>
        <v>Def TaxRR11Excess DIT &gt; 7.1% (NYS)</v>
      </c>
      <c r="AS1024" s="125" t="str">
        <f>CONCATENATE(L1024,H1024,J1024)</f>
        <v>R11Excess DIT &gt; 7.1% (NYS)</v>
      </c>
    </row>
    <row r="1025" spans="1:45" s="125" customFormat="1" ht="25.5" customHeight="1">
      <c r="A1025" s="216" t="s">
        <v>1996</v>
      </c>
      <c r="B1025" s="217" t="str">
        <f t="shared" si="453"/>
        <v>Def Tax190501NCR/Non NCR-d0</v>
      </c>
      <c r="C1025" s="186">
        <v>190501</v>
      </c>
      <c r="D1025" s="201" t="s">
        <v>2357</v>
      </c>
      <c r="E1025" s="162">
        <v>0</v>
      </c>
      <c r="F1025" s="169" t="s">
        <v>862</v>
      </c>
      <c r="G1025" s="117" t="s">
        <v>2989</v>
      </c>
      <c r="H1025" s="118" t="s">
        <v>967</v>
      </c>
      <c r="I1025" s="119"/>
      <c r="J1025" s="120"/>
      <c r="K1025" s="120" t="str">
        <f>IF(L1025="N3","SFAS-109","")</f>
        <v/>
      </c>
      <c r="L1025" s="170" t="s">
        <v>1895</v>
      </c>
      <c r="M1025" s="122" t="str">
        <f t="shared" si="456"/>
        <v>R</v>
      </c>
      <c r="N1025" s="116" t="str">
        <f>IF($L1025&lt;&gt;"",VLOOKUP($L1025,Categories!$E:$G,2,FALSE),IF($F1025&lt;&gt;"","NO CAT",""))</f>
        <v>Rate Base</v>
      </c>
      <c r="O1025" s="116" t="str">
        <f>IF($L1025&lt;&gt;"",VLOOKUP($L1025,Categories!$E:$G,3,FALSE),IF($F1025&lt;&gt;"","NO CAT",""))</f>
        <v>Deferred Income Taxes</v>
      </c>
      <c r="P1025" s="170" t="s">
        <v>1183</v>
      </c>
      <c r="Q1025" s="123" t="s">
        <v>1177</v>
      </c>
      <c r="R1025" s="124">
        <v>1</v>
      </c>
      <c r="S1025" s="124">
        <v>0</v>
      </c>
      <c r="T1025" s="124">
        <v>0</v>
      </c>
      <c r="U1025" s="121">
        <f t="shared" si="424"/>
        <v>0.10877000000000001</v>
      </c>
      <c r="V1025" s="121">
        <f t="shared" si="425"/>
        <v>0</v>
      </c>
      <c r="W1025" s="121">
        <f t="shared" si="426"/>
        <v>0</v>
      </c>
      <c r="X1025" s="121">
        <f t="shared" si="454"/>
        <v>0.10877000000000001</v>
      </c>
      <c r="Y1025" s="121">
        <f t="shared" si="427"/>
        <v>0.10877000000000001</v>
      </c>
      <c r="Z1025" s="121">
        <f t="shared" si="428"/>
        <v>0</v>
      </c>
      <c r="AA1025" s="121">
        <f t="shared" si="429"/>
        <v>0</v>
      </c>
      <c r="AB1025" s="121">
        <f t="shared" si="455"/>
        <v>0.10876999999999999</v>
      </c>
      <c r="AC1025" s="121">
        <v>0.10876999999999999</v>
      </c>
      <c r="AD1025" s="121">
        <v>0.10876999999999999</v>
      </c>
      <c r="AE1025" s="121">
        <v>0.10876999999999999</v>
      </c>
      <c r="AF1025" s="121">
        <v>0.10876999999999999</v>
      </c>
      <c r="AG1025" s="121">
        <v>0.10876999999999999</v>
      </c>
      <c r="AH1025" s="121">
        <v>0.10876999999999999</v>
      </c>
      <c r="AI1025" s="121">
        <v>0.10876999999999999</v>
      </c>
      <c r="AJ1025" s="121">
        <v>0.10876999999999999</v>
      </c>
      <c r="AK1025" s="121">
        <v>0.10876999999999999</v>
      </c>
      <c r="AL1025" s="121">
        <v>0.10876999999999999</v>
      </c>
      <c r="AM1025" s="121">
        <v>0.10876999999999999</v>
      </c>
      <c r="AN1025" s="121">
        <v>0.10876999999999999</v>
      </c>
      <c r="AO1025" s="121">
        <v>0.10876999999999999</v>
      </c>
      <c r="AP1025" s="125" t="str">
        <f>CONCATENATE(A1025,M1025)</f>
        <v>Def TaxR</v>
      </c>
      <c r="AQ1025" s="125" t="str">
        <f>CONCATENATE(AP1025,L1025,H1025)</f>
        <v>Def TaxRR11Excess DIT &gt; 7.1% (NYS)</v>
      </c>
      <c r="AS1025" s="125" t="str">
        <f>CONCATENATE(L1025,H1025,J1025)</f>
        <v>R11Excess DIT &gt; 7.1% (NYS)</v>
      </c>
    </row>
    <row r="1026" spans="1:45" s="125" customFormat="1" ht="25.5" customHeight="1">
      <c r="A1026" s="216" t="s">
        <v>1996</v>
      </c>
      <c r="B1026" s="217" t="str">
        <f t="shared" si="453"/>
        <v>Def Tax190501NCR/Non NCR-e0</v>
      </c>
      <c r="C1026" s="186">
        <v>190501</v>
      </c>
      <c r="D1026" s="201" t="s">
        <v>2358</v>
      </c>
      <c r="E1026" s="162">
        <v>0</v>
      </c>
      <c r="F1026" s="169" t="s">
        <v>862</v>
      </c>
      <c r="G1026" s="117" t="s">
        <v>1378</v>
      </c>
      <c r="H1026" s="118" t="s">
        <v>967</v>
      </c>
      <c r="I1026" s="119"/>
      <c r="J1026" s="120"/>
      <c r="K1026" s="120" t="str">
        <f>IF(L1026="N3","SFAS-109","")</f>
        <v/>
      </c>
      <c r="L1026" s="170" t="s">
        <v>1895</v>
      </c>
      <c r="M1026" s="122" t="str">
        <f t="shared" si="456"/>
        <v>R</v>
      </c>
      <c r="N1026" s="116" t="str">
        <f>IF($L1026&lt;&gt;"",VLOOKUP($L1026,Categories!$E:$G,2,FALSE),IF($F1026&lt;&gt;"","NO CAT",""))</f>
        <v>Rate Base</v>
      </c>
      <c r="O1026" s="116" t="str">
        <f>IF($L1026&lt;&gt;"",VLOOKUP($L1026,Categories!$E:$G,3,FALSE),IF($F1026&lt;&gt;"","NO CAT",""))</f>
        <v>Deferred Income Taxes</v>
      </c>
      <c r="P1026" s="170" t="s">
        <v>1183</v>
      </c>
      <c r="Q1026" s="123" t="s">
        <v>1177</v>
      </c>
      <c r="R1026" s="124">
        <v>1</v>
      </c>
      <c r="S1026" s="124">
        <v>0</v>
      </c>
      <c r="T1026" s="124">
        <v>0</v>
      </c>
      <c r="U1026" s="121">
        <f t="shared" si="424"/>
        <v>8.55077</v>
      </c>
      <c r="V1026" s="121">
        <f t="shared" si="425"/>
        <v>0</v>
      </c>
      <c r="W1026" s="121">
        <f t="shared" si="426"/>
        <v>0</v>
      </c>
      <c r="X1026" s="121">
        <f t="shared" si="454"/>
        <v>8.55077</v>
      </c>
      <c r="Y1026" s="121">
        <f t="shared" si="427"/>
        <v>8.55077</v>
      </c>
      <c r="Z1026" s="121">
        <f t="shared" si="428"/>
        <v>0</v>
      </c>
      <c r="AA1026" s="121">
        <f t="shared" si="429"/>
        <v>0</v>
      </c>
      <c r="AB1026" s="121">
        <f t="shared" si="455"/>
        <v>8.55077</v>
      </c>
      <c r="AC1026" s="121">
        <v>8.55077</v>
      </c>
      <c r="AD1026" s="121">
        <v>8.55077</v>
      </c>
      <c r="AE1026" s="121">
        <v>8.55077</v>
      </c>
      <c r="AF1026" s="121">
        <v>8.55077</v>
      </c>
      <c r="AG1026" s="121">
        <v>8.55077</v>
      </c>
      <c r="AH1026" s="121">
        <v>8.55077</v>
      </c>
      <c r="AI1026" s="121">
        <v>8.55077</v>
      </c>
      <c r="AJ1026" s="121">
        <v>8.55077</v>
      </c>
      <c r="AK1026" s="121">
        <v>8.55077</v>
      </c>
      <c r="AL1026" s="121">
        <v>8.55077</v>
      </c>
      <c r="AM1026" s="121">
        <v>8.55077</v>
      </c>
      <c r="AN1026" s="121">
        <v>8.55077</v>
      </c>
      <c r="AO1026" s="121">
        <v>8.55077</v>
      </c>
      <c r="AP1026" s="125" t="str">
        <f>CONCATENATE(A1026,M1026)</f>
        <v>Def TaxR</v>
      </c>
      <c r="AQ1026" s="125" t="str">
        <f>CONCATENATE(AP1026,L1026,H1026)</f>
        <v>Def TaxRR11Excess DIT &gt; 7.1% (NYS)</v>
      </c>
      <c r="AS1026" s="125" t="str">
        <f>CONCATENATE(L1026,H1026,J1026)</f>
        <v>R11Excess DIT &gt; 7.1% (NYS)</v>
      </c>
    </row>
    <row r="1027" spans="1:45" s="125" customFormat="1" ht="25.5" customHeight="1">
      <c r="A1027" s="216" t="s">
        <v>1996</v>
      </c>
      <c r="B1027" s="217" t="str">
        <f t="shared" si="453"/>
        <v>Def Tax190501NCR/Non NCR-f0</v>
      </c>
      <c r="C1027" s="186">
        <v>190501</v>
      </c>
      <c r="D1027" s="201" t="s">
        <v>2359</v>
      </c>
      <c r="E1027" s="162">
        <v>0</v>
      </c>
      <c r="F1027" s="169" t="s">
        <v>862</v>
      </c>
      <c r="G1027" s="117" t="s">
        <v>1379</v>
      </c>
      <c r="H1027" s="118" t="s">
        <v>967</v>
      </c>
      <c r="I1027" s="119"/>
      <c r="J1027" s="120"/>
      <c r="K1027" s="120" t="str">
        <f>IF(L1027="N3","SFAS-109","")</f>
        <v/>
      </c>
      <c r="L1027" s="170" t="s">
        <v>1895</v>
      </c>
      <c r="M1027" s="122" t="str">
        <f t="shared" si="456"/>
        <v>R</v>
      </c>
      <c r="N1027" s="116" t="str">
        <f>IF($L1027&lt;&gt;"",VLOOKUP($L1027,Categories!$E:$G,2,FALSE),IF($F1027&lt;&gt;"","NO CAT",""))</f>
        <v>Rate Base</v>
      </c>
      <c r="O1027" s="116" t="str">
        <f>IF($L1027&lt;&gt;"",VLOOKUP($L1027,Categories!$E:$G,3,FALSE),IF($F1027&lt;&gt;"","NO CAT",""))</f>
        <v>Deferred Income Taxes</v>
      </c>
      <c r="P1027" s="170" t="s">
        <v>1183</v>
      </c>
      <c r="Q1027" s="123" t="s">
        <v>1177</v>
      </c>
      <c r="R1027" s="124">
        <v>1</v>
      </c>
      <c r="S1027" s="124">
        <v>0</v>
      </c>
      <c r="T1027" s="124">
        <v>0</v>
      </c>
      <c r="U1027" s="121">
        <f t="shared" si="424"/>
        <v>-26.93169</v>
      </c>
      <c r="V1027" s="121">
        <f t="shared" si="425"/>
        <v>0</v>
      </c>
      <c r="W1027" s="121">
        <f t="shared" si="426"/>
        <v>0</v>
      </c>
      <c r="X1027" s="121">
        <f t="shared" si="454"/>
        <v>-26.93169</v>
      </c>
      <c r="Y1027" s="121">
        <f t="shared" si="427"/>
        <v>-26.93169</v>
      </c>
      <c r="Z1027" s="121">
        <f t="shared" si="428"/>
        <v>0</v>
      </c>
      <c r="AA1027" s="121">
        <f t="shared" si="429"/>
        <v>0</v>
      </c>
      <c r="AB1027" s="121">
        <f t="shared" si="455"/>
        <v>-26.93169</v>
      </c>
      <c r="AC1027" s="121">
        <v>-26.93169</v>
      </c>
      <c r="AD1027" s="121">
        <v>-26.93169</v>
      </c>
      <c r="AE1027" s="121">
        <v>-26.93169</v>
      </c>
      <c r="AF1027" s="121">
        <v>-26.93169</v>
      </c>
      <c r="AG1027" s="121">
        <v>-26.93169</v>
      </c>
      <c r="AH1027" s="121">
        <v>-26.93169</v>
      </c>
      <c r="AI1027" s="121">
        <v>-26.93169</v>
      </c>
      <c r="AJ1027" s="121">
        <v>-26.93169</v>
      </c>
      <c r="AK1027" s="121">
        <v>-26.93169</v>
      </c>
      <c r="AL1027" s="121">
        <v>-26.93169</v>
      </c>
      <c r="AM1027" s="121">
        <v>-26.93169</v>
      </c>
      <c r="AN1027" s="121">
        <v>-26.93169</v>
      </c>
      <c r="AO1027" s="121">
        <v>-26.93169</v>
      </c>
      <c r="AP1027" s="125" t="str">
        <f>CONCATENATE(A1027,M1027)</f>
        <v>Def TaxR</v>
      </c>
      <c r="AQ1027" s="125" t="str">
        <f>CONCATENATE(AP1027,L1027,H1027)</f>
        <v>Def TaxRR11Excess DIT &gt; 7.1% (NYS)</v>
      </c>
      <c r="AS1027" s="125" t="str">
        <f>CONCATENATE(L1027,H1027,J1027)</f>
        <v>R11Excess DIT &gt; 7.1% (NYS)</v>
      </c>
    </row>
    <row r="1028" spans="1:45" s="125" customFormat="1" ht="25.5" customHeight="1">
      <c r="A1028" s="216" t="s">
        <v>1996</v>
      </c>
      <c r="B1028" s="217" t="str">
        <f t="shared" si="453"/>
        <v>Def Tax190501PBABT010287</v>
      </c>
      <c r="C1028" s="186">
        <v>190501</v>
      </c>
      <c r="D1028" s="201" t="s">
        <v>1800</v>
      </c>
      <c r="E1028" s="162" t="s">
        <v>391</v>
      </c>
      <c r="F1028" s="169" t="s">
        <v>862</v>
      </c>
      <c r="G1028" s="117" t="s">
        <v>1580</v>
      </c>
      <c r="H1028" s="118" t="s">
        <v>763</v>
      </c>
      <c r="I1028" s="119"/>
      <c r="J1028" s="120"/>
      <c r="K1028" s="120" t="str">
        <f t="shared" si="423"/>
        <v/>
      </c>
      <c r="L1028" s="170" t="s">
        <v>1895</v>
      </c>
      <c r="M1028" s="122" t="str">
        <f t="shared" si="456"/>
        <v>R</v>
      </c>
      <c r="N1028" s="116" t="str">
        <f>IF($L1028&lt;&gt;"",VLOOKUP($L1028,Categories!$E:$G,2,FALSE),IF($F1028&lt;&gt;"","NO CAT",""))</f>
        <v>Rate Base</v>
      </c>
      <c r="O1028" s="116" t="str">
        <f>IF($L1028&lt;&gt;"",VLOOKUP($L1028,Categories!$E:$G,3,FALSE),IF($F1028&lt;&gt;"","NO CAT",""))</f>
        <v>Deferred Income Taxes</v>
      </c>
      <c r="P1028" s="170" t="s">
        <v>1183</v>
      </c>
      <c r="Q1028" s="123" t="s">
        <v>1177</v>
      </c>
      <c r="R1028" s="124">
        <v>1</v>
      </c>
      <c r="S1028" s="124">
        <v>0</v>
      </c>
      <c r="T1028" s="124">
        <v>0</v>
      </c>
      <c r="U1028" s="121">
        <f t="shared" si="424"/>
        <v>4439.7787699999799</v>
      </c>
      <c r="V1028" s="121">
        <f t="shared" si="425"/>
        <v>0</v>
      </c>
      <c r="W1028" s="121">
        <f t="shared" si="426"/>
        <v>0</v>
      </c>
      <c r="X1028" s="121">
        <f t="shared" si="454"/>
        <v>4439.7787699999799</v>
      </c>
      <c r="Y1028" s="121">
        <f t="shared" si="427"/>
        <v>4439.7787699999899</v>
      </c>
      <c r="Z1028" s="121">
        <f t="shared" si="428"/>
        <v>0</v>
      </c>
      <c r="AA1028" s="121">
        <f t="shared" si="429"/>
        <v>0</v>
      </c>
      <c r="AB1028" s="121">
        <f t="shared" si="455"/>
        <v>4439.7787699999853</v>
      </c>
      <c r="AC1028" s="121">
        <v>4439.7787699999853</v>
      </c>
      <c r="AD1028" s="121">
        <v>4439.7787699999853</v>
      </c>
      <c r="AE1028" s="121">
        <v>4439.7787699999853</v>
      </c>
      <c r="AF1028" s="121">
        <v>4439.7787699999853</v>
      </c>
      <c r="AG1028" s="121">
        <v>4439.7787699999853</v>
      </c>
      <c r="AH1028" s="121">
        <v>4439.7787699999853</v>
      </c>
      <c r="AI1028" s="161">
        <v>4439.7787699999853</v>
      </c>
      <c r="AJ1028" s="161">
        <v>4439.7787699999853</v>
      </c>
      <c r="AK1028" s="161">
        <v>4439.7787699999853</v>
      </c>
      <c r="AL1028" s="161">
        <v>4439.7787699999853</v>
      </c>
      <c r="AM1028" s="161">
        <v>4439.7787699999853</v>
      </c>
      <c r="AN1028" s="161">
        <v>4439.7787699999853</v>
      </c>
      <c r="AO1028" s="161">
        <v>4439.7787699999853</v>
      </c>
      <c r="AP1028" s="125" t="str">
        <f>CONCATENATE(A1028,M1028)</f>
        <v>Def TaxR</v>
      </c>
      <c r="AQ1028" s="125" t="str">
        <f>CONCATENATE(AP1028,L1028,H1028)</f>
        <v>Def TaxRR11Positive Benefit Adjustment</v>
      </c>
      <c r="AS1028" s="125" t="str">
        <f>CONCATENATE(L1028,H1028,J1028)</f>
        <v>R11Positive Benefit Adjustment</v>
      </c>
    </row>
    <row r="1029" spans="1:45" s="125" customFormat="1" ht="25.5" customHeight="1">
      <c r="A1029" s="216" t="s">
        <v>1996</v>
      </c>
      <c r="B1029" s="217" t="str">
        <f t="shared" si="453"/>
        <v>Def Tax190501Hist Bk RtBE030368</v>
      </c>
      <c r="C1029" s="186">
        <v>190501</v>
      </c>
      <c r="D1029" s="201" t="s">
        <v>1579</v>
      </c>
      <c r="E1029" s="162" t="s">
        <v>2991</v>
      </c>
      <c r="F1029" s="169" t="s">
        <v>862</v>
      </c>
      <c r="G1029" s="117" t="s">
        <v>77</v>
      </c>
      <c r="H1029" s="118" t="s">
        <v>539</v>
      </c>
      <c r="I1029" s="119"/>
      <c r="J1029" s="231"/>
      <c r="K1029" s="120" t="str">
        <f t="shared" si="423"/>
        <v/>
      </c>
      <c r="L1029" s="170" t="s">
        <v>1895</v>
      </c>
      <c r="M1029" s="122" t="str">
        <f t="shared" si="456"/>
        <v>R</v>
      </c>
      <c r="N1029" s="116" t="str">
        <f>IF($L1029&lt;&gt;"",VLOOKUP($L1029,Categories!$E:$G,2,FALSE),IF($F1029&lt;&gt;"","NO CAT",""))</f>
        <v>Rate Base</v>
      </c>
      <c r="O1029" s="116" t="str">
        <f>IF($L1029&lt;&gt;"",VLOOKUP($L1029,Categories!$E:$G,3,FALSE),IF($F1029&lt;&gt;"","NO CAT",""))</f>
        <v>Deferred Income Taxes</v>
      </c>
      <c r="P1029" s="170" t="s">
        <v>1183</v>
      </c>
      <c r="Q1029" s="123" t="s">
        <v>1177</v>
      </c>
      <c r="R1029" s="124">
        <v>1</v>
      </c>
      <c r="S1029" s="124">
        <v>0</v>
      </c>
      <c r="T1029" s="124">
        <v>0</v>
      </c>
      <c r="U1029" s="121">
        <f t="shared" si="424"/>
        <v>1601.3964599999999</v>
      </c>
      <c r="V1029" s="121">
        <f t="shared" si="425"/>
        <v>0</v>
      </c>
      <c r="W1029" s="121">
        <f t="shared" si="426"/>
        <v>0</v>
      </c>
      <c r="X1029" s="121">
        <f t="shared" si="454"/>
        <v>1601.3964599999999</v>
      </c>
      <c r="Y1029" s="121">
        <f t="shared" si="427"/>
        <v>1601.3964599999999</v>
      </c>
      <c r="Z1029" s="121">
        <f t="shared" si="428"/>
        <v>0</v>
      </c>
      <c r="AA1029" s="121">
        <f t="shared" si="429"/>
        <v>0</v>
      </c>
      <c r="AB1029" s="121">
        <f t="shared" si="455"/>
        <v>1601.3964600000004</v>
      </c>
      <c r="AC1029" s="121">
        <v>1601.3964600000004</v>
      </c>
      <c r="AD1029" s="121">
        <v>1601.3964600000004</v>
      </c>
      <c r="AE1029" s="121">
        <v>1601.3964600000004</v>
      </c>
      <c r="AF1029" s="121">
        <v>1601.3964600000004</v>
      </c>
      <c r="AG1029" s="121">
        <v>1601.3964600000004</v>
      </c>
      <c r="AH1029" s="121">
        <v>1601.3964600000004</v>
      </c>
      <c r="AI1029" s="161">
        <v>1601.3964600000004</v>
      </c>
      <c r="AJ1029" s="161">
        <v>1601.3964600000004</v>
      </c>
      <c r="AK1029" s="161">
        <v>1601.3964600000004</v>
      </c>
      <c r="AL1029" s="161">
        <v>1601.3964600000004</v>
      </c>
      <c r="AM1029" s="161">
        <v>1601.3964600000004</v>
      </c>
      <c r="AN1029" s="161">
        <v>1601.3964600000004</v>
      </c>
      <c r="AO1029" s="161">
        <v>1601.3964600000004</v>
      </c>
      <c r="AP1029" s="125" t="str">
        <f>CONCATENATE(A1029,M1029)</f>
        <v>Def TaxR</v>
      </c>
      <c r="AQ1029" s="125" t="str">
        <f>CONCATENATE(AP1029,L1029,H1029)</f>
        <v>Def TaxRR11Inc Tax on Lower Book Depr Exp vs. Amt in Rates</v>
      </c>
      <c r="AS1029" s="125" t="str">
        <f>CONCATENATE(L1029,H1029,J1029)</f>
        <v>R11Inc Tax on Lower Book Depr Exp vs. Amt in Rates</v>
      </c>
    </row>
    <row r="1030" spans="1:45" s="125" customFormat="1" ht="25.5" customHeight="1">
      <c r="A1030" s="216" t="s">
        <v>1996</v>
      </c>
      <c r="B1030" s="217" t="str">
        <f t="shared" si="453"/>
        <v>Def Tax190501Incr MaintBE030599</v>
      </c>
      <c r="C1030" s="186">
        <v>190501</v>
      </c>
      <c r="D1030" s="201" t="s">
        <v>1435</v>
      </c>
      <c r="E1030" s="162" t="s">
        <v>39</v>
      </c>
      <c r="F1030" s="169" t="s">
        <v>862</v>
      </c>
      <c r="G1030" s="117" t="s">
        <v>1015</v>
      </c>
      <c r="H1030" s="118" t="s">
        <v>1078</v>
      </c>
      <c r="I1030" s="119"/>
      <c r="J1030" s="231" t="s">
        <v>105</v>
      </c>
      <c r="K1030" s="120" t="str">
        <f t="shared" si="423"/>
        <v/>
      </c>
      <c r="L1030" s="170" t="s">
        <v>2821</v>
      </c>
      <c r="M1030" s="122" t="str">
        <f t="shared" si="456"/>
        <v>N</v>
      </c>
      <c r="N1030" s="116" t="str">
        <f>IF($L1030&lt;&gt;"",VLOOKUP($L1030,Categories!$E:$G,2,FALSE),IF($F1030&lt;&gt;"","NO CAT",""))</f>
        <v>Not in Rate Base</v>
      </c>
      <c r="O1030" s="116" t="str">
        <f>IF($L1030&lt;&gt;"",VLOOKUP($L1030,Categories!$E:$G,3,FALSE),IF($F1030&lt;&gt;"","NO CAT",""))</f>
        <v>Deferrals Accruing Non-Cash Return   (other than ASGA)</v>
      </c>
      <c r="P1030" s="170" t="s">
        <v>1186</v>
      </c>
      <c r="Q1030" s="123" t="s">
        <v>1187</v>
      </c>
      <c r="R1030" s="124">
        <v>0</v>
      </c>
      <c r="S1030" s="124">
        <v>0</v>
      </c>
      <c r="T1030" s="124">
        <v>1</v>
      </c>
      <c r="U1030" s="121">
        <f t="shared" si="424"/>
        <v>0</v>
      </c>
      <c r="V1030" s="121">
        <f t="shared" si="425"/>
        <v>0</v>
      </c>
      <c r="W1030" s="121">
        <f t="shared" si="426"/>
        <v>114.3845175</v>
      </c>
      <c r="X1030" s="121">
        <f t="shared" si="454"/>
        <v>114.3845175</v>
      </c>
      <c r="Y1030" s="121">
        <f t="shared" si="427"/>
        <v>0</v>
      </c>
      <c r="Z1030" s="121">
        <f t="shared" si="428"/>
        <v>0</v>
      </c>
      <c r="AA1030" s="121">
        <f t="shared" si="429"/>
        <v>-2.4700000000000001E-13</v>
      </c>
      <c r="AB1030" s="121">
        <f t="shared" si="455"/>
        <v>-2.473825588822365E-13</v>
      </c>
      <c r="AC1030" s="121">
        <v>-2.0372681319713593E-13</v>
      </c>
      <c r="AD1030" s="121">
        <v>103.33653999999979</v>
      </c>
      <c r="AE1030" s="121">
        <v>211.29299999999981</v>
      </c>
      <c r="AF1030" s="121">
        <v>256.27068999999977</v>
      </c>
      <c r="AG1030" s="121">
        <v>314.28306999999978</v>
      </c>
      <c r="AH1030" s="121">
        <v>94.696179999999757</v>
      </c>
      <c r="AI1030" s="161">
        <v>134.76738999999975</v>
      </c>
      <c r="AJ1030" s="161">
        <v>46.157959999999761</v>
      </c>
      <c r="AK1030" s="161">
        <v>67.367409999999751</v>
      </c>
      <c r="AL1030" s="161">
        <v>30.600539999999754</v>
      </c>
      <c r="AM1030" s="161">
        <v>49.521429999999754</v>
      </c>
      <c r="AN1030" s="161">
        <v>64.319999999999752</v>
      </c>
      <c r="AO1030" s="161">
        <v>-2.473825588822365E-13</v>
      </c>
      <c r="AP1030" s="125" t="str">
        <f>CONCATENATE(A1030,M1030)</f>
        <v>Def TaxN</v>
      </c>
      <c r="AQ1030" s="125" t="str">
        <f>CONCATENATE(AP1030,L1030,H1030)</f>
        <v>Def TaxNN10Incremental Maintenance</v>
      </c>
      <c r="AS1030" s="125" t="str">
        <f>CONCATENATE(L1030,H1030,J1030)</f>
        <v>N10Incremental MaintenanceNCR</v>
      </c>
    </row>
    <row r="1031" spans="1:45" s="125" customFormat="1" ht="25.5" customHeight="1">
      <c r="A1031" s="216" t="s">
        <v>1996</v>
      </c>
      <c r="B1031" s="217" t="str">
        <f t="shared" si="453"/>
        <v>Def Tax190501Mgt AuditBE030596</v>
      </c>
      <c r="C1031" s="186">
        <v>190501</v>
      </c>
      <c r="D1031" s="201" t="s">
        <v>1433</v>
      </c>
      <c r="E1031" s="162" t="s">
        <v>37</v>
      </c>
      <c r="F1031" s="169" t="s">
        <v>862</v>
      </c>
      <c r="G1031" s="117" t="s">
        <v>1013</v>
      </c>
      <c r="H1031" s="118" t="s">
        <v>1076</v>
      </c>
      <c r="I1031" s="119"/>
      <c r="J1031" s="231" t="s">
        <v>105</v>
      </c>
      <c r="K1031" s="120" t="str">
        <f t="shared" si="423"/>
        <v/>
      </c>
      <c r="L1031" s="170" t="s">
        <v>2821</v>
      </c>
      <c r="M1031" s="122" t="str">
        <f t="shared" si="456"/>
        <v>N</v>
      </c>
      <c r="N1031" s="116" t="str">
        <f>IF($L1031&lt;&gt;"",VLOOKUP($L1031,Categories!$E:$G,2,FALSE),IF($F1031&lt;&gt;"","NO CAT",""))</f>
        <v>Not in Rate Base</v>
      </c>
      <c r="O1031" s="116" t="str">
        <f>IF($L1031&lt;&gt;"",VLOOKUP($L1031,Categories!$E:$G,3,FALSE),IF($F1031&lt;&gt;"","NO CAT",""))</f>
        <v>Deferrals Accruing Non-Cash Return   (other than ASGA)</v>
      </c>
      <c r="P1031" s="170" t="s">
        <v>1186</v>
      </c>
      <c r="Q1031" s="123" t="s">
        <v>1187</v>
      </c>
      <c r="R1031" s="124">
        <v>0</v>
      </c>
      <c r="S1031" s="124">
        <v>0</v>
      </c>
      <c r="T1031" s="124">
        <v>1</v>
      </c>
      <c r="U1031" s="121">
        <f t="shared" si="424"/>
        <v>0</v>
      </c>
      <c r="V1031" s="121">
        <f t="shared" si="425"/>
        <v>0</v>
      </c>
      <c r="W1031" s="121">
        <f t="shared" si="426"/>
        <v>7.88666624999997</v>
      </c>
      <c r="X1031" s="121">
        <f t="shared" si="454"/>
        <v>7.88666624999997</v>
      </c>
      <c r="Y1031" s="121">
        <f t="shared" si="427"/>
        <v>0</v>
      </c>
      <c r="Z1031" s="121">
        <f t="shared" si="428"/>
        <v>0</v>
      </c>
      <c r="AA1031" s="121">
        <f t="shared" si="429"/>
        <v>39.62697</v>
      </c>
      <c r="AB1031" s="121">
        <f t="shared" si="455"/>
        <v>39.626969999999972</v>
      </c>
      <c r="AC1031" s="121">
        <v>-23.869440000000033</v>
      </c>
      <c r="AD1031" s="121">
        <v>-18.57446000000003</v>
      </c>
      <c r="AE1031" s="121">
        <v>-13.280120000000032</v>
      </c>
      <c r="AF1031" s="121">
        <v>-7.9864300000000323</v>
      </c>
      <c r="AG1031" s="121">
        <v>-2.6934000000000324</v>
      </c>
      <c r="AH1031" s="121">
        <v>2.5989799999999676</v>
      </c>
      <c r="AI1031" s="161">
        <v>7.8906999999999679</v>
      </c>
      <c r="AJ1031" s="161">
        <v>13.181759999999969</v>
      </c>
      <c r="AK1031" s="161">
        <v>18.472149999999967</v>
      </c>
      <c r="AL1031" s="161">
        <v>23.761859999999967</v>
      </c>
      <c r="AM1031" s="161">
        <v>29.050909999999966</v>
      </c>
      <c r="AN1031" s="161">
        <v>34.339279999999967</v>
      </c>
      <c r="AO1031" s="161">
        <v>39.626969999999972</v>
      </c>
      <c r="AP1031" s="125" t="str">
        <f>CONCATENATE(A1031,M1031)</f>
        <v>Def TaxN</v>
      </c>
      <c r="AQ1031" s="125" t="str">
        <f>CONCATENATE(AP1031,L1031,H1031)</f>
        <v>Def TaxNN10Management Audit</v>
      </c>
      <c r="AS1031" s="125" t="str">
        <f>CONCATENATE(L1031,H1031,J1031)</f>
        <v>N10Management AuditNCR</v>
      </c>
    </row>
    <row r="1032" spans="1:45" s="125" customFormat="1" ht="25.5" customHeight="1">
      <c r="A1032" s="216" t="s">
        <v>1996</v>
      </c>
      <c r="B1032" s="217" t="str">
        <f>CONCATENATE(A1032,C1032,D1032,E1032)</f>
        <v>Def Tax190501BT030390</v>
      </c>
      <c r="C1032" s="186">
        <v>190501</v>
      </c>
      <c r="D1032" s="201"/>
      <c r="E1032" s="162" t="s">
        <v>4702</v>
      </c>
      <c r="F1032" s="169" t="s">
        <v>862</v>
      </c>
      <c r="G1032" s="117" t="s">
        <v>4498</v>
      </c>
      <c r="H1032" s="118" t="s">
        <v>2675</v>
      </c>
      <c r="I1032" s="119"/>
      <c r="J1032" s="231" t="s">
        <v>105</v>
      </c>
      <c r="K1032" s="120" t="str">
        <f>IF(L1032="N3","SFAS-109","")</f>
        <v/>
      </c>
      <c r="L1032" s="170" t="s">
        <v>2821</v>
      </c>
      <c r="M1032" s="122" t="str">
        <f t="shared" si="456"/>
        <v>N</v>
      </c>
      <c r="N1032" s="116" t="str">
        <f>IF($L1032&lt;&gt;"",VLOOKUP($L1032,Categories!$E:$G,2,FALSE),IF($F1032&lt;&gt;"","NO CAT",""))</f>
        <v>Not in Rate Base</v>
      </c>
      <c r="O1032" s="116" t="str">
        <f>IF($L1032&lt;&gt;"",VLOOKUP($L1032,Categories!$E:$G,3,FALSE),IF($F1032&lt;&gt;"","NO CAT",""))</f>
        <v>Deferrals Accruing Non-Cash Return   (other than ASGA)</v>
      </c>
      <c r="P1032" s="170" t="s">
        <v>1186</v>
      </c>
      <c r="Q1032" s="123" t="s">
        <v>1187</v>
      </c>
      <c r="R1032" s="124">
        <v>0</v>
      </c>
      <c r="S1032" s="124">
        <v>0</v>
      </c>
      <c r="T1032" s="124">
        <v>1</v>
      </c>
      <c r="U1032" s="121">
        <f t="shared" si="424"/>
        <v>0</v>
      </c>
      <c r="V1032" s="121">
        <f t="shared" si="425"/>
        <v>0</v>
      </c>
      <c r="W1032" s="121">
        <f t="shared" si="426"/>
        <v>3681.1925479166698</v>
      </c>
      <c r="X1032" s="121">
        <f t="shared" si="454"/>
        <v>3681.1925479166698</v>
      </c>
      <c r="Y1032" s="121">
        <f t="shared" si="427"/>
        <v>0</v>
      </c>
      <c r="Z1032" s="121">
        <f t="shared" si="428"/>
        <v>0</v>
      </c>
      <c r="AA1032" s="121">
        <f t="shared" si="429"/>
        <v>4479.9092700000001</v>
      </c>
      <c r="AB1032" s="121">
        <f t="shared" si="455"/>
        <v>4479.9092700000001</v>
      </c>
      <c r="AC1032" s="121">
        <v>2891.1161400000005</v>
      </c>
      <c r="AD1032" s="121">
        <v>3020.9312100000006</v>
      </c>
      <c r="AE1032" s="121">
        <v>3151.3055000000004</v>
      </c>
      <c r="AF1032" s="121">
        <v>3282.2408600000003</v>
      </c>
      <c r="AG1032" s="121">
        <v>3413.7402000000002</v>
      </c>
      <c r="AH1032" s="121">
        <v>3545.80645</v>
      </c>
      <c r="AI1032" s="161">
        <v>3678.44254</v>
      </c>
      <c r="AJ1032" s="161">
        <v>3811.6514400000001</v>
      </c>
      <c r="AK1032" s="161">
        <v>3945.4361200000003</v>
      </c>
      <c r="AL1032" s="161">
        <v>4079.4126699999997</v>
      </c>
      <c r="AM1032" s="161">
        <v>4213.1657999999998</v>
      </c>
      <c r="AN1032" s="161">
        <v>4346.6650799999998</v>
      </c>
      <c r="AO1032" s="161">
        <v>4479.9092700000001</v>
      </c>
      <c r="AP1032" s="125" t="str">
        <f>CONCATENATE(A1032,M1032)</f>
        <v>Def TaxN</v>
      </c>
      <c r="AQ1032" s="125" t="str">
        <f>CONCATENATE(AP1032,L1032,H1032)</f>
        <v>Def TaxNN10Mixed Use 263(a)</v>
      </c>
      <c r="AS1032" s="125" t="str">
        <f>CONCATENATE(L1032,H1032,J1032)</f>
        <v>N10Mixed Use 263(a)NCR</v>
      </c>
    </row>
    <row r="1033" spans="1:45" s="125" customFormat="1" ht="25.5" customHeight="1">
      <c r="A1033" s="216" t="s">
        <v>1996</v>
      </c>
      <c r="B1033" s="217" t="str">
        <f t="shared" si="453"/>
        <v>Def Tax1905010-283.21.29BTHUNGDT</v>
      </c>
      <c r="C1033" s="186">
        <v>190501</v>
      </c>
      <c r="D1033" s="201" t="s">
        <v>0</v>
      </c>
      <c r="E1033" s="162" t="s">
        <v>616</v>
      </c>
      <c r="F1033" s="169" t="s">
        <v>862</v>
      </c>
      <c r="G1033" s="117" t="s">
        <v>1</v>
      </c>
      <c r="H1033" s="118" t="s">
        <v>1167</v>
      </c>
      <c r="I1033" s="119"/>
      <c r="J1033" s="120"/>
      <c r="K1033" s="120" t="str">
        <f t="shared" si="423"/>
        <v/>
      </c>
      <c r="L1033" s="170" t="s">
        <v>1895</v>
      </c>
      <c r="M1033" s="122" t="str">
        <f t="shared" si="456"/>
        <v>R</v>
      </c>
      <c r="N1033" s="116" t="str">
        <f>IF($L1033&lt;&gt;"",VLOOKUP($L1033,Categories!$E:$G,2,FALSE),IF($F1033&lt;&gt;"","NO CAT",""))</f>
        <v>Rate Base</v>
      </c>
      <c r="O1033" s="116" t="str">
        <f>IF($L1033&lt;&gt;"",VLOOKUP($L1033,Categories!$E:$G,3,FALSE),IF($F1033&lt;&gt;"","NO CAT",""))</f>
        <v>Deferred Income Taxes</v>
      </c>
      <c r="P1033" s="170" t="s">
        <v>1183</v>
      </c>
      <c r="Q1033" s="123" t="s">
        <v>1177</v>
      </c>
      <c r="R1033" s="124">
        <v>1</v>
      </c>
      <c r="S1033" s="124">
        <v>0</v>
      </c>
      <c r="T1033" s="124">
        <v>0</v>
      </c>
      <c r="U1033" s="121">
        <f t="shared" si="424"/>
        <v>140.86500000000001</v>
      </c>
      <c r="V1033" s="121">
        <f t="shared" si="425"/>
        <v>0</v>
      </c>
      <c r="W1033" s="121">
        <f t="shared" si="426"/>
        <v>0</v>
      </c>
      <c r="X1033" s="121">
        <f t="shared" si="454"/>
        <v>140.86500000000001</v>
      </c>
      <c r="Y1033" s="121">
        <f t="shared" si="427"/>
        <v>140.86500000000001</v>
      </c>
      <c r="Z1033" s="121">
        <f t="shared" si="428"/>
        <v>0</v>
      </c>
      <c r="AA1033" s="121">
        <f t="shared" si="429"/>
        <v>0</v>
      </c>
      <c r="AB1033" s="121">
        <f t="shared" si="455"/>
        <v>140.86500000000001</v>
      </c>
      <c r="AC1033" s="121">
        <v>140.86500000000001</v>
      </c>
      <c r="AD1033" s="121">
        <v>140.86500000000001</v>
      </c>
      <c r="AE1033" s="121">
        <v>140.86500000000001</v>
      </c>
      <c r="AF1033" s="121">
        <v>140.86500000000001</v>
      </c>
      <c r="AG1033" s="121">
        <v>140.86500000000001</v>
      </c>
      <c r="AH1033" s="121">
        <v>140.86500000000001</v>
      </c>
      <c r="AI1033" s="161">
        <v>140.86500000000001</v>
      </c>
      <c r="AJ1033" s="161">
        <v>140.86500000000001</v>
      </c>
      <c r="AK1033" s="161">
        <v>140.86500000000001</v>
      </c>
      <c r="AL1033" s="161">
        <v>140.86500000000001</v>
      </c>
      <c r="AM1033" s="161">
        <v>140.86500000000001</v>
      </c>
      <c r="AN1033" s="161">
        <v>140.86500000000001</v>
      </c>
      <c r="AO1033" s="161">
        <v>140.86500000000001</v>
      </c>
      <c r="AP1033" s="125" t="str">
        <f>CONCATENATE(A1033,M1033)</f>
        <v>Def TaxR</v>
      </c>
      <c r="AQ1033" s="125" t="str">
        <f>CONCATENATE(AP1033,L1033,H1033)</f>
        <v>Def TaxRR11Hung Deferred Taxes</v>
      </c>
      <c r="AS1033" s="125" t="str">
        <f>CONCATENATE(L1033,H1033,J1033)</f>
        <v>R11Hung Deferred Taxes</v>
      </c>
    </row>
    <row r="1034" spans="1:45" s="125" customFormat="1" ht="25.5" customHeight="1">
      <c r="A1034" s="216" t="s">
        <v>1996</v>
      </c>
      <c r="B1034" s="217" t="str">
        <f t="shared" si="453"/>
        <v>Def Tax1905010-283.22.27BE030210</v>
      </c>
      <c r="C1034" s="186">
        <v>190501</v>
      </c>
      <c r="D1034" s="201" t="s">
        <v>205</v>
      </c>
      <c r="E1034" s="162" t="s">
        <v>1730</v>
      </c>
      <c r="F1034" s="169" t="s">
        <v>862</v>
      </c>
      <c r="G1034" s="117" t="s">
        <v>1411</v>
      </c>
      <c r="H1034" s="118" t="s">
        <v>2833</v>
      </c>
      <c r="I1034" s="119"/>
      <c r="J1034" s="231" t="s">
        <v>105</v>
      </c>
      <c r="K1034" s="120" t="str">
        <f t="shared" si="423"/>
        <v/>
      </c>
      <c r="L1034" s="170" t="s">
        <v>2821</v>
      </c>
      <c r="M1034" s="122" t="str">
        <f t="shared" si="456"/>
        <v>N</v>
      </c>
      <c r="N1034" s="116" t="str">
        <f>IF($L1034&lt;&gt;"",VLOOKUP($L1034,Categories!$E:$G,2,FALSE),IF($F1034&lt;&gt;"","NO CAT",""))</f>
        <v>Not in Rate Base</v>
      </c>
      <c r="O1034" s="116" t="str">
        <f>IF($L1034&lt;&gt;"",VLOOKUP($L1034,Categories!$E:$G,3,FALSE),IF($F1034&lt;&gt;"","NO CAT",""))</f>
        <v>Deferrals Accruing Non-Cash Return   (other than ASGA)</v>
      </c>
      <c r="P1034" s="170" t="s">
        <v>1186</v>
      </c>
      <c r="Q1034" s="123" t="s">
        <v>1187</v>
      </c>
      <c r="R1034" s="124">
        <v>0</v>
      </c>
      <c r="S1034" s="124">
        <v>0</v>
      </c>
      <c r="T1034" s="124">
        <v>1</v>
      </c>
      <c r="U1034" s="121">
        <f t="shared" si="424"/>
        <v>0</v>
      </c>
      <c r="V1034" s="121">
        <f t="shared" si="425"/>
        <v>0</v>
      </c>
      <c r="W1034" s="121">
        <f t="shared" si="426"/>
        <v>729.78800999999999</v>
      </c>
      <c r="X1034" s="121">
        <f t="shared" si="454"/>
        <v>729.78800999999999</v>
      </c>
      <c r="Y1034" s="121">
        <f t="shared" si="427"/>
        <v>0</v>
      </c>
      <c r="Z1034" s="121">
        <f t="shared" si="428"/>
        <v>0</v>
      </c>
      <c r="AA1034" s="121">
        <f t="shared" si="429"/>
        <v>729.78800999999999</v>
      </c>
      <c r="AB1034" s="121">
        <f t="shared" si="455"/>
        <v>729.78800999999987</v>
      </c>
      <c r="AC1034" s="121">
        <v>729.78800999999987</v>
      </c>
      <c r="AD1034" s="121">
        <v>729.78800999999987</v>
      </c>
      <c r="AE1034" s="121">
        <v>729.78800999999987</v>
      </c>
      <c r="AF1034" s="121">
        <v>729.78800999999987</v>
      </c>
      <c r="AG1034" s="121">
        <v>729.78800999999987</v>
      </c>
      <c r="AH1034" s="121">
        <v>729.78800999999987</v>
      </c>
      <c r="AI1034" s="161">
        <v>729.78800999999987</v>
      </c>
      <c r="AJ1034" s="161">
        <v>729.78800999999987</v>
      </c>
      <c r="AK1034" s="161">
        <v>729.78800999999987</v>
      </c>
      <c r="AL1034" s="161">
        <v>729.78800999999987</v>
      </c>
      <c r="AM1034" s="161">
        <v>729.78800999999987</v>
      </c>
      <c r="AN1034" s="161">
        <v>729.78800999999987</v>
      </c>
      <c r="AO1034" s="161">
        <v>729.78800999999987</v>
      </c>
      <c r="AP1034" s="125" t="str">
        <f>CONCATENATE(A1034,M1034)</f>
        <v>Def TaxN</v>
      </c>
      <c r="AQ1034" s="125" t="str">
        <f>CONCATENATE(AP1034,L1034,H1034)</f>
        <v>Def TaxNN10Low Income</v>
      </c>
      <c r="AS1034" s="125" t="str">
        <f>CONCATENATE(L1034,H1034,J1034)</f>
        <v>N10Low IncomeNCR</v>
      </c>
    </row>
    <row r="1035" spans="1:45" s="125" customFormat="1" ht="25.5" customHeight="1">
      <c r="A1035" s="216" t="s">
        <v>1996</v>
      </c>
      <c r="B1035" s="217" t="str">
        <f t="shared" si="453"/>
        <v>Def Tax190501PSC AssessmentBT010353</v>
      </c>
      <c r="C1035" s="186">
        <v>190501</v>
      </c>
      <c r="D1035" s="201" t="s">
        <v>1844</v>
      </c>
      <c r="E1035" s="162" t="s">
        <v>1054</v>
      </c>
      <c r="F1035" s="169" t="s">
        <v>862</v>
      </c>
      <c r="G1035" s="117" t="s">
        <v>1053</v>
      </c>
      <c r="H1035" s="118" t="s">
        <v>1844</v>
      </c>
      <c r="I1035" s="119"/>
      <c r="J1035" s="231" t="s">
        <v>105</v>
      </c>
      <c r="K1035" s="120" t="str">
        <f t="shared" si="423"/>
        <v/>
      </c>
      <c r="L1035" s="170" t="s">
        <v>2821</v>
      </c>
      <c r="M1035" s="122" t="str">
        <f t="shared" si="456"/>
        <v>N</v>
      </c>
      <c r="N1035" s="116" t="str">
        <f>IF($L1035&lt;&gt;"",VLOOKUP($L1035,Categories!$E:$G,2,FALSE),IF($F1035&lt;&gt;"","NO CAT",""))</f>
        <v>Not in Rate Base</v>
      </c>
      <c r="O1035" s="116" t="str">
        <f>IF($L1035&lt;&gt;"",VLOOKUP($L1035,Categories!$E:$G,3,FALSE),IF($F1035&lt;&gt;"","NO CAT",""))</f>
        <v>Deferrals Accruing Non-Cash Return   (other than ASGA)</v>
      </c>
      <c r="P1035" s="170" t="s">
        <v>1186</v>
      </c>
      <c r="Q1035" s="123" t="s">
        <v>1187</v>
      </c>
      <c r="R1035" s="124">
        <v>0</v>
      </c>
      <c r="S1035" s="124">
        <v>0</v>
      </c>
      <c r="T1035" s="124">
        <v>1</v>
      </c>
      <c r="U1035" s="121">
        <f t="shared" si="424"/>
        <v>0</v>
      </c>
      <c r="V1035" s="121">
        <f t="shared" si="425"/>
        <v>0</v>
      </c>
      <c r="W1035" s="121">
        <f t="shared" si="426"/>
        <v>-811.60570874999996</v>
      </c>
      <c r="X1035" s="121">
        <f t="shared" si="454"/>
        <v>-811.60570874999996</v>
      </c>
      <c r="Y1035" s="121">
        <f t="shared" si="427"/>
        <v>0</v>
      </c>
      <c r="Z1035" s="121">
        <f t="shared" si="428"/>
        <v>0</v>
      </c>
      <c r="AA1035" s="121">
        <f t="shared" si="429"/>
        <v>-1753.60032</v>
      </c>
      <c r="AB1035" s="121">
        <f t="shared" si="455"/>
        <v>-1753.6003200000002</v>
      </c>
      <c r="AC1035" s="121">
        <v>2.2999999951571227E-4</v>
      </c>
      <c r="AD1035" s="121">
        <v>2.2999999951571227E-4</v>
      </c>
      <c r="AE1035" s="121">
        <v>2.2999999951571227E-4</v>
      </c>
      <c r="AF1035" s="121">
        <v>2.2999999951571227E-4</v>
      </c>
      <c r="AG1035" s="121">
        <v>2.2999999951571227E-4</v>
      </c>
      <c r="AH1035" s="121">
        <v>2.2999999951571227E-4</v>
      </c>
      <c r="AI1035" s="161">
        <v>2.2999999951571227E-4</v>
      </c>
      <c r="AJ1035" s="161">
        <v>-1850.9382800000005</v>
      </c>
      <c r="AK1035" s="161">
        <v>-1933.0270900000005</v>
      </c>
      <c r="AL1035" s="161">
        <v>-1608.1662500000004</v>
      </c>
      <c r="AM1035" s="161">
        <v>-1704.3390300000005</v>
      </c>
      <c r="AN1035" s="161">
        <v>-1765.9991900000005</v>
      </c>
      <c r="AO1035" s="161">
        <v>-1753.6003200000002</v>
      </c>
      <c r="AP1035" s="125" t="str">
        <f>CONCATENATE(A1035,M1035)</f>
        <v>Def TaxN</v>
      </c>
      <c r="AQ1035" s="125" t="str">
        <f>CONCATENATE(AP1035,L1035,H1035)</f>
        <v>Def TaxNN10PSC Assessment</v>
      </c>
      <c r="AS1035" s="125" t="str">
        <f>CONCATENATE(L1035,H1035,J1035)</f>
        <v>N10PSC AssessmentNCR</v>
      </c>
    </row>
    <row r="1036" spans="1:45" s="125" customFormat="1" ht="25.5" customHeight="1">
      <c r="A1036" s="216" t="s">
        <v>1996</v>
      </c>
      <c r="B1036" s="217" t="str">
        <f t="shared" si="453"/>
        <v>Def Tax190501SQPMBT010209</v>
      </c>
      <c r="C1036" s="186">
        <v>190501</v>
      </c>
      <c r="D1036" s="201" t="s">
        <v>2895</v>
      </c>
      <c r="E1036" s="162" t="s">
        <v>394</v>
      </c>
      <c r="F1036" s="169" t="s">
        <v>862</v>
      </c>
      <c r="G1036" s="117" t="s">
        <v>2894</v>
      </c>
      <c r="H1036" s="118" t="s">
        <v>1943</v>
      </c>
      <c r="I1036" s="119"/>
      <c r="J1036" s="120"/>
      <c r="K1036" s="120" t="str">
        <f t="shared" si="423"/>
        <v/>
      </c>
      <c r="L1036" s="170" t="s">
        <v>1895</v>
      </c>
      <c r="M1036" s="122" t="str">
        <f t="shared" si="456"/>
        <v>R</v>
      </c>
      <c r="N1036" s="116" t="str">
        <f>IF($L1036&lt;&gt;"",VLOOKUP($L1036,Categories!$E:$G,2,FALSE),IF($F1036&lt;&gt;"","NO CAT",""))</f>
        <v>Rate Base</v>
      </c>
      <c r="O1036" s="116" t="str">
        <f>IF($L1036&lt;&gt;"",VLOOKUP($L1036,Categories!$E:$G,3,FALSE),IF($F1036&lt;&gt;"","NO CAT",""))</f>
        <v>Deferred Income Taxes</v>
      </c>
      <c r="P1036" s="170" t="s">
        <v>1183</v>
      </c>
      <c r="Q1036" s="123" t="s">
        <v>1177</v>
      </c>
      <c r="R1036" s="124">
        <v>1</v>
      </c>
      <c r="S1036" s="124">
        <v>0</v>
      </c>
      <c r="T1036" s="124">
        <v>0</v>
      </c>
      <c r="U1036" s="121">
        <f t="shared" si="424"/>
        <v>625.45000000000005</v>
      </c>
      <c r="V1036" s="121">
        <f t="shared" si="425"/>
        <v>0</v>
      </c>
      <c r="W1036" s="121">
        <f t="shared" si="426"/>
        <v>0</v>
      </c>
      <c r="X1036" s="121">
        <f t="shared" si="454"/>
        <v>625.45000000000005</v>
      </c>
      <c r="Y1036" s="121">
        <f t="shared" si="427"/>
        <v>625.45000000000005</v>
      </c>
      <c r="Z1036" s="121">
        <f t="shared" si="428"/>
        <v>0</v>
      </c>
      <c r="AA1036" s="121">
        <f t="shared" si="429"/>
        <v>0</v>
      </c>
      <c r="AB1036" s="121">
        <f t="shared" si="455"/>
        <v>625.45000000000005</v>
      </c>
      <c r="AC1036" s="121">
        <v>625.45000000000005</v>
      </c>
      <c r="AD1036" s="121">
        <v>625.45000000000005</v>
      </c>
      <c r="AE1036" s="121">
        <v>625.45000000000005</v>
      </c>
      <c r="AF1036" s="121">
        <v>625.45000000000005</v>
      </c>
      <c r="AG1036" s="121">
        <v>625.45000000000005</v>
      </c>
      <c r="AH1036" s="121">
        <v>625.45000000000005</v>
      </c>
      <c r="AI1036" s="161">
        <v>625.45000000000005</v>
      </c>
      <c r="AJ1036" s="161">
        <v>625.45000000000005</v>
      </c>
      <c r="AK1036" s="161">
        <v>625.45000000000005</v>
      </c>
      <c r="AL1036" s="161">
        <v>625.45000000000005</v>
      </c>
      <c r="AM1036" s="161">
        <v>625.45000000000005</v>
      </c>
      <c r="AN1036" s="161">
        <v>625.45000000000005</v>
      </c>
      <c r="AO1036" s="161">
        <v>625.45000000000005</v>
      </c>
      <c r="AP1036" s="125" t="str">
        <f>CONCATENATE(A1036,M1036)</f>
        <v>Def TaxR</v>
      </c>
      <c r="AQ1036" s="125" t="str">
        <f>CONCATENATE(AP1036,L1036,H1036)</f>
        <v>Def TaxRR11Service Quality Performance Program</v>
      </c>
      <c r="AS1036" s="125" t="str">
        <f>CONCATENATE(L1036,H1036,J1036)</f>
        <v>R11Service Quality Performance Program</v>
      </c>
    </row>
    <row r="1037" spans="1:45" s="125" customFormat="1" ht="25.5" customHeight="1">
      <c r="A1037" s="216" t="s">
        <v>1996</v>
      </c>
      <c r="B1037" s="217" t="str">
        <f t="shared" si="453"/>
        <v>Def Tax190501Str VoltageBE030186</v>
      </c>
      <c r="C1037" s="186">
        <v>190501</v>
      </c>
      <c r="D1037" s="201" t="s">
        <v>1751</v>
      </c>
      <c r="E1037" s="162" t="s">
        <v>1610</v>
      </c>
      <c r="F1037" s="169" t="s">
        <v>862</v>
      </c>
      <c r="G1037" s="117" t="s">
        <v>1750</v>
      </c>
      <c r="H1037" s="118" t="s">
        <v>2857</v>
      </c>
      <c r="I1037" s="119"/>
      <c r="J1037" s="231"/>
      <c r="K1037" s="120" t="str">
        <f t="shared" si="423"/>
        <v/>
      </c>
      <c r="L1037" s="170" t="s">
        <v>2821</v>
      </c>
      <c r="M1037" s="122" t="str">
        <f t="shared" si="456"/>
        <v>N</v>
      </c>
      <c r="N1037" s="116" t="str">
        <f>IF($L1037&lt;&gt;"",VLOOKUP($L1037,Categories!$E:$G,2,FALSE),IF($F1037&lt;&gt;"","NO CAT",""))</f>
        <v>Not in Rate Base</v>
      </c>
      <c r="O1037" s="116" t="str">
        <f>IF($L1037&lt;&gt;"",VLOOKUP($L1037,Categories!$E:$G,3,FALSE),IF($F1037&lt;&gt;"","NO CAT",""))</f>
        <v>Deferrals Accruing Non-Cash Return   (other than ASGA)</v>
      </c>
      <c r="P1037" s="170" t="s">
        <v>1186</v>
      </c>
      <c r="Q1037" s="123" t="s">
        <v>1187</v>
      </c>
      <c r="R1037" s="124">
        <v>0</v>
      </c>
      <c r="S1037" s="124">
        <v>0</v>
      </c>
      <c r="T1037" s="124">
        <v>1</v>
      </c>
      <c r="U1037" s="121">
        <f t="shared" si="424"/>
        <v>0</v>
      </c>
      <c r="V1037" s="121">
        <f t="shared" si="425"/>
        <v>0</v>
      </c>
      <c r="W1037" s="121">
        <f t="shared" si="426"/>
        <v>1021.89040541667</v>
      </c>
      <c r="X1037" s="121">
        <f t="shared" si="454"/>
        <v>1021.89040541667</v>
      </c>
      <c r="Y1037" s="121">
        <f t="shared" si="427"/>
        <v>0</v>
      </c>
      <c r="Z1037" s="121">
        <f t="shared" si="428"/>
        <v>0</v>
      </c>
      <c r="AA1037" s="121">
        <f t="shared" si="429"/>
        <v>1500.87635</v>
      </c>
      <c r="AB1037" s="121">
        <f t="shared" si="455"/>
        <v>1500.8763500000002</v>
      </c>
      <c r="AC1037" s="121">
        <v>540.93296000000009</v>
      </c>
      <c r="AD1037" s="121">
        <v>628.49242000000004</v>
      </c>
      <c r="AE1037" s="121">
        <v>714.06402000000003</v>
      </c>
      <c r="AF1037" s="121">
        <v>792.04834000000005</v>
      </c>
      <c r="AG1037" s="121">
        <v>855.75173000000007</v>
      </c>
      <c r="AH1037" s="121">
        <v>950.42466000000013</v>
      </c>
      <c r="AI1037" s="161">
        <v>1032.1749400000001</v>
      </c>
      <c r="AJ1037" s="161">
        <v>1108.0275100000003</v>
      </c>
      <c r="AK1037" s="161">
        <v>1172.8294000000001</v>
      </c>
      <c r="AL1037" s="161">
        <v>1248.3667300000002</v>
      </c>
      <c r="AM1037" s="161">
        <v>1326.3715600000003</v>
      </c>
      <c r="AN1037" s="161">
        <v>1413.2289000000003</v>
      </c>
      <c r="AO1037" s="161">
        <v>1500.8763500000002</v>
      </c>
      <c r="AP1037" s="125" t="str">
        <f>CONCATENATE(A1037,M1037)</f>
        <v>Def TaxN</v>
      </c>
      <c r="AQ1037" s="125" t="str">
        <f>CONCATENATE(AP1037,L1037,H1037)</f>
        <v>Def TaxNN10Stray Voltage</v>
      </c>
      <c r="AS1037" s="125" t="str">
        <f>CONCATENATE(L1037,H1037,J1037)</f>
        <v>N10Stray Voltage</v>
      </c>
    </row>
    <row r="1038" spans="1:45" s="125" customFormat="1" ht="25.5" customHeight="1">
      <c r="A1038" s="216" t="s">
        <v>1996</v>
      </c>
      <c r="B1038" s="217" t="str">
        <f t="shared" si="453"/>
        <v>Def Tax1905010-184.22.20BT010224</v>
      </c>
      <c r="C1038" s="186">
        <v>190501</v>
      </c>
      <c r="D1038" s="201" t="s">
        <v>1617</v>
      </c>
      <c r="E1038" s="162" t="s">
        <v>395</v>
      </c>
      <c r="F1038" s="169" t="s">
        <v>862</v>
      </c>
      <c r="G1038" s="117" t="s">
        <v>1618</v>
      </c>
      <c r="H1038" s="118" t="s">
        <v>2369</v>
      </c>
      <c r="I1038" s="119"/>
      <c r="J1038" s="120"/>
      <c r="K1038" s="120" t="str">
        <f t="shared" si="423"/>
        <v/>
      </c>
      <c r="L1038" s="170" t="s">
        <v>928</v>
      </c>
      <c r="M1038" s="122" t="str">
        <f t="shared" si="456"/>
        <v>N</v>
      </c>
      <c r="N1038" s="116" t="str">
        <f>IF($L1038&lt;&gt;"",VLOOKUP($L1038,Categories!$E:$G,2,FALSE),IF($F1038&lt;&gt;"","NO CAT",""))</f>
        <v>Not in Rate Base</v>
      </c>
      <c r="O1038" s="116" t="str">
        <f>IF($L1038&lt;&gt;"",VLOOKUP($L1038,Categories!$E:$G,3,FALSE),IF($F1038&lt;&gt;"","NO CAT",""))</f>
        <v>Direct Assign Items Not in RB</v>
      </c>
      <c r="P1038" s="170" t="s">
        <v>1186</v>
      </c>
      <c r="Q1038" s="123" t="s">
        <v>1187</v>
      </c>
      <c r="R1038" s="124">
        <v>0</v>
      </c>
      <c r="S1038" s="124">
        <v>0</v>
      </c>
      <c r="T1038" s="124">
        <v>1</v>
      </c>
      <c r="U1038" s="121">
        <f t="shared" si="424"/>
        <v>0</v>
      </c>
      <c r="V1038" s="121">
        <f t="shared" si="425"/>
        <v>0</v>
      </c>
      <c r="W1038" s="121">
        <f t="shared" si="426"/>
        <v>1212.175</v>
      </c>
      <c r="X1038" s="121">
        <f t="shared" si="454"/>
        <v>1212.175</v>
      </c>
      <c r="Y1038" s="121">
        <f t="shared" si="427"/>
        <v>0</v>
      </c>
      <c r="Z1038" s="121">
        <f t="shared" si="428"/>
        <v>0</v>
      </c>
      <c r="AA1038" s="121">
        <f t="shared" si="429"/>
        <v>1212.175</v>
      </c>
      <c r="AB1038" s="121">
        <f t="shared" si="455"/>
        <v>1212.175</v>
      </c>
      <c r="AC1038" s="121">
        <v>1212.175</v>
      </c>
      <c r="AD1038" s="121">
        <v>1212.175</v>
      </c>
      <c r="AE1038" s="121">
        <v>1212.175</v>
      </c>
      <c r="AF1038" s="121">
        <v>1212.175</v>
      </c>
      <c r="AG1038" s="121">
        <v>1212.175</v>
      </c>
      <c r="AH1038" s="121">
        <v>1212.175</v>
      </c>
      <c r="AI1038" s="161">
        <v>1212.175</v>
      </c>
      <c r="AJ1038" s="161">
        <v>1212.175</v>
      </c>
      <c r="AK1038" s="161">
        <v>1212.175</v>
      </c>
      <c r="AL1038" s="161">
        <v>1212.175</v>
      </c>
      <c r="AM1038" s="161">
        <v>1212.175</v>
      </c>
      <c r="AN1038" s="161">
        <v>1212.175</v>
      </c>
      <c r="AO1038" s="161">
        <v>1212.175</v>
      </c>
      <c r="AP1038" s="125" t="str">
        <f>CONCATENATE(A1038,M1038)</f>
        <v>Def TaxN</v>
      </c>
      <c r="AQ1038" s="125" t="str">
        <f>CONCATENATE(AP1038,L1038,H1038)</f>
        <v>Def TaxNN2Environmental</v>
      </c>
      <c r="AS1038" s="125" t="str">
        <f>CONCATENATE(L1038,H1038,J1038)</f>
        <v>N2Environmental</v>
      </c>
    </row>
    <row r="1039" spans="1:45" s="125" customFormat="1" ht="25.5" customHeight="1">
      <c r="A1039" s="216" t="s">
        <v>1996</v>
      </c>
      <c r="B1039" s="217" t="str">
        <f t="shared" si="453"/>
        <v>Def Tax1905010-283.21.59BT010225</v>
      </c>
      <c r="C1039" s="186">
        <v>190501</v>
      </c>
      <c r="D1039" s="201" t="s">
        <v>2643</v>
      </c>
      <c r="E1039" s="162" t="s">
        <v>396</v>
      </c>
      <c r="F1039" s="169" t="s">
        <v>862</v>
      </c>
      <c r="G1039" s="117" t="s">
        <v>2644</v>
      </c>
      <c r="H1039" s="118" t="s">
        <v>2369</v>
      </c>
      <c r="I1039" s="119"/>
      <c r="J1039" s="120"/>
      <c r="K1039" s="120" t="str">
        <f t="shared" si="423"/>
        <v/>
      </c>
      <c r="L1039" s="170" t="s">
        <v>928</v>
      </c>
      <c r="M1039" s="122" t="str">
        <f t="shared" si="456"/>
        <v>N</v>
      </c>
      <c r="N1039" s="116" t="str">
        <f>IF($L1039&lt;&gt;"",VLOOKUP($L1039,Categories!$E:$G,2,FALSE),IF($F1039&lt;&gt;"","NO CAT",""))</f>
        <v>Not in Rate Base</v>
      </c>
      <c r="O1039" s="116" t="str">
        <f>IF($L1039&lt;&gt;"",VLOOKUP($L1039,Categories!$E:$G,3,FALSE),IF($F1039&lt;&gt;"","NO CAT",""))</f>
        <v>Direct Assign Items Not in RB</v>
      </c>
      <c r="P1039" s="170" t="s">
        <v>1186</v>
      </c>
      <c r="Q1039" s="123" t="s">
        <v>1187</v>
      </c>
      <c r="R1039" s="124">
        <v>0</v>
      </c>
      <c r="S1039" s="124">
        <v>0</v>
      </c>
      <c r="T1039" s="124">
        <v>1</v>
      </c>
      <c r="U1039" s="121">
        <f t="shared" si="424"/>
        <v>0</v>
      </c>
      <c r="V1039" s="121">
        <f t="shared" si="425"/>
        <v>0</v>
      </c>
      <c r="W1039" s="121">
        <f t="shared" si="426"/>
        <v>186.495</v>
      </c>
      <c r="X1039" s="121">
        <f t="shared" si="454"/>
        <v>186.495</v>
      </c>
      <c r="Y1039" s="121">
        <f t="shared" si="427"/>
        <v>0</v>
      </c>
      <c r="Z1039" s="121">
        <f t="shared" si="428"/>
        <v>0</v>
      </c>
      <c r="AA1039" s="121">
        <f t="shared" si="429"/>
        <v>186.495</v>
      </c>
      <c r="AB1039" s="121">
        <f t="shared" si="455"/>
        <v>186.495</v>
      </c>
      <c r="AC1039" s="121">
        <v>186.495</v>
      </c>
      <c r="AD1039" s="121">
        <v>186.495</v>
      </c>
      <c r="AE1039" s="121">
        <v>186.495</v>
      </c>
      <c r="AF1039" s="121">
        <v>186.495</v>
      </c>
      <c r="AG1039" s="121">
        <v>186.495</v>
      </c>
      <c r="AH1039" s="121">
        <v>186.495</v>
      </c>
      <c r="AI1039" s="161">
        <v>186.495</v>
      </c>
      <c r="AJ1039" s="161">
        <v>186.495</v>
      </c>
      <c r="AK1039" s="161">
        <v>186.495</v>
      </c>
      <c r="AL1039" s="161">
        <v>186.495</v>
      </c>
      <c r="AM1039" s="161">
        <v>186.495</v>
      </c>
      <c r="AN1039" s="161">
        <v>186.495</v>
      </c>
      <c r="AO1039" s="161">
        <v>186.495</v>
      </c>
      <c r="AP1039" s="125" t="str">
        <f>CONCATENATE(A1039,M1039)</f>
        <v>Def TaxN</v>
      </c>
      <c r="AQ1039" s="125" t="str">
        <f>CONCATENATE(AP1039,L1039,H1039)</f>
        <v>Def TaxNN2Environmental</v>
      </c>
      <c r="AS1039" s="125" t="str">
        <f>CONCATENATE(L1039,H1039,J1039)</f>
        <v>N2Environmental</v>
      </c>
    </row>
    <row r="1040" spans="1:45" s="125" customFormat="1" ht="25.5" customHeight="1">
      <c r="A1040" s="216" t="s">
        <v>1996</v>
      </c>
      <c r="B1040" s="217" t="str">
        <f t="shared" si="453"/>
        <v>Def Tax1905010-283.20.11BC030163</v>
      </c>
      <c r="C1040" s="186">
        <v>190501</v>
      </c>
      <c r="D1040" s="201" t="s">
        <v>1955</v>
      </c>
      <c r="E1040" s="162" t="s">
        <v>1727</v>
      </c>
      <c r="F1040" s="169" t="s">
        <v>862</v>
      </c>
      <c r="G1040" s="117" t="s">
        <v>1956</v>
      </c>
      <c r="H1040" s="118" t="s">
        <v>1484</v>
      </c>
      <c r="I1040" s="119"/>
      <c r="J1040" s="120"/>
      <c r="K1040" s="120" t="str">
        <f t="shared" si="423"/>
        <v/>
      </c>
      <c r="L1040" s="170" t="s">
        <v>1895</v>
      </c>
      <c r="M1040" s="122" t="str">
        <f t="shared" si="456"/>
        <v>R</v>
      </c>
      <c r="N1040" s="116" t="str">
        <f>IF($L1040&lt;&gt;"",VLOOKUP($L1040,Categories!$E:$G,2,FALSE),IF($F1040&lt;&gt;"","NO CAT",""))</f>
        <v>Rate Base</v>
      </c>
      <c r="O1040" s="116" t="str">
        <f>IF($L1040&lt;&gt;"",VLOOKUP($L1040,Categories!$E:$G,3,FALSE),IF($F1040&lt;&gt;"","NO CAT",""))</f>
        <v>Deferred Income Taxes</v>
      </c>
      <c r="P1040" s="170" t="s">
        <v>1183</v>
      </c>
      <c r="Q1040" s="123" t="s">
        <v>1177</v>
      </c>
      <c r="R1040" s="124">
        <v>1</v>
      </c>
      <c r="S1040" s="124">
        <v>0</v>
      </c>
      <c r="T1040" s="124">
        <v>0</v>
      </c>
      <c r="U1040" s="121">
        <f t="shared" si="424"/>
        <v>524.33061583333301</v>
      </c>
      <c r="V1040" s="121">
        <f t="shared" si="425"/>
        <v>0</v>
      </c>
      <c r="W1040" s="121">
        <f t="shared" si="426"/>
        <v>0</v>
      </c>
      <c r="X1040" s="121">
        <f t="shared" si="454"/>
        <v>524.33061583333301</v>
      </c>
      <c r="Y1040" s="121">
        <f t="shared" si="427"/>
        <v>782.95979999999997</v>
      </c>
      <c r="Z1040" s="121">
        <f t="shared" si="428"/>
        <v>0</v>
      </c>
      <c r="AA1040" s="121">
        <f t="shared" si="429"/>
        <v>0</v>
      </c>
      <c r="AB1040" s="121">
        <f t="shared" si="455"/>
        <v>782.95980000000009</v>
      </c>
      <c r="AC1040" s="121">
        <v>505.02855999999997</v>
      </c>
      <c r="AD1040" s="121">
        <v>491.53596999999996</v>
      </c>
      <c r="AE1040" s="121">
        <v>471.26243999999997</v>
      </c>
      <c r="AF1040" s="121">
        <v>480.56280999999996</v>
      </c>
      <c r="AG1040" s="121">
        <v>478.11023999999992</v>
      </c>
      <c r="AH1040" s="121">
        <v>464.34193999999997</v>
      </c>
      <c r="AI1040" s="161">
        <v>642.47471999999993</v>
      </c>
      <c r="AJ1040" s="161">
        <v>374.90436999999997</v>
      </c>
      <c r="AK1040" s="161">
        <v>381.82031000000001</v>
      </c>
      <c r="AL1040" s="161">
        <v>583.31391000000008</v>
      </c>
      <c r="AM1040" s="161">
        <v>501.58207000000004</v>
      </c>
      <c r="AN1040" s="161">
        <v>778.06443000000002</v>
      </c>
      <c r="AO1040" s="161">
        <v>782.95980000000009</v>
      </c>
      <c r="AP1040" s="125" t="str">
        <f>CONCATENATE(A1040,M1040)</f>
        <v>Def TaxR</v>
      </c>
      <c r="AQ1040" s="125" t="str">
        <f>CONCATENATE(AP1040,L1040,H1040)</f>
        <v>Def TaxRR11MTA Surcharge</v>
      </c>
      <c r="AS1040" s="125" t="str">
        <f>CONCATENATE(L1040,H1040,J1040)</f>
        <v>R11MTA Surcharge</v>
      </c>
    </row>
    <row r="1041" spans="1:45" s="125" customFormat="1" ht="25.5" customHeight="1">
      <c r="A1041" s="216" t="s">
        <v>1996</v>
      </c>
      <c r="B1041" s="217" t="str">
        <f t="shared" si="453"/>
        <v>Def Tax190501Trans MeterBE030182</v>
      </c>
      <c r="C1041" s="186">
        <v>190501</v>
      </c>
      <c r="D1041" s="201" t="s">
        <v>1753</v>
      </c>
      <c r="E1041" s="162" t="s">
        <v>397</v>
      </c>
      <c r="F1041" s="169" t="s">
        <v>862</v>
      </c>
      <c r="G1041" s="117" t="s">
        <v>1752</v>
      </c>
      <c r="H1041" s="118" t="s">
        <v>1805</v>
      </c>
      <c r="I1041" s="119"/>
      <c r="J1041" s="120"/>
      <c r="K1041" s="120" t="str">
        <f t="shared" si="423"/>
        <v/>
      </c>
      <c r="L1041" s="170" t="s">
        <v>1895</v>
      </c>
      <c r="M1041" s="122" t="str">
        <f t="shared" si="456"/>
        <v>R</v>
      </c>
      <c r="N1041" s="116" t="str">
        <f>IF($L1041&lt;&gt;"",VLOOKUP($L1041,Categories!$E:$G,2,FALSE),IF($F1041&lt;&gt;"","NO CAT",""))</f>
        <v>Rate Base</v>
      </c>
      <c r="O1041" s="116" t="str">
        <f>IF($L1041&lt;&gt;"",VLOOKUP($L1041,Categories!$E:$G,3,FALSE),IF($F1041&lt;&gt;"","NO CAT",""))</f>
        <v>Deferred Income Taxes</v>
      </c>
      <c r="P1041" s="170" t="s">
        <v>1183</v>
      </c>
      <c r="Q1041" s="123" t="s">
        <v>1177</v>
      </c>
      <c r="R1041" s="124">
        <v>1</v>
      </c>
      <c r="S1041" s="124">
        <v>0</v>
      </c>
      <c r="T1041" s="124">
        <v>0</v>
      </c>
      <c r="U1041" s="121">
        <f t="shared" si="424"/>
        <v>3.1999999982300001E-4</v>
      </c>
      <c r="V1041" s="121">
        <f t="shared" si="425"/>
        <v>0</v>
      </c>
      <c r="W1041" s="121">
        <f t="shared" si="426"/>
        <v>0</v>
      </c>
      <c r="X1041" s="121">
        <f t="shared" si="454"/>
        <v>3.1999999982300001E-4</v>
      </c>
      <c r="Y1041" s="121">
        <f t="shared" si="427"/>
        <v>3.1999999982300001E-4</v>
      </c>
      <c r="Z1041" s="121">
        <f t="shared" si="428"/>
        <v>0</v>
      </c>
      <c r="AA1041" s="121">
        <f t="shared" si="429"/>
        <v>0</v>
      </c>
      <c r="AB1041" s="121">
        <f t="shared" si="455"/>
        <v>3.1999999982326699E-4</v>
      </c>
      <c r="AC1041" s="121">
        <v>3.1999999982326699E-4</v>
      </c>
      <c r="AD1041" s="121">
        <v>3.1999999982326699E-4</v>
      </c>
      <c r="AE1041" s="121">
        <v>3.1999999982326699E-4</v>
      </c>
      <c r="AF1041" s="121">
        <v>3.1999999982326699E-4</v>
      </c>
      <c r="AG1041" s="121">
        <v>3.1999999982326699E-4</v>
      </c>
      <c r="AH1041" s="121">
        <v>3.1999999982326699E-4</v>
      </c>
      <c r="AI1041" s="161">
        <v>3.1999999982326699E-4</v>
      </c>
      <c r="AJ1041" s="161">
        <v>3.1999999982326699E-4</v>
      </c>
      <c r="AK1041" s="161">
        <v>3.1999999982326699E-4</v>
      </c>
      <c r="AL1041" s="161">
        <v>3.1999999982326699E-4</v>
      </c>
      <c r="AM1041" s="161">
        <v>3.1999999982326699E-4</v>
      </c>
      <c r="AN1041" s="161">
        <v>3.1999999982326699E-4</v>
      </c>
      <c r="AO1041" s="161">
        <v>3.1999999982326699E-4</v>
      </c>
      <c r="AP1041" s="125" t="str">
        <f>CONCATENATE(A1041,M1041)</f>
        <v>Def TaxR</v>
      </c>
      <c r="AQ1041" s="125" t="str">
        <f>CONCATENATE(AP1041,L1041,H1041)</f>
        <v>Def TaxRR11Capitalized Installation Costs</v>
      </c>
      <c r="AS1041" s="125" t="str">
        <f>CONCATENATE(L1041,H1041,J1041)</f>
        <v>R11Capitalized Installation Costs</v>
      </c>
    </row>
    <row r="1042" spans="1:45" s="125" customFormat="1" ht="25.5" customHeight="1">
      <c r="A1042" s="216" t="s">
        <v>1996</v>
      </c>
      <c r="B1042" s="217" t="str">
        <f t="shared" si="453"/>
        <v>Def Tax190501VRDBE030598</v>
      </c>
      <c r="C1042" s="186">
        <v>190501</v>
      </c>
      <c r="D1042" s="201" t="s">
        <v>1434</v>
      </c>
      <c r="E1042" s="162" t="s">
        <v>34</v>
      </c>
      <c r="F1042" s="169" t="s">
        <v>862</v>
      </c>
      <c r="G1042" s="117" t="s">
        <v>1014</v>
      </c>
      <c r="H1042" s="118" t="s">
        <v>1075</v>
      </c>
      <c r="I1042" s="119"/>
      <c r="J1042" s="231" t="s">
        <v>105</v>
      </c>
      <c r="K1042" s="120" t="str">
        <f t="shared" ref="K1042:K1068" si="457">IF(L1042="N3","SFAS-109","")</f>
        <v/>
      </c>
      <c r="L1042" s="170" t="s">
        <v>2821</v>
      </c>
      <c r="M1042" s="122" t="str">
        <f t="shared" si="456"/>
        <v>N</v>
      </c>
      <c r="N1042" s="116" t="str">
        <f>IF($L1042&lt;&gt;"",VLOOKUP($L1042,Categories!$E:$G,2,FALSE),IF($F1042&lt;&gt;"","NO CAT",""))</f>
        <v>Not in Rate Base</v>
      </c>
      <c r="O1042" s="116" t="str">
        <f>IF($L1042&lt;&gt;"",VLOOKUP($L1042,Categories!$E:$G,3,FALSE),IF($F1042&lt;&gt;"","NO CAT",""))</f>
        <v>Deferrals Accruing Non-Cash Return   (other than ASGA)</v>
      </c>
      <c r="P1042" s="170" t="s">
        <v>1186</v>
      </c>
      <c r="Q1042" s="123" t="s">
        <v>1187</v>
      </c>
      <c r="R1042" s="124">
        <v>0</v>
      </c>
      <c r="S1042" s="124">
        <v>0</v>
      </c>
      <c r="T1042" s="124">
        <v>1</v>
      </c>
      <c r="U1042" s="121">
        <f t="shared" si="424"/>
        <v>0</v>
      </c>
      <c r="V1042" s="121">
        <f t="shared" si="425"/>
        <v>0</v>
      </c>
      <c r="W1042" s="121">
        <f t="shared" si="426"/>
        <v>2591.0999762500001</v>
      </c>
      <c r="X1042" s="121">
        <f t="shared" si="454"/>
        <v>2591.0999762500001</v>
      </c>
      <c r="Y1042" s="121">
        <f t="shared" si="427"/>
        <v>0</v>
      </c>
      <c r="Z1042" s="121">
        <f t="shared" si="428"/>
        <v>0</v>
      </c>
      <c r="AA1042" s="121">
        <f t="shared" si="429"/>
        <v>3291.2886600000002</v>
      </c>
      <c r="AB1042" s="121">
        <f t="shared" si="455"/>
        <v>3291.2886600000006</v>
      </c>
      <c r="AC1042" s="121">
        <v>1573.29321</v>
      </c>
      <c r="AD1042" s="121">
        <v>2059.0720799999999</v>
      </c>
      <c r="AE1042" s="121">
        <v>2174.3160700000003</v>
      </c>
      <c r="AF1042" s="121">
        <v>2248.6035500000003</v>
      </c>
      <c r="AG1042" s="121">
        <v>2364.4156300000004</v>
      </c>
      <c r="AH1042" s="121">
        <v>2481.1398700000004</v>
      </c>
      <c r="AI1042" s="161">
        <v>2597.7755800000004</v>
      </c>
      <c r="AJ1042" s="161">
        <v>2714.9621200000006</v>
      </c>
      <c r="AK1042" s="161">
        <v>2831.4080500000009</v>
      </c>
      <c r="AL1042" s="161">
        <v>2946.740400000001</v>
      </c>
      <c r="AM1042" s="161">
        <v>3062.8551600000005</v>
      </c>
      <c r="AN1042" s="161">
        <v>3179.6202700000003</v>
      </c>
      <c r="AO1042" s="161">
        <v>3291.2886600000006</v>
      </c>
      <c r="AP1042" s="125" t="str">
        <f>CONCATENATE(A1042,M1042)</f>
        <v>Def TaxN</v>
      </c>
      <c r="AQ1042" s="125" t="str">
        <f>CONCATENATE(AP1042,L1042,H1042)</f>
        <v>Def TaxNN10Variable Rate Debt</v>
      </c>
      <c r="AS1042" s="125" t="str">
        <f>CONCATENATE(L1042,H1042,J1042)</f>
        <v>N10Variable Rate DebtNCR</v>
      </c>
    </row>
    <row r="1043" spans="1:45" s="125" customFormat="1" ht="25.5" customHeight="1">
      <c r="A1043" s="216" t="s">
        <v>1996</v>
      </c>
      <c r="B1043" s="217" t="str">
        <f t="shared" si="453"/>
        <v>Def Tax190501ASGA Gross-up-bBT010009</v>
      </c>
      <c r="C1043" s="186">
        <v>190501</v>
      </c>
      <c r="D1043" s="201" t="s">
        <v>2364</v>
      </c>
      <c r="E1043" s="162" t="s">
        <v>1124</v>
      </c>
      <c r="F1043" s="169" t="s">
        <v>862</v>
      </c>
      <c r="G1043" s="117" t="s">
        <v>1119</v>
      </c>
      <c r="H1043" s="118" t="s">
        <v>521</v>
      </c>
      <c r="I1043" s="119"/>
      <c r="J1043" s="231" t="s">
        <v>105</v>
      </c>
      <c r="K1043" s="120" t="str">
        <f t="shared" si="457"/>
        <v/>
      </c>
      <c r="L1043" s="170" t="s">
        <v>2817</v>
      </c>
      <c r="M1043" s="122" t="str">
        <f t="shared" si="456"/>
        <v>N</v>
      </c>
      <c r="N1043" s="116" t="str">
        <f>IF($L1043&lt;&gt;"",VLOOKUP($L1043,Categories!$E:$G,2,FALSE),IF($F1043&lt;&gt;"","NO CAT",""))</f>
        <v>Not in Rate Base</v>
      </c>
      <c r="O1043" s="116" t="str">
        <f>IF($L1043&lt;&gt;"",VLOOKUP($L1043,Categories!$E:$G,3,FALSE),IF($F1043&lt;&gt;"","NO CAT",""))</f>
        <v>NM-2 ASGA</v>
      </c>
      <c r="P1043" s="170" t="s">
        <v>1186</v>
      </c>
      <c r="Q1043" s="123" t="s">
        <v>1187</v>
      </c>
      <c r="R1043" s="124">
        <v>0</v>
      </c>
      <c r="S1043" s="124">
        <v>0</v>
      </c>
      <c r="T1043" s="124">
        <v>1</v>
      </c>
      <c r="U1043" s="121" t="str">
        <f t="shared" si="424"/>
        <v/>
      </c>
      <c r="V1043" s="121" t="str">
        <f t="shared" si="425"/>
        <v/>
      </c>
      <c r="W1043" s="121" t="str">
        <f t="shared" si="426"/>
        <v/>
      </c>
      <c r="X1043" s="121">
        <f t="shared" si="454"/>
        <v>0</v>
      </c>
      <c r="Y1043" s="121" t="str">
        <f t="shared" si="427"/>
        <v/>
      </c>
      <c r="Z1043" s="121" t="str">
        <f t="shared" si="428"/>
        <v/>
      </c>
      <c r="AA1043" s="121" t="str">
        <f t="shared" si="429"/>
        <v/>
      </c>
      <c r="AB1043" s="121">
        <f t="shared" si="455"/>
        <v>0</v>
      </c>
      <c r="AC1043" s="121">
        <v>0</v>
      </c>
      <c r="AD1043" s="121">
        <v>0</v>
      </c>
      <c r="AE1043" s="121">
        <v>0</v>
      </c>
      <c r="AF1043" s="121">
        <v>0</v>
      </c>
      <c r="AG1043" s="121">
        <v>0</v>
      </c>
      <c r="AH1043" s="121">
        <v>0</v>
      </c>
      <c r="AI1043" s="161">
        <v>0</v>
      </c>
      <c r="AJ1043" s="161">
        <f t="shared" ref="AJ1043:AK1043" si="458">IF(AI1043=0,0,0)</f>
        <v>0</v>
      </c>
      <c r="AK1043" s="161">
        <f t="shared" si="458"/>
        <v>0</v>
      </c>
      <c r="AL1043" s="161">
        <v>0</v>
      </c>
      <c r="AM1043" s="161">
        <v>0</v>
      </c>
      <c r="AN1043" s="161">
        <v>0</v>
      </c>
      <c r="AO1043" s="161">
        <v>0</v>
      </c>
      <c r="AP1043" s="125" t="str">
        <f>CONCATENATE(A1043,M1043)</f>
        <v>Def TaxN</v>
      </c>
      <c r="AQ1043" s="125" t="str">
        <f>CONCATENATE(AP1043,L1043,H1043)</f>
        <v>Def TaxNN8ASGA</v>
      </c>
      <c r="AS1043" s="125" t="str">
        <f>CONCATENATE(L1043,H1043,J1043)</f>
        <v>N8ASGANCR</v>
      </c>
    </row>
    <row r="1044" spans="1:45" s="125" customFormat="1" ht="25.5" customHeight="1">
      <c r="A1044" s="216" t="s">
        <v>1996</v>
      </c>
      <c r="B1044" s="217" t="str">
        <f t="shared" si="453"/>
        <v>Def Tax190501Low IncomeBE030594</v>
      </c>
      <c r="C1044" s="186">
        <v>190501</v>
      </c>
      <c r="D1044" s="201" t="s">
        <v>2833</v>
      </c>
      <c r="E1044" s="162" t="s">
        <v>342</v>
      </c>
      <c r="F1044" s="169" t="s">
        <v>862</v>
      </c>
      <c r="G1044" s="117" t="s">
        <v>1120</v>
      </c>
      <c r="H1044" s="118" t="s">
        <v>2833</v>
      </c>
      <c r="I1044" s="119"/>
      <c r="J1044" s="231" t="s">
        <v>105</v>
      </c>
      <c r="K1044" s="120" t="str">
        <f t="shared" si="457"/>
        <v/>
      </c>
      <c r="L1044" s="170" t="s">
        <v>2821</v>
      </c>
      <c r="M1044" s="122" t="str">
        <f t="shared" si="456"/>
        <v>N</v>
      </c>
      <c r="N1044" s="116" t="str">
        <f>IF($L1044&lt;&gt;"",VLOOKUP($L1044,Categories!$E:$G,2,FALSE),IF($F1044&lt;&gt;"","NO CAT",""))</f>
        <v>Not in Rate Base</v>
      </c>
      <c r="O1044" s="116" t="str">
        <f>IF($L1044&lt;&gt;"",VLOOKUP($L1044,Categories!$E:$G,3,FALSE),IF($F1044&lt;&gt;"","NO CAT",""))</f>
        <v>Deferrals Accruing Non-Cash Return   (other than ASGA)</v>
      </c>
      <c r="P1044" s="170" t="s">
        <v>1186</v>
      </c>
      <c r="Q1044" s="123" t="s">
        <v>1187</v>
      </c>
      <c r="R1044" s="124">
        <v>0</v>
      </c>
      <c r="S1044" s="124">
        <v>0</v>
      </c>
      <c r="T1044" s="124">
        <v>1</v>
      </c>
      <c r="U1044" s="121">
        <f t="shared" ref="U1044:U1099" si="459">IF(ABS(X1044)=0,"",IF($R1044="NO ALLOC","NO ALLOC",ROUND($R1044*X1044,15)))</f>
        <v>0</v>
      </c>
      <c r="V1044" s="121">
        <f t="shared" ref="V1044:V1099" si="460">IF(ABS(X1044)=0,"",IF($S1044="NO ALLOC","NO ALLOC",ROUND($S1044*X1044,15)))</f>
        <v>0</v>
      </c>
      <c r="W1044" s="121">
        <f t="shared" ref="W1044:W1099" si="461">IF(ABS(X1044)=0,"",IF($T1044="NO ALLOC","NO ALLOC",ROUND($T1044*X1044,15)))</f>
        <v>1618.59404541667</v>
      </c>
      <c r="X1044" s="121">
        <f t="shared" si="454"/>
        <v>1618.59404541667</v>
      </c>
      <c r="Y1044" s="121">
        <f t="shared" ref="Y1044:Y1099" si="462">IF(ABS(AB1044)=0,"",IF($R1044="NO ALLOC","NO ALLOC",ROUND($R1044*AB1044,15)))</f>
        <v>0</v>
      </c>
      <c r="Z1044" s="121">
        <f t="shared" ref="Z1044:Z1099" si="463">IF(ABS(AB1044)=0,"",IF($S1044="NO ALLOC","NO ALLOC",ROUND($S1044*AB1044,15)))</f>
        <v>0</v>
      </c>
      <c r="AA1044" s="121">
        <f t="shared" ref="AA1044:AA1099" si="464">IF(ABS(AB1044)=0,"",IF($T1044="NO ALLOC","NO ALLOC",ROUND($T1044*AB1044,15)))</f>
        <v>1700.4996599999999</v>
      </c>
      <c r="AB1044" s="121">
        <f t="shared" si="455"/>
        <v>1700.4996599999995</v>
      </c>
      <c r="AC1044" s="121">
        <v>1582.7072499999995</v>
      </c>
      <c r="AD1044" s="121">
        <v>1593.4777399999996</v>
      </c>
      <c r="AE1044" s="121">
        <v>1603.9426799999994</v>
      </c>
      <c r="AF1044" s="121">
        <v>1603.5338399999994</v>
      </c>
      <c r="AG1044" s="121">
        <v>1600.8245199999992</v>
      </c>
      <c r="AH1044" s="121">
        <v>1599.6712799999993</v>
      </c>
      <c r="AI1044" s="161">
        <v>1603.1185999999993</v>
      </c>
      <c r="AJ1044" s="161">
        <v>1606.3900599999993</v>
      </c>
      <c r="AK1044" s="161">
        <v>1616.3285699999994</v>
      </c>
      <c r="AL1044" s="161">
        <v>1631.6567999999993</v>
      </c>
      <c r="AM1044" s="161">
        <v>1648.3813399999995</v>
      </c>
      <c r="AN1044" s="161">
        <v>1674.1996599999995</v>
      </c>
      <c r="AO1044" s="161">
        <v>1700.4996599999995</v>
      </c>
      <c r="AP1044" s="125" t="str">
        <f>CONCATENATE(A1044,M1044)</f>
        <v>Def TaxN</v>
      </c>
      <c r="AQ1044" s="125" t="str">
        <f>CONCATENATE(AP1044,L1044,H1044)</f>
        <v>Def TaxNN10Low Income</v>
      </c>
      <c r="AS1044" s="125" t="str">
        <f>CONCATENATE(L1044,H1044,J1044)</f>
        <v>N10Low IncomeNCR</v>
      </c>
    </row>
    <row r="1045" spans="1:45" s="125" customFormat="1" ht="25.5" customHeight="1">
      <c r="A1045" s="216" t="s">
        <v>1996</v>
      </c>
      <c r="B1045" s="217" t="str">
        <f t="shared" si="453"/>
        <v>Def Tax1905010-283.21.13BE030597</v>
      </c>
      <c r="C1045" s="186">
        <v>190501</v>
      </c>
      <c r="D1045" s="201" t="s">
        <v>653</v>
      </c>
      <c r="E1045" s="162" t="s">
        <v>1935</v>
      </c>
      <c r="F1045" s="169" t="s">
        <v>862</v>
      </c>
      <c r="G1045" s="117" t="s">
        <v>1934</v>
      </c>
      <c r="H1045" s="118" t="s">
        <v>2574</v>
      </c>
      <c r="I1045" s="119"/>
      <c r="J1045" s="231" t="s">
        <v>105</v>
      </c>
      <c r="K1045" s="120" t="str">
        <f t="shared" si="457"/>
        <v/>
      </c>
      <c r="L1045" s="170" t="s">
        <v>2821</v>
      </c>
      <c r="M1045" s="122" t="str">
        <f t="shared" si="456"/>
        <v>N</v>
      </c>
      <c r="N1045" s="116" t="str">
        <f>IF($L1045&lt;&gt;"",VLOOKUP($L1045,Categories!$E:$G,2,FALSE),IF($F1045&lt;&gt;"","NO CAT",""))</f>
        <v>Not in Rate Base</v>
      </c>
      <c r="O1045" s="116" t="str">
        <f>IF($L1045&lt;&gt;"",VLOOKUP($L1045,Categories!$E:$G,3,FALSE),IF($F1045&lt;&gt;"","NO CAT",""))</f>
        <v>Deferrals Accruing Non-Cash Return   (other than ASGA)</v>
      </c>
      <c r="P1045" s="170" t="s">
        <v>1186</v>
      </c>
      <c r="Q1045" s="123" t="s">
        <v>1187</v>
      </c>
      <c r="R1045" s="124">
        <v>0</v>
      </c>
      <c r="S1045" s="124">
        <v>0</v>
      </c>
      <c r="T1045" s="124">
        <v>1</v>
      </c>
      <c r="U1045" s="121">
        <f t="shared" si="459"/>
        <v>0</v>
      </c>
      <c r="V1045" s="121">
        <f t="shared" si="460"/>
        <v>0</v>
      </c>
      <c r="W1045" s="121">
        <f t="shared" si="461"/>
        <v>-25.847027916666701</v>
      </c>
      <c r="X1045" s="121">
        <f t="shared" ref="X1045:X1096" si="465">IF(ISERROR(ROUND((SUM(AC1045:AO1045)-((AC1045+AO1045))/2)/12,15)),"",ROUND((SUM(AC1045:AO1045)-((AC1045+AO1045))/2)/12,15))</f>
        <v>-25.847027916666701</v>
      </c>
      <c r="Y1045" s="121">
        <f t="shared" si="462"/>
        <v>0</v>
      </c>
      <c r="Z1045" s="121">
        <f t="shared" si="463"/>
        <v>0</v>
      </c>
      <c r="AA1045" s="121">
        <f t="shared" si="464"/>
        <v>4.0000000000000003E-15</v>
      </c>
      <c r="AB1045" s="121">
        <f t="shared" ref="AB1045:AB1096" si="466">IF(AO1045="",0,+AO1045)</f>
        <v>3.637978807091713E-15</v>
      </c>
      <c r="AC1045" s="121">
        <v>-26.175529999999998</v>
      </c>
      <c r="AD1045" s="121">
        <v>-26.311709999999998</v>
      </c>
      <c r="AE1045" s="121">
        <v>-26.448599999999999</v>
      </c>
      <c r="AF1045" s="121">
        <v>-26.586209999999998</v>
      </c>
      <c r="AG1045" s="121">
        <v>-26.724529999999998</v>
      </c>
      <c r="AH1045" s="121">
        <v>-26.863559999999996</v>
      </c>
      <c r="AI1045" s="161">
        <v>-27.003329999999998</v>
      </c>
      <c r="AJ1045" s="161">
        <v>-27.143809999999998</v>
      </c>
      <c r="AK1045" s="161">
        <v>-27.285029999999999</v>
      </c>
      <c r="AL1045" s="161">
        <v>-27.426989999999996</v>
      </c>
      <c r="AM1045" s="161">
        <v>-27.569679999999998</v>
      </c>
      <c r="AN1045" s="161">
        <v>-27.713119999999996</v>
      </c>
      <c r="AO1045" s="161">
        <v>3.637978807091713E-15</v>
      </c>
      <c r="AP1045" s="125" t="str">
        <f>CONCATENATE(A1045,M1045)</f>
        <v>Def TaxN</v>
      </c>
      <c r="AQ1045" s="125" t="str">
        <f>CONCATENATE(AP1045,L1045,H1045)</f>
        <v>Def TaxNN10CAIDI/SAIFI Study</v>
      </c>
      <c r="AS1045" s="125" t="str">
        <f>CONCATENATE(L1045,H1045,J1045)</f>
        <v>N10CAIDI/SAIFI StudyNCR</v>
      </c>
    </row>
    <row r="1046" spans="1:45" s="125" customFormat="1" ht="25.5" customHeight="1">
      <c r="A1046" s="216" t="s">
        <v>1996</v>
      </c>
      <c r="B1046" s="217" t="str">
        <f t="shared" si="453"/>
        <v>Def Tax190501Veg MgtBE030595</v>
      </c>
      <c r="C1046" s="186">
        <v>190501</v>
      </c>
      <c r="D1046" s="201" t="s">
        <v>2720</v>
      </c>
      <c r="E1046" s="162" t="s">
        <v>1160</v>
      </c>
      <c r="F1046" s="169" t="s">
        <v>862</v>
      </c>
      <c r="G1046" s="117" t="s">
        <v>1647</v>
      </c>
      <c r="H1046" s="118" t="s">
        <v>892</v>
      </c>
      <c r="I1046" s="119"/>
      <c r="J1046" s="231" t="s">
        <v>105</v>
      </c>
      <c r="K1046" s="120" t="str">
        <f t="shared" si="457"/>
        <v/>
      </c>
      <c r="L1046" s="170" t="s">
        <v>2821</v>
      </c>
      <c r="M1046" s="122" t="str">
        <f t="shared" si="456"/>
        <v>N</v>
      </c>
      <c r="N1046" s="116" t="str">
        <f>IF($L1046&lt;&gt;"",VLOOKUP($L1046,Categories!$E:$G,2,FALSE),IF($F1046&lt;&gt;"","NO CAT",""))</f>
        <v>Not in Rate Base</v>
      </c>
      <c r="O1046" s="116" t="str">
        <f>IF($L1046&lt;&gt;"",VLOOKUP($L1046,Categories!$E:$G,3,FALSE),IF($F1046&lt;&gt;"","NO CAT",""))</f>
        <v>Deferrals Accruing Non-Cash Return   (other than ASGA)</v>
      </c>
      <c r="P1046" s="170" t="s">
        <v>1186</v>
      </c>
      <c r="Q1046" s="123" t="s">
        <v>1187</v>
      </c>
      <c r="R1046" s="124">
        <v>0</v>
      </c>
      <c r="S1046" s="124">
        <v>0</v>
      </c>
      <c r="T1046" s="124">
        <v>1</v>
      </c>
      <c r="U1046" s="121">
        <f t="shared" si="459"/>
        <v>0</v>
      </c>
      <c r="V1046" s="121">
        <f t="shared" si="460"/>
        <v>0</v>
      </c>
      <c r="W1046" s="121">
        <f t="shared" si="461"/>
        <v>160.12384083333299</v>
      </c>
      <c r="X1046" s="121">
        <f t="shared" si="465"/>
        <v>160.12384083333299</v>
      </c>
      <c r="Y1046" s="121">
        <f t="shared" si="462"/>
        <v>0</v>
      </c>
      <c r="Z1046" s="121">
        <f t="shared" si="463"/>
        <v>0</v>
      </c>
      <c r="AA1046" s="121">
        <f t="shared" si="464"/>
        <v>-9.4999999999999999E-14</v>
      </c>
      <c r="AB1046" s="121">
        <f t="shared" si="466"/>
        <v>-9.4587448984384532E-14</v>
      </c>
      <c r="AC1046" s="121">
        <v>-7.2759576141834261E-14</v>
      </c>
      <c r="AD1046" s="121">
        <v>267.66466999999994</v>
      </c>
      <c r="AE1046" s="121">
        <v>236.79915999999992</v>
      </c>
      <c r="AF1046" s="121">
        <v>169.68467999999993</v>
      </c>
      <c r="AG1046" s="121">
        <v>91.198089999999937</v>
      </c>
      <c r="AH1046" s="121">
        <v>101.12877999999994</v>
      </c>
      <c r="AI1046" s="161">
        <v>217.48127999999994</v>
      </c>
      <c r="AJ1046" s="161">
        <v>201.74607999999992</v>
      </c>
      <c r="AK1046" s="161">
        <v>335.29341999999991</v>
      </c>
      <c r="AL1046" s="161">
        <v>267.01040999999992</v>
      </c>
      <c r="AM1046" s="161">
        <v>33.479519999999901</v>
      </c>
      <c r="AN1046" s="161">
        <v>-9.4587448984384532E-14</v>
      </c>
      <c r="AO1046" s="161">
        <v>-9.4587448984384532E-14</v>
      </c>
      <c r="AP1046" s="125" t="str">
        <f>CONCATENATE(A1046,M1046)</f>
        <v>Def TaxN</v>
      </c>
      <c r="AQ1046" s="125" t="str">
        <f>CONCATENATE(AP1046,L1046,H1046)</f>
        <v>Def TaxNN10Vegetation Management</v>
      </c>
      <c r="AS1046" s="125" t="str">
        <f>CONCATENATE(L1046,H1046,J1046)</f>
        <v>N10Vegetation ManagementNCR</v>
      </c>
    </row>
    <row r="1047" spans="1:45" s="125" customFormat="1" ht="25.5" customHeight="1">
      <c r="A1047" s="216" t="s">
        <v>1996</v>
      </c>
      <c r="B1047" s="217" t="str">
        <f t="shared" si="453"/>
        <v>Def Tax190501BT030562</v>
      </c>
      <c r="C1047" s="186">
        <v>190501</v>
      </c>
      <c r="D1047" s="201"/>
      <c r="E1047" s="162" t="s">
        <v>1548</v>
      </c>
      <c r="F1047" s="169" t="s">
        <v>862</v>
      </c>
      <c r="G1047" s="117" t="s">
        <v>3153</v>
      </c>
      <c r="H1047" s="118" t="s">
        <v>170</v>
      </c>
      <c r="I1047" s="119"/>
      <c r="J1047" s="231"/>
      <c r="K1047" s="120" t="str">
        <f t="shared" si="457"/>
        <v/>
      </c>
      <c r="L1047" s="170" t="s">
        <v>1895</v>
      </c>
      <c r="M1047" s="122" t="str">
        <f t="shared" si="456"/>
        <v>R</v>
      </c>
      <c r="N1047" s="116" t="str">
        <f>IF($L1047&lt;&gt;"",VLOOKUP($L1047,Categories!$E:$G,2,FALSE),IF($F1047&lt;&gt;"","NO CAT",""))</f>
        <v>Rate Base</v>
      </c>
      <c r="O1047" s="116" t="str">
        <f>IF($L1047&lt;&gt;"",VLOOKUP($L1047,Categories!$E:$G,3,FALSE),IF($F1047&lt;&gt;"","NO CAT",""))</f>
        <v>Deferred Income Taxes</v>
      </c>
      <c r="P1047" s="170" t="s">
        <v>1553</v>
      </c>
      <c r="Q1047" s="123" t="s">
        <v>2587</v>
      </c>
      <c r="R1047" s="124">
        <v>0.81899999999999995</v>
      </c>
      <c r="S1047" s="124">
        <v>0.18099999999999999</v>
      </c>
      <c r="T1047" s="124">
        <v>0</v>
      </c>
      <c r="U1047" s="121" t="str">
        <f t="shared" si="459"/>
        <v/>
      </c>
      <c r="V1047" s="121" t="str">
        <f t="shared" si="460"/>
        <v/>
      </c>
      <c r="W1047" s="121" t="str">
        <f t="shared" si="461"/>
        <v/>
      </c>
      <c r="X1047" s="121">
        <f t="shared" si="465"/>
        <v>0</v>
      </c>
      <c r="Y1047" s="121" t="str">
        <f t="shared" si="462"/>
        <v/>
      </c>
      <c r="Z1047" s="121" t="str">
        <f t="shared" si="463"/>
        <v/>
      </c>
      <c r="AA1047" s="121" t="str">
        <f t="shared" si="464"/>
        <v/>
      </c>
      <c r="AB1047" s="121">
        <f t="shared" si="466"/>
        <v>0</v>
      </c>
      <c r="AC1047" s="121">
        <v>0</v>
      </c>
      <c r="AD1047" s="121">
        <v>0</v>
      </c>
      <c r="AE1047" s="121">
        <v>0</v>
      </c>
      <c r="AF1047" s="121">
        <v>0</v>
      </c>
      <c r="AG1047" s="121">
        <v>0</v>
      </c>
      <c r="AH1047" s="121">
        <v>0</v>
      </c>
      <c r="AI1047" s="161">
        <v>0</v>
      </c>
      <c r="AJ1047" s="161">
        <f>IF(AI1047=0,0,0)</f>
        <v>0</v>
      </c>
      <c r="AK1047" s="161">
        <v>0</v>
      </c>
      <c r="AL1047" s="161">
        <v>0</v>
      </c>
      <c r="AM1047" s="161">
        <v>0</v>
      </c>
      <c r="AN1047" s="161">
        <v>0</v>
      </c>
      <c r="AO1047" s="161">
        <v>0</v>
      </c>
      <c r="AP1047" s="125" t="str">
        <f>CONCATENATE(A1047,M1047)</f>
        <v>Def TaxR</v>
      </c>
      <c r="AQ1047" s="125" t="str">
        <f>CONCATENATE(AP1047,L1047,H1047)</f>
        <v>Def TaxRR11OPEBs</v>
      </c>
      <c r="AS1047" s="125" t="str">
        <f>CONCATENATE(L1047,H1047,J1047)</f>
        <v>R11OPEBs</v>
      </c>
    </row>
    <row r="1048" spans="1:45" s="125" customFormat="1" ht="25.5" customHeight="1">
      <c r="A1048" s="216" t="s">
        <v>1996</v>
      </c>
      <c r="B1048" s="217" t="str">
        <f t="shared" si="453"/>
        <v>Def Tax190501BC030561</v>
      </c>
      <c r="C1048" s="186">
        <v>190501</v>
      </c>
      <c r="D1048" s="201"/>
      <c r="E1048" s="162" t="s">
        <v>734</v>
      </c>
      <c r="F1048" s="169" t="s">
        <v>862</v>
      </c>
      <c r="G1048" s="117" t="s">
        <v>3153</v>
      </c>
      <c r="H1048" s="118" t="s">
        <v>1002</v>
      </c>
      <c r="I1048" s="119"/>
      <c r="J1048" s="231"/>
      <c r="K1048" s="120" t="str">
        <f t="shared" si="457"/>
        <v/>
      </c>
      <c r="L1048" s="170" t="s">
        <v>1895</v>
      </c>
      <c r="M1048" s="122" t="str">
        <f t="shared" si="456"/>
        <v>R</v>
      </c>
      <c r="N1048" s="116" t="str">
        <f>IF($L1048&lt;&gt;"",VLOOKUP($L1048,Categories!$E:$G,2,FALSE),IF($F1048&lt;&gt;"","NO CAT",""))</f>
        <v>Rate Base</v>
      </c>
      <c r="O1048" s="116" t="str">
        <f>IF($L1048&lt;&gt;"",VLOOKUP($L1048,Categories!$E:$G,3,FALSE),IF($F1048&lt;&gt;"","NO CAT",""))</f>
        <v>Deferred Income Taxes</v>
      </c>
      <c r="P1048" s="170" t="s">
        <v>1553</v>
      </c>
      <c r="Q1048" s="123" t="s">
        <v>2587</v>
      </c>
      <c r="R1048" s="124">
        <v>0.81899999999999995</v>
      </c>
      <c r="S1048" s="124">
        <v>0.18099999999999999</v>
      </c>
      <c r="T1048" s="124">
        <v>0</v>
      </c>
      <c r="U1048" s="121" t="str">
        <f t="shared" si="459"/>
        <v/>
      </c>
      <c r="V1048" s="121" t="str">
        <f t="shared" si="460"/>
        <v/>
      </c>
      <c r="W1048" s="121" t="str">
        <f t="shared" si="461"/>
        <v/>
      </c>
      <c r="X1048" s="121">
        <f t="shared" si="465"/>
        <v>0</v>
      </c>
      <c r="Y1048" s="121" t="str">
        <f t="shared" si="462"/>
        <v/>
      </c>
      <c r="Z1048" s="121" t="str">
        <f t="shared" si="463"/>
        <v/>
      </c>
      <c r="AA1048" s="121" t="str">
        <f t="shared" si="464"/>
        <v/>
      </c>
      <c r="AB1048" s="121">
        <f t="shared" si="466"/>
        <v>0</v>
      </c>
      <c r="AC1048" s="121">
        <v>0</v>
      </c>
      <c r="AD1048" s="121">
        <v>0</v>
      </c>
      <c r="AE1048" s="121">
        <v>0</v>
      </c>
      <c r="AF1048" s="121">
        <v>0</v>
      </c>
      <c r="AG1048" s="121">
        <v>0</v>
      </c>
      <c r="AH1048" s="121">
        <v>0</v>
      </c>
      <c r="AI1048" s="161">
        <v>0</v>
      </c>
      <c r="AJ1048" s="161">
        <f>IF(AI1048=0,0,0)</f>
        <v>0</v>
      </c>
      <c r="AK1048" s="161">
        <v>0</v>
      </c>
      <c r="AL1048" s="161">
        <v>0</v>
      </c>
      <c r="AM1048" s="161">
        <v>0</v>
      </c>
      <c r="AN1048" s="161">
        <v>0</v>
      </c>
      <c r="AO1048" s="161">
        <v>0</v>
      </c>
      <c r="AP1048" s="125" t="str">
        <f>CONCATENATE(A1048,M1048)</f>
        <v>Def TaxR</v>
      </c>
      <c r="AQ1048" s="125" t="str">
        <f>CONCATENATE(AP1048,L1048,H1048)</f>
        <v>Def TaxRR11Accrued Pension</v>
      </c>
      <c r="AS1048" s="125" t="str">
        <f>CONCATENATE(L1048,H1048,J1048)</f>
        <v>R11Accrued Pension</v>
      </c>
    </row>
    <row r="1049" spans="1:45" s="125" customFormat="1" ht="25.5" customHeight="1">
      <c r="A1049" s="216" t="s">
        <v>1996</v>
      </c>
      <c r="B1049" s="217" t="str">
        <f>CONCATENATE(A1049,C1049,D1049,E1049)</f>
        <v>Def Tax190501BT010392</v>
      </c>
      <c r="C1049" s="186">
        <v>190501</v>
      </c>
      <c r="D1049" s="201"/>
      <c r="E1049" s="162" t="s">
        <v>4765</v>
      </c>
      <c r="F1049" s="169" t="s">
        <v>862</v>
      </c>
      <c r="G1049" s="117" t="s">
        <v>4766</v>
      </c>
      <c r="H1049" s="118" t="s">
        <v>4761</v>
      </c>
      <c r="I1049" s="119"/>
      <c r="J1049" s="231"/>
      <c r="K1049" s="120" t="str">
        <f>IF(L1049="N3","SFAS-109","")</f>
        <v/>
      </c>
      <c r="L1049" s="170" t="s">
        <v>1895</v>
      </c>
      <c r="M1049" s="122" t="str">
        <f>LEFT(L1049,1)</f>
        <v>R</v>
      </c>
      <c r="N1049" s="116" t="str">
        <f>IF($L1049&lt;&gt;"",VLOOKUP($L1049,Categories!$E:$G,2,FALSE),IF($F1049&lt;&gt;"","NO CAT",""))</f>
        <v>Rate Base</v>
      </c>
      <c r="O1049" s="116" t="str">
        <f>IF($L1049&lt;&gt;"",VLOOKUP($L1049,Categories!$E:$G,3,FALSE),IF($F1049&lt;&gt;"","NO CAT",""))</f>
        <v>Deferred Income Taxes</v>
      </c>
      <c r="P1049" s="170" t="s">
        <v>1183</v>
      </c>
      <c r="Q1049" s="123" t="s">
        <v>1177</v>
      </c>
      <c r="R1049" s="124">
        <v>1</v>
      </c>
      <c r="S1049" s="124">
        <v>0</v>
      </c>
      <c r="T1049" s="124">
        <v>0</v>
      </c>
      <c r="U1049" s="121">
        <f>IF(ABS(X1049)=0,"",IF($R1049="NO ALLOC","NO ALLOC",ROUND($R1049*X1049,15)))</f>
        <v>1880.9385583333301</v>
      </c>
      <c r="V1049" s="121">
        <f>IF(ABS(X1049)=0,"",IF($S1049="NO ALLOC","NO ALLOC",ROUND($S1049*X1049,15)))</f>
        <v>0</v>
      </c>
      <c r="W1049" s="121">
        <f>IF(ABS(X1049)=0,"",IF($T1049="NO ALLOC","NO ALLOC",ROUND($T1049*X1049,15)))</f>
        <v>0</v>
      </c>
      <c r="X1049" s="121">
        <f t="shared" si="465"/>
        <v>1880.9385583333301</v>
      </c>
      <c r="Y1049" s="121">
        <f>IF(ABS(AB1049)=0,"",IF($R1049="NO ALLOC","NO ALLOC",ROUND($R1049*AB1049,15)))</f>
        <v>3486.2583</v>
      </c>
      <c r="Z1049" s="121">
        <f>IF(ABS(AB1049)=0,"",IF($S1049="NO ALLOC","NO ALLOC",ROUND($S1049*AB1049,15)))</f>
        <v>0</v>
      </c>
      <c r="AA1049" s="121">
        <f>IF(ABS(AB1049)=0,"",IF($T1049="NO ALLOC","NO ALLOC",ROUND($T1049*AB1049,15)))</f>
        <v>0</v>
      </c>
      <c r="AB1049" s="121">
        <f t="shared" si="466"/>
        <v>3486.2583</v>
      </c>
      <c r="AC1049" s="121"/>
      <c r="AD1049" s="121"/>
      <c r="AE1049" s="121"/>
      <c r="AF1049" s="121"/>
      <c r="AG1049" s="121"/>
      <c r="AH1049" s="121"/>
      <c r="AI1049" s="161">
        <v>3468.3750499999996</v>
      </c>
      <c r="AJ1049" s="161">
        <v>3468.3750499999996</v>
      </c>
      <c r="AK1049" s="161">
        <v>3468.3750499999996</v>
      </c>
      <c r="AL1049" s="161">
        <v>3468.3750499999996</v>
      </c>
      <c r="AM1049" s="161">
        <v>3468.3750499999996</v>
      </c>
      <c r="AN1049" s="161">
        <v>3486.2583</v>
      </c>
      <c r="AO1049" s="161">
        <v>3486.2583</v>
      </c>
      <c r="AP1049" s="125" t="str">
        <f>CONCATENATE(A1049,M1049)</f>
        <v>Def TaxR</v>
      </c>
      <c r="AQ1049" s="125" t="str">
        <f>CONCATENATE(AP1049,L1049,H1049)</f>
        <v>Def TaxRR11Excess DIT - New York State Tax Rate change</v>
      </c>
      <c r="AS1049" s="125" t="str">
        <f>CONCATENATE(L1049,H1049,J1049)</f>
        <v>R11Excess DIT - New York State Tax Rate change</v>
      </c>
    </row>
    <row r="1050" spans="1:45" s="125" customFormat="1" ht="25.5" customHeight="1">
      <c r="A1050" s="216" t="s">
        <v>1996</v>
      </c>
      <c r="B1050" s="217" t="str">
        <f>CONCATENATE(A1050,C1050,D1050,E1050)</f>
        <v>Def Tax190501BE030939</v>
      </c>
      <c r="C1050" s="186">
        <v>190501</v>
      </c>
      <c r="D1050" s="201"/>
      <c r="E1050" s="162" t="s">
        <v>4786</v>
      </c>
      <c r="F1050" s="169" t="s">
        <v>862</v>
      </c>
      <c r="G1050" s="117" t="s">
        <v>2862</v>
      </c>
      <c r="H1050" s="118" t="s">
        <v>2862</v>
      </c>
      <c r="I1050" s="119"/>
      <c r="J1050" s="231"/>
      <c r="K1050" s="120" t="str">
        <f>IF(L1050="N3","SFAS-109","")</f>
        <v/>
      </c>
      <c r="L1050" s="170" t="s">
        <v>1895</v>
      </c>
      <c r="M1050" s="122" t="str">
        <f>LEFT(L1050,1)</f>
        <v>R</v>
      </c>
      <c r="N1050" s="116" t="str">
        <f>IF($L1050&lt;&gt;"",VLOOKUP($L1050,Categories!$E:$G,2,FALSE),IF($F1050&lt;&gt;"","NO CAT",""))</f>
        <v>Rate Base</v>
      </c>
      <c r="O1050" s="116" t="str">
        <f>IF($L1050&lt;&gt;"",VLOOKUP($L1050,Categories!$E:$G,3,FALSE),IF($F1050&lt;&gt;"","NO CAT",""))</f>
        <v>Deferred Income Taxes</v>
      </c>
      <c r="P1050" s="170" t="s">
        <v>1183</v>
      </c>
      <c r="Q1050" s="123" t="s">
        <v>1177</v>
      </c>
      <c r="R1050" s="124">
        <v>1</v>
      </c>
      <c r="S1050" s="124">
        <v>0</v>
      </c>
      <c r="T1050" s="124">
        <v>0</v>
      </c>
      <c r="U1050" s="121">
        <f>IF(ABS(X1050)=0,"",IF($R1050="NO ALLOC","NO ALLOC",ROUND($R1050*X1050,15)))</f>
        <v>-3.0980270833333301</v>
      </c>
      <c r="V1050" s="121">
        <f>IF(ABS(X1050)=0,"",IF($S1050="NO ALLOC","NO ALLOC",ROUND($S1050*X1050,15)))</f>
        <v>0</v>
      </c>
      <c r="W1050" s="121">
        <f>IF(ABS(X1050)=0,"",IF($T1050="NO ALLOC","NO ALLOC",ROUND($T1050*X1050,15)))</f>
        <v>0</v>
      </c>
      <c r="X1050" s="121">
        <f t="shared" si="465"/>
        <v>-3.0980270833333301</v>
      </c>
      <c r="Y1050" s="121">
        <f>IF(ABS(AB1050)=0,"",IF($R1050="NO ALLOC","NO ALLOC",ROUND($R1050*AB1050,15)))</f>
        <v>-5.4566100000000199</v>
      </c>
      <c r="Z1050" s="121">
        <f>IF(ABS(AB1050)=0,"",IF($S1050="NO ALLOC","NO ALLOC",ROUND($S1050*AB1050,15)))</f>
        <v>0</v>
      </c>
      <c r="AA1050" s="121">
        <f>IF(ABS(AB1050)=0,"",IF($T1050="NO ALLOC","NO ALLOC",ROUND($T1050*AB1050,15)))</f>
        <v>0</v>
      </c>
      <c r="AB1050" s="121">
        <f t="shared" si="466"/>
        <v>-5.4566100000000155</v>
      </c>
      <c r="AC1050" s="121"/>
      <c r="AD1050" s="121"/>
      <c r="AE1050" s="121"/>
      <c r="AF1050" s="121"/>
      <c r="AG1050" s="121"/>
      <c r="AH1050" s="121"/>
      <c r="AI1050" s="161"/>
      <c r="AJ1050" s="161"/>
      <c r="AK1050" s="161">
        <v>136.40848</v>
      </c>
      <c r="AL1050" s="161">
        <v>50.303990000000006</v>
      </c>
      <c r="AM1050" s="161">
        <v>-78.744169999999997</v>
      </c>
      <c r="AN1050" s="161">
        <v>-142.41632000000001</v>
      </c>
      <c r="AO1050" s="161">
        <v>-5.4566100000000155</v>
      </c>
      <c r="AP1050" s="125" t="str">
        <f>CONCATENATE(A1050,M1050)</f>
        <v>Def TaxR</v>
      </c>
      <c r="AQ1050" s="125" t="str">
        <f>CONCATENATE(AP1050,L1050,H1050)</f>
        <v>Def TaxRR11Renewable Portfolio Standard</v>
      </c>
      <c r="AS1050" s="125" t="str">
        <f>CONCATENATE(L1050,H1050,J1050)</f>
        <v>R11Renewable Portfolio Standard</v>
      </c>
    </row>
    <row r="1051" spans="1:45" s="125" customFormat="1" ht="25.5" customHeight="1">
      <c r="A1051" s="216" t="s">
        <v>1996</v>
      </c>
      <c r="B1051" s="217" t="str">
        <f>CONCATENATE(A1051,C1051,D1051,E1051)</f>
        <v>Def Tax190501BE030583</v>
      </c>
      <c r="C1051" s="186">
        <v>190501</v>
      </c>
      <c r="D1051" s="201"/>
      <c r="E1051" s="162" t="s">
        <v>4787</v>
      </c>
      <c r="F1051" s="169" t="s">
        <v>862</v>
      </c>
      <c r="G1051" s="117" t="s">
        <v>4815</v>
      </c>
      <c r="H1051" s="118" t="s">
        <v>2496</v>
      </c>
      <c r="I1051" s="119"/>
      <c r="J1051" s="120" t="s">
        <v>105</v>
      </c>
      <c r="K1051" s="120" t="str">
        <f>IF(L1051="N3","SFAS-109","")</f>
        <v/>
      </c>
      <c r="L1051" s="170" t="s">
        <v>2821</v>
      </c>
      <c r="M1051" s="122" t="str">
        <f>LEFT(L1051,1)</f>
        <v>N</v>
      </c>
      <c r="N1051" s="116" t="str">
        <f>IF($L1051&lt;&gt;"",VLOOKUP($L1051,Categories!$E:$G,2,FALSE),IF($F1051&lt;&gt;"","NO CAT",""))</f>
        <v>Not in Rate Base</v>
      </c>
      <c r="O1051" s="116" t="str">
        <f>IF($L1051&lt;&gt;"",VLOOKUP($L1051,Categories!$E:$G,3,FALSE),IF($F1051&lt;&gt;"","NO CAT",""))</f>
        <v>Deferrals Accruing Non-Cash Return   (other than ASGA)</v>
      </c>
      <c r="P1051" s="170" t="s">
        <v>1186</v>
      </c>
      <c r="Q1051" s="123" t="s">
        <v>1187</v>
      </c>
      <c r="R1051" s="124">
        <v>0</v>
      </c>
      <c r="S1051" s="124">
        <v>0</v>
      </c>
      <c r="T1051" s="124">
        <v>1</v>
      </c>
      <c r="U1051" s="121">
        <f>IF(ABS(X1051)=0,"",IF($R1051="NO ALLOC","NO ALLOC",ROUND($R1051*X1051,15)))</f>
        <v>0</v>
      </c>
      <c r="V1051" s="121">
        <f>IF(ABS(X1051)=0,"",IF($S1051="NO ALLOC","NO ALLOC",ROUND($S1051*X1051,15)))</f>
        <v>0</v>
      </c>
      <c r="W1051" s="121">
        <f>IF(ABS(X1051)=0,"",IF($T1051="NO ALLOC","NO ALLOC",ROUND($T1051*X1051,15)))</f>
        <v>81.674567499999995</v>
      </c>
      <c r="X1051" s="121">
        <f t="shared" si="465"/>
        <v>81.674567499999995</v>
      </c>
      <c r="Y1051" s="121">
        <f>IF(ABS(AB1051)=0,"",IF($R1051="NO ALLOC","NO ALLOC",ROUND($R1051*AB1051,15)))</f>
        <v>0</v>
      </c>
      <c r="Z1051" s="121">
        <f>IF(ABS(AB1051)=0,"",IF($S1051="NO ALLOC","NO ALLOC",ROUND($S1051*AB1051,15)))</f>
        <v>0</v>
      </c>
      <c r="AA1051" s="121">
        <f>IF(ABS(AB1051)=0,"",IF($T1051="NO ALLOC","NO ALLOC",ROUND($T1051*AB1051,15)))</f>
        <v>215.33688000000001</v>
      </c>
      <c r="AB1051" s="121">
        <f t="shared" si="466"/>
        <v>215.33688000000001</v>
      </c>
      <c r="AC1051" s="121"/>
      <c r="AD1051" s="121"/>
      <c r="AE1051" s="121"/>
      <c r="AF1051" s="121"/>
      <c r="AG1051" s="121"/>
      <c r="AH1051" s="121"/>
      <c r="AI1051" s="161"/>
      <c r="AJ1051" s="161"/>
      <c r="AK1051" s="161">
        <v>242.08781999999999</v>
      </c>
      <c r="AL1051" s="161">
        <v>230.61730000000003</v>
      </c>
      <c r="AM1051" s="161">
        <v>205.9872</v>
      </c>
      <c r="AN1051" s="161">
        <v>193.73405000000002</v>
      </c>
      <c r="AO1051" s="161">
        <v>215.33688000000001</v>
      </c>
      <c r="AP1051" s="125" t="str">
        <f>CONCATENATE(A1051,M1051)</f>
        <v>Def TaxN</v>
      </c>
      <c r="AQ1051" s="125" t="str">
        <f>CONCATENATE(AP1051,L1051,H1051)</f>
        <v>Def TaxNN10System Benefits Charge</v>
      </c>
      <c r="AS1051" s="125" t="str">
        <f>CONCATENATE(L1051,H1051,J1051)</f>
        <v>N10System Benefits ChargeNCR</v>
      </c>
    </row>
    <row r="1052" spans="1:45" s="125" customFormat="1" ht="25.5" customHeight="1">
      <c r="A1052" s="216" t="s">
        <v>1996</v>
      </c>
      <c r="B1052" s="217" t="str">
        <f>CONCATENATE(A1052,C1052,D1052,E1052)</f>
        <v>Def Tax190501BT010299</v>
      </c>
      <c r="C1052" s="186">
        <v>190501</v>
      </c>
      <c r="D1052" s="201"/>
      <c r="E1052" s="162" t="s">
        <v>4814</v>
      </c>
      <c r="F1052" s="169" t="s">
        <v>862</v>
      </c>
      <c r="G1052" s="117" t="s">
        <v>4816</v>
      </c>
      <c r="H1052" s="118" t="s">
        <v>1718</v>
      </c>
      <c r="I1052" s="119"/>
      <c r="J1052" s="120" t="s">
        <v>105</v>
      </c>
      <c r="K1052" s="120" t="str">
        <f>IF(L1052="N3","SFAS-109","")</f>
        <v/>
      </c>
      <c r="L1052" s="170" t="s">
        <v>2821</v>
      </c>
      <c r="M1052" s="122" t="str">
        <f>LEFT(L1052,1)</f>
        <v>N</v>
      </c>
      <c r="N1052" s="116" t="str">
        <f>IF($L1052&lt;&gt;"",VLOOKUP($L1052,Categories!$E:$G,2,FALSE),IF($F1052&lt;&gt;"","NO CAT",""))</f>
        <v>Not in Rate Base</v>
      </c>
      <c r="O1052" s="116" t="str">
        <f>IF($L1052&lt;&gt;"",VLOOKUP($L1052,Categories!$E:$G,3,FALSE),IF($F1052&lt;&gt;"","NO CAT",""))</f>
        <v>Deferrals Accruing Non-Cash Return   (other than ASGA)</v>
      </c>
      <c r="P1052" s="170" t="s">
        <v>1186</v>
      </c>
      <c r="Q1052" s="123" t="s">
        <v>1187</v>
      </c>
      <c r="R1052" s="124">
        <v>0</v>
      </c>
      <c r="S1052" s="124">
        <v>0</v>
      </c>
      <c r="T1052" s="124">
        <v>1</v>
      </c>
      <c r="U1052" s="121">
        <f>IF(ABS(X1052)=0,"",IF($R1052="NO ALLOC","NO ALLOC",ROUND($R1052*X1052,15)))</f>
        <v>0</v>
      </c>
      <c r="V1052" s="121">
        <f>IF(ABS(X1052)=0,"",IF($S1052="NO ALLOC","NO ALLOC",ROUND($S1052*X1052,15)))</f>
        <v>0</v>
      </c>
      <c r="W1052" s="121">
        <f>IF(ABS(X1052)=0,"",IF($T1052="NO ALLOC","NO ALLOC",ROUND($T1052*X1052,15)))</f>
        <v>1783.24946</v>
      </c>
      <c r="X1052" s="121">
        <f t="shared" si="465"/>
        <v>1783.24946</v>
      </c>
      <c r="Y1052" s="121">
        <f>IF(ABS(AB1052)=0,"",IF($R1052="NO ALLOC","NO ALLOC",ROUND($R1052*AB1052,15)))</f>
        <v>0</v>
      </c>
      <c r="Z1052" s="121">
        <f>IF(ABS(AB1052)=0,"",IF($S1052="NO ALLOC","NO ALLOC",ROUND($S1052*AB1052,15)))</f>
        <v>0</v>
      </c>
      <c r="AA1052" s="121">
        <f>IF(ABS(AB1052)=0,"",IF($T1052="NO ALLOC","NO ALLOC",ROUND($T1052*AB1052,15)))</f>
        <v>4884.4507000000003</v>
      </c>
      <c r="AB1052" s="121">
        <f t="shared" si="466"/>
        <v>4884.4506999999994</v>
      </c>
      <c r="AC1052" s="121"/>
      <c r="AD1052" s="121"/>
      <c r="AE1052" s="121"/>
      <c r="AF1052" s="121"/>
      <c r="AG1052" s="121"/>
      <c r="AH1052" s="121"/>
      <c r="AI1052" s="161"/>
      <c r="AJ1052" s="161"/>
      <c r="AK1052" s="161">
        <v>4840.8034600000001</v>
      </c>
      <c r="AL1052" s="161">
        <v>4838.8030199999994</v>
      </c>
      <c r="AM1052" s="161">
        <v>4640.2768299999989</v>
      </c>
      <c r="AN1052" s="161">
        <v>4636.8848599999992</v>
      </c>
      <c r="AO1052" s="161">
        <v>4884.4506999999994</v>
      </c>
      <c r="AP1052" s="125" t="str">
        <f>CONCATENATE(A1052,M1052)</f>
        <v>Def TaxN</v>
      </c>
      <c r="AQ1052" s="125" t="str">
        <f>CONCATENATE(AP1052,L1052,H1052)</f>
        <v>Def TaxNN10Energy Efficiency Portfolio Standard</v>
      </c>
      <c r="AS1052" s="125" t="str">
        <f>CONCATENATE(L1052,H1052,J1052)</f>
        <v>N10Energy Efficiency Portfolio StandardNCR</v>
      </c>
    </row>
    <row r="1053" spans="1:45" s="125" customFormat="1" ht="25.5" customHeight="1">
      <c r="A1053" s="216" t="s">
        <v>1996</v>
      </c>
      <c r="B1053" s="217" t="str">
        <f t="shared" si="453"/>
        <v>Def Tax190502AROBT010343</v>
      </c>
      <c r="C1053" s="186">
        <v>190502</v>
      </c>
      <c r="D1053" s="201" t="s">
        <v>993</v>
      </c>
      <c r="E1053" s="162" t="s">
        <v>67</v>
      </c>
      <c r="F1053" s="169" t="s">
        <v>1958</v>
      </c>
      <c r="G1053" s="117" t="s">
        <v>1046</v>
      </c>
      <c r="H1053" s="118" t="s">
        <v>972</v>
      </c>
      <c r="I1053" s="119"/>
      <c r="J1053" s="231"/>
      <c r="K1053" s="120" t="str">
        <f t="shared" si="457"/>
        <v/>
      </c>
      <c r="L1053" s="170" t="s">
        <v>928</v>
      </c>
      <c r="M1053" s="122" t="str">
        <f t="shared" si="456"/>
        <v>N</v>
      </c>
      <c r="N1053" s="116" t="str">
        <f>IF($L1053&lt;&gt;"",VLOOKUP($L1053,Categories!$E:$G,2,FALSE),IF($F1053&lt;&gt;"","NO CAT",""))</f>
        <v>Not in Rate Base</v>
      </c>
      <c r="O1053" s="116" t="str">
        <f>IF($L1053&lt;&gt;"",VLOOKUP($L1053,Categories!$E:$G,3,FALSE),IF($F1053&lt;&gt;"","NO CAT",""))</f>
        <v>Direct Assign Items Not in RB</v>
      </c>
      <c r="P1053" s="170" t="s">
        <v>1186</v>
      </c>
      <c r="Q1053" s="123" t="s">
        <v>1187</v>
      </c>
      <c r="R1053" s="124">
        <v>0</v>
      </c>
      <c r="S1053" s="124">
        <v>0</v>
      </c>
      <c r="T1053" s="124">
        <v>1</v>
      </c>
      <c r="U1053" s="121">
        <f t="shared" si="459"/>
        <v>0</v>
      </c>
      <c r="V1053" s="121">
        <f t="shared" si="460"/>
        <v>0</v>
      </c>
      <c r="W1053" s="121">
        <f t="shared" si="461"/>
        <v>975.77119000000005</v>
      </c>
      <c r="X1053" s="121">
        <f t="shared" si="465"/>
        <v>975.77119000000005</v>
      </c>
      <c r="Y1053" s="121">
        <f t="shared" si="462"/>
        <v>0</v>
      </c>
      <c r="Z1053" s="121">
        <f t="shared" si="463"/>
        <v>0</v>
      </c>
      <c r="AA1053" s="121">
        <f t="shared" si="464"/>
        <v>975.77119000000005</v>
      </c>
      <c r="AB1053" s="121">
        <f t="shared" si="466"/>
        <v>975.77118999999982</v>
      </c>
      <c r="AC1053" s="121">
        <v>975.77118999999982</v>
      </c>
      <c r="AD1053" s="121">
        <v>975.77118999999982</v>
      </c>
      <c r="AE1053" s="121">
        <v>975.77118999999982</v>
      </c>
      <c r="AF1053" s="121">
        <v>975.77118999999982</v>
      </c>
      <c r="AG1053" s="121">
        <v>975.77118999999982</v>
      </c>
      <c r="AH1053" s="121">
        <v>975.77118999999982</v>
      </c>
      <c r="AI1053" s="161">
        <v>975.77118999999982</v>
      </c>
      <c r="AJ1053" s="161">
        <v>975.77118999999982</v>
      </c>
      <c r="AK1053" s="161">
        <v>975.77118999999982</v>
      </c>
      <c r="AL1053" s="161">
        <v>975.77118999999982</v>
      </c>
      <c r="AM1053" s="161">
        <v>975.77118999999982</v>
      </c>
      <c r="AN1053" s="161">
        <v>975.77118999999982</v>
      </c>
      <c r="AO1053" s="161">
        <v>975.77118999999982</v>
      </c>
      <c r="AP1053" s="125" t="str">
        <f>CONCATENATE(A1053,M1053)</f>
        <v>Def TaxN</v>
      </c>
      <c r="AQ1053" s="125" t="str">
        <f>CONCATENATE(AP1053,L1053,H1053)</f>
        <v>Def TaxNN2Asset Retirement Obligation</v>
      </c>
      <c r="AS1053" s="125" t="str">
        <f>CONCATENATE(L1053,H1053,J1053)</f>
        <v>N2Asset Retirement Obligation</v>
      </c>
    </row>
    <row r="1054" spans="1:45" s="125" customFormat="1" ht="25.5" customHeight="1">
      <c r="A1054" s="216" t="s">
        <v>1996</v>
      </c>
      <c r="B1054" s="217" t="str">
        <f t="shared" ref="B1054:B1106" si="467">CONCATENATE(A1054,C1054,D1054,E1054)</f>
        <v>Def Tax1905020-283.22.16BG030147</v>
      </c>
      <c r="C1054" s="186">
        <v>190502</v>
      </c>
      <c r="D1054" s="201" t="s">
        <v>2881</v>
      </c>
      <c r="E1054" s="162" t="s">
        <v>2687</v>
      </c>
      <c r="F1054" s="169" t="s">
        <v>1958</v>
      </c>
      <c r="G1054" s="117" t="s">
        <v>2257</v>
      </c>
      <c r="H1054" s="118" t="s">
        <v>102</v>
      </c>
      <c r="I1054" s="119"/>
      <c r="J1054" s="120"/>
      <c r="K1054" s="120" t="str">
        <f t="shared" si="457"/>
        <v/>
      </c>
      <c r="L1054" s="170" t="s">
        <v>928</v>
      </c>
      <c r="M1054" s="122" t="str">
        <f t="shared" si="456"/>
        <v>N</v>
      </c>
      <c r="N1054" s="116" t="str">
        <f>IF($L1054&lt;&gt;"",VLOOKUP($L1054,Categories!$E:$G,2,FALSE),IF($F1054&lt;&gt;"","NO CAT",""))</f>
        <v>Not in Rate Base</v>
      </c>
      <c r="O1054" s="116" t="str">
        <f>IF($L1054&lt;&gt;"",VLOOKUP($L1054,Categories!$E:$G,3,FALSE),IF($F1054&lt;&gt;"","NO CAT",""))</f>
        <v>Direct Assign Items Not in RB</v>
      </c>
      <c r="P1054" s="170" t="s">
        <v>1186</v>
      </c>
      <c r="Q1054" s="123" t="s">
        <v>1187</v>
      </c>
      <c r="R1054" s="124">
        <v>0</v>
      </c>
      <c r="S1054" s="124">
        <v>0</v>
      </c>
      <c r="T1054" s="124">
        <v>1</v>
      </c>
      <c r="U1054" s="121">
        <f t="shared" si="459"/>
        <v>0</v>
      </c>
      <c r="V1054" s="121">
        <f t="shared" si="460"/>
        <v>0</v>
      </c>
      <c r="W1054" s="121">
        <f t="shared" si="461"/>
        <v>6.1999999999499998E-4</v>
      </c>
      <c r="X1054" s="121">
        <f t="shared" si="465"/>
        <v>6.1999999999499998E-4</v>
      </c>
      <c r="Y1054" s="121">
        <f t="shared" si="462"/>
        <v>0</v>
      </c>
      <c r="Z1054" s="121">
        <f t="shared" si="463"/>
        <v>0</v>
      </c>
      <c r="AA1054" s="121">
        <f t="shared" si="464"/>
        <v>6.1999999999499998E-4</v>
      </c>
      <c r="AB1054" s="121">
        <f t="shared" si="466"/>
        <v>6.1999999999534335E-4</v>
      </c>
      <c r="AC1054" s="121">
        <v>6.1999999999534335E-4</v>
      </c>
      <c r="AD1054" s="121">
        <v>6.1999999999534335E-4</v>
      </c>
      <c r="AE1054" s="121">
        <v>6.1999999999534335E-4</v>
      </c>
      <c r="AF1054" s="121">
        <v>6.1999999999534335E-4</v>
      </c>
      <c r="AG1054" s="121">
        <v>6.1999999999534335E-4</v>
      </c>
      <c r="AH1054" s="121">
        <v>6.1999999999534335E-4</v>
      </c>
      <c r="AI1054" s="161">
        <v>6.1999999999534335E-4</v>
      </c>
      <c r="AJ1054" s="161">
        <v>6.1999999999534335E-4</v>
      </c>
      <c r="AK1054" s="161">
        <v>6.1999999999534335E-4</v>
      </c>
      <c r="AL1054" s="161">
        <v>6.1999999999534335E-4</v>
      </c>
      <c r="AM1054" s="161">
        <v>6.1999999999534335E-4</v>
      </c>
      <c r="AN1054" s="161">
        <v>6.1999999999534335E-4</v>
      </c>
      <c r="AO1054" s="161">
        <v>6.1999999999534335E-4</v>
      </c>
      <c r="AP1054" s="125" t="str">
        <f>CONCATENATE(A1054,M1054)</f>
        <v>Def TaxN</v>
      </c>
      <c r="AQ1054" s="125" t="str">
        <f>CONCATENATE(AP1054,L1054,H1054)</f>
        <v>Def TaxNN2Deferred Gas Costs</v>
      </c>
      <c r="AS1054" s="125" t="str">
        <f>CONCATENATE(L1054,H1054,J1054)</f>
        <v>N2Deferred Gas Costs</v>
      </c>
    </row>
    <row r="1055" spans="1:45" s="125" customFormat="1" ht="25.5" customHeight="1">
      <c r="A1055" s="216" t="s">
        <v>1996</v>
      </c>
      <c r="B1055" s="217" t="str">
        <f t="shared" si="467"/>
        <v>Def Tax1905020-283.22.32BG030158</v>
      </c>
      <c r="C1055" s="186">
        <v>190502</v>
      </c>
      <c r="D1055" s="201" t="s">
        <v>2446</v>
      </c>
      <c r="E1055" s="162" t="s">
        <v>1677</v>
      </c>
      <c r="F1055" s="169" t="s">
        <v>1958</v>
      </c>
      <c r="G1055" s="117" t="s">
        <v>413</v>
      </c>
      <c r="H1055" s="118" t="s">
        <v>102</v>
      </c>
      <c r="I1055" s="119"/>
      <c r="J1055" s="120"/>
      <c r="K1055" s="120" t="str">
        <f t="shared" si="457"/>
        <v/>
      </c>
      <c r="L1055" s="170" t="s">
        <v>928</v>
      </c>
      <c r="M1055" s="122" t="str">
        <f t="shared" si="456"/>
        <v>N</v>
      </c>
      <c r="N1055" s="116" t="str">
        <f>IF($L1055&lt;&gt;"",VLOOKUP($L1055,Categories!$E:$G,2,FALSE),IF($F1055&lt;&gt;"","NO CAT",""))</f>
        <v>Not in Rate Base</v>
      </c>
      <c r="O1055" s="116" t="str">
        <f>IF($L1055&lt;&gt;"",VLOOKUP($L1055,Categories!$E:$G,3,FALSE),IF($F1055&lt;&gt;"","NO CAT",""))</f>
        <v>Direct Assign Items Not in RB</v>
      </c>
      <c r="P1055" s="170" t="s">
        <v>1186</v>
      </c>
      <c r="Q1055" s="123" t="s">
        <v>1187</v>
      </c>
      <c r="R1055" s="124">
        <v>0</v>
      </c>
      <c r="S1055" s="124">
        <v>0</v>
      </c>
      <c r="T1055" s="124">
        <v>1</v>
      </c>
      <c r="U1055" s="121">
        <f t="shared" si="459"/>
        <v>0</v>
      </c>
      <c r="V1055" s="121">
        <f t="shared" si="460"/>
        <v>0</v>
      </c>
      <c r="W1055" s="121">
        <f t="shared" si="461"/>
        <v>702.78228749999903</v>
      </c>
      <c r="X1055" s="121">
        <f t="shared" si="465"/>
        <v>702.78228749999903</v>
      </c>
      <c r="Y1055" s="121">
        <f t="shared" si="462"/>
        <v>0</v>
      </c>
      <c r="Z1055" s="121">
        <f t="shared" si="463"/>
        <v>0</v>
      </c>
      <c r="AA1055" s="121">
        <f t="shared" si="464"/>
        <v>1000.3581</v>
      </c>
      <c r="AB1055" s="121">
        <f t="shared" si="466"/>
        <v>1000.3581</v>
      </c>
      <c r="AC1055" s="121">
        <v>1180.7313599999989</v>
      </c>
      <c r="AD1055" s="121">
        <v>876.90231999999889</v>
      </c>
      <c r="AE1055" s="121">
        <v>370.61940999999894</v>
      </c>
      <c r="AF1055" s="121">
        <v>1224.7455099999988</v>
      </c>
      <c r="AG1055" s="121">
        <v>1378.2518199999988</v>
      </c>
      <c r="AH1055" s="121">
        <v>978.94646999999895</v>
      </c>
      <c r="AI1055" s="161">
        <v>1153.076779999999</v>
      </c>
      <c r="AJ1055" s="161">
        <v>565.22774999999888</v>
      </c>
      <c r="AK1055" s="161">
        <v>430.71672999999879</v>
      </c>
      <c r="AL1055" s="161">
        <v>208.7387899999988</v>
      </c>
      <c r="AM1055" s="161">
        <v>-29.36159000000119</v>
      </c>
      <c r="AN1055" s="161">
        <v>184.97872999999882</v>
      </c>
      <c r="AO1055" s="161">
        <v>1000.3581</v>
      </c>
      <c r="AP1055" s="125" t="str">
        <f>CONCATENATE(A1055,M1055)</f>
        <v>Def TaxN</v>
      </c>
      <c r="AQ1055" s="125" t="str">
        <f>CONCATENATE(AP1055,L1055,H1055)</f>
        <v>Def TaxNN2Deferred Gas Costs</v>
      </c>
      <c r="AS1055" s="125" t="str">
        <f>CONCATENATE(L1055,H1055,J1055)</f>
        <v>N2Deferred Gas Costs</v>
      </c>
    </row>
    <row r="1056" spans="1:45" s="125" customFormat="1" ht="25.5" customHeight="1">
      <c r="A1056" s="216" t="s">
        <v>1996</v>
      </c>
      <c r="B1056" s="217" t="str">
        <f t="shared" si="467"/>
        <v>Def Tax1905020-184.22.23BT010073</v>
      </c>
      <c r="C1056" s="186">
        <v>190502</v>
      </c>
      <c r="D1056" s="201" t="s">
        <v>1614</v>
      </c>
      <c r="E1056" s="162" t="s">
        <v>2988</v>
      </c>
      <c r="F1056" s="169" t="s">
        <v>1958</v>
      </c>
      <c r="G1056" s="117" t="s">
        <v>1375</v>
      </c>
      <c r="H1056" s="118" t="s">
        <v>2369</v>
      </c>
      <c r="I1056" s="119"/>
      <c r="J1056" s="120"/>
      <c r="K1056" s="120" t="str">
        <f t="shared" si="457"/>
        <v/>
      </c>
      <c r="L1056" s="170" t="s">
        <v>928</v>
      </c>
      <c r="M1056" s="122" t="str">
        <f t="shared" si="456"/>
        <v>N</v>
      </c>
      <c r="N1056" s="116" t="str">
        <f>IF($L1056&lt;&gt;"",VLOOKUP($L1056,Categories!$E:$G,2,FALSE),IF($F1056&lt;&gt;"","NO CAT",""))</f>
        <v>Not in Rate Base</v>
      </c>
      <c r="O1056" s="116" t="str">
        <f>IF($L1056&lt;&gt;"",VLOOKUP($L1056,Categories!$E:$G,3,FALSE),IF($F1056&lt;&gt;"","NO CAT",""))</f>
        <v>Direct Assign Items Not in RB</v>
      </c>
      <c r="P1056" s="170" t="s">
        <v>1186</v>
      </c>
      <c r="Q1056" s="123" t="s">
        <v>1187</v>
      </c>
      <c r="R1056" s="124">
        <v>0</v>
      </c>
      <c r="S1056" s="124">
        <v>0</v>
      </c>
      <c r="T1056" s="124">
        <v>1</v>
      </c>
      <c r="U1056" s="121">
        <f t="shared" si="459"/>
        <v>0</v>
      </c>
      <c r="V1056" s="121">
        <f t="shared" si="460"/>
        <v>0</v>
      </c>
      <c r="W1056" s="121">
        <f t="shared" si="461"/>
        <v>649.452</v>
      </c>
      <c r="X1056" s="121">
        <f t="shared" si="465"/>
        <v>649.452</v>
      </c>
      <c r="Y1056" s="121">
        <f t="shared" si="462"/>
        <v>0</v>
      </c>
      <c r="Z1056" s="121">
        <f t="shared" si="463"/>
        <v>0</v>
      </c>
      <c r="AA1056" s="121">
        <f t="shared" si="464"/>
        <v>649.452</v>
      </c>
      <c r="AB1056" s="121">
        <f t="shared" si="466"/>
        <v>649.452</v>
      </c>
      <c r="AC1056" s="121">
        <v>649.452</v>
      </c>
      <c r="AD1056" s="121">
        <v>649.452</v>
      </c>
      <c r="AE1056" s="121">
        <v>649.452</v>
      </c>
      <c r="AF1056" s="121">
        <v>649.452</v>
      </c>
      <c r="AG1056" s="121">
        <v>649.452</v>
      </c>
      <c r="AH1056" s="121">
        <v>649.452</v>
      </c>
      <c r="AI1056" s="161">
        <v>649.452</v>
      </c>
      <c r="AJ1056" s="161">
        <v>649.452</v>
      </c>
      <c r="AK1056" s="161">
        <v>649.452</v>
      </c>
      <c r="AL1056" s="161">
        <v>649.452</v>
      </c>
      <c r="AM1056" s="161">
        <v>649.452</v>
      </c>
      <c r="AN1056" s="161">
        <v>649.452</v>
      </c>
      <c r="AO1056" s="161">
        <v>649.452</v>
      </c>
      <c r="AP1056" s="125" t="str">
        <f>CONCATENATE(A1056,M1056)</f>
        <v>Def TaxN</v>
      </c>
      <c r="AQ1056" s="125" t="str">
        <f>CONCATENATE(AP1056,L1056,H1056)</f>
        <v>Def TaxNN2Environmental</v>
      </c>
      <c r="AS1056" s="125" t="str">
        <f>CONCATENATE(L1056,H1056,J1056)</f>
        <v>N2Environmental</v>
      </c>
    </row>
    <row r="1057" spans="1:45" s="125" customFormat="1" ht="25.5" customHeight="1">
      <c r="A1057" s="216" t="s">
        <v>1996</v>
      </c>
      <c r="B1057" s="217" t="str">
        <f t="shared" si="467"/>
        <v>Def Tax190502NCR/Non NCR-b0</v>
      </c>
      <c r="C1057" s="186">
        <v>190502</v>
      </c>
      <c r="D1057" s="201" t="s">
        <v>2355</v>
      </c>
      <c r="E1057" s="162">
        <v>0</v>
      </c>
      <c r="F1057" s="169" t="s">
        <v>1958</v>
      </c>
      <c r="G1057" s="117" t="s">
        <v>1376</v>
      </c>
      <c r="H1057" s="118" t="s">
        <v>967</v>
      </c>
      <c r="I1057" s="119"/>
      <c r="J1057" s="120"/>
      <c r="K1057" s="120" t="str">
        <f t="shared" si="457"/>
        <v/>
      </c>
      <c r="L1057" s="170" t="s">
        <v>1895</v>
      </c>
      <c r="M1057" s="122" t="str">
        <f t="shared" si="456"/>
        <v>R</v>
      </c>
      <c r="N1057" s="116" t="str">
        <f>IF($L1057&lt;&gt;"",VLOOKUP($L1057,Categories!$E:$G,2,FALSE),IF($F1057&lt;&gt;"","NO CAT",""))</f>
        <v>Rate Base</v>
      </c>
      <c r="O1057" s="116" t="str">
        <f>IF($L1057&lt;&gt;"",VLOOKUP($L1057,Categories!$E:$G,3,FALSE),IF($F1057&lt;&gt;"","NO CAT",""))</f>
        <v>Deferred Income Taxes</v>
      </c>
      <c r="P1057" s="170" t="s">
        <v>1184</v>
      </c>
      <c r="Q1057" s="123" t="s">
        <v>1178</v>
      </c>
      <c r="R1057" s="124">
        <v>0</v>
      </c>
      <c r="S1057" s="124">
        <v>1</v>
      </c>
      <c r="T1057" s="124">
        <v>0</v>
      </c>
      <c r="U1057" s="121">
        <f t="shared" si="459"/>
        <v>0</v>
      </c>
      <c r="V1057" s="121">
        <f t="shared" si="460"/>
        <v>-44.600610000000003</v>
      </c>
      <c r="W1057" s="121">
        <f t="shared" si="461"/>
        <v>0</v>
      </c>
      <c r="X1057" s="121">
        <f t="shared" si="465"/>
        <v>-44.600610000000003</v>
      </c>
      <c r="Y1057" s="121">
        <f t="shared" si="462"/>
        <v>0</v>
      </c>
      <c r="Z1057" s="121">
        <f t="shared" si="463"/>
        <v>-44.600610000000003</v>
      </c>
      <c r="AA1057" s="121">
        <f t="shared" si="464"/>
        <v>0</v>
      </c>
      <c r="AB1057" s="121">
        <f t="shared" si="466"/>
        <v>-44.600609999999996</v>
      </c>
      <c r="AC1057" s="121">
        <v>-44.600609999999996</v>
      </c>
      <c r="AD1057" s="121">
        <v>-44.600609999999996</v>
      </c>
      <c r="AE1057" s="121">
        <v>-44.600609999999996</v>
      </c>
      <c r="AF1057" s="121">
        <v>-44.600609999999996</v>
      </c>
      <c r="AG1057" s="121">
        <v>-44.600609999999996</v>
      </c>
      <c r="AH1057" s="121">
        <v>-44.600609999999996</v>
      </c>
      <c r="AI1057" s="121">
        <v>-44.600609999999996</v>
      </c>
      <c r="AJ1057" s="121">
        <v>-44.600609999999996</v>
      </c>
      <c r="AK1057" s="121">
        <v>-44.600609999999996</v>
      </c>
      <c r="AL1057" s="121">
        <v>-44.600609999999996</v>
      </c>
      <c r="AM1057" s="121">
        <v>-44.600609999999996</v>
      </c>
      <c r="AN1057" s="121">
        <v>-44.600609999999996</v>
      </c>
      <c r="AO1057" s="121">
        <v>-44.600609999999996</v>
      </c>
      <c r="AP1057" s="125" t="str">
        <f>CONCATENATE(A1057,M1057)</f>
        <v>Def TaxR</v>
      </c>
      <c r="AQ1057" s="125" t="str">
        <f>CONCATENATE(AP1057,L1057,H1057)</f>
        <v>Def TaxRR11Excess DIT &gt; 7.1% (NYS)</v>
      </c>
      <c r="AS1057" s="125" t="str">
        <f>CONCATENATE(L1057,H1057,J1057)</f>
        <v>R11Excess DIT &gt; 7.1% (NYS)</v>
      </c>
    </row>
    <row r="1058" spans="1:45" s="125" customFormat="1" ht="25.5" customHeight="1">
      <c r="A1058" s="216" t="s">
        <v>1996</v>
      </c>
      <c r="B1058" s="217" t="str">
        <f t="shared" si="467"/>
        <v>Def Tax190502NCR/Non NCR-c0</v>
      </c>
      <c r="C1058" s="186">
        <v>190502</v>
      </c>
      <c r="D1058" s="201" t="s">
        <v>2356</v>
      </c>
      <c r="E1058" s="162">
        <v>0</v>
      </c>
      <c r="F1058" s="169" t="s">
        <v>1958</v>
      </c>
      <c r="G1058" s="117" t="s">
        <v>2255</v>
      </c>
      <c r="H1058" s="118" t="s">
        <v>967</v>
      </c>
      <c r="I1058" s="119"/>
      <c r="J1058" s="120"/>
      <c r="K1058" s="120" t="str">
        <f t="shared" si="457"/>
        <v/>
      </c>
      <c r="L1058" s="170" t="s">
        <v>1895</v>
      </c>
      <c r="M1058" s="122" t="str">
        <f t="shared" si="456"/>
        <v>R</v>
      </c>
      <c r="N1058" s="116" t="str">
        <f>IF($L1058&lt;&gt;"",VLOOKUP($L1058,Categories!$E:$G,2,FALSE),IF($F1058&lt;&gt;"","NO CAT",""))</f>
        <v>Rate Base</v>
      </c>
      <c r="O1058" s="116" t="str">
        <f>IF($L1058&lt;&gt;"",VLOOKUP($L1058,Categories!$E:$G,3,FALSE),IF($F1058&lt;&gt;"","NO CAT",""))</f>
        <v>Deferred Income Taxes</v>
      </c>
      <c r="P1058" s="170" t="s">
        <v>1184</v>
      </c>
      <c r="Q1058" s="123" t="s">
        <v>1178</v>
      </c>
      <c r="R1058" s="124">
        <v>0</v>
      </c>
      <c r="S1058" s="124">
        <v>1</v>
      </c>
      <c r="T1058" s="124">
        <v>0</v>
      </c>
      <c r="U1058" s="121">
        <f t="shared" si="459"/>
        <v>0</v>
      </c>
      <c r="V1058" s="121">
        <f t="shared" si="460"/>
        <v>-4.7399999999999998E-2</v>
      </c>
      <c r="W1058" s="121">
        <f t="shared" si="461"/>
        <v>0</v>
      </c>
      <c r="X1058" s="121">
        <f t="shared" si="465"/>
        <v>-4.7399999999999998E-2</v>
      </c>
      <c r="Y1058" s="121">
        <f t="shared" si="462"/>
        <v>0</v>
      </c>
      <c r="Z1058" s="121">
        <f t="shared" si="463"/>
        <v>-4.7399999999999998E-2</v>
      </c>
      <c r="AA1058" s="121">
        <f t="shared" si="464"/>
        <v>0</v>
      </c>
      <c r="AB1058" s="121">
        <f t="shared" si="466"/>
        <v>-4.7399999999999998E-2</v>
      </c>
      <c r="AC1058" s="121">
        <v>-4.7399999999999998E-2</v>
      </c>
      <c r="AD1058" s="121">
        <v>-4.7399999999999998E-2</v>
      </c>
      <c r="AE1058" s="121">
        <v>-4.7399999999999998E-2</v>
      </c>
      <c r="AF1058" s="121">
        <v>-4.7399999999999998E-2</v>
      </c>
      <c r="AG1058" s="121">
        <v>-4.7399999999999998E-2</v>
      </c>
      <c r="AH1058" s="121">
        <v>-4.7399999999999998E-2</v>
      </c>
      <c r="AI1058" s="121">
        <v>-4.7399999999999998E-2</v>
      </c>
      <c r="AJ1058" s="121">
        <v>-4.7399999999999998E-2</v>
      </c>
      <c r="AK1058" s="121">
        <v>-4.7399999999999998E-2</v>
      </c>
      <c r="AL1058" s="121">
        <v>-4.7399999999999998E-2</v>
      </c>
      <c r="AM1058" s="121">
        <v>-4.7399999999999998E-2</v>
      </c>
      <c r="AN1058" s="121">
        <v>-4.7399999999999998E-2</v>
      </c>
      <c r="AO1058" s="121">
        <v>-4.7399999999999998E-2</v>
      </c>
      <c r="AP1058" s="125" t="str">
        <f>CONCATENATE(A1058,M1058)</f>
        <v>Def TaxR</v>
      </c>
      <c r="AQ1058" s="125" t="str">
        <f>CONCATENATE(AP1058,L1058,H1058)</f>
        <v>Def TaxRR11Excess DIT &gt; 7.1% (NYS)</v>
      </c>
      <c r="AS1058" s="125" t="str">
        <f>CONCATENATE(L1058,H1058,J1058)</f>
        <v>R11Excess DIT &gt; 7.1% (NYS)</v>
      </c>
    </row>
    <row r="1059" spans="1:45" s="125" customFormat="1" ht="25.5" customHeight="1">
      <c r="A1059" s="216" t="s">
        <v>1996</v>
      </c>
      <c r="B1059" s="217" t="str">
        <f t="shared" si="467"/>
        <v>Def Tax190502NCR/Non NCR-d0</v>
      </c>
      <c r="C1059" s="186">
        <v>190502</v>
      </c>
      <c r="D1059" s="201" t="s">
        <v>2357</v>
      </c>
      <c r="E1059" s="162">
        <v>0</v>
      </c>
      <c r="F1059" s="169" t="s">
        <v>1958</v>
      </c>
      <c r="G1059" s="117" t="s">
        <v>1377</v>
      </c>
      <c r="H1059" s="118" t="s">
        <v>967</v>
      </c>
      <c r="I1059" s="119"/>
      <c r="J1059" s="120"/>
      <c r="K1059" s="120" t="str">
        <f t="shared" si="457"/>
        <v/>
      </c>
      <c r="L1059" s="170" t="s">
        <v>1895</v>
      </c>
      <c r="M1059" s="122" t="str">
        <f t="shared" si="456"/>
        <v>R</v>
      </c>
      <c r="N1059" s="116" t="str">
        <f>IF($L1059&lt;&gt;"",VLOOKUP($L1059,Categories!$E:$G,2,FALSE),IF($F1059&lt;&gt;"","NO CAT",""))</f>
        <v>Rate Base</v>
      </c>
      <c r="O1059" s="116" t="str">
        <f>IF($L1059&lt;&gt;"",VLOOKUP($L1059,Categories!$E:$G,3,FALSE),IF($F1059&lt;&gt;"","NO CAT",""))</f>
        <v>Deferred Income Taxes</v>
      </c>
      <c r="P1059" s="170" t="s">
        <v>1184</v>
      </c>
      <c r="Q1059" s="123" t="s">
        <v>1178</v>
      </c>
      <c r="R1059" s="124">
        <v>0</v>
      </c>
      <c r="S1059" s="124">
        <v>1</v>
      </c>
      <c r="T1059" s="124">
        <v>0</v>
      </c>
      <c r="U1059" s="121">
        <f t="shared" si="459"/>
        <v>0</v>
      </c>
      <c r="V1059" s="121">
        <f t="shared" si="460"/>
        <v>105.41839</v>
      </c>
      <c r="W1059" s="121">
        <f t="shared" si="461"/>
        <v>0</v>
      </c>
      <c r="X1059" s="121">
        <f t="shared" si="465"/>
        <v>105.41839</v>
      </c>
      <c r="Y1059" s="121">
        <f t="shared" si="462"/>
        <v>0</v>
      </c>
      <c r="Z1059" s="121">
        <f t="shared" si="463"/>
        <v>105.41839</v>
      </c>
      <c r="AA1059" s="121">
        <f t="shared" si="464"/>
        <v>0</v>
      </c>
      <c r="AB1059" s="121">
        <f t="shared" si="466"/>
        <v>105.41839</v>
      </c>
      <c r="AC1059" s="121">
        <v>105.41839</v>
      </c>
      <c r="AD1059" s="121">
        <v>105.41839</v>
      </c>
      <c r="AE1059" s="121">
        <v>105.41839</v>
      </c>
      <c r="AF1059" s="121">
        <v>105.41839</v>
      </c>
      <c r="AG1059" s="121">
        <v>105.41839</v>
      </c>
      <c r="AH1059" s="121">
        <v>105.41839</v>
      </c>
      <c r="AI1059" s="121">
        <v>105.41839</v>
      </c>
      <c r="AJ1059" s="121">
        <v>105.41839</v>
      </c>
      <c r="AK1059" s="121">
        <v>105.41839</v>
      </c>
      <c r="AL1059" s="121">
        <v>105.41839</v>
      </c>
      <c r="AM1059" s="121">
        <v>105.41839</v>
      </c>
      <c r="AN1059" s="121">
        <v>105.41839</v>
      </c>
      <c r="AO1059" s="121">
        <v>105.41839</v>
      </c>
      <c r="AP1059" s="125" t="str">
        <f>CONCATENATE(A1059,M1059)</f>
        <v>Def TaxR</v>
      </c>
      <c r="AQ1059" s="125" t="str">
        <f>CONCATENATE(AP1059,L1059,H1059)</f>
        <v>Def TaxRR11Excess DIT &gt; 7.1% (NYS)</v>
      </c>
      <c r="AS1059" s="125" t="str">
        <f>CONCATENATE(L1059,H1059,J1059)</f>
        <v>R11Excess DIT &gt; 7.1% (NYS)</v>
      </c>
    </row>
    <row r="1060" spans="1:45" s="125" customFormat="1" ht="25.5" customHeight="1">
      <c r="A1060" s="216" t="s">
        <v>1996</v>
      </c>
      <c r="B1060" s="217" t="str">
        <f t="shared" si="467"/>
        <v>Def Tax190502NCR/Non NCR-e0</v>
      </c>
      <c r="C1060" s="186">
        <v>190502</v>
      </c>
      <c r="D1060" s="201" t="s">
        <v>2358</v>
      </c>
      <c r="E1060" s="162">
        <v>0</v>
      </c>
      <c r="F1060" s="169" t="s">
        <v>1958</v>
      </c>
      <c r="G1060" s="117" t="s">
        <v>2989</v>
      </c>
      <c r="H1060" s="118" t="s">
        <v>967</v>
      </c>
      <c r="I1060" s="119"/>
      <c r="J1060" s="120"/>
      <c r="K1060" s="120" t="str">
        <f t="shared" si="457"/>
        <v/>
      </c>
      <c r="L1060" s="170" t="s">
        <v>1895</v>
      </c>
      <c r="M1060" s="122" t="str">
        <f t="shared" si="456"/>
        <v>R</v>
      </c>
      <c r="N1060" s="116" t="str">
        <f>IF($L1060&lt;&gt;"",VLOOKUP($L1060,Categories!$E:$G,2,FALSE),IF($F1060&lt;&gt;"","NO CAT",""))</f>
        <v>Rate Base</v>
      </c>
      <c r="O1060" s="116" t="str">
        <f>IF($L1060&lt;&gt;"",VLOOKUP($L1060,Categories!$E:$G,3,FALSE),IF($F1060&lt;&gt;"","NO CAT",""))</f>
        <v>Deferred Income Taxes</v>
      </c>
      <c r="P1060" s="170" t="s">
        <v>1184</v>
      </c>
      <c r="Q1060" s="123" t="s">
        <v>1178</v>
      </c>
      <c r="R1060" s="124">
        <v>0</v>
      </c>
      <c r="S1060" s="124">
        <v>1</v>
      </c>
      <c r="T1060" s="124">
        <v>0</v>
      </c>
      <c r="U1060" s="121">
        <f t="shared" si="459"/>
        <v>0</v>
      </c>
      <c r="V1060" s="121">
        <f t="shared" si="460"/>
        <v>52.34169</v>
      </c>
      <c r="W1060" s="121">
        <f t="shared" si="461"/>
        <v>0</v>
      </c>
      <c r="X1060" s="121">
        <f t="shared" si="465"/>
        <v>52.34169</v>
      </c>
      <c r="Y1060" s="121">
        <f t="shared" si="462"/>
        <v>0</v>
      </c>
      <c r="Z1060" s="121">
        <f t="shared" si="463"/>
        <v>52.34169</v>
      </c>
      <c r="AA1060" s="121">
        <f t="shared" si="464"/>
        <v>0</v>
      </c>
      <c r="AB1060" s="121">
        <f t="shared" si="466"/>
        <v>52.34169</v>
      </c>
      <c r="AC1060" s="121">
        <v>52.34169</v>
      </c>
      <c r="AD1060" s="121">
        <v>52.34169</v>
      </c>
      <c r="AE1060" s="121">
        <v>52.34169</v>
      </c>
      <c r="AF1060" s="121">
        <v>52.34169</v>
      </c>
      <c r="AG1060" s="121">
        <v>52.34169</v>
      </c>
      <c r="AH1060" s="121">
        <v>52.34169</v>
      </c>
      <c r="AI1060" s="121">
        <v>52.34169</v>
      </c>
      <c r="AJ1060" s="121">
        <v>52.34169</v>
      </c>
      <c r="AK1060" s="121">
        <v>52.34169</v>
      </c>
      <c r="AL1060" s="121">
        <v>52.34169</v>
      </c>
      <c r="AM1060" s="121">
        <v>52.34169</v>
      </c>
      <c r="AN1060" s="121">
        <v>52.34169</v>
      </c>
      <c r="AO1060" s="121">
        <v>52.34169</v>
      </c>
      <c r="AP1060" s="125" t="str">
        <f>CONCATENATE(A1060,M1060)</f>
        <v>Def TaxR</v>
      </c>
      <c r="AQ1060" s="125" t="str">
        <f>CONCATENATE(AP1060,L1060,H1060)</f>
        <v>Def TaxRR11Excess DIT &gt; 7.1% (NYS)</v>
      </c>
      <c r="AS1060" s="125" t="str">
        <f>CONCATENATE(L1060,H1060,J1060)</f>
        <v>R11Excess DIT &gt; 7.1% (NYS)</v>
      </c>
    </row>
    <row r="1061" spans="1:45" s="125" customFormat="1" ht="25.5" customHeight="1">
      <c r="A1061" s="216" t="s">
        <v>1996</v>
      </c>
      <c r="B1061" s="217" t="str">
        <f t="shared" si="467"/>
        <v>Def Tax190502NCR/Non NCR-f0</v>
      </c>
      <c r="C1061" s="186">
        <v>190502</v>
      </c>
      <c r="D1061" s="201" t="s">
        <v>2359</v>
      </c>
      <c r="E1061" s="162">
        <v>0</v>
      </c>
      <c r="F1061" s="169" t="s">
        <v>1958</v>
      </c>
      <c r="G1061" s="117" t="s">
        <v>1378</v>
      </c>
      <c r="H1061" s="118" t="s">
        <v>967</v>
      </c>
      <c r="I1061" s="119"/>
      <c r="J1061" s="120"/>
      <c r="K1061" s="120" t="str">
        <f t="shared" si="457"/>
        <v/>
      </c>
      <c r="L1061" s="170" t="s">
        <v>1895</v>
      </c>
      <c r="M1061" s="122" t="str">
        <f t="shared" si="456"/>
        <v>R</v>
      </c>
      <c r="N1061" s="116" t="str">
        <f>IF($L1061&lt;&gt;"",VLOOKUP($L1061,Categories!$E:$G,2,FALSE),IF($F1061&lt;&gt;"","NO CAT",""))</f>
        <v>Rate Base</v>
      </c>
      <c r="O1061" s="116" t="str">
        <f>IF($L1061&lt;&gt;"",VLOOKUP($L1061,Categories!$E:$G,3,FALSE),IF($F1061&lt;&gt;"","NO CAT",""))</f>
        <v>Deferred Income Taxes</v>
      </c>
      <c r="P1061" s="170" t="s">
        <v>1184</v>
      </c>
      <c r="Q1061" s="123" t="s">
        <v>1178</v>
      </c>
      <c r="R1061" s="124">
        <v>0</v>
      </c>
      <c r="S1061" s="124">
        <v>1</v>
      </c>
      <c r="T1061" s="124">
        <v>0</v>
      </c>
      <c r="U1061" s="121">
        <f t="shared" si="459"/>
        <v>0</v>
      </c>
      <c r="V1061" s="121">
        <f t="shared" si="460"/>
        <v>14.49808</v>
      </c>
      <c r="W1061" s="121">
        <f t="shared" si="461"/>
        <v>0</v>
      </c>
      <c r="X1061" s="121">
        <f t="shared" si="465"/>
        <v>14.49808</v>
      </c>
      <c r="Y1061" s="121">
        <f t="shared" si="462"/>
        <v>0</v>
      </c>
      <c r="Z1061" s="121">
        <f t="shared" si="463"/>
        <v>14.49808</v>
      </c>
      <c r="AA1061" s="121">
        <f t="shared" si="464"/>
        <v>0</v>
      </c>
      <c r="AB1061" s="121">
        <f t="shared" si="466"/>
        <v>14.49808</v>
      </c>
      <c r="AC1061" s="121">
        <v>14.49808</v>
      </c>
      <c r="AD1061" s="121">
        <v>14.49808</v>
      </c>
      <c r="AE1061" s="121">
        <v>14.49808</v>
      </c>
      <c r="AF1061" s="121">
        <v>14.49808</v>
      </c>
      <c r="AG1061" s="121">
        <v>14.49808</v>
      </c>
      <c r="AH1061" s="121">
        <v>14.49808</v>
      </c>
      <c r="AI1061" s="121">
        <v>14.49808</v>
      </c>
      <c r="AJ1061" s="121">
        <v>14.49808</v>
      </c>
      <c r="AK1061" s="121">
        <v>14.49808</v>
      </c>
      <c r="AL1061" s="121">
        <v>14.49808</v>
      </c>
      <c r="AM1061" s="121">
        <v>14.49808</v>
      </c>
      <c r="AN1061" s="121">
        <v>14.49808</v>
      </c>
      <c r="AO1061" s="121">
        <v>14.49808</v>
      </c>
      <c r="AP1061" s="125" t="str">
        <f>CONCATENATE(A1061,M1061)</f>
        <v>Def TaxR</v>
      </c>
      <c r="AQ1061" s="125" t="str">
        <f>CONCATENATE(AP1061,L1061,H1061)</f>
        <v>Def TaxRR11Excess DIT &gt; 7.1% (NYS)</v>
      </c>
      <c r="AS1061" s="125" t="str">
        <f>CONCATENATE(L1061,H1061,J1061)</f>
        <v>R11Excess DIT &gt; 7.1% (NYS)</v>
      </c>
    </row>
    <row r="1062" spans="1:45" s="125" customFormat="1" ht="25.5" customHeight="1">
      <c r="A1062" s="216" t="s">
        <v>1996</v>
      </c>
      <c r="B1062" s="217" t="str">
        <f t="shared" si="467"/>
        <v>Def Tax190502NCR/Non NCR-g0</v>
      </c>
      <c r="C1062" s="186">
        <v>190502</v>
      </c>
      <c r="D1062" s="201" t="s">
        <v>2360</v>
      </c>
      <c r="E1062" s="162">
        <v>0</v>
      </c>
      <c r="F1062" s="169" t="s">
        <v>1958</v>
      </c>
      <c r="G1062" s="117" t="s">
        <v>369</v>
      </c>
      <c r="H1062" s="118" t="s">
        <v>967</v>
      </c>
      <c r="I1062" s="119"/>
      <c r="J1062" s="120"/>
      <c r="K1062" s="120" t="str">
        <f t="shared" si="457"/>
        <v/>
      </c>
      <c r="L1062" s="170" t="s">
        <v>1895</v>
      </c>
      <c r="M1062" s="122" t="str">
        <f t="shared" si="456"/>
        <v>R</v>
      </c>
      <c r="N1062" s="116" t="str">
        <f>IF($L1062&lt;&gt;"",VLOOKUP($L1062,Categories!$E:$G,2,FALSE),IF($F1062&lt;&gt;"","NO CAT",""))</f>
        <v>Rate Base</v>
      </c>
      <c r="O1062" s="116" t="str">
        <f>IF($L1062&lt;&gt;"",VLOOKUP($L1062,Categories!$E:$G,3,FALSE),IF($F1062&lt;&gt;"","NO CAT",""))</f>
        <v>Deferred Income Taxes</v>
      </c>
      <c r="P1062" s="170" t="s">
        <v>1184</v>
      </c>
      <c r="Q1062" s="123" t="s">
        <v>1178</v>
      </c>
      <c r="R1062" s="124">
        <v>0</v>
      </c>
      <c r="S1062" s="124">
        <v>1</v>
      </c>
      <c r="T1062" s="124">
        <v>0</v>
      </c>
      <c r="U1062" s="121">
        <f t="shared" si="459"/>
        <v>0</v>
      </c>
      <c r="V1062" s="121">
        <f t="shared" si="460"/>
        <v>76.512690000000006</v>
      </c>
      <c r="W1062" s="121">
        <f t="shared" si="461"/>
        <v>0</v>
      </c>
      <c r="X1062" s="121">
        <f t="shared" si="465"/>
        <v>76.512690000000006</v>
      </c>
      <c r="Y1062" s="121">
        <f t="shared" si="462"/>
        <v>0</v>
      </c>
      <c r="Z1062" s="121">
        <f t="shared" si="463"/>
        <v>76.512690000000006</v>
      </c>
      <c r="AA1062" s="121">
        <f t="shared" si="464"/>
        <v>0</v>
      </c>
      <c r="AB1062" s="121">
        <f t="shared" si="466"/>
        <v>76.512690000000006</v>
      </c>
      <c r="AC1062" s="121">
        <v>76.512690000000006</v>
      </c>
      <c r="AD1062" s="121">
        <v>76.512690000000006</v>
      </c>
      <c r="AE1062" s="121">
        <v>76.512690000000006</v>
      </c>
      <c r="AF1062" s="121">
        <v>76.512690000000006</v>
      </c>
      <c r="AG1062" s="121">
        <v>76.512690000000006</v>
      </c>
      <c r="AH1062" s="121">
        <v>76.512690000000006</v>
      </c>
      <c r="AI1062" s="121">
        <v>76.512690000000006</v>
      </c>
      <c r="AJ1062" s="121">
        <v>76.512690000000006</v>
      </c>
      <c r="AK1062" s="121">
        <v>76.512690000000006</v>
      </c>
      <c r="AL1062" s="121">
        <v>76.512690000000006</v>
      </c>
      <c r="AM1062" s="121">
        <v>76.512690000000006</v>
      </c>
      <c r="AN1062" s="121">
        <v>76.512690000000006</v>
      </c>
      <c r="AO1062" s="121">
        <v>76.512690000000006</v>
      </c>
      <c r="AP1062" s="125" t="str">
        <f>CONCATENATE(A1062,M1062)</f>
        <v>Def TaxR</v>
      </c>
      <c r="AQ1062" s="125" t="str">
        <f>CONCATENATE(AP1062,L1062,H1062)</f>
        <v>Def TaxRR11Excess DIT &gt; 7.1% (NYS)</v>
      </c>
      <c r="AS1062" s="125" t="str">
        <f>CONCATENATE(L1062,H1062,J1062)</f>
        <v>R11Excess DIT &gt; 7.1% (NYS)</v>
      </c>
    </row>
    <row r="1063" spans="1:45" s="125" customFormat="1" ht="25.5" customHeight="1">
      <c r="A1063" s="216" t="s">
        <v>1996</v>
      </c>
      <c r="B1063" s="217" t="str">
        <f t="shared" si="467"/>
        <v>Def Tax190502NCR/Non NCR-h0</v>
      </c>
      <c r="C1063" s="186">
        <v>190502</v>
      </c>
      <c r="D1063" s="201" t="s">
        <v>2361</v>
      </c>
      <c r="E1063" s="162">
        <v>0</v>
      </c>
      <c r="F1063" s="169" t="s">
        <v>1958</v>
      </c>
      <c r="G1063" s="117" t="s">
        <v>370</v>
      </c>
      <c r="H1063" s="118" t="s">
        <v>967</v>
      </c>
      <c r="I1063" s="119"/>
      <c r="J1063" s="120"/>
      <c r="K1063" s="120" t="str">
        <f t="shared" si="457"/>
        <v/>
      </c>
      <c r="L1063" s="170" t="s">
        <v>1895</v>
      </c>
      <c r="M1063" s="122" t="str">
        <f t="shared" si="456"/>
        <v>R</v>
      </c>
      <c r="N1063" s="116" t="str">
        <f>IF($L1063&lt;&gt;"",VLOOKUP($L1063,Categories!$E:$G,2,FALSE),IF($F1063&lt;&gt;"","NO CAT",""))</f>
        <v>Rate Base</v>
      </c>
      <c r="O1063" s="116" t="str">
        <f>IF($L1063&lt;&gt;"",VLOOKUP($L1063,Categories!$E:$G,3,FALSE),IF($F1063&lt;&gt;"","NO CAT",""))</f>
        <v>Deferred Income Taxes</v>
      </c>
      <c r="P1063" s="170" t="s">
        <v>1184</v>
      </c>
      <c r="Q1063" s="123" t="s">
        <v>1178</v>
      </c>
      <c r="R1063" s="124">
        <v>0</v>
      </c>
      <c r="S1063" s="124">
        <v>1</v>
      </c>
      <c r="T1063" s="124">
        <v>0</v>
      </c>
      <c r="U1063" s="121">
        <f t="shared" si="459"/>
        <v>0</v>
      </c>
      <c r="V1063" s="121">
        <f t="shared" si="460"/>
        <v>-7.2690000000000005E-2</v>
      </c>
      <c r="W1063" s="121">
        <f t="shared" si="461"/>
        <v>0</v>
      </c>
      <c r="X1063" s="121">
        <f t="shared" si="465"/>
        <v>-7.2690000000000005E-2</v>
      </c>
      <c r="Y1063" s="121">
        <f t="shared" si="462"/>
        <v>0</v>
      </c>
      <c r="Z1063" s="121">
        <f t="shared" si="463"/>
        <v>-7.2690000000000005E-2</v>
      </c>
      <c r="AA1063" s="121">
        <f t="shared" si="464"/>
        <v>0</v>
      </c>
      <c r="AB1063" s="121">
        <f t="shared" si="466"/>
        <v>-7.2690000000000005E-2</v>
      </c>
      <c r="AC1063" s="121">
        <v>-7.2690000000000005E-2</v>
      </c>
      <c r="AD1063" s="121">
        <v>-7.2690000000000005E-2</v>
      </c>
      <c r="AE1063" s="121">
        <v>-7.2690000000000005E-2</v>
      </c>
      <c r="AF1063" s="121">
        <v>-7.2690000000000005E-2</v>
      </c>
      <c r="AG1063" s="121">
        <v>-7.2690000000000005E-2</v>
      </c>
      <c r="AH1063" s="121">
        <v>-7.2690000000000005E-2</v>
      </c>
      <c r="AI1063" s="121">
        <v>-7.2690000000000005E-2</v>
      </c>
      <c r="AJ1063" s="121">
        <v>-7.2690000000000005E-2</v>
      </c>
      <c r="AK1063" s="121">
        <v>-7.2690000000000005E-2</v>
      </c>
      <c r="AL1063" s="121">
        <v>-7.2690000000000005E-2</v>
      </c>
      <c r="AM1063" s="121">
        <v>-7.2690000000000005E-2</v>
      </c>
      <c r="AN1063" s="121">
        <v>-7.2690000000000005E-2</v>
      </c>
      <c r="AO1063" s="121">
        <v>-7.2690000000000005E-2</v>
      </c>
      <c r="AP1063" s="125" t="str">
        <f>CONCATENATE(A1063,M1063)</f>
        <v>Def TaxR</v>
      </c>
      <c r="AQ1063" s="125" t="str">
        <f>CONCATENATE(AP1063,L1063,H1063)</f>
        <v>Def TaxRR11Excess DIT &gt; 7.1% (NYS)</v>
      </c>
      <c r="AS1063" s="125" t="str">
        <f>CONCATENATE(L1063,H1063,J1063)</f>
        <v>R11Excess DIT &gt; 7.1% (NYS)</v>
      </c>
    </row>
    <row r="1064" spans="1:45" s="125" customFormat="1" ht="25.5" customHeight="1">
      <c r="A1064" s="216" t="s">
        <v>1996</v>
      </c>
      <c r="B1064" s="217" t="str">
        <f t="shared" si="467"/>
        <v>Def Tax190502NCR/Non NCR-i0</v>
      </c>
      <c r="C1064" s="186">
        <v>190502</v>
      </c>
      <c r="D1064" s="201" t="s">
        <v>2362</v>
      </c>
      <c r="E1064" s="162">
        <v>0</v>
      </c>
      <c r="F1064" s="169" t="s">
        <v>1958</v>
      </c>
      <c r="G1064" s="117" t="s">
        <v>1379</v>
      </c>
      <c r="H1064" s="118" t="s">
        <v>967</v>
      </c>
      <c r="I1064" s="119"/>
      <c r="J1064" s="120"/>
      <c r="K1064" s="120" t="str">
        <f t="shared" si="457"/>
        <v/>
      </c>
      <c r="L1064" s="170" t="s">
        <v>1895</v>
      </c>
      <c r="M1064" s="122" t="str">
        <f t="shared" si="456"/>
        <v>R</v>
      </c>
      <c r="N1064" s="116" t="str">
        <f>IF($L1064&lt;&gt;"",VLOOKUP($L1064,Categories!$E:$G,2,FALSE),IF($F1064&lt;&gt;"","NO CAT",""))</f>
        <v>Rate Base</v>
      </c>
      <c r="O1064" s="116" t="str">
        <f>IF($L1064&lt;&gt;"",VLOOKUP($L1064,Categories!$E:$G,3,FALSE),IF($F1064&lt;&gt;"","NO CAT",""))</f>
        <v>Deferred Income Taxes</v>
      </c>
      <c r="P1064" s="170" t="s">
        <v>1184</v>
      </c>
      <c r="Q1064" s="123" t="s">
        <v>1178</v>
      </c>
      <c r="R1064" s="124">
        <v>0</v>
      </c>
      <c r="S1064" s="124">
        <v>1</v>
      </c>
      <c r="T1064" s="124">
        <v>0</v>
      </c>
      <c r="U1064" s="121">
        <f t="shared" si="459"/>
        <v>0</v>
      </c>
      <c r="V1064" s="121">
        <f t="shared" si="460"/>
        <v>-10.873150000000001</v>
      </c>
      <c r="W1064" s="121">
        <f t="shared" si="461"/>
        <v>0</v>
      </c>
      <c r="X1064" s="121">
        <f t="shared" si="465"/>
        <v>-10.873150000000001</v>
      </c>
      <c r="Y1064" s="121">
        <f t="shared" si="462"/>
        <v>0</v>
      </c>
      <c r="Z1064" s="121">
        <f t="shared" si="463"/>
        <v>-10.873150000000001</v>
      </c>
      <c r="AA1064" s="121">
        <f t="shared" si="464"/>
        <v>0</v>
      </c>
      <c r="AB1064" s="121">
        <f t="shared" si="466"/>
        <v>-10.873149999999999</v>
      </c>
      <c r="AC1064" s="121">
        <v>-10.873149999999999</v>
      </c>
      <c r="AD1064" s="121">
        <v>-10.873149999999999</v>
      </c>
      <c r="AE1064" s="121">
        <v>-10.873149999999999</v>
      </c>
      <c r="AF1064" s="121">
        <v>-10.873149999999999</v>
      </c>
      <c r="AG1064" s="121">
        <v>-10.873149999999999</v>
      </c>
      <c r="AH1064" s="121">
        <v>-10.873149999999999</v>
      </c>
      <c r="AI1064" s="121">
        <v>-10.873149999999999</v>
      </c>
      <c r="AJ1064" s="121">
        <v>-10.873149999999999</v>
      </c>
      <c r="AK1064" s="121">
        <v>-10.873149999999999</v>
      </c>
      <c r="AL1064" s="121">
        <v>-10.873149999999999</v>
      </c>
      <c r="AM1064" s="121">
        <v>-10.873149999999999</v>
      </c>
      <c r="AN1064" s="121">
        <v>-10.873149999999999</v>
      </c>
      <c r="AO1064" s="121">
        <v>-10.873149999999999</v>
      </c>
      <c r="AP1064" s="125" t="str">
        <f>CONCATENATE(A1064,M1064)</f>
        <v>Def TaxR</v>
      </c>
      <c r="AQ1064" s="125" t="str">
        <f>CONCATENATE(AP1064,L1064,H1064)</f>
        <v>Def TaxRR11Excess DIT &gt; 7.1% (NYS)</v>
      </c>
      <c r="AS1064" s="125" t="str">
        <f>CONCATENATE(L1064,H1064,J1064)</f>
        <v>R11Excess DIT &gt; 7.1% (NYS)</v>
      </c>
    </row>
    <row r="1065" spans="1:45" s="125" customFormat="1" ht="25.5" customHeight="1">
      <c r="A1065" s="216" t="s">
        <v>1996</v>
      </c>
      <c r="B1065" s="217" t="str">
        <f t="shared" si="467"/>
        <v>Def Tax190502Multiple: 283.20.43/286.01.23/286.01.24/283.30.67/283.30.63/283.30.64/283.30.53/283.30.54/183.06.00/183.07.00/186.01.03/186.01.04/283.21.95/Loss Re Debt/283.20.42/283.21.96-aBT010096</v>
      </c>
      <c r="C1065" s="186">
        <v>190502</v>
      </c>
      <c r="D1065" s="201" t="s">
        <v>2557</v>
      </c>
      <c r="E1065" s="162" t="s">
        <v>2990</v>
      </c>
      <c r="F1065" s="169" t="s">
        <v>1958</v>
      </c>
      <c r="G1065" s="117" t="s">
        <v>1380</v>
      </c>
      <c r="H1065" s="118" t="s">
        <v>45</v>
      </c>
      <c r="I1065" s="119"/>
      <c r="J1065" s="120"/>
      <c r="K1065" s="120" t="str">
        <f t="shared" si="457"/>
        <v/>
      </c>
      <c r="L1065" s="170" t="s">
        <v>1895</v>
      </c>
      <c r="M1065" s="122" t="str">
        <f t="shared" si="456"/>
        <v>R</v>
      </c>
      <c r="N1065" s="116" t="str">
        <f>IF($L1065&lt;&gt;"",VLOOKUP($L1065,Categories!$E:$G,2,FALSE),IF($F1065&lt;&gt;"","NO CAT",""))</f>
        <v>Rate Base</v>
      </c>
      <c r="O1065" s="116" t="str">
        <f>IF($L1065&lt;&gt;"",VLOOKUP($L1065,Categories!$E:$G,3,FALSE),IF($F1065&lt;&gt;"","NO CAT",""))</f>
        <v>Deferred Income Taxes</v>
      </c>
      <c r="P1065" s="170" t="s">
        <v>1188</v>
      </c>
      <c r="Q1065" s="123" t="s">
        <v>1843</v>
      </c>
      <c r="R1065" s="124">
        <v>0.76071990262269951</v>
      </c>
      <c r="S1065" s="124">
        <v>0.23928009737730072</v>
      </c>
      <c r="T1065" s="124">
        <v>0</v>
      </c>
      <c r="U1065" s="121">
        <f t="shared" si="459"/>
        <v>4622.2589310918502</v>
      </c>
      <c r="V1065" s="121">
        <f t="shared" si="460"/>
        <v>1453.9051276581499</v>
      </c>
      <c r="W1065" s="121">
        <f t="shared" si="461"/>
        <v>0</v>
      </c>
      <c r="X1065" s="121">
        <f t="shared" si="465"/>
        <v>6076.1640587499996</v>
      </c>
      <c r="Y1065" s="121">
        <f t="shared" si="462"/>
        <v>4656.4270544361998</v>
      </c>
      <c r="Z1065" s="121">
        <f t="shared" si="463"/>
        <v>1464.6525155638101</v>
      </c>
      <c r="AA1065" s="121">
        <f t="shared" si="464"/>
        <v>0</v>
      </c>
      <c r="AB1065" s="121">
        <f t="shared" si="466"/>
        <v>6121.0795700000053</v>
      </c>
      <c r="AC1065" s="121">
        <v>6038.3590200000035</v>
      </c>
      <c r="AD1065" s="121">
        <v>6044.4623499999998</v>
      </c>
      <c r="AE1065" s="121">
        <v>6050.5656700000036</v>
      </c>
      <c r="AF1065" s="121">
        <v>6056.6690000000035</v>
      </c>
      <c r="AG1065" s="121">
        <v>6062.7723300000034</v>
      </c>
      <c r="AH1065" s="121">
        <v>6068.87565</v>
      </c>
      <c r="AI1065" s="161">
        <v>6074.9789800000044</v>
      </c>
      <c r="AJ1065" s="161">
        <v>6081.0823100000043</v>
      </c>
      <c r="AK1065" s="161">
        <v>6087.1856300000045</v>
      </c>
      <c r="AL1065" s="161">
        <v>6093.2889600000044</v>
      </c>
      <c r="AM1065" s="161">
        <v>6099.3922800000046</v>
      </c>
      <c r="AN1065" s="161">
        <v>6114.9762500000043</v>
      </c>
      <c r="AO1065" s="161">
        <v>6121.0795700000053</v>
      </c>
      <c r="AP1065" s="125" t="str">
        <f>CONCATENATE(A1065,M1065)</f>
        <v>Def TaxR</v>
      </c>
      <c r="AQ1065" s="125" t="str">
        <f>CONCATENATE(AP1065,L1065,H1065)</f>
        <v>Def TaxRR11Gain / Loss on Reacquired Debt</v>
      </c>
      <c r="AS1065" s="125" t="str">
        <f>CONCATENATE(L1065,H1065,J1065)</f>
        <v>R11Gain / Loss on Reacquired Debt</v>
      </c>
    </row>
    <row r="1066" spans="1:45" s="125" customFormat="1" ht="25.5" customHeight="1">
      <c r="A1066" s="216" t="s">
        <v>1996</v>
      </c>
      <c r="B1066" s="217" t="str">
        <f t="shared" si="467"/>
        <v>Def Tax190502Multiple: 283.20.43/286.01.23/286.01.24/283.30.67/283.30.63/283.30.64/283.30.53/283.30.54/183.06.00/183.07.00/186.01.03/186.01.04/283.21.95/Loss Re Debt/283.20.42/283.21.96-bBT010096</v>
      </c>
      <c r="C1066" s="186">
        <v>190502</v>
      </c>
      <c r="D1066" s="201" t="s">
        <v>2558</v>
      </c>
      <c r="E1066" s="162" t="s">
        <v>2990</v>
      </c>
      <c r="F1066" s="169" t="s">
        <v>1958</v>
      </c>
      <c r="G1066" s="117" t="s">
        <v>191</v>
      </c>
      <c r="H1066" s="118" t="s">
        <v>45</v>
      </c>
      <c r="I1066" s="119"/>
      <c r="J1066" s="120"/>
      <c r="K1066" s="120" t="str">
        <f>IF(L1066="N3","SFAS-109","")</f>
        <v/>
      </c>
      <c r="L1066" s="170" t="s">
        <v>1895</v>
      </c>
      <c r="M1066" s="122" t="str">
        <f t="shared" si="456"/>
        <v>R</v>
      </c>
      <c r="N1066" s="116" t="str">
        <f>IF($L1066&lt;&gt;"",VLOOKUP($L1066,Categories!$E:$G,2,FALSE),IF($F1066&lt;&gt;"","NO CAT",""))</f>
        <v>Rate Base</v>
      </c>
      <c r="O1066" s="116" t="str">
        <f>IF($L1066&lt;&gt;"",VLOOKUP($L1066,Categories!$E:$G,3,FALSE),IF($F1066&lt;&gt;"","NO CAT",""))</f>
        <v>Deferred Income Taxes</v>
      </c>
      <c r="P1066" s="170" t="s">
        <v>1188</v>
      </c>
      <c r="Q1066" s="123" t="s">
        <v>1843</v>
      </c>
      <c r="R1066" s="124">
        <v>0.76071990262269951</v>
      </c>
      <c r="S1066" s="124">
        <v>0.23928009737730072</v>
      </c>
      <c r="T1066" s="124">
        <v>0</v>
      </c>
      <c r="U1066" s="121">
        <f t="shared" si="459"/>
        <v>-144.49928371251301</v>
      </c>
      <c r="V1066" s="121">
        <f t="shared" si="460"/>
        <v>-45.451423787487201</v>
      </c>
      <c r="W1066" s="121">
        <f t="shared" si="461"/>
        <v>0</v>
      </c>
      <c r="X1066" s="121">
        <f t="shared" si="465"/>
        <v>-189.95070749999999</v>
      </c>
      <c r="Y1066" s="121">
        <f t="shared" si="462"/>
        <v>-146.92522138377601</v>
      </c>
      <c r="Z1066" s="121">
        <f t="shared" si="463"/>
        <v>-46.214488616223598</v>
      </c>
      <c r="AA1066" s="121">
        <f t="shared" si="464"/>
        <v>0</v>
      </c>
      <c r="AB1066" s="121">
        <f t="shared" si="466"/>
        <v>-193.13970999999987</v>
      </c>
      <c r="AC1066" s="121">
        <v>-187.26654999999997</v>
      </c>
      <c r="AD1066" s="121">
        <v>-187.69989000000001</v>
      </c>
      <c r="AE1066" s="121">
        <v>-188.13321999999994</v>
      </c>
      <c r="AF1066" s="121">
        <v>-188.56655999999995</v>
      </c>
      <c r="AG1066" s="121">
        <v>-188.99988999999994</v>
      </c>
      <c r="AH1066" s="121">
        <v>-189.43323000000001</v>
      </c>
      <c r="AI1066" s="161">
        <v>-189.86656999999991</v>
      </c>
      <c r="AJ1066" s="161">
        <v>-190.29989999999989</v>
      </c>
      <c r="AK1066" s="161">
        <v>-190.73323999999991</v>
      </c>
      <c r="AL1066" s="161">
        <v>-191.1665799999999</v>
      </c>
      <c r="AM1066" s="161">
        <v>-191.59990999999988</v>
      </c>
      <c r="AN1066" s="161">
        <v>-192.70636999999988</v>
      </c>
      <c r="AO1066" s="161">
        <v>-193.13970999999987</v>
      </c>
      <c r="AP1066" s="125" t="str">
        <f>CONCATENATE(A1066,M1066)</f>
        <v>Def TaxR</v>
      </c>
      <c r="AQ1066" s="125" t="str">
        <f>CONCATENATE(AP1066,L1066,H1066)</f>
        <v>Def TaxRR11Gain / Loss on Reacquired Debt</v>
      </c>
      <c r="AS1066" s="125" t="str">
        <f>CONCATENATE(L1066,H1066,J1066)</f>
        <v>R11Gain / Loss on Reacquired Debt</v>
      </c>
    </row>
    <row r="1067" spans="1:45" s="125" customFormat="1" ht="25.5" customHeight="1">
      <c r="A1067" s="216" t="s">
        <v>1996</v>
      </c>
      <c r="B1067" s="217" t="str">
        <f t="shared" si="467"/>
        <v>Def Tax190502NCR Gas PenBG030167</v>
      </c>
      <c r="C1067" s="186">
        <v>190502</v>
      </c>
      <c r="D1067" s="201" t="s">
        <v>1444</v>
      </c>
      <c r="E1067" s="162" t="s">
        <v>2779</v>
      </c>
      <c r="F1067" s="169" t="s">
        <v>1958</v>
      </c>
      <c r="G1067" s="117" t="s">
        <v>1281</v>
      </c>
      <c r="H1067" s="118" t="s">
        <v>1553</v>
      </c>
      <c r="I1067" s="119"/>
      <c r="J1067" s="231" t="s">
        <v>105</v>
      </c>
      <c r="K1067" s="120" t="str">
        <f t="shared" si="457"/>
        <v/>
      </c>
      <c r="L1067" s="170" t="s">
        <v>2821</v>
      </c>
      <c r="M1067" s="122" t="str">
        <f t="shared" si="456"/>
        <v>N</v>
      </c>
      <c r="N1067" s="116" t="str">
        <f>IF($L1067&lt;&gt;"",VLOOKUP($L1067,Categories!$E:$G,2,FALSE),IF($F1067&lt;&gt;"","NO CAT",""))</f>
        <v>Not in Rate Base</v>
      </c>
      <c r="O1067" s="116" t="str">
        <f>IF($L1067&lt;&gt;"",VLOOKUP($L1067,Categories!$E:$G,3,FALSE),IF($F1067&lt;&gt;"","NO CAT",""))</f>
        <v>Deferrals Accruing Non-Cash Return   (other than ASGA)</v>
      </c>
      <c r="P1067" s="170" t="s">
        <v>1186</v>
      </c>
      <c r="Q1067" s="123" t="s">
        <v>1187</v>
      </c>
      <c r="R1067" s="124">
        <v>0</v>
      </c>
      <c r="S1067" s="124">
        <v>0</v>
      </c>
      <c r="T1067" s="124">
        <v>1</v>
      </c>
      <c r="U1067" s="121">
        <f t="shared" si="459"/>
        <v>0</v>
      </c>
      <c r="V1067" s="121">
        <f t="shared" si="460"/>
        <v>0</v>
      </c>
      <c r="W1067" s="121">
        <f t="shared" si="461"/>
        <v>-1.59999999974E-4</v>
      </c>
      <c r="X1067" s="121">
        <f t="shared" si="465"/>
        <v>-1.59999999974E-4</v>
      </c>
      <c r="Y1067" s="121">
        <f t="shared" si="462"/>
        <v>0</v>
      </c>
      <c r="Z1067" s="121">
        <f t="shared" si="463"/>
        <v>0</v>
      </c>
      <c r="AA1067" s="121">
        <f t="shared" si="464"/>
        <v>-1.59999999974E-4</v>
      </c>
      <c r="AB1067" s="121">
        <f t="shared" si="466"/>
        <v>-1.5999999997438864E-4</v>
      </c>
      <c r="AC1067" s="121">
        <v>-1.5999999997438864E-4</v>
      </c>
      <c r="AD1067" s="121">
        <v>-1.5999999997438864E-4</v>
      </c>
      <c r="AE1067" s="121">
        <v>-1.5999999997438864E-4</v>
      </c>
      <c r="AF1067" s="121">
        <v>-1.5999999997438864E-4</v>
      </c>
      <c r="AG1067" s="121">
        <v>-1.5999999997438864E-4</v>
      </c>
      <c r="AH1067" s="121">
        <v>-1.5999999997438864E-4</v>
      </c>
      <c r="AI1067" s="161">
        <v>-1.5999999997438864E-4</v>
      </c>
      <c r="AJ1067" s="161">
        <v>-1.5999999997438864E-4</v>
      </c>
      <c r="AK1067" s="161">
        <v>-1.5999999997438864E-4</v>
      </c>
      <c r="AL1067" s="161">
        <v>-1.5999999997438864E-4</v>
      </c>
      <c r="AM1067" s="161">
        <v>-1.5999999997438864E-4</v>
      </c>
      <c r="AN1067" s="161">
        <v>-1.5999999997438864E-4</v>
      </c>
      <c r="AO1067" s="161">
        <v>-1.5999999997438864E-4</v>
      </c>
      <c r="AP1067" s="125" t="str">
        <f>CONCATENATE(A1067,M1067)</f>
        <v>Def TaxN</v>
      </c>
      <c r="AQ1067" s="125" t="str">
        <f>CONCATENATE(AP1067,L1067,H1067)</f>
        <v>Def TaxNN10Pension</v>
      </c>
      <c r="AS1067" s="125" t="str">
        <f>CONCATENATE(L1067,H1067,J1067)</f>
        <v>N10PensionNCR</v>
      </c>
    </row>
    <row r="1068" spans="1:45" s="125" customFormat="1" ht="25.5" customHeight="1">
      <c r="A1068" s="216" t="s">
        <v>1996</v>
      </c>
      <c r="B1068" s="217" t="str">
        <f t="shared" si="467"/>
        <v>Def Tax190502Trans IntegBG030181</v>
      </c>
      <c r="C1068" s="186">
        <v>190502</v>
      </c>
      <c r="D1068" s="201" t="s">
        <v>622</v>
      </c>
      <c r="E1068" s="162" t="s">
        <v>527</v>
      </c>
      <c r="F1068" s="169" t="s">
        <v>1958</v>
      </c>
      <c r="G1068" s="117" t="s">
        <v>1018</v>
      </c>
      <c r="H1068" s="118" t="s">
        <v>1107</v>
      </c>
      <c r="I1068" s="119"/>
      <c r="J1068" s="231" t="s">
        <v>105</v>
      </c>
      <c r="K1068" s="120" t="str">
        <f t="shared" si="457"/>
        <v/>
      </c>
      <c r="L1068" s="170" t="s">
        <v>2821</v>
      </c>
      <c r="M1068" s="122" t="str">
        <f t="shared" si="456"/>
        <v>N</v>
      </c>
      <c r="N1068" s="116" t="str">
        <f>IF($L1068&lt;&gt;"",VLOOKUP($L1068,Categories!$E:$G,2,FALSE),IF($F1068&lt;&gt;"","NO CAT",""))</f>
        <v>Not in Rate Base</v>
      </c>
      <c r="O1068" s="116" t="str">
        <f>IF($L1068&lt;&gt;"",VLOOKUP($L1068,Categories!$E:$G,3,FALSE),IF($F1068&lt;&gt;"","NO CAT",""))</f>
        <v>Deferrals Accruing Non-Cash Return   (other than ASGA)</v>
      </c>
      <c r="P1068" s="170" t="s">
        <v>1186</v>
      </c>
      <c r="Q1068" s="123" t="s">
        <v>1187</v>
      </c>
      <c r="R1068" s="124">
        <v>0</v>
      </c>
      <c r="S1068" s="124">
        <v>0</v>
      </c>
      <c r="T1068" s="124">
        <v>1</v>
      </c>
      <c r="U1068" s="121">
        <f t="shared" si="459"/>
        <v>0</v>
      </c>
      <c r="V1068" s="121">
        <f t="shared" si="460"/>
        <v>0</v>
      </c>
      <c r="W1068" s="121">
        <f t="shared" si="461"/>
        <v>95.360634166666699</v>
      </c>
      <c r="X1068" s="121">
        <f t="shared" si="465"/>
        <v>95.360634166666699</v>
      </c>
      <c r="Y1068" s="121">
        <f t="shared" si="462"/>
        <v>0</v>
      </c>
      <c r="Z1068" s="121">
        <f t="shared" si="463"/>
        <v>0</v>
      </c>
      <c r="AA1068" s="121">
        <f t="shared" si="464"/>
        <v>83.863190000000003</v>
      </c>
      <c r="AB1068" s="121">
        <f t="shared" si="466"/>
        <v>83.863190000000003</v>
      </c>
      <c r="AC1068" s="121">
        <v>69.978949999999998</v>
      </c>
      <c r="AD1068" s="121">
        <v>75.211010000000002</v>
      </c>
      <c r="AE1068" s="121">
        <v>86.108059999999995</v>
      </c>
      <c r="AF1068" s="121">
        <v>93.924999999999997</v>
      </c>
      <c r="AG1068" s="121">
        <v>101.74525</v>
      </c>
      <c r="AH1068" s="121">
        <v>108.05221</v>
      </c>
      <c r="AI1068" s="161">
        <v>109.06373000000001</v>
      </c>
      <c r="AJ1068" s="161">
        <v>116.84048000000001</v>
      </c>
      <c r="AK1068" s="161">
        <v>124.09157</v>
      </c>
      <c r="AL1068" s="161">
        <v>81.127790000000005</v>
      </c>
      <c r="AM1068" s="161">
        <v>84.137840000000011</v>
      </c>
      <c r="AN1068" s="161">
        <v>87.1036</v>
      </c>
      <c r="AO1068" s="161">
        <v>83.863190000000003</v>
      </c>
      <c r="AP1068" s="125" t="str">
        <f>CONCATENATE(A1068,M1068)</f>
        <v>Def TaxN</v>
      </c>
      <c r="AQ1068" s="125" t="str">
        <f>CONCATENATE(AP1068,L1068,H1068)</f>
        <v>Def TaxNN10Gas Pipeline Integrity</v>
      </c>
      <c r="AS1068" s="125" t="str">
        <f>CONCATENATE(L1068,H1068,J1068)</f>
        <v>N10Gas Pipeline IntegrityNCR</v>
      </c>
    </row>
    <row r="1069" spans="1:45" s="125" customFormat="1" ht="25.5" customHeight="1">
      <c r="A1069" s="216" t="s">
        <v>1996</v>
      </c>
      <c r="B1069" s="217" t="str">
        <f t="shared" si="467"/>
        <v>Def Tax1905020-283.22.13BC030163</v>
      </c>
      <c r="C1069" s="186">
        <v>190502</v>
      </c>
      <c r="D1069" s="201" t="s">
        <v>2613</v>
      </c>
      <c r="E1069" s="162" t="s">
        <v>1727</v>
      </c>
      <c r="F1069" s="169" t="s">
        <v>1958</v>
      </c>
      <c r="G1069" s="117" t="s">
        <v>371</v>
      </c>
      <c r="H1069" s="118" t="s">
        <v>102</v>
      </c>
      <c r="I1069" s="119"/>
      <c r="J1069" s="120"/>
      <c r="K1069" s="120" t="str">
        <f t="shared" ref="K1069:K1078" si="468">IF(L1069="N3","SFAS-109","")</f>
        <v/>
      </c>
      <c r="L1069" s="170" t="s">
        <v>928</v>
      </c>
      <c r="M1069" s="122" t="str">
        <f t="shared" si="456"/>
        <v>N</v>
      </c>
      <c r="N1069" s="116" t="str">
        <f>IF($L1069&lt;&gt;"",VLOOKUP($L1069,Categories!$E:$G,2,FALSE),IF($F1069&lt;&gt;"","NO CAT",""))</f>
        <v>Not in Rate Base</v>
      </c>
      <c r="O1069" s="116" t="str">
        <f>IF($L1069&lt;&gt;"",VLOOKUP($L1069,Categories!$E:$G,3,FALSE),IF($F1069&lt;&gt;"","NO CAT",""))</f>
        <v>Direct Assign Items Not in RB</v>
      </c>
      <c r="P1069" s="170" t="s">
        <v>1186</v>
      </c>
      <c r="Q1069" s="123" t="s">
        <v>1187</v>
      </c>
      <c r="R1069" s="124">
        <v>0</v>
      </c>
      <c r="S1069" s="124">
        <v>0</v>
      </c>
      <c r="T1069" s="124">
        <v>1</v>
      </c>
      <c r="U1069" s="121">
        <f t="shared" si="459"/>
        <v>0</v>
      </c>
      <c r="V1069" s="121">
        <f t="shared" si="460"/>
        <v>0</v>
      </c>
      <c r="W1069" s="121">
        <f t="shared" si="461"/>
        <v>1.17E-2</v>
      </c>
      <c r="X1069" s="121">
        <f t="shared" si="465"/>
        <v>1.17E-2</v>
      </c>
      <c r="Y1069" s="121">
        <f t="shared" si="462"/>
        <v>0</v>
      </c>
      <c r="Z1069" s="121">
        <f t="shared" si="463"/>
        <v>0</v>
      </c>
      <c r="AA1069" s="121">
        <f t="shared" si="464"/>
        <v>1.17E-2</v>
      </c>
      <c r="AB1069" s="121">
        <f t="shared" si="466"/>
        <v>1.170000000000029E-2</v>
      </c>
      <c r="AC1069" s="121">
        <v>1.170000000000029E-2</v>
      </c>
      <c r="AD1069" s="121">
        <v>1.170000000000029E-2</v>
      </c>
      <c r="AE1069" s="121">
        <v>1.170000000000029E-2</v>
      </c>
      <c r="AF1069" s="121">
        <v>1.170000000000029E-2</v>
      </c>
      <c r="AG1069" s="121">
        <v>1.170000000000029E-2</v>
      </c>
      <c r="AH1069" s="121">
        <v>1.170000000000029E-2</v>
      </c>
      <c r="AI1069" s="161">
        <v>1.170000000000029E-2</v>
      </c>
      <c r="AJ1069" s="161">
        <v>1.170000000000029E-2</v>
      </c>
      <c r="AK1069" s="161">
        <v>1.170000000000029E-2</v>
      </c>
      <c r="AL1069" s="161">
        <v>1.170000000000029E-2</v>
      </c>
      <c r="AM1069" s="161">
        <v>1.170000000000029E-2</v>
      </c>
      <c r="AN1069" s="161">
        <v>1.170000000000029E-2</v>
      </c>
      <c r="AO1069" s="161">
        <v>1.170000000000029E-2</v>
      </c>
      <c r="AP1069" s="125" t="str">
        <f>CONCATENATE(A1069,M1069)</f>
        <v>Def TaxN</v>
      </c>
      <c r="AQ1069" s="125" t="str">
        <f>CONCATENATE(AP1069,L1069,H1069)</f>
        <v>Def TaxNN2Deferred Gas Costs</v>
      </c>
      <c r="AS1069" s="125" t="str">
        <f>CONCATENATE(L1069,H1069,J1069)</f>
        <v>N2Deferred Gas Costs</v>
      </c>
    </row>
    <row r="1070" spans="1:45" s="125" customFormat="1" ht="25.5" customHeight="1">
      <c r="A1070" s="216" t="s">
        <v>1996</v>
      </c>
      <c r="B1070" s="217" t="str">
        <f t="shared" si="467"/>
        <v>Def Tax190502Incr MaintBG030599</v>
      </c>
      <c r="C1070" s="186">
        <v>190502</v>
      </c>
      <c r="D1070" s="201" t="s">
        <v>1435</v>
      </c>
      <c r="E1070" s="162" t="s">
        <v>744</v>
      </c>
      <c r="F1070" s="169" t="s">
        <v>1958</v>
      </c>
      <c r="G1070" s="117" t="s">
        <v>1015</v>
      </c>
      <c r="H1070" s="118" t="s">
        <v>1078</v>
      </c>
      <c r="I1070" s="119"/>
      <c r="J1070" s="231" t="s">
        <v>105</v>
      </c>
      <c r="K1070" s="120" t="str">
        <f t="shared" si="468"/>
        <v/>
      </c>
      <c r="L1070" s="170" t="s">
        <v>2821</v>
      </c>
      <c r="M1070" s="122" t="str">
        <f t="shared" si="456"/>
        <v>N</v>
      </c>
      <c r="N1070" s="116" t="str">
        <f>IF($L1070&lt;&gt;"",VLOOKUP($L1070,Categories!$E:$G,2,FALSE),IF($F1070&lt;&gt;"","NO CAT",""))</f>
        <v>Not in Rate Base</v>
      </c>
      <c r="O1070" s="116" t="str">
        <f>IF($L1070&lt;&gt;"",VLOOKUP($L1070,Categories!$E:$G,3,FALSE),IF($F1070&lt;&gt;"","NO CAT",""))</f>
        <v>Deferrals Accruing Non-Cash Return   (other than ASGA)</v>
      </c>
      <c r="P1070" s="170" t="s">
        <v>1186</v>
      </c>
      <c r="Q1070" s="123" t="s">
        <v>1187</v>
      </c>
      <c r="R1070" s="124">
        <v>0</v>
      </c>
      <c r="S1070" s="124">
        <v>0</v>
      </c>
      <c r="T1070" s="124">
        <v>1</v>
      </c>
      <c r="U1070" s="121">
        <f t="shared" si="459"/>
        <v>0</v>
      </c>
      <c r="V1070" s="121">
        <f t="shared" si="460"/>
        <v>0</v>
      </c>
      <c r="W1070" s="121">
        <f t="shared" si="461"/>
        <v>23.552026250000001</v>
      </c>
      <c r="X1070" s="121">
        <f t="shared" si="465"/>
        <v>23.552026250000001</v>
      </c>
      <c r="Y1070" s="121">
        <f t="shared" si="462"/>
        <v>0</v>
      </c>
      <c r="Z1070" s="121">
        <f t="shared" si="463"/>
        <v>0</v>
      </c>
      <c r="AA1070" s="121">
        <f t="shared" si="464"/>
        <v>10.535170000000001</v>
      </c>
      <c r="AB1070" s="121">
        <f t="shared" si="466"/>
        <v>10.535170000000001</v>
      </c>
      <c r="AC1070" s="121">
        <v>10.434360000000002</v>
      </c>
      <c r="AD1070" s="121">
        <v>19.50543</v>
      </c>
      <c r="AE1070" s="121">
        <v>20.679170000000003</v>
      </c>
      <c r="AF1070" s="121">
        <v>30.397470000000002</v>
      </c>
      <c r="AG1070" s="121">
        <v>37.766500000000001</v>
      </c>
      <c r="AH1070" s="121">
        <v>41.52561</v>
      </c>
      <c r="AI1070" s="161">
        <v>64.996719999999996</v>
      </c>
      <c r="AJ1070" s="161">
        <v>14.866709999999999</v>
      </c>
      <c r="AK1070" s="161">
        <v>10.847019999999999</v>
      </c>
      <c r="AL1070" s="161">
        <v>10.509879999999999</v>
      </c>
      <c r="AM1070" s="161">
        <v>10.5183</v>
      </c>
      <c r="AN1070" s="161">
        <v>10.52674</v>
      </c>
      <c r="AO1070" s="161">
        <v>10.535170000000001</v>
      </c>
      <c r="AP1070" s="125" t="str">
        <f>CONCATENATE(A1070,M1070)</f>
        <v>Def TaxN</v>
      </c>
      <c r="AQ1070" s="125" t="str">
        <f>CONCATENATE(AP1070,L1070,H1070)</f>
        <v>Def TaxNN10Incremental Maintenance</v>
      </c>
      <c r="AS1070" s="125" t="str">
        <f>CONCATENATE(L1070,H1070,J1070)</f>
        <v>N10Incremental MaintenanceNCR</v>
      </c>
    </row>
    <row r="1071" spans="1:45" s="125" customFormat="1" ht="25.5" customHeight="1">
      <c r="A1071" s="216" t="s">
        <v>1996</v>
      </c>
      <c r="B1071" s="217" t="str">
        <f t="shared" si="467"/>
        <v>Def Tax190502Mgt AuditBG030596</v>
      </c>
      <c r="C1071" s="186">
        <v>190502</v>
      </c>
      <c r="D1071" s="201" t="s">
        <v>1433</v>
      </c>
      <c r="E1071" s="162" t="s">
        <v>742</v>
      </c>
      <c r="F1071" s="169" t="s">
        <v>1958</v>
      </c>
      <c r="G1071" s="117" t="s">
        <v>1013</v>
      </c>
      <c r="H1071" s="118" t="s">
        <v>1076</v>
      </c>
      <c r="I1071" s="119"/>
      <c r="J1071" s="231" t="s">
        <v>105</v>
      </c>
      <c r="K1071" s="120" t="str">
        <f t="shared" si="468"/>
        <v/>
      </c>
      <c r="L1071" s="170" t="s">
        <v>2821</v>
      </c>
      <c r="M1071" s="122" t="str">
        <f t="shared" si="456"/>
        <v>N</v>
      </c>
      <c r="N1071" s="116" t="str">
        <f>IF($L1071&lt;&gt;"",VLOOKUP($L1071,Categories!$E:$G,2,FALSE),IF($F1071&lt;&gt;"","NO CAT",""))</f>
        <v>Not in Rate Base</v>
      </c>
      <c r="O1071" s="116" t="str">
        <f>IF($L1071&lt;&gt;"",VLOOKUP($L1071,Categories!$E:$G,3,FALSE),IF($F1071&lt;&gt;"","NO CAT",""))</f>
        <v>Deferrals Accruing Non-Cash Return   (other than ASGA)</v>
      </c>
      <c r="P1071" s="170" t="s">
        <v>1186</v>
      </c>
      <c r="Q1071" s="123" t="s">
        <v>1187</v>
      </c>
      <c r="R1071" s="124">
        <v>0</v>
      </c>
      <c r="S1071" s="124">
        <v>0</v>
      </c>
      <c r="T1071" s="124">
        <v>1</v>
      </c>
      <c r="U1071" s="121">
        <f t="shared" si="459"/>
        <v>0</v>
      </c>
      <c r="V1071" s="121">
        <f t="shared" si="460"/>
        <v>0</v>
      </c>
      <c r="W1071" s="121">
        <f t="shared" si="461"/>
        <v>29.074896249999998</v>
      </c>
      <c r="X1071" s="121">
        <f t="shared" si="465"/>
        <v>29.074896249999998</v>
      </c>
      <c r="Y1071" s="121">
        <f t="shared" si="462"/>
        <v>0</v>
      </c>
      <c r="Z1071" s="121">
        <f t="shared" si="463"/>
        <v>0</v>
      </c>
      <c r="AA1071" s="121">
        <f t="shared" si="464"/>
        <v>37.86253</v>
      </c>
      <c r="AB1071" s="121">
        <f t="shared" si="466"/>
        <v>37.86253</v>
      </c>
      <c r="AC1071" s="121">
        <v>20.300699999999996</v>
      </c>
      <c r="AD1071" s="121">
        <v>21.761109999999999</v>
      </c>
      <c r="AE1071" s="121">
        <v>23.222069999999995</v>
      </c>
      <c r="AF1071" s="121">
        <v>24.683589999999995</v>
      </c>
      <c r="AG1071" s="121">
        <v>26.145649999999996</v>
      </c>
      <c r="AH1071" s="121">
        <v>27.608280000000001</v>
      </c>
      <c r="AI1071" s="161">
        <v>29.071469999999998</v>
      </c>
      <c r="AJ1071" s="161">
        <v>30.535219999999999</v>
      </c>
      <c r="AK1071" s="161">
        <v>31.99953</v>
      </c>
      <c r="AL1071" s="161">
        <v>33.464419999999997</v>
      </c>
      <c r="AM1071" s="161">
        <v>34.929879999999997</v>
      </c>
      <c r="AN1071" s="161">
        <v>36.395919999999997</v>
      </c>
      <c r="AO1071" s="161">
        <v>37.86253</v>
      </c>
      <c r="AP1071" s="125" t="str">
        <f>CONCATENATE(A1071,M1071)</f>
        <v>Def TaxN</v>
      </c>
      <c r="AQ1071" s="125" t="str">
        <f>CONCATENATE(AP1071,L1071,H1071)</f>
        <v>Def TaxNN10Management Audit</v>
      </c>
      <c r="AS1071" s="125" t="str">
        <f>CONCATENATE(L1071,H1071,J1071)</f>
        <v>N10Management AuditNCR</v>
      </c>
    </row>
    <row r="1072" spans="1:45" s="125" customFormat="1" ht="25.5" customHeight="1">
      <c r="A1072" s="216" t="s">
        <v>1996</v>
      </c>
      <c r="B1072" s="217" t="str">
        <f t="shared" si="467"/>
        <v>Def Tax1905020-283.22.33BG030302</v>
      </c>
      <c r="C1072" s="186">
        <v>190502</v>
      </c>
      <c r="D1072" s="201" t="s">
        <v>414</v>
      </c>
      <c r="E1072" s="162" t="s">
        <v>2684</v>
      </c>
      <c r="F1072" s="169" t="s">
        <v>1958</v>
      </c>
      <c r="G1072" s="117" t="s">
        <v>415</v>
      </c>
      <c r="H1072" s="118" t="s">
        <v>2714</v>
      </c>
      <c r="I1072" s="119"/>
      <c r="J1072" s="120"/>
      <c r="K1072" s="120" t="str">
        <f t="shared" si="468"/>
        <v/>
      </c>
      <c r="L1072" s="170" t="s">
        <v>1895</v>
      </c>
      <c r="M1072" s="122" t="str">
        <f t="shared" si="456"/>
        <v>R</v>
      </c>
      <c r="N1072" s="116" t="str">
        <f>IF($L1072&lt;&gt;"",VLOOKUP($L1072,Categories!$E:$G,2,FALSE),IF($F1072&lt;&gt;"","NO CAT",""))</f>
        <v>Rate Base</v>
      </c>
      <c r="O1072" s="116" t="str">
        <f>IF($L1072&lt;&gt;"",VLOOKUP($L1072,Categories!$E:$G,3,FALSE),IF($F1072&lt;&gt;"","NO CAT",""))</f>
        <v>Deferred Income Taxes</v>
      </c>
      <c r="P1072" s="170" t="s">
        <v>1184</v>
      </c>
      <c r="Q1072" s="123" t="s">
        <v>1178</v>
      </c>
      <c r="R1072" s="124">
        <v>0</v>
      </c>
      <c r="S1072" s="124">
        <v>1</v>
      </c>
      <c r="T1072" s="124">
        <v>0</v>
      </c>
      <c r="U1072" s="121">
        <f t="shared" si="459"/>
        <v>0</v>
      </c>
      <c r="V1072" s="121">
        <f t="shared" si="460"/>
        <v>-147.04948999999999</v>
      </c>
      <c r="W1072" s="121">
        <f t="shared" si="461"/>
        <v>0</v>
      </c>
      <c r="X1072" s="121">
        <f t="shared" si="465"/>
        <v>-147.04948999999999</v>
      </c>
      <c r="Y1072" s="121">
        <f t="shared" si="462"/>
        <v>0</v>
      </c>
      <c r="Z1072" s="121">
        <f t="shared" si="463"/>
        <v>-147.04948999999999</v>
      </c>
      <c r="AA1072" s="121">
        <f t="shared" si="464"/>
        <v>0</v>
      </c>
      <c r="AB1072" s="121">
        <f t="shared" si="466"/>
        <v>-147.04948999999996</v>
      </c>
      <c r="AC1072" s="121">
        <v>-147.04948999999996</v>
      </c>
      <c r="AD1072" s="121">
        <v>-147.04948999999996</v>
      </c>
      <c r="AE1072" s="121">
        <v>-147.04948999999996</v>
      </c>
      <c r="AF1072" s="121">
        <v>-147.04948999999996</v>
      </c>
      <c r="AG1072" s="121">
        <v>-147.04948999999996</v>
      </c>
      <c r="AH1072" s="121">
        <v>-147.04948999999996</v>
      </c>
      <c r="AI1072" s="161">
        <v>-147.04948999999996</v>
      </c>
      <c r="AJ1072" s="161">
        <v>-147.04948999999996</v>
      </c>
      <c r="AK1072" s="161">
        <v>-147.04948999999996</v>
      </c>
      <c r="AL1072" s="161">
        <v>-147.04948999999996</v>
      </c>
      <c r="AM1072" s="161">
        <v>-147.04948999999996</v>
      </c>
      <c r="AN1072" s="161">
        <v>-147.04948999999996</v>
      </c>
      <c r="AO1072" s="161">
        <v>-147.04948999999996</v>
      </c>
      <c r="AP1072" s="125" t="str">
        <f>CONCATENATE(A1072,M1072)</f>
        <v>Def TaxR</v>
      </c>
      <c r="AQ1072" s="125" t="str">
        <f>CONCATENATE(AP1072,L1072,H1072)</f>
        <v>Def TaxRR11Seneca Storage</v>
      </c>
      <c r="AS1072" s="125" t="str">
        <f>CONCATENATE(L1072,H1072,J1072)</f>
        <v>R11Seneca Storage</v>
      </c>
    </row>
    <row r="1073" spans="1:45" s="125" customFormat="1" ht="25.5" customHeight="1">
      <c r="A1073" s="216" t="s">
        <v>1996</v>
      </c>
      <c r="B1073" s="217" t="str">
        <f t="shared" si="467"/>
        <v>Def Tax1905020-283.21.30BTHUNGDT</v>
      </c>
      <c r="C1073" s="186">
        <v>190502</v>
      </c>
      <c r="D1073" s="201" t="s">
        <v>538</v>
      </c>
      <c r="E1073" s="162" t="s">
        <v>616</v>
      </c>
      <c r="F1073" s="169" t="s">
        <v>1958</v>
      </c>
      <c r="G1073" s="117" t="s">
        <v>3010</v>
      </c>
      <c r="H1073" s="118" t="s">
        <v>1167</v>
      </c>
      <c r="I1073" s="119"/>
      <c r="J1073" s="120"/>
      <c r="K1073" s="120" t="str">
        <f t="shared" si="468"/>
        <v/>
      </c>
      <c r="L1073" s="170" t="s">
        <v>1895</v>
      </c>
      <c r="M1073" s="122" t="str">
        <f t="shared" si="456"/>
        <v>R</v>
      </c>
      <c r="N1073" s="116" t="str">
        <f>IF($L1073&lt;&gt;"",VLOOKUP($L1073,Categories!$E:$G,2,FALSE),IF($F1073&lt;&gt;"","NO CAT",""))</f>
        <v>Rate Base</v>
      </c>
      <c r="O1073" s="116" t="str">
        <f>IF($L1073&lt;&gt;"",VLOOKUP($L1073,Categories!$E:$G,3,FALSE),IF($F1073&lt;&gt;"","NO CAT",""))</f>
        <v>Deferred Income Taxes</v>
      </c>
      <c r="P1073" s="170" t="s">
        <v>1184</v>
      </c>
      <c r="Q1073" s="123" t="s">
        <v>1178</v>
      </c>
      <c r="R1073" s="124">
        <v>0</v>
      </c>
      <c r="S1073" s="124">
        <v>1</v>
      </c>
      <c r="T1073" s="124">
        <v>0</v>
      </c>
      <c r="U1073" s="121">
        <f t="shared" si="459"/>
        <v>0</v>
      </c>
      <c r="V1073" s="121">
        <f t="shared" si="460"/>
        <v>716.12300000000005</v>
      </c>
      <c r="W1073" s="121">
        <f t="shared" si="461"/>
        <v>0</v>
      </c>
      <c r="X1073" s="121">
        <f t="shared" si="465"/>
        <v>716.12300000000005</v>
      </c>
      <c r="Y1073" s="121">
        <f t="shared" si="462"/>
        <v>0</v>
      </c>
      <c r="Z1073" s="121">
        <f t="shared" si="463"/>
        <v>716.12300000000005</v>
      </c>
      <c r="AA1073" s="121">
        <f t="shared" si="464"/>
        <v>0</v>
      </c>
      <c r="AB1073" s="121">
        <f t="shared" si="466"/>
        <v>716.12300000000005</v>
      </c>
      <c r="AC1073" s="121">
        <v>716.12300000000005</v>
      </c>
      <c r="AD1073" s="121">
        <v>716.12300000000005</v>
      </c>
      <c r="AE1073" s="121">
        <v>716.12300000000005</v>
      </c>
      <c r="AF1073" s="121">
        <v>716.12300000000005</v>
      </c>
      <c r="AG1073" s="121">
        <v>716.12300000000005</v>
      </c>
      <c r="AH1073" s="121">
        <v>716.12300000000005</v>
      </c>
      <c r="AI1073" s="161">
        <v>716.12300000000005</v>
      </c>
      <c r="AJ1073" s="161">
        <v>716.12300000000005</v>
      </c>
      <c r="AK1073" s="161">
        <v>716.12300000000005</v>
      </c>
      <c r="AL1073" s="161">
        <v>716.12300000000005</v>
      </c>
      <c r="AM1073" s="161">
        <v>716.12300000000005</v>
      </c>
      <c r="AN1073" s="161">
        <v>716.12300000000005</v>
      </c>
      <c r="AO1073" s="161">
        <v>716.12300000000005</v>
      </c>
      <c r="AP1073" s="125" t="str">
        <f>CONCATENATE(A1073,M1073)</f>
        <v>Def TaxR</v>
      </c>
      <c r="AQ1073" s="125" t="str">
        <f>CONCATENATE(AP1073,L1073,H1073)</f>
        <v>Def TaxRR11Hung Deferred Taxes</v>
      </c>
      <c r="AS1073" s="125" t="str">
        <f>CONCATENATE(L1073,H1073,J1073)</f>
        <v>R11Hung Deferred Taxes</v>
      </c>
    </row>
    <row r="1074" spans="1:45" s="125" customFormat="1" ht="25.5" customHeight="1">
      <c r="A1074" s="216" t="s">
        <v>1996</v>
      </c>
      <c r="B1074" s="217" t="str">
        <f t="shared" si="467"/>
        <v>Def Tax190502PBABT010287</v>
      </c>
      <c r="C1074" s="186">
        <v>190502</v>
      </c>
      <c r="D1074" s="201" t="s">
        <v>1800</v>
      </c>
      <c r="E1074" s="162" t="s">
        <v>391</v>
      </c>
      <c r="F1074" s="169" t="s">
        <v>1958</v>
      </c>
      <c r="G1074" s="117" t="s">
        <v>193</v>
      </c>
      <c r="H1074" s="118" t="s">
        <v>763</v>
      </c>
      <c r="I1074" s="119"/>
      <c r="J1074" s="120"/>
      <c r="K1074" s="120" t="str">
        <f t="shared" si="468"/>
        <v/>
      </c>
      <c r="L1074" s="170" t="s">
        <v>1895</v>
      </c>
      <c r="M1074" s="122" t="str">
        <f t="shared" si="456"/>
        <v>R</v>
      </c>
      <c r="N1074" s="116" t="str">
        <f>IF($L1074&lt;&gt;"",VLOOKUP($L1074,Categories!$E:$G,2,FALSE),IF($F1074&lt;&gt;"","NO CAT",""))</f>
        <v>Rate Base</v>
      </c>
      <c r="O1074" s="116" t="str">
        <f>IF($L1074&lt;&gt;"",VLOOKUP($L1074,Categories!$E:$G,3,FALSE),IF($F1074&lt;&gt;"","NO CAT",""))</f>
        <v>Deferred Income Taxes</v>
      </c>
      <c r="P1074" s="170" t="s">
        <v>1184</v>
      </c>
      <c r="Q1074" s="123" t="s">
        <v>1178</v>
      </c>
      <c r="R1074" s="124">
        <v>0</v>
      </c>
      <c r="S1074" s="124">
        <v>1</v>
      </c>
      <c r="T1074" s="124">
        <v>0</v>
      </c>
      <c r="U1074" s="121">
        <f t="shared" si="459"/>
        <v>0</v>
      </c>
      <c r="V1074" s="121">
        <f t="shared" si="460"/>
        <v>-75.268340000002695</v>
      </c>
      <c r="W1074" s="121">
        <f t="shared" si="461"/>
        <v>0</v>
      </c>
      <c r="X1074" s="121">
        <f t="shared" si="465"/>
        <v>-75.268340000002695</v>
      </c>
      <c r="Y1074" s="121">
        <f t="shared" si="462"/>
        <v>0</v>
      </c>
      <c r="Z1074" s="121">
        <f t="shared" si="463"/>
        <v>-75.268340000002695</v>
      </c>
      <c r="AA1074" s="121">
        <f t="shared" si="464"/>
        <v>0</v>
      </c>
      <c r="AB1074" s="121">
        <f t="shared" si="466"/>
        <v>-75.268340000002738</v>
      </c>
      <c r="AC1074" s="121">
        <v>-75.268340000002738</v>
      </c>
      <c r="AD1074" s="121">
        <v>-75.268340000002738</v>
      </c>
      <c r="AE1074" s="121">
        <v>-75.268340000002738</v>
      </c>
      <c r="AF1074" s="121">
        <v>-75.268340000002738</v>
      </c>
      <c r="AG1074" s="121">
        <v>-75.268340000002738</v>
      </c>
      <c r="AH1074" s="121">
        <v>-75.268340000002738</v>
      </c>
      <c r="AI1074" s="161">
        <v>-75.268340000002738</v>
      </c>
      <c r="AJ1074" s="161">
        <v>-75.268340000002738</v>
      </c>
      <c r="AK1074" s="161">
        <v>-75.268340000002738</v>
      </c>
      <c r="AL1074" s="161">
        <v>-75.268340000002738</v>
      </c>
      <c r="AM1074" s="161">
        <v>-75.268340000002738</v>
      </c>
      <c r="AN1074" s="161">
        <v>-75.268340000002738</v>
      </c>
      <c r="AO1074" s="161">
        <v>-75.268340000002738</v>
      </c>
      <c r="AP1074" s="125" t="str">
        <f>CONCATENATE(A1074,M1074)</f>
        <v>Def TaxR</v>
      </c>
      <c r="AQ1074" s="125" t="str">
        <f>CONCATENATE(AP1074,L1074,H1074)</f>
        <v>Def TaxRR11Positive Benefit Adjustment</v>
      </c>
      <c r="AS1074" s="125" t="str">
        <f>CONCATENATE(L1074,H1074,J1074)</f>
        <v>R11Positive Benefit Adjustment</v>
      </c>
    </row>
    <row r="1075" spans="1:45" s="125" customFormat="1" ht="25.5" customHeight="1">
      <c r="A1075" s="216" t="s">
        <v>1996</v>
      </c>
      <c r="B1075" s="217" t="str">
        <f t="shared" si="467"/>
        <v>Def Tax190502Trans MeterBG030182</v>
      </c>
      <c r="C1075" s="186">
        <v>190502</v>
      </c>
      <c r="D1075" s="201" t="s">
        <v>1753</v>
      </c>
      <c r="E1075" s="162" t="s">
        <v>743</v>
      </c>
      <c r="F1075" s="169" t="s">
        <v>1958</v>
      </c>
      <c r="G1075" s="117" t="s">
        <v>1019</v>
      </c>
      <c r="H1075" s="118" t="s">
        <v>1805</v>
      </c>
      <c r="I1075" s="119"/>
      <c r="J1075" s="231"/>
      <c r="K1075" s="120" t="str">
        <f t="shared" si="468"/>
        <v/>
      </c>
      <c r="L1075" s="170" t="s">
        <v>1895</v>
      </c>
      <c r="M1075" s="122" t="str">
        <f t="shared" si="456"/>
        <v>R</v>
      </c>
      <c r="N1075" s="116" t="str">
        <f>IF($L1075&lt;&gt;"",VLOOKUP($L1075,Categories!$E:$G,2,FALSE),IF($F1075&lt;&gt;"","NO CAT",""))</f>
        <v>Rate Base</v>
      </c>
      <c r="O1075" s="116" t="str">
        <f>IF($L1075&lt;&gt;"",VLOOKUP($L1075,Categories!$E:$G,3,FALSE),IF($F1075&lt;&gt;"","NO CAT",""))</f>
        <v>Deferred Income Taxes</v>
      </c>
      <c r="P1075" s="170" t="s">
        <v>1184</v>
      </c>
      <c r="Q1075" s="123" t="s">
        <v>1178</v>
      </c>
      <c r="R1075" s="124">
        <v>0</v>
      </c>
      <c r="S1075" s="124">
        <v>1</v>
      </c>
      <c r="T1075" s="124">
        <v>0</v>
      </c>
      <c r="U1075" s="121">
        <f t="shared" si="459"/>
        <v>0</v>
      </c>
      <c r="V1075" s="121">
        <f t="shared" si="460"/>
        <v>-1.8700000000000001E-13</v>
      </c>
      <c r="W1075" s="121">
        <f t="shared" si="461"/>
        <v>0</v>
      </c>
      <c r="X1075" s="121">
        <f t="shared" si="465"/>
        <v>-1.8700000000000001E-13</v>
      </c>
      <c r="Y1075" s="121">
        <f t="shared" si="462"/>
        <v>0</v>
      </c>
      <c r="Z1075" s="121">
        <f t="shared" si="463"/>
        <v>-1.8700000000000001E-13</v>
      </c>
      <c r="AA1075" s="121">
        <f t="shared" si="464"/>
        <v>0</v>
      </c>
      <c r="AB1075" s="121">
        <f t="shared" si="466"/>
        <v>-1.8735590856522321E-13</v>
      </c>
      <c r="AC1075" s="121">
        <v>-1.8735590856522321E-13</v>
      </c>
      <c r="AD1075" s="121">
        <v>-1.8735590856522321E-13</v>
      </c>
      <c r="AE1075" s="121">
        <v>-1.8735590856522321E-13</v>
      </c>
      <c r="AF1075" s="121">
        <v>-1.8735590856522321E-13</v>
      </c>
      <c r="AG1075" s="121">
        <v>-1.8735590856522321E-13</v>
      </c>
      <c r="AH1075" s="121">
        <v>-1.8735590856522321E-13</v>
      </c>
      <c r="AI1075" s="161">
        <v>-1.8735590856522321E-13</v>
      </c>
      <c r="AJ1075" s="161">
        <v>-1.8735590856522321E-13</v>
      </c>
      <c r="AK1075" s="161">
        <v>-1.8735590856522321E-13</v>
      </c>
      <c r="AL1075" s="161">
        <v>-1.8735590856522321E-13</v>
      </c>
      <c r="AM1075" s="161">
        <v>-1.8735590856522321E-13</v>
      </c>
      <c r="AN1075" s="161">
        <v>-1.8735590856522321E-13</v>
      </c>
      <c r="AO1075" s="161">
        <v>-1.8735590856522321E-13</v>
      </c>
      <c r="AP1075" s="125" t="str">
        <f>CONCATENATE(A1075,M1075)</f>
        <v>Def TaxR</v>
      </c>
      <c r="AQ1075" s="125" t="str">
        <f>CONCATENATE(AP1075,L1075,H1075)</f>
        <v>Def TaxRR11Capitalized Installation Costs</v>
      </c>
      <c r="AS1075" s="125" t="str">
        <f>CONCATENATE(L1075,H1075,J1075)</f>
        <v>R11Capitalized Installation Costs</v>
      </c>
    </row>
    <row r="1076" spans="1:45" s="125" customFormat="1" ht="25.5" customHeight="1">
      <c r="A1076" s="216" t="s">
        <v>1996</v>
      </c>
      <c r="B1076" s="217" t="str">
        <f t="shared" si="467"/>
        <v>Def Tax190502PSC AssessmentBT010353</v>
      </c>
      <c r="C1076" s="186">
        <v>190502</v>
      </c>
      <c r="D1076" s="201" t="s">
        <v>1844</v>
      </c>
      <c r="E1076" s="162" t="s">
        <v>1054</v>
      </c>
      <c r="F1076" s="169" t="s">
        <v>1958</v>
      </c>
      <c r="G1076" s="117" t="s">
        <v>1053</v>
      </c>
      <c r="H1076" s="118" t="s">
        <v>1844</v>
      </c>
      <c r="I1076" s="119"/>
      <c r="J1076" s="231" t="s">
        <v>105</v>
      </c>
      <c r="K1076" s="120" t="str">
        <f t="shared" si="468"/>
        <v/>
      </c>
      <c r="L1076" s="170" t="s">
        <v>2821</v>
      </c>
      <c r="M1076" s="122" t="str">
        <f t="shared" si="456"/>
        <v>N</v>
      </c>
      <c r="N1076" s="116" t="str">
        <f>IF($L1076&lt;&gt;"",VLOOKUP($L1076,Categories!$E:$G,2,FALSE),IF($F1076&lt;&gt;"","NO CAT",""))</f>
        <v>Not in Rate Base</v>
      </c>
      <c r="O1076" s="116" t="str">
        <f>IF($L1076&lt;&gt;"",VLOOKUP($L1076,Categories!$E:$G,3,FALSE),IF($F1076&lt;&gt;"","NO CAT",""))</f>
        <v>Deferrals Accruing Non-Cash Return   (other than ASGA)</v>
      </c>
      <c r="P1076" s="170" t="s">
        <v>1186</v>
      </c>
      <c r="Q1076" s="123" t="s">
        <v>1187</v>
      </c>
      <c r="R1076" s="124">
        <v>0</v>
      </c>
      <c r="S1076" s="124">
        <v>0</v>
      </c>
      <c r="T1076" s="124">
        <v>1</v>
      </c>
      <c r="U1076" s="121">
        <f t="shared" si="459"/>
        <v>0</v>
      </c>
      <c r="V1076" s="121">
        <f t="shared" si="460"/>
        <v>0</v>
      </c>
      <c r="W1076" s="121">
        <f t="shared" si="461"/>
        <v>-322.30022624999998</v>
      </c>
      <c r="X1076" s="121">
        <f t="shared" si="465"/>
        <v>-322.30022624999998</v>
      </c>
      <c r="Y1076" s="121">
        <f t="shared" si="462"/>
        <v>0</v>
      </c>
      <c r="Z1076" s="121">
        <f t="shared" si="463"/>
        <v>0</v>
      </c>
      <c r="AA1076" s="121">
        <f t="shared" si="464"/>
        <v>-608.90015000000005</v>
      </c>
      <c r="AB1076" s="121">
        <f t="shared" si="466"/>
        <v>-608.90014999999994</v>
      </c>
      <c r="AC1076" s="121">
        <v>0</v>
      </c>
      <c r="AD1076" s="121">
        <v>3.9999999979045242E-5</v>
      </c>
      <c r="AE1076" s="121">
        <v>7.9999999958090483E-5</v>
      </c>
      <c r="AF1076" s="121">
        <v>7.9999999958090483E-5</v>
      </c>
      <c r="AG1076" s="121">
        <v>7.9999999958090483E-5</v>
      </c>
      <c r="AH1076" s="121">
        <v>3.9999999979045242E-5</v>
      </c>
      <c r="AI1076" s="161">
        <v>3.9999999979045242E-5</v>
      </c>
      <c r="AJ1076" s="161">
        <v>-655.87644999999998</v>
      </c>
      <c r="AK1076" s="161">
        <v>-804.57186000000002</v>
      </c>
      <c r="AL1076" s="161">
        <v>-669.55142999999998</v>
      </c>
      <c r="AM1076" s="161">
        <v>-739.96637999999984</v>
      </c>
      <c r="AN1076" s="161">
        <v>-693.18687999999986</v>
      </c>
      <c r="AO1076" s="161">
        <v>-608.90014999999994</v>
      </c>
      <c r="AP1076" s="125" t="str">
        <f>CONCATENATE(A1076,M1076)</f>
        <v>Def TaxN</v>
      </c>
      <c r="AQ1076" s="125" t="str">
        <f>CONCATENATE(AP1076,L1076,H1076)</f>
        <v>Def TaxNN10PSC Assessment</v>
      </c>
      <c r="AS1076" s="125" t="str">
        <f>CONCATENATE(L1076,H1076,J1076)</f>
        <v>N10PSC AssessmentNCR</v>
      </c>
    </row>
    <row r="1077" spans="1:45" s="125" customFormat="1" ht="25.5" customHeight="1">
      <c r="A1077" s="216" t="s">
        <v>1996</v>
      </c>
      <c r="B1077" s="217" t="str">
        <f t="shared" si="467"/>
        <v>Def Tax190502R&amp;D DefBT010177</v>
      </c>
      <c r="C1077" s="186">
        <v>190502</v>
      </c>
      <c r="D1077" s="201" t="s">
        <v>281</v>
      </c>
      <c r="E1077" s="162" t="s">
        <v>398</v>
      </c>
      <c r="F1077" s="169" t="s">
        <v>1958</v>
      </c>
      <c r="G1077" s="117" t="s">
        <v>282</v>
      </c>
      <c r="H1077" s="118" t="s">
        <v>2219</v>
      </c>
      <c r="I1077" s="119"/>
      <c r="J1077" s="231" t="s">
        <v>105</v>
      </c>
      <c r="K1077" s="120" t="str">
        <f t="shared" si="468"/>
        <v/>
      </c>
      <c r="L1077" s="170" t="s">
        <v>2821</v>
      </c>
      <c r="M1077" s="122" t="str">
        <f t="shared" si="456"/>
        <v>N</v>
      </c>
      <c r="N1077" s="116" t="str">
        <f>IF($L1077&lt;&gt;"",VLOOKUP($L1077,Categories!$E:$G,2,FALSE),IF($F1077&lt;&gt;"","NO CAT",""))</f>
        <v>Not in Rate Base</v>
      </c>
      <c r="O1077" s="116" t="str">
        <f>IF($L1077&lt;&gt;"",VLOOKUP($L1077,Categories!$E:$G,3,FALSE),IF($F1077&lt;&gt;"","NO CAT",""))</f>
        <v>Deferrals Accruing Non-Cash Return   (other than ASGA)</v>
      </c>
      <c r="P1077" s="170" t="s">
        <v>1186</v>
      </c>
      <c r="Q1077" s="123" t="s">
        <v>1187</v>
      </c>
      <c r="R1077" s="124">
        <v>0</v>
      </c>
      <c r="S1077" s="124">
        <v>0</v>
      </c>
      <c r="T1077" s="124">
        <v>1</v>
      </c>
      <c r="U1077" s="121">
        <f t="shared" si="459"/>
        <v>0</v>
      </c>
      <c r="V1077" s="121">
        <f t="shared" si="460"/>
        <v>0</v>
      </c>
      <c r="W1077" s="121">
        <f t="shared" si="461"/>
        <v>845.16786999999999</v>
      </c>
      <c r="X1077" s="121">
        <f t="shared" si="465"/>
        <v>845.16786999999999</v>
      </c>
      <c r="Y1077" s="121">
        <f t="shared" si="462"/>
        <v>0</v>
      </c>
      <c r="Z1077" s="121">
        <f t="shared" si="463"/>
        <v>0</v>
      </c>
      <c r="AA1077" s="121">
        <f t="shared" si="464"/>
        <v>662.70223999999996</v>
      </c>
      <c r="AB1077" s="121">
        <f t="shared" si="466"/>
        <v>662.70223999999973</v>
      </c>
      <c r="AC1077" s="121">
        <v>736.03097999999989</v>
      </c>
      <c r="AD1077" s="121">
        <v>780.42278999999985</v>
      </c>
      <c r="AE1077" s="121">
        <v>824.8345099999998</v>
      </c>
      <c r="AF1077" s="121">
        <v>830.47737999999981</v>
      </c>
      <c r="AG1077" s="121">
        <v>874.92917999999986</v>
      </c>
      <c r="AH1077" s="121">
        <v>919.40120999999988</v>
      </c>
      <c r="AI1077" s="161">
        <v>841.62693999999988</v>
      </c>
      <c r="AJ1077" s="161">
        <v>886.1397599999998</v>
      </c>
      <c r="AK1077" s="161">
        <v>930.67312999999979</v>
      </c>
      <c r="AL1077" s="161">
        <v>804.09960999999976</v>
      </c>
      <c r="AM1077" s="161">
        <v>852.72381999999971</v>
      </c>
      <c r="AN1077" s="161">
        <v>897.31949999999972</v>
      </c>
      <c r="AO1077" s="161">
        <v>662.70223999999973</v>
      </c>
      <c r="AP1077" s="125" t="str">
        <f>CONCATENATE(A1077,M1077)</f>
        <v>Def TaxN</v>
      </c>
      <c r="AQ1077" s="125" t="str">
        <f>CONCATENATE(AP1077,L1077,H1077)</f>
        <v>Def TaxNN10Research &amp; Development</v>
      </c>
      <c r="AS1077" s="125" t="str">
        <f>CONCATENATE(L1077,H1077,J1077)</f>
        <v>N10Research &amp; DevelopmentNCR</v>
      </c>
    </row>
    <row r="1078" spans="1:45" s="125" customFormat="1" ht="25.5" customHeight="1">
      <c r="A1078" s="216" t="s">
        <v>1996</v>
      </c>
      <c r="B1078" s="217" t="str">
        <f t="shared" si="467"/>
        <v>Def Tax190502SQPMBT010209</v>
      </c>
      <c r="C1078" s="186">
        <v>190502</v>
      </c>
      <c r="D1078" s="201" t="s">
        <v>2895</v>
      </c>
      <c r="E1078" s="162" t="s">
        <v>394</v>
      </c>
      <c r="F1078" s="169" t="s">
        <v>1958</v>
      </c>
      <c r="G1078" s="117" t="s">
        <v>2894</v>
      </c>
      <c r="H1078" s="118" t="s">
        <v>1943</v>
      </c>
      <c r="I1078" s="119"/>
      <c r="J1078" s="120"/>
      <c r="K1078" s="120" t="str">
        <f t="shared" si="468"/>
        <v/>
      </c>
      <c r="L1078" s="170" t="s">
        <v>1895</v>
      </c>
      <c r="M1078" s="122" t="str">
        <f t="shared" si="456"/>
        <v>R</v>
      </c>
      <c r="N1078" s="116" t="str">
        <f>IF($L1078&lt;&gt;"",VLOOKUP($L1078,Categories!$E:$G,2,FALSE),IF($F1078&lt;&gt;"","NO CAT",""))</f>
        <v>Rate Base</v>
      </c>
      <c r="O1078" s="116" t="str">
        <f>IF($L1078&lt;&gt;"",VLOOKUP($L1078,Categories!$E:$G,3,FALSE),IF($F1078&lt;&gt;"","NO CAT",""))</f>
        <v>Deferred Income Taxes</v>
      </c>
      <c r="P1078" s="170" t="s">
        <v>1184</v>
      </c>
      <c r="Q1078" s="123" t="s">
        <v>1178</v>
      </c>
      <c r="R1078" s="124">
        <v>0</v>
      </c>
      <c r="S1078" s="124">
        <v>1</v>
      </c>
      <c r="T1078" s="124">
        <v>0</v>
      </c>
      <c r="U1078" s="121">
        <f t="shared" si="459"/>
        <v>0</v>
      </c>
      <c r="V1078" s="121">
        <f t="shared" si="460"/>
        <v>-4.7999999991000001E-4</v>
      </c>
      <c r="W1078" s="121">
        <f t="shared" si="461"/>
        <v>0</v>
      </c>
      <c r="X1078" s="121">
        <f t="shared" si="465"/>
        <v>-4.7999999991000001E-4</v>
      </c>
      <c r="Y1078" s="121">
        <f t="shared" si="462"/>
        <v>0</v>
      </c>
      <c r="Z1078" s="121">
        <f t="shared" si="463"/>
        <v>-4.7999999991000001E-4</v>
      </c>
      <c r="AA1078" s="121">
        <f t="shared" si="464"/>
        <v>0</v>
      </c>
      <c r="AB1078" s="121">
        <f t="shared" si="466"/>
        <v>-4.7999999990952345E-4</v>
      </c>
      <c r="AC1078" s="121">
        <v>-4.7999999990952345E-4</v>
      </c>
      <c r="AD1078" s="121">
        <v>-4.7999999990952345E-4</v>
      </c>
      <c r="AE1078" s="121">
        <v>-4.7999999990952345E-4</v>
      </c>
      <c r="AF1078" s="121">
        <v>-4.7999999990952345E-4</v>
      </c>
      <c r="AG1078" s="121">
        <v>-4.7999999990952345E-4</v>
      </c>
      <c r="AH1078" s="121">
        <v>-4.7999999990952345E-4</v>
      </c>
      <c r="AI1078" s="161">
        <v>-4.7999999990952345E-4</v>
      </c>
      <c r="AJ1078" s="161">
        <v>-4.7999999990952345E-4</v>
      </c>
      <c r="AK1078" s="161">
        <v>-4.7999999990952345E-4</v>
      </c>
      <c r="AL1078" s="161">
        <v>-4.7999999990952345E-4</v>
      </c>
      <c r="AM1078" s="161">
        <v>-4.7999999990952345E-4</v>
      </c>
      <c r="AN1078" s="161">
        <v>-4.7999999990952345E-4</v>
      </c>
      <c r="AO1078" s="161">
        <v>-4.7999999990952345E-4</v>
      </c>
      <c r="AP1078" s="125" t="str">
        <f>CONCATENATE(A1078,M1078)</f>
        <v>Def TaxR</v>
      </c>
      <c r="AQ1078" s="125" t="str">
        <f>CONCATENATE(AP1078,L1078,H1078)</f>
        <v>Def TaxRR11Service Quality Performance Program</v>
      </c>
      <c r="AS1078" s="125" t="str">
        <f>CONCATENATE(L1078,H1078,J1078)</f>
        <v>R11Service Quality Performance Program</v>
      </c>
    </row>
    <row r="1079" spans="1:45" s="125" customFormat="1" ht="25.5" customHeight="1">
      <c r="A1079" s="216" t="s">
        <v>1996</v>
      </c>
      <c r="B1079" s="217" t="str">
        <f t="shared" si="467"/>
        <v>Def Tax1905020-283.21.60BT010225</v>
      </c>
      <c r="C1079" s="186">
        <v>190502</v>
      </c>
      <c r="D1079" s="201" t="s">
        <v>154</v>
      </c>
      <c r="E1079" s="162" t="s">
        <v>396</v>
      </c>
      <c r="F1079" s="169" t="s">
        <v>1958</v>
      </c>
      <c r="G1079" s="117" t="s">
        <v>195</v>
      </c>
      <c r="H1079" s="118" t="s">
        <v>2369</v>
      </c>
      <c r="I1079" s="119"/>
      <c r="J1079" s="120"/>
      <c r="K1079" s="120" t="str">
        <f>IF(L1079="N3","SFAS-109","")</f>
        <v/>
      </c>
      <c r="L1079" s="170" t="s">
        <v>928</v>
      </c>
      <c r="M1079" s="122" t="str">
        <f t="shared" si="456"/>
        <v>N</v>
      </c>
      <c r="N1079" s="116" t="str">
        <f>IF($L1079&lt;&gt;"",VLOOKUP($L1079,Categories!$E:$G,2,FALSE),IF($F1079&lt;&gt;"","NO CAT",""))</f>
        <v>Not in Rate Base</v>
      </c>
      <c r="O1079" s="116" t="str">
        <f>IF($L1079&lt;&gt;"",VLOOKUP($L1079,Categories!$E:$G,3,FALSE),IF($F1079&lt;&gt;"","NO CAT",""))</f>
        <v>Direct Assign Items Not in RB</v>
      </c>
      <c r="P1079" s="170" t="s">
        <v>1186</v>
      </c>
      <c r="Q1079" s="123" t="s">
        <v>1187</v>
      </c>
      <c r="R1079" s="124">
        <v>0</v>
      </c>
      <c r="S1079" s="124">
        <v>0</v>
      </c>
      <c r="T1079" s="124">
        <v>1</v>
      </c>
      <c r="U1079" s="121">
        <f t="shared" si="459"/>
        <v>0</v>
      </c>
      <c r="V1079" s="121">
        <f t="shared" si="460"/>
        <v>0</v>
      </c>
      <c r="W1079" s="121">
        <f t="shared" si="461"/>
        <v>26.164999999999999</v>
      </c>
      <c r="X1079" s="121">
        <f t="shared" si="465"/>
        <v>26.164999999999999</v>
      </c>
      <c r="Y1079" s="121">
        <f t="shared" si="462"/>
        <v>0</v>
      </c>
      <c r="Z1079" s="121">
        <f t="shared" si="463"/>
        <v>0</v>
      </c>
      <c r="AA1079" s="121">
        <f t="shared" si="464"/>
        <v>26.164999999999999</v>
      </c>
      <c r="AB1079" s="121">
        <f t="shared" si="466"/>
        <v>26.164999999999999</v>
      </c>
      <c r="AC1079" s="121">
        <v>26.164999999999999</v>
      </c>
      <c r="AD1079" s="121">
        <v>26.164999999999999</v>
      </c>
      <c r="AE1079" s="121">
        <v>26.164999999999999</v>
      </c>
      <c r="AF1079" s="121">
        <v>26.164999999999999</v>
      </c>
      <c r="AG1079" s="121">
        <v>26.164999999999999</v>
      </c>
      <c r="AH1079" s="121">
        <v>26.164999999999999</v>
      </c>
      <c r="AI1079" s="161">
        <v>26.164999999999999</v>
      </c>
      <c r="AJ1079" s="161">
        <v>26.164999999999999</v>
      </c>
      <c r="AK1079" s="161">
        <v>26.164999999999999</v>
      </c>
      <c r="AL1079" s="161">
        <v>26.164999999999999</v>
      </c>
      <c r="AM1079" s="161">
        <v>26.164999999999999</v>
      </c>
      <c r="AN1079" s="161">
        <v>26.164999999999999</v>
      </c>
      <c r="AO1079" s="161">
        <v>26.164999999999999</v>
      </c>
      <c r="AP1079" s="125" t="str">
        <f>CONCATENATE(A1079,M1079)</f>
        <v>Def TaxN</v>
      </c>
      <c r="AQ1079" s="125" t="str">
        <f>CONCATENATE(AP1079,L1079,H1079)</f>
        <v>Def TaxNN2Environmental</v>
      </c>
      <c r="AS1079" s="125" t="str">
        <f>CONCATENATE(L1079,H1079,J1079)</f>
        <v>N2Environmental</v>
      </c>
    </row>
    <row r="1080" spans="1:45" s="125" customFormat="1" ht="25.5" customHeight="1">
      <c r="A1080" s="216" t="s">
        <v>1996</v>
      </c>
      <c r="B1080" s="217" t="str">
        <f t="shared" si="467"/>
        <v>Def Tax1905020-283.21.60BT010224</v>
      </c>
      <c r="C1080" s="186">
        <v>190502</v>
      </c>
      <c r="D1080" s="201" t="s">
        <v>154</v>
      </c>
      <c r="E1080" s="162" t="s">
        <v>395</v>
      </c>
      <c r="F1080" s="169" t="s">
        <v>1958</v>
      </c>
      <c r="G1080" s="117" t="s">
        <v>1846</v>
      </c>
      <c r="H1080" s="118" t="s">
        <v>2369</v>
      </c>
      <c r="I1080" s="119"/>
      <c r="J1080" s="120"/>
      <c r="K1080" s="120" t="str">
        <f t="shared" ref="K1080:K1135" si="469">IF(L1080="N3","SFAS-109","")</f>
        <v/>
      </c>
      <c r="L1080" s="170" t="s">
        <v>928</v>
      </c>
      <c r="M1080" s="122" t="str">
        <f t="shared" si="456"/>
        <v>N</v>
      </c>
      <c r="N1080" s="116" t="str">
        <f>IF($L1080&lt;&gt;"",VLOOKUP($L1080,Categories!$E:$G,2,FALSE),IF($F1080&lt;&gt;"","NO CAT",""))</f>
        <v>Not in Rate Base</v>
      </c>
      <c r="O1080" s="116" t="str">
        <f>IF($L1080&lt;&gt;"",VLOOKUP($L1080,Categories!$E:$G,3,FALSE),IF($F1080&lt;&gt;"","NO CAT",""))</f>
        <v>Direct Assign Items Not in RB</v>
      </c>
      <c r="P1080" s="170" t="s">
        <v>1186</v>
      </c>
      <c r="Q1080" s="123" t="s">
        <v>1187</v>
      </c>
      <c r="R1080" s="124">
        <v>0</v>
      </c>
      <c r="S1080" s="124">
        <v>0</v>
      </c>
      <c r="T1080" s="124">
        <v>1</v>
      </c>
      <c r="U1080" s="121">
        <f t="shared" si="459"/>
        <v>0</v>
      </c>
      <c r="V1080" s="121">
        <f t="shared" si="460"/>
        <v>0</v>
      </c>
      <c r="W1080" s="121">
        <f t="shared" si="461"/>
        <v>0.82399999999999995</v>
      </c>
      <c r="X1080" s="121">
        <f t="shared" si="465"/>
        <v>0.82399999999999995</v>
      </c>
      <c r="Y1080" s="121">
        <f t="shared" si="462"/>
        <v>0</v>
      </c>
      <c r="Z1080" s="121">
        <f t="shared" si="463"/>
        <v>0</v>
      </c>
      <c r="AA1080" s="121">
        <f t="shared" si="464"/>
        <v>0.82399999999999995</v>
      </c>
      <c r="AB1080" s="121">
        <f t="shared" si="466"/>
        <v>0.82399999999999995</v>
      </c>
      <c r="AC1080" s="121">
        <v>0.82399999999999995</v>
      </c>
      <c r="AD1080" s="121">
        <v>0.82399999999999995</v>
      </c>
      <c r="AE1080" s="121">
        <v>0.82399999999999995</v>
      </c>
      <c r="AF1080" s="121">
        <v>0.82399999999999995</v>
      </c>
      <c r="AG1080" s="121">
        <v>0.82399999999999995</v>
      </c>
      <c r="AH1080" s="121">
        <v>0.82399999999999995</v>
      </c>
      <c r="AI1080" s="161">
        <v>0.82399999999999995</v>
      </c>
      <c r="AJ1080" s="161">
        <v>0.82399999999999995</v>
      </c>
      <c r="AK1080" s="161">
        <v>0.82399999999999995</v>
      </c>
      <c r="AL1080" s="161">
        <v>0.82399999999999995</v>
      </c>
      <c r="AM1080" s="161">
        <v>0.82399999999999995</v>
      </c>
      <c r="AN1080" s="161">
        <v>0.82399999999999995</v>
      </c>
      <c r="AO1080" s="161">
        <v>0.82399999999999995</v>
      </c>
      <c r="AP1080" s="125" t="str">
        <f>CONCATENATE(A1080,M1080)</f>
        <v>Def TaxN</v>
      </c>
      <c r="AQ1080" s="125" t="str">
        <f>CONCATENATE(AP1080,L1080,H1080)</f>
        <v>Def TaxNN2Environmental</v>
      </c>
      <c r="AS1080" s="125" t="str">
        <f>CONCATENATE(L1080,H1080,J1080)</f>
        <v>N2Environmental</v>
      </c>
    </row>
    <row r="1081" spans="1:45" s="125" customFormat="1" ht="25.5" customHeight="1">
      <c r="A1081" s="216" t="s">
        <v>1996</v>
      </c>
      <c r="B1081" s="217" t="str">
        <f>CONCATENATE(A1081,C1081,D1081,E1081)</f>
        <v>Def Tax190502BT010390</v>
      </c>
      <c r="C1081" s="186">
        <v>190502</v>
      </c>
      <c r="D1081" s="201"/>
      <c r="E1081" s="162" t="s">
        <v>2235</v>
      </c>
      <c r="F1081" s="169" t="s">
        <v>1958</v>
      </c>
      <c r="G1081" s="117" t="s">
        <v>4498</v>
      </c>
      <c r="H1081" s="118" t="s">
        <v>2675</v>
      </c>
      <c r="I1081" s="119"/>
      <c r="J1081" s="120" t="s">
        <v>105</v>
      </c>
      <c r="K1081" s="120" t="str">
        <f>IF(L1081="N3","SFAS-109","")</f>
        <v/>
      </c>
      <c r="L1081" s="170" t="s">
        <v>2821</v>
      </c>
      <c r="M1081" s="122" t="str">
        <f>LEFT(L1081,1)</f>
        <v>N</v>
      </c>
      <c r="N1081" s="116" t="str">
        <f>IF($L1081&lt;&gt;"",VLOOKUP($L1081,Categories!$E:$G,2,FALSE),IF($F1081&lt;&gt;"","NO CAT",""))</f>
        <v>Not in Rate Base</v>
      </c>
      <c r="O1081" s="116" t="str">
        <f>IF($L1081&lt;&gt;"",VLOOKUP($L1081,Categories!$E:$G,3,FALSE),IF($F1081&lt;&gt;"","NO CAT",""))</f>
        <v>Deferrals Accruing Non-Cash Return   (other than ASGA)</v>
      </c>
      <c r="P1081" s="170" t="s">
        <v>1186</v>
      </c>
      <c r="Q1081" s="123" t="s">
        <v>1187</v>
      </c>
      <c r="R1081" s="124">
        <v>0</v>
      </c>
      <c r="S1081" s="124">
        <v>0</v>
      </c>
      <c r="T1081" s="124">
        <v>1</v>
      </c>
      <c r="U1081" s="121">
        <f>IF(ABS(X1081)=0,"",IF($R1081="NO ALLOC","NO ALLOC",ROUND($R1081*X1081,15)))</f>
        <v>0</v>
      </c>
      <c r="V1081" s="121">
        <f>IF(ABS(X1081)=0,"",IF($S1081="NO ALLOC","NO ALLOC",ROUND($S1081*X1081,15)))</f>
        <v>0</v>
      </c>
      <c r="W1081" s="121">
        <f>IF(ABS(X1081)=0,"",IF($T1081="NO ALLOC","NO ALLOC",ROUND($T1081*X1081,15)))</f>
        <v>1191.7171499999999</v>
      </c>
      <c r="X1081" s="121">
        <f t="shared" si="465"/>
        <v>1191.7171499999999</v>
      </c>
      <c r="Y1081" s="121">
        <f>IF(ABS(AB1081)=0,"",IF($R1081="NO ALLOC","NO ALLOC",ROUND($R1081*AB1081,15)))</f>
        <v>0</v>
      </c>
      <c r="Z1081" s="121">
        <f>IF(ABS(AB1081)=0,"",IF($S1081="NO ALLOC","NO ALLOC",ROUND($S1081*AB1081,15)))</f>
        <v>0</v>
      </c>
      <c r="AA1081" s="121">
        <f>IF(ABS(AB1081)=0,"",IF($T1081="NO ALLOC","NO ALLOC",ROUND($T1081*AB1081,15)))</f>
        <v>1422.4199000000001</v>
      </c>
      <c r="AB1081" s="121">
        <f t="shared" si="466"/>
        <v>1422.4199000000001</v>
      </c>
      <c r="AC1081" s="121">
        <v>958.76078000000007</v>
      </c>
      <c r="AD1081" s="121">
        <v>998.89884000000006</v>
      </c>
      <c r="AE1081" s="121">
        <v>1035.7281</v>
      </c>
      <c r="AF1081" s="121">
        <v>1074.4576300000001</v>
      </c>
      <c r="AG1081" s="121">
        <v>1113.3519900000001</v>
      </c>
      <c r="AH1081" s="121">
        <v>1152.4120700000003</v>
      </c>
      <c r="AI1081" s="161">
        <v>1191.6387000000002</v>
      </c>
      <c r="AJ1081" s="161">
        <v>1231.0327500000003</v>
      </c>
      <c r="AK1081" s="161">
        <v>1270.5951000000002</v>
      </c>
      <c r="AL1081" s="161">
        <v>1309.4568700000004</v>
      </c>
      <c r="AM1081" s="161">
        <v>1347.3940100000002</v>
      </c>
      <c r="AN1081" s="161">
        <v>1385.0494000000001</v>
      </c>
      <c r="AO1081" s="161">
        <v>1422.4199000000001</v>
      </c>
      <c r="AP1081" s="125" t="str">
        <f>CONCATENATE(A1081,M1081)</f>
        <v>Def TaxN</v>
      </c>
      <c r="AQ1081" s="125" t="str">
        <f>CONCATENATE(AP1081,L1081,H1081)</f>
        <v>Def TaxNN10Mixed Use 263(a)</v>
      </c>
      <c r="AS1081" s="125" t="str">
        <f>CONCATENATE(L1081,H1081,J1081)</f>
        <v>N10Mixed Use 263(a)NCR</v>
      </c>
    </row>
    <row r="1082" spans="1:45" s="125" customFormat="1" ht="25.5" customHeight="1">
      <c r="A1082" s="216" t="s">
        <v>1996</v>
      </c>
      <c r="B1082" s="217" t="str">
        <f>CONCATENATE(A1082,C1082,D1082,E1082)</f>
        <v>Def Tax190502BT010154</v>
      </c>
      <c r="C1082" s="186">
        <v>190502</v>
      </c>
      <c r="D1082" s="201"/>
      <c r="E1082" s="162" t="s">
        <v>4508</v>
      </c>
      <c r="F1082" s="169" t="s">
        <v>1958</v>
      </c>
      <c r="G1082" s="117" t="s">
        <v>4418</v>
      </c>
      <c r="H1082" s="118" t="s">
        <v>4418</v>
      </c>
      <c r="I1082" s="119"/>
      <c r="J1082" s="120"/>
      <c r="K1082" s="120" t="str">
        <f>IF(L1082="N3","SFAS-109","")</f>
        <v/>
      </c>
      <c r="L1082" s="170" t="s">
        <v>1895</v>
      </c>
      <c r="M1082" s="122" t="str">
        <f>LEFT(L1082,1)</f>
        <v>R</v>
      </c>
      <c r="N1082" s="116" t="str">
        <f>IF($L1082&lt;&gt;"",VLOOKUP($L1082,Categories!$E:$G,2,FALSE),IF($F1082&lt;&gt;"","NO CAT",""))</f>
        <v>Rate Base</v>
      </c>
      <c r="O1082" s="116" t="str">
        <f>IF($L1082&lt;&gt;"",VLOOKUP($L1082,Categories!$E:$G,3,FALSE),IF($F1082&lt;&gt;"","NO CAT",""))</f>
        <v>Deferred Income Taxes</v>
      </c>
      <c r="P1082" s="170" t="s">
        <v>1184</v>
      </c>
      <c r="Q1082" s="123" t="s">
        <v>1178</v>
      </c>
      <c r="R1082" s="124">
        <v>0</v>
      </c>
      <c r="S1082" s="124">
        <v>1</v>
      </c>
      <c r="T1082" s="124">
        <v>0</v>
      </c>
      <c r="U1082" s="121">
        <f>IF(ABS(X1082)=0,"",IF($R1082="NO ALLOC","NO ALLOC",ROUND($R1082*X1082,15)))</f>
        <v>0</v>
      </c>
      <c r="V1082" s="121">
        <f>IF(ABS(X1082)=0,"",IF($S1082="NO ALLOC","NO ALLOC",ROUND($S1082*X1082,15)))</f>
        <v>44.571494166666703</v>
      </c>
      <c r="W1082" s="121">
        <f>IF(ABS(X1082)=0,"",IF($T1082="NO ALLOC","NO ALLOC",ROUND($T1082*X1082,15)))</f>
        <v>0</v>
      </c>
      <c r="X1082" s="121">
        <f t="shared" si="465"/>
        <v>44.571494166666703</v>
      </c>
      <c r="Y1082" s="121">
        <f>IF(ABS(AB1082)=0,"",IF($R1082="NO ALLOC","NO ALLOC",ROUND($R1082*AB1082,15)))</f>
        <v>0</v>
      </c>
      <c r="Z1082" s="121">
        <f>IF(ABS(AB1082)=0,"",IF($S1082="NO ALLOC","NO ALLOC",ROUND($S1082*AB1082,15)))</f>
        <v>44.545549999999999</v>
      </c>
      <c r="AA1082" s="121">
        <f>IF(ABS(AB1082)=0,"",IF($T1082="NO ALLOC","NO ALLOC",ROUND($T1082*AB1082,15)))</f>
        <v>0</v>
      </c>
      <c r="AB1082" s="121">
        <f t="shared" si="466"/>
        <v>44.545550000000006</v>
      </c>
      <c r="AC1082" s="121">
        <v>45.168210000000009</v>
      </c>
      <c r="AD1082" s="121">
        <v>44.545550000000006</v>
      </c>
      <c r="AE1082" s="121">
        <v>44.545550000000006</v>
      </c>
      <c r="AF1082" s="121">
        <v>44.545550000000006</v>
      </c>
      <c r="AG1082" s="121">
        <v>44.545550000000006</v>
      </c>
      <c r="AH1082" s="121">
        <v>44.545550000000006</v>
      </c>
      <c r="AI1082" s="161">
        <v>44.545550000000006</v>
      </c>
      <c r="AJ1082" s="161">
        <v>44.545550000000006</v>
      </c>
      <c r="AK1082" s="161">
        <v>44.545550000000006</v>
      </c>
      <c r="AL1082" s="161">
        <v>44.545550000000006</v>
      </c>
      <c r="AM1082" s="161">
        <v>44.545550000000006</v>
      </c>
      <c r="AN1082" s="161">
        <v>44.545550000000006</v>
      </c>
      <c r="AO1082" s="161">
        <v>44.545550000000006</v>
      </c>
      <c r="AP1082" s="125" t="str">
        <f>CONCATENATE(A1082,M1082)</f>
        <v>Def TaxR</v>
      </c>
      <c r="AQ1082" s="125" t="str">
        <f>CONCATENATE(AP1082,L1082,H1082)</f>
        <v>Def TaxRR11Net Plant Reconciliation</v>
      </c>
    </row>
    <row r="1083" spans="1:45" s="125" customFormat="1" ht="25.5" customHeight="1">
      <c r="A1083" s="216" t="s">
        <v>1996</v>
      </c>
      <c r="B1083" s="217" t="str">
        <f t="shared" si="467"/>
        <v>Def Tax1905020-283.20.12-aBC030163</v>
      </c>
      <c r="C1083" s="186">
        <v>190502</v>
      </c>
      <c r="D1083" s="201" t="s">
        <v>2365</v>
      </c>
      <c r="E1083" s="162" t="s">
        <v>1727</v>
      </c>
      <c r="F1083" s="169" t="s">
        <v>1958</v>
      </c>
      <c r="G1083" s="117" t="s">
        <v>192</v>
      </c>
      <c r="H1083" s="118" t="s">
        <v>1484</v>
      </c>
      <c r="I1083" s="119"/>
      <c r="J1083" s="120"/>
      <c r="K1083" s="120" t="str">
        <f t="shared" si="469"/>
        <v/>
      </c>
      <c r="L1083" s="170" t="s">
        <v>1895</v>
      </c>
      <c r="M1083" s="122" t="str">
        <f t="shared" si="456"/>
        <v>R</v>
      </c>
      <c r="N1083" s="116" t="str">
        <f>IF($L1083&lt;&gt;"",VLOOKUP($L1083,Categories!$E:$G,2,FALSE),IF($F1083&lt;&gt;"","NO CAT",""))</f>
        <v>Rate Base</v>
      </c>
      <c r="O1083" s="116" t="str">
        <f>IF($L1083&lt;&gt;"",VLOOKUP($L1083,Categories!$E:$G,3,FALSE),IF($F1083&lt;&gt;"","NO CAT",""))</f>
        <v>Deferred Income Taxes</v>
      </c>
      <c r="P1083" s="170" t="s">
        <v>1184</v>
      </c>
      <c r="Q1083" s="123" t="s">
        <v>1178</v>
      </c>
      <c r="R1083" s="124">
        <v>0</v>
      </c>
      <c r="S1083" s="124">
        <v>1</v>
      </c>
      <c r="T1083" s="124">
        <v>0</v>
      </c>
      <c r="U1083" s="121">
        <f t="shared" si="459"/>
        <v>0</v>
      </c>
      <c r="V1083" s="121">
        <f t="shared" si="460"/>
        <v>35.327273750000003</v>
      </c>
      <c r="W1083" s="121">
        <f t="shared" si="461"/>
        <v>0</v>
      </c>
      <c r="X1083" s="121">
        <f t="shared" si="465"/>
        <v>35.327273750000003</v>
      </c>
      <c r="Y1083" s="121">
        <f t="shared" si="462"/>
        <v>0</v>
      </c>
      <c r="Z1083" s="121">
        <f t="shared" si="463"/>
        <v>54.786000000000001</v>
      </c>
      <c r="AA1083" s="121">
        <f t="shared" si="464"/>
        <v>0</v>
      </c>
      <c r="AB1083" s="121">
        <f t="shared" si="466"/>
        <v>54.786000000000001</v>
      </c>
      <c r="AC1083" s="121">
        <v>35.358629999999998</v>
      </c>
      <c r="AD1083" s="121">
        <v>33.902990000000003</v>
      </c>
      <c r="AE1083" s="121">
        <v>32.344889999999999</v>
      </c>
      <c r="AF1083" s="121">
        <v>30.563479999999998</v>
      </c>
      <c r="AG1083" s="121">
        <v>29.61271</v>
      </c>
      <c r="AH1083" s="121">
        <v>29.324570000000001</v>
      </c>
      <c r="AI1083" s="161">
        <v>40.951020000000007</v>
      </c>
      <c r="AJ1083" s="161">
        <v>29.946910000000003</v>
      </c>
      <c r="AK1083" s="161">
        <v>30.119360000000004</v>
      </c>
      <c r="AL1083" s="161">
        <v>33.943700000000007</v>
      </c>
      <c r="AM1083" s="161">
        <v>33.841190000000005</v>
      </c>
      <c r="AN1083" s="161">
        <v>54.30415</v>
      </c>
      <c r="AO1083" s="161">
        <v>54.786000000000001</v>
      </c>
      <c r="AP1083" s="125" t="str">
        <f>CONCATENATE(A1083,M1083)</f>
        <v>Def TaxR</v>
      </c>
      <c r="AQ1083" s="125" t="str">
        <f>CONCATENATE(AP1083,L1083,H1083)</f>
        <v>Def TaxRR11MTA Surcharge</v>
      </c>
      <c r="AS1083" s="125" t="str">
        <f>CONCATENATE(L1083,H1083,J1083)</f>
        <v>R11MTA Surcharge</v>
      </c>
    </row>
    <row r="1084" spans="1:45" s="125" customFormat="1" ht="25.5" customHeight="1">
      <c r="A1084" s="216" t="s">
        <v>1996</v>
      </c>
      <c r="B1084" s="217" t="str">
        <f t="shared" si="467"/>
        <v>Def Tax1905020-283.20.12-bBC030163</v>
      </c>
      <c r="C1084" s="186">
        <v>190502</v>
      </c>
      <c r="D1084" s="201" t="s">
        <v>2366</v>
      </c>
      <c r="E1084" s="162" t="s">
        <v>1727</v>
      </c>
      <c r="F1084" s="169" t="s">
        <v>1958</v>
      </c>
      <c r="G1084" s="117" t="s">
        <v>372</v>
      </c>
      <c r="H1084" s="118" t="s">
        <v>1484</v>
      </c>
      <c r="I1084" s="119"/>
      <c r="J1084" s="120"/>
      <c r="K1084" s="120" t="str">
        <f>IF(L1084="N3","SFAS-109","")</f>
        <v/>
      </c>
      <c r="L1084" s="170" t="s">
        <v>1895</v>
      </c>
      <c r="M1084" s="122" t="str">
        <f t="shared" si="456"/>
        <v>R</v>
      </c>
      <c r="N1084" s="116" t="str">
        <f>IF($L1084&lt;&gt;"",VLOOKUP($L1084,Categories!$E:$G,2,FALSE),IF($F1084&lt;&gt;"","NO CAT",""))</f>
        <v>Rate Base</v>
      </c>
      <c r="O1084" s="116" t="str">
        <f>IF($L1084&lt;&gt;"",VLOOKUP($L1084,Categories!$E:$G,3,FALSE),IF($F1084&lt;&gt;"","NO CAT",""))</f>
        <v>Deferred Income Taxes</v>
      </c>
      <c r="P1084" s="170" t="s">
        <v>1184</v>
      </c>
      <c r="Q1084" s="123" t="s">
        <v>1178</v>
      </c>
      <c r="R1084" s="124">
        <v>0</v>
      </c>
      <c r="S1084" s="124">
        <v>1</v>
      </c>
      <c r="T1084" s="124">
        <v>0</v>
      </c>
      <c r="U1084" s="121">
        <f t="shared" si="459"/>
        <v>0</v>
      </c>
      <c r="V1084" s="121">
        <f t="shared" si="460"/>
        <v>69.775457083333293</v>
      </c>
      <c r="W1084" s="121">
        <f t="shared" si="461"/>
        <v>0</v>
      </c>
      <c r="X1084" s="121">
        <f t="shared" si="465"/>
        <v>69.775457083333293</v>
      </c>
      <c r="Y1084" s="121">
        <f t="shared" si="462"/>
        <v>0</v>
      </c>
      <c r="Z1084" s="121">
        <f t="shared" si="463"/>
        <v>50.29318</v>
      </c>
      <c r="AA1084" s="121">
        <f t="shared" si="464"/>
        <v>0</v>
      </c>
      <c r="AB1084" s="121">
        <f t="shared" si="466"/>
        <v>50.29318</v>
      </c>
      <c r="AC1084" s="121">
        <v>70.790170000000003</v>
      </c>
      <c r="AD1084" s="121">
        <v>71.314830000000001</v>
      </c>
      <c r="AE1084" s="121">
        <v>71.839500000000001</v>
      </c>
      <c r="AF1084" s="121">
        <v>72.364159999999998</v>
      </c>
      <c r="AG1084" s="121">
        <v>72.888829999999999</v>
      </c>
      <c r="AH1084" s="121">
        <v>73.413489999999996</v>
      </c>
      <c r="AI1084" s="161">
        <v>60.612690000000001</v>
      </c>
      <c r="AJ1084" s="161">
        <v>80.442990000000009</v>
      </c>
      <c r="AK1084" s="161">
        <v>80.080420000000004</v>
      </c>
      <c r="AL1084" s="161">
        <v>71.394289999999998</v>
      </c>
      <c r="AM1084" s="161">
        <v>71.756860000000003</v>
      </c>
      <c r="AN1084" s="161">
        <v>50.655749999999998</v>
      </c>
      <c r="AO1084" s="161">
        <v>50.29318</v>
      </c>
      <c r="AP1084" s="125" t="str">
        <f>CONCATENATE(A1084,M1084)</f>
        <v>Def TaxR</v>
      </c>
      <c r="AQ1084" s="125" t="str">
        <f>CONCATENATE(AP1084,L1084,H1084)</f>
        <v>Def TaxRR11MTA Surcharge</v>
      </c>
      <c r="AS1084" s="125" t="str">
        <f>CONCATENATE(L1084,H1084,J1084)</f>
        <v>R11MTA Surcharge</v>
      </c>
    </row>
    <row r="1085" spans="1:45" s="125" customFormat="1" ht="25.5" customHeight="1">
      <c r="A1085" s="216" t="s">
        <v>1996</v>
      </c>
      <c r="B1085" s="217" t="str">
        <f t="shared" si="467"/>
        <v>Def Tax1905020-283.20.12-cBC030163</v>
      </c>
      <c r="C1085" s="186">
        <v>190502</v>
      </c>
      <c r="D1085" s="201" t="s">
        <v>2556</v>
      </c>
      <c r="E1085" s="162" t="s">
        <v>1727</v>
      </c>
      <c r="F1085" s="169" t="s">
        <v>1958</v>
      </c>
      <c r="G1085" s="117" t="s">
        <v>373</v>
      </c>
      <c r="H1085" s="118" t="s">
        <v>1484</v>
      </c>
      <c r="I1085" s="119"/>
      <c r="J1085" s="120"/>
      <c r="K1085" s="120" t="str">
        <f>IF(L1085="N3","SFAS-109","")</f>
        <v/>
      </c>
      <c r="L1085" s="170" t="s">
        <v>1895</v>
      </c>
      <c r="M1085" s="122" t="str">
        <f t="shared" si="456"/>
        <v>R</v>
      </c>
      <c r="N1085" s="116" t="str">
        <f>IF($L1085&lt;&gt;"",VLOOKUP($L1085,Categories!$E:$G,2,FALSE),IF($F1085&lt;&gt;"","NO CAT",""))</f>
        <v>Rate Base</v>
      </c>
      <c r="O1085" s="116" t="str">
        <f>IF($L1085&lt;&gt;"",VLOOKUP($L1085,Categories!$E:$G,3,FALSE),IF($F1085&lt;&gt;"","NO CAT",""))</f>
        <v>Deferred Income Taxes</v>
      </c>
      <c r="P1085" s="170" t="s">
        <v>1184</v>
      </c>
      <c r="Q1085" s="123" t="s">
        <v>1178</v>
      </c>
      <c r="R1085" s="124">
        <v>0</v>
      </c>
      <c r="S1085" s="124">
        <v>1</v>
      </c>
      <c r="T1085" s="124">
        <v>0</v>
      </c>
      <c r="U1085" s="121">
        <f t="shared" si="459"/>
        <v>0</v>
      </c>
      <c r="V1085" s="121">
        <f t="shared" si="460"/>
        <v>1.5667916666667E-2</v>
      </c>
      <c r="W1085" s="121">
        <f t="shared" si="461"/>
        <v>0</v>
      </c>
      <c r="X1085" s="121">
        <f t="shared" si="465"/>
        <v>1.5667916666667E-2</v>
      </c>
      <c r="Y1085" s="121">
        <f t="shared" si="462"/>
        <v>0</v>
      </c>
      <c r="Z1085" s="121">
        <f t="shared" si="463"/>
        <v>1.37114</v>
      </c>
      <c r="AA1085" s="121">
        <f t="shared" si="464"/>
        <v>0</v>
      </c>
      <c r="AB1085" s="121">
        <f t="shared" si="466"/>
        <v>1.3711400000000002</v>
      </c>
      <c r="AC1085" s="121">
        <v>-5.8409999999999865E-2</v>
      </c>
      <c r="AD1085" s="121">
        <v>-9.5659999999999898E-2</v>
      </c>
      <c r="AE1085" s="121">
        <v>-0.13290999999999986</v>
      </c>
      <c r="AF1085" s="121">
        <v>-0.17015999999999987</v>
      </c>
      <c r="AG1085" s="121">
        <v>-0.17015999999999987</v>
      </c>
      <c r="AH1085" s="121">
        <v>-0.24467</v>
      </c>
      <c r="AI1085" s="161">
        <v>0.66419000000000017</v>
      </c>
      <c r="AJ1085" s="161">
        <v>-0.74375999999999987</v>
      </c>
      <c r="AK1085" s="161">
        <v>-0.71801999999999988</v>
      </c>
      <c r="AL1085" s="161">
        <v>-0.10129999999999983</v>
      </c>
      <c r="AM1085" s="161">
        <v>-0.12703999999999985</v>
      </c>
      <c r="AN1085" s="161">
        <v>1.3711400000000002</v>
      </c>
      <c r="AO1085" s="161">
        <v>1.3711400000000002</v>
      </c>
      <c r="AP1085" s="125" t="str">
        <f>CONCATENATE(A1085,M1085)</f>
        <v>Def TaxR</v>
      </c>
      <c r="AQ1085" s="125" t="str">
        <f>CONCATENATE(AP1085,L1085,H1085)</f>
        <v>Def TaxRR11MTA Surcharge</v>
      </c>
      <c r="AS1085" s="125" t="str">
        <f>CONCATENATE(L1085,H1085,J1085)</f>
        <v>R11MTA Surcharge</v>
      </c>
    </row>
    <row r="1086" spans="1:45" s="125" customFormat="1" ht="25.5" customHeight="1">
      <c r="A1086" s="216" t="s">
        <v>1996</v>
      </c>
      <c r="B1086" s="217" t="str">
        <f t="shared" si="467"/>
        <v>Def Tax190502GSC RefundBG030586</v>
      </c>
      <c r="C1086" s="186">
        <v>190502</v>
      </c>
      <c r="D1086" s="201" t="s">
        <v>2704</v>
      </c>
      <c r="E1086" s="162" t="s">
        <v>2705</v>
      </c>
      <c r="F1086" s="169" t="s">
        <v>1958</v>
      </c>
      <c r="G1086" s="117" t="s">
        <v>2703</v>
      </c>
      <c r="H1086" s="118" t="s">
        <v>2704</v>
      </c>
      <c r="I1086" s="119"/>
      <c r="J1086" s="231"/>
      <c r="K1086" s="120" t="str">
        <f t="shared" si="469"/>
        <v/>
      </c>
      <c r="L1086" s="170" t="s">
        <v>928</v>
      </c>
      <c r="M1086" s="122" t="str">
        <f t="shared" si="456"/>
        <v>N</v>
      </c>
      <c r="N1086" s="116" t="str">
        <f>IF($L1086&lt;&gt;"",VLOOKUP($L1086,Categories!$E:$G,2,FALSE),IF($F1086&lt;&gt;"","NO CAT",""))</f>
        <v>Not in Rate Base</v>
      </c>
      <c r="O1086" s="116" t="str">
        <f>IF($L1086&lt;&gt;"",VLOOKUP($L1086,Categories!$E:$G,3,FALSE),IF($F1086&lt;&gt;"","NO CAT",""))</f>
        <v>Direct Assign Items Not in RB</v>
      </c>
      <c r="P1086" s="170" t="s">
        <v>1186</v>
      </c>
      <c r="Q1086" s="123" t="s">
        <v>1187</v>
      </c>
      <c r="R1086" s="124">
        <v>0</v>
      </c>
      <c r="S1086" s="124">
        <v>0</v>
      </c>
      <c r="T1086" s="124">
        <v>1</v>
      </c>
      <c r="U1086" s="121">
        <f t="shared" si="459"/>
        <v>0</v>
      </c>
      <c r="V1086" s="121">
        <f t="shared" si="460"/>
        <v>0</v>
      </c>
      <c r="W1086" s="121">
        <f t="shared" si="461"/>
        <v>143.89832250000001</v>
      </c>
      <c r="X1086" s="121">
        <f t="shared" si="465"/>
        <v>143.89832250000001</v>
      </c>
      <c r="Y1086" s="121">
        <f t="shared" si="462"/>
        <v>0</v>
      </c>
      <c r="Z1086" s="121">
        <f t="shared" si="463"/>
        <v>0</v>
      </c>
      <c r="AA1086" s="121">
        <f t="shared" si="464"/>
        <v>109.36011000000001</v>
      </c>
      <c r="AB1086" s="121">
        <f t="shared" si="466"/>
        <v>109.36011000000006</v>
      </c>
      <c r="AC1086" s="121">
        <v>380.66215</v>
      </c>
      <c r="AD1086" s="121">
        <v>315.78066000000001</v>
      </c>
      <c r="AE1086" s="121">
        <v>243.97551000000004</v>
      </c>
      <c r="AF1086" s="121">
        <v>180.01655000000005</v>
      </c>
      <c r="AG1086" s="121">
        <v>135.37898000000004</v>
      </c>
      <c r="AH1086" s="121">
        <v>112.04011000000004</v>
      </c>
      <c r="AI1086" s="161">
        <v>99.317250000000044</v>
      </c>
      <c r="AJ1086" s="161">
        <v>90.282630000000054</v>
      </c>
      <c r="AK1086" s="161">
        <v>83.20112000000006</v>
      </c>
      <c r="AL1086" s="161">
        <v>73.925310000000053</v>
      </c>
      <c r="AM1086" s="161">
        <v>73.925310000000053</v>
      </c>
      <c r="AN1086" s="161">
        <v>73.925310000000053</v>
      </c>
      <c r="AO1086" s="161">
        <v>109.36011000000006</v>
      </c>
      <c r="AP1086" s="125" t="str">
        <f>CONCATENATE(A1086,M1086)</f>
        <v>Def TaxN</v>
      </c>
      <c r="AQ1086" s="125" t="str">
        <f>CONCATENATE(AP1086,L1086,H1086)</f>
        <v>Def TaxNN2GSC Refund</v>
      </c>
      <c r="AS1086" s="125" t="str">
        <f>CONCATENATE(L1086,H1086,J1086)</f>
        <v>N2GSC Refund</v>
      </c>
    </row>
    <row r="1087" spans="1:45" s="125" customFormat="1" ht="25.5" customHeight="1">
      <c r="A1087" s="216" t="s">
        <v>1996</v>
      </c>
      <c r="B1087" s="217" t="str">
        <f t="shared" si="467"/>
        <v>Def Tax190502VRDBG030598</v>
      </c>
      <c r="C1087" s="186">
        <v>190502</v>
      </c>
      <c r="D1087" s="201" t="s">
        <v>1434</v>
      </c>
      <c r="E1087" s="162" t="s">
        <v>741</v>
      </c>
      <c r="F1087" s="169" t="s">
        <v>1958</v>
      </c>
      <c r="G1087" s="117" t="s">
        <v>1014</v>
      </c>
      <c r="H1087" s="118" t="s">
        <v>1075</v>
      </c>
      <c r="I1087" s="119"/>
      <c r="J1087" s="231" t="s">
        <v>105</v>
      </c>
      <c r="K1087" s="120" t="str">
        <f t="shared" si="469"/>
        <v/>
      </c>
      <c r="L1087" s="170" t="s">
        <v>2821</v>
      </c>
      <c r="M1087" s="122" t="str">
        <f t="shared" si="456"/>
        <v>N</v>
      </c>
      <c r="N1087" s="116" t="str">
        <f>IF($L1087&lt;&gt;"",VLOOKUP($L1087,Categories!$E:$G,2,FALSE),IF($F1087&lt;&gt;"","NO CAT",""))</f>
        <v>Not in Rate Base</v>
      </c>
      <c r="O1087" s="116" t="str">
        <f>IF($L1087&lt;&gt;"",VLOOKUP($L1087,Categories!$E:$G,3,FALSE),IF($F1087&lt;&gt;"","NO CAT",""))</f>
        <v>Deferrals Accruing Non-Cash Return   (other than ASGA)</v>
      </c>
      <c r="P1087" s="170" t="s">
        <v>1186</v>
      </c>
      <c r="Q1087" s="123" t="s">
        <v>1187</v>
      </c>
      <c r="R1087" s="124">
        <v>0</v>
      </c>
      <c r="S1087" s="124">
        <v>0</v>
      </c>
      <c r="T1087" s="124">
        <v>1</v>
      </c>
      <c r="U1087" s="121">
        <f t="shared" si="459"/>
        <v>0</v>
      </c>
      <c r="V1087" s="121">
        <f t="shared" si="460"/>
        <v>0</v>
      </c>
      <c r="W1087" s="121">
        <f t="shared" si="461"/>
        <v>759.55742124999995</v>
      </c>
      <c r="X1087" s="121">
        <f t="shared" si="465"/>
        <v>759.55742124999995</v>
      </c>
      <c r="Y1087" s="121">
        <f t="shared" si="462"/>
        <v>0</v>
      </c>
      <c r="Z1087" s="121">
        <f t="shared" si="463"/>
        <v>0</v>
      </c>
      <c r="AA1087" s="121">
        <f t="shared" si="464"/>
        <v>958.26923999999997</v>
      </c>
      <c r="AB1087" s="121">
        <f t="shared" si="466"/>
        <v>958.2692400000002</v>
      </c>
      <c r="AC1087" s="121">
        <v>471.24871000000002</v>
      </c>
      <c r="AD1087" s="121">
        <v>609.19233000000008</v>
      </c>
      <c r="AE1087" s="121">
        <v>642.01699000000008</v>
      </c>
      <c r="AF1087" s="121">
        <v>662.18866000000014</v>
      </c>
      <c r="AG1087" s="121">
        <v>694.82221000000015</v>
      </c>
      <c r="AH1087" s="121">
        <v>727.97564000000023</v>
      </c>
      <c r="AI1087" s="161">
        <v>761.26213000000018</v>
      </c>
      <c r="AJ1087" s="161">
        <v>794.54775000000018</v>
      </c>
      <c r="AK1087" s="161">
        <v>827.62458000000015</v>
      </c>
      <c r="AL1087" s="161">
        <v>860.38712000000021</v>
      </c>
      <c r="AM1087" s="161">
        <v>893.37170000000015</v>
      </c>
      <c r="AN1087" s="161">
        <v>926.54097000000024</v>
      </c>
      <c r="AO1087" s="161">
        <v>958.2692400000002</v>
      </c>
      <c r="AP1087" s="125" t="str">
        <f>CONCATENATE(A1087,M1087)</f>
        <v>Def TaxN</v>
      </c>
      <c r="AQ1087" s="125" t="str">
        <f>CONCATENATE(AP1087,L1087,H1087)</f>
        <v>Def TaxNN10Variable Rate Debt</v>
      </c>
      <c r="AS1087" s="125" t="str">
        <f>CONCATENATE(L1087,H1087,J1087)</f>
        <v>N10Variable Rate DebtNCR</v>
      </c>
    </row>
    <row r="1088" spans="1:45" s="125" customFormat="1" ht="25.5" customHeight="1">
      <c r="A1088" s="216" t="s">
        <v>1996</v>
      </c>
      <c r="B1088" s="217" t="str">
        <f t="shared" si="467"/>
        <v>Def Tax190502NCR/Non NCR-a0</v>
      </c>
      <c r="C1088" s="186">
        <v>190502</v>
      </c>
      <c r="D1088" s="201" t="s">
        <v>2354</v>
      </c>
      <c r="E1088" s="162">
        <v>0</v>
      </c>
      <c r="F1088" s="169" t="s">
        <v>1958</v>
      </c>
      <c r="G1088" s="117" t="s">
        <v>1118</v>
      </c>
      <c r="H1088" s="118" t="s">
        <v>967</v>
      </c>
      <c r="I1088" s="119"/>
      <c r="J1088" s="120"/>
      <c r="K1088" s="120" t="str">
        <f t="shared" si="469"/>
        <v/>
      </c>
      <c r="L1088" s="170" t="s">
        <v>1895</v>
      </c>
      <c r="M1088" s="122" t="str">
        <f t="shared" si="456"/>
        <v>R</v>
      </c>
      <c r="N1088" s="116" t="str">
        <f>IF($L1088&lt;&gt;"",VLOOKUP($L1088,Categories!$E:$G,2,FALSE),IF($F1088&lt;&gt;"","NO CAT",""))</f>
        <v>Rate Base</v>
      </c>
      <c r="O1088" s="116" t="str">
        <f>IF($L1088&lt;&gt;"",VLOOKUP($L1088,Categories!$E:$G,3,FALSE),IF($F1088&lt;&gt;"","NO CAT",""))</f>
        <v>Deferred Income Taxes</v>
      </c>
      <c r="P1088" s="170" t="s">
        <v>1184</v>
      </c>
      <c r="Q1088" s="123" t="s">
        <v>1178</v>
      </c>
      <c r="R1088" s="124">
        <v>0</v>
      </c>
      <c r="S1088" s="124">
        <v>1</v>
      </c>
      <c r="T1088" s="124">
        <v>0</v>
      </c>
      <c r="U1088" s="121">
        <f t="shared" si="459"/>
        <v>0</v>
      </c>
      <c r="V1088" s="121">
        <f t="shared" si="460"/>
        <v>-193.17684</v>
      </c>
      <c r="W1088" s="121">
        <f t="shared" si="461"/>
        <v>0</v>
      </c>
      <c r="X1088" s="121">
        <f t="shared" si="465"/>
        <v>-193.17684</v>
      </c>
      <c r="Y1088" s="121">
        <f t="shared" si="462"/>
        <v>0</v>
      </c>
      <c r="Z1088" s="121">
        <f t="shared" si="463"/>
        <v>-193.17684</v>
      </c>
      <c r="AA1088" s="121">
        <f t="shared" si="464"/>
        <v>0</v>
      </c>
      <c r="AB1088" s="121">
        <f t="shared" si="466"/>
        <v>-193.17683999999997</v>
      </c>
      <c r="AC1088" s="121">
        <v>-193.17683999999997</v>
      </c>
      <c r="AD1088" s="121">
        <v>-193.17683999999997</v>
      </c>
      <c r="AE1088" s="121">
        <v>-193.17683999999997</v>
      </c>
      <c r="AF1088" s="121">
        <v>-193.17683999999997</v>
      </c>
      <c r="AG1088" s="121">
        <v>-193.17683999999997</v>
      </c>
      <c r="AH1088" s="121">
        <v>-193.17683999999997</v>
      </c>
      <c r="AI1088" s="161">
        <v>-193.17683999999997</v>
      </c>
      <c r="AJ1088" s="161">
        <v>-193.17683999999997</v>
      </c>
      <c r="AK1088" s="161">
        <v>-193.17683999999997</v>
      </c>
      <c r="AL1088" s="161">
        <v>-193.17683999999997</v>
      </c>
      <c r="AM1088" s="161">
        <v>-193.17683999999997</v>
      </c>
      <c r="AN1088" s="161">
        <v>-193.17683999999997</v>
      </c>
      <c r="AO1088" s="161">
        <v>-193.17683999999997</v>
      </c>
      <c r="AP1088" s="125" t="str">
        <f>CONCATENATE(A1088,M1088)</f>
        <v>Def TaxR</v>
      </c>
      <c r="AQ1088" s="125" t="str">
        <f>CONCATENATE(AP1088,L1088,H1088)</f>
        <v>Def TaxRR11Excess DIT &gt; 7.1% (NYS)</v>
      </c>
      <c r="AS1088" s="125" t="str">
        <f>CONCATENATE(L1088,H1088,J1088)</f>
        <v>R11Excess DIT &gt; 7.1% (NYS)</v>
      </c>
    </row>
    <row r="1089" spans="1:45" s="125" customFormat="1" ht="25.5" customHeight="1">
      <c r="A1089" s="216" t="s">
        <v>1996</v>
      </c>
      <c r="B1089" s="217" t="str">
        <f t="shared" si="467"/>
        <v>Def Tax190502Low IncomeBG030594</v>
      </c>
      <c r="C1089" s="186">
        <v>190502</v>
      </c>
      <c r="D1089" s="201" t="s">
        <v>2833</v>
      </c>
      <c r="E1089" s="162" t="s">
        <v>1880</v>
      </c>
      <c r="F1089" s="169" t="s">
        <v>1958</v>
      </c>
      <c r="G1089" s="117" t="s">
        <v>1121</v>
      </c>
      <c r="H1089" s="118" t="s">
        <v>2833</v>
      </c>
      <c r="I1089" s="119"/>
      <c r="J1089" s="231" t="s">
        <v>105</v>
      </c>
      <c r="K1089" s="120" t="str">
        <f t="shared" si="469"/>
        <v/>
      </c>
      <c r="L1089" s="170" t="s">
        <v>2821</v>
      </c>
      <c r="M1089" s="122" t="str">
        <f t="shared" si="456"/>
        <v>N</v>
      </c>
      <c r="N1089" s="116" t="str">
        <f>IF($L1089&lt;&gt;"",VLOOKUP($L1089,Categories!$E:$G,2,FALSE),IF($F1089&lt;&gt;"","NO CAT",""))</f>
        <v>Not in Rate Base</v>
      </c>
      <c r="O1089" s="116" t="str">
        <f>IF($L1089&lt;&gt;"",VLOOKUP($L1089,Categories!$E:$G,3,FALSE),IF($F1089&lt;&gt;"","NO CAT",""))</f>
        <v>Deferrals Accruing Non-Cash Return   (other than ASGA)</v>
      </c>
      <c r="P1089" s="170" t="s">
        <v>1186</v>
      </c>
      <c r="Q1089" s="123" t="s">
        <v>1187</v>
      </c>
      <c r="R1089" s="124">
        <v>0</v>
      </c>
      <c r="S1089" s="124">
        <v>0</v>
      </c>
      <c r="T1089" s="124">
        <v>1</v>
      </c>
      <c r="U1089" s="121">
        <f t="shared" si="459"/>
        <v>0</v>
      </c>
      <c r="V1089" s="121">
        <f t="shared" si="460"/>
        <v>0</v>
      </c>
      <c r="W1089" s="121">
        <f t="shared" si="461"/>
        <v>-3832.46716625</v>
      </c>
      <c r="X1089" s="121">
        <f t="shared" si="465"/>
        <v>-3832.46716625</v>
      </c>
      <c r="Y1089" s="121">
        <f t="shared" si="462"/>
        <v>0</v>
      </c>
      <c r="Z1089" s="121">
        <f t="shared" si="463"/>
        <v>0</v>
      </c>
      <c r="AA1089" s="121">
        <f t="shared" si="464"/>
        <v>-4450.7012000000004</v>
      </c>
      <c r="AB1089" s="121">
        <f t="shared" si="466"/>
        <v>-4450.7012000000004</v>
      </c>
      <c r="AC1089" s="121">
        <v>-3165.5212900000006</v>
      </c>
      <c r="AD1089" s="121">
        <v>-3275.8230100000005</v>
      </c>
      <c r="AE1089" s="121">
        <v>-3386.5007200000005</v>
      </c>
      <c r="AF1089" s="121">
        <v>-3503.9230100000009</v>
      </c>
      <c r="AG1089" s="121">
        <v>-3621.3380800000004</v>
      </c>
      <c r="AH1089" s="121">
        <v>-3737.5462000000007</v>
      </c>
      <c r="AI1089" s="161">
        <v>-3849.6690600000006</v>
      </c>
      <c r="AJ1089" s="161">
        <v>-3958.9503000000009</v>
      </c>
      <c r="AK1089" s="161">
        <v>-4062.5347800000009</v>
      </c>
      <c r="AL1089" s="161">
        <v>-4164.2407600000006</v>
      </c>
      <c r="AM1089" s="161">
        <v>-4263.1098900000006</v>
      </c>
      <c r="AN1089" s="161">
        <v>-4357.8589400000001</v>
      </c>
      <c r="AO1089" s="161">
        <v>-4450.7012000000004</v>
      </c>
      <c r="AP1089" s="125" t="str">
        <f>CONCATENATE(A1089,M1089)</f>
        <v>Def TaxN</v>
      </c>
      <c r="AQ1089" s="125" t="str">
        <f>CONCATENATE(AP1089,L1089,H1089)</f>
        <v>Def TaxNN10Low Income</v>
      </c>
      <c r="AS1089" s="125" t="str">
        <f>CONCATENATE(L1089,H1089,J1089)</f>
        <v>N10Low IncomeNCR</v>
      </c>
    </row>
    <row r="1090" spans="1:45" s="125" customFormat="1" ht="25.5" customHeight="1">
      <c r="A1090" s="216" t="s">
        <v>1996</v>
      </c>
      <c r="B1090" s="217" t="str">
        <f t="shared" si="467"/>
        <v>Def Tax190502Veg MgtBG030595</v>
      </c>
      <c r="C1090" s="186">
        <v>190502</v>
      </c>
      <c r="D1090" s="201" t="s">
        <v>2720</v>
      </c>
      <c r="E1090" s="162" t="s">
        <v>2520</v>
      </c>
      <c r="F1090" s="169" t="s">
        <v>1958</v>
      </c>
      <c r="G1090" s="117" t="s">
        <v>2485</v>
      </c>
      <c r="H1090" s="118" t="s">
        <v>892</v>
      </c>
      <c r="I1090" s="119"/>
      <c r="J1090" s="231" t="s">
        <v>105</v>
      </c>
      <c r="K1090" s="120" t="str">
        <f>IF(L1090="N3","SFAS-109","")</f>
        <v/>
      </c>
      <c r="L1090" s="170" t="s">
        <v>2821</v>
      </c>
      <c r="M1090" s="122" t="str">
        <f t="shared" si="456"/>
        <v>N</v>
      </c>
      <c r="N1090" s="116" t="str">
        <f>IF($L1090&lt;&gt;"",VLOOKUP($L1090,Categories!$E:$G,2,FALSE),IF($F1090&lt;&gt;"","NO CAT",""))</f>
        <v>Not in Rate Base</v>
      </c>
      <c r="O1090" s="116" t="str">
        <f>IF($L1090&lt;&gt;"",VLOOKUP($L1090,Categories!$E:$G,3,FALSE),IF($F1090&lt;&gt;"","NO CAT",""))</f>
        <v>Deferrals Accruing Non-Cash Return   (other than ASGA)</v>
      </c>
      <c r="P1090" s="170" t="s">
        <v>1186</v>
      </c>
      <c r="Q1090" s="123" t="s">
        <v>1187</v>
      </c>
      <c r="R1090" s="124">
        <v>0</v>
      </c>
      <c r="S1090" s="124">
        <v>0</v>
      </c>
      <c r="T1090" s="124">
        <v>1</v>
      </c>
      <c r="U1090" s="121">
        <f t="shared" si="459"/>
        <v>0</v>
      </c>
      <c r="V1090" s="121">
        <f t="shared" si="460"/>
        <v>0</v>
      </c>
      <c r="W1090" s="121">
        <f t="shared" si="461"/>
        <v>59.045725416666698</v>
      </c>
      <c r="X1090" s="121">
        <f t="shared" si="465"/>
        <v>59.045725416666698</v>
      </c>
      <c r="Y1090" s="121">
        <f t="shared" si="462"/>
        <v>0</v>
      </c>
      <c r="Z1090" s="121">
        <f t="shared" si="463"/>
        <v>0</v>
      </c>
      <c r="AA1090" s="121">
        <f t="shared" si="464"/>
        <v>31.389109999999999</v>
      </c>
      <c r="AB1090" s="121">
        <f t="shared" si="466"/>
        <v>31.389110000000002</v>
      </c>
      <c r="AC1090" s="121">
        <v>17.961079999999995</v>
      </c>
      <c r="AD1090" s="121">
        <v>21.414409999999997</v>
      </c>
      <c r="AE1090" s="121">
        <v>31.176219999999994</v>
      </c>
      <c r="AF1090" s="121">
        <v>37.275619999999996</v>
      </c>
      <c r="AG1090" s="121">
        <v>44.144489999999998</v>
      </c>
      <c r="AH1090" s="121">
        <v>60.352940000000004</v>
      </c>
      <c r="AI1090" s="161">
        <v>67.222800000000007</v>
      </c>
      <c r="AJ1090" s="161">
        <v>74.093159999999997</v>
      </c>
      <c r="AK1090" s="161">
        <v>80.964020000000005</v>
      </c>
      <c r="AL1090" s="161">
        <v>86.664839999999998</v>
      </c>
      <c r="AM1090" s="161">
        <v>90.086860000000001</v>
      </c>
      <c r="AN1090" s="161">
        <v>90.478250000000003</v>
      </c>
      <c r="AO1090" s="161">
        <v>31.389110000000002</v>
      </c>
      <c r="AP1090" s="125" t="str">
        <f>CONCATENATE(A1090,M1090)</f>
        <v>Def TaxN</v>
      </c>
      <c r="AQ1090" s="125" t="str">
        <f>CONCATENATE(AP1090,L1090,H1090)</f>
        <v>Def TaxNN10Vegetation Management</v>
      </c>
      <c r="AS1090" s="125" t="str">
        <f>CONCATENATE(L1090,H1090,J1090)</f>
        <v>N10Vegetation ManagementNCR</v>
      </c>
    </row>
    <row r="1091" spans="1:45" s="125" customFormat="1" ht="25.5" customHeight="1">
      <c r="A1091" s="216" t="s">
        <v>1996</v>
      </c>
      <c r="B1091" s="217" t="str">
        <f>CONCATENATE(A1091,C1091,D1091,E1091)</f>
        <v>Def Tax190502BT010391</v>
      </c>
      <c r="C1091" s="186">
        <v>190502</v>
      </c>
      <c r="D1091" s="201"/>
      <c r="E1091" s="162" t="s">
        <v>4732</v>
      </c>
      <c r="F1091" s="169" t="s">
        <v>1958</v>
      </c>
      <c r="G1091" s="117" t="s">
        <v>4731</v>
      </c>
      <c r="H1091" s="118" t="s">
        <v>4673</v>
      </c>
      <c r="I1091" s="119"/>
      <c r="J1091" s="231"/>
      <c r="K1091" s="120" t="str">
        <f>IF(L1091="N3","SFAS-109","")</f>
        <v/>
      </c>
      <c r="L1091" s="170" t="s">
        <v>1895</v>
      </c>
      <c r="M1091" s="122" t="str">
        <f>LEFT(L1091,1)</f>
        <v>R</v>
      </c>
      <c r="N1091" s="116" t="str">
        <f>IF($L1091&lt;&gt;"",VLOOKUP($L1091,Categories!$E:$G,2,FALSE),IF($F1091&lt;&gt;"","NO CAT",""))</f>
        <v>Rate Base</v>
      </c>
      <c r="O1091" s="116" t="str">
        <f>IF($L1091&lt;&gt;"",VLOOKUP($L1091,Categories!$E:$G,3,FALSE),IF($F1091&lt;&gt;"","NO CAT",""))</f>
        <v>Deferred Income Taxes</v>
      </c>
      <c r="P1091" s="170" t="s">
        <v>1184</v>
      </c>
      <c r="Q1091" s="123" t="s">
        <v>1178</v>
      </c>
      <c r="R1091" s="124">
        <v>0</v>
      </c>
      <c r="S1091" s="124">
        <v>1</v>
      </c>
      <c r="T1091" s="124">
        <v>0</v>
      </c>
      <c r="U1091" s="121">
        <f>IF(ABS(X1091)=0,"",IF($R1091="NO ALLOC","NO ALLOC",ROUND($R1091*X1091,15)))</f>
        <v>0</v>
      </c>
      <c r="V1091" s="121">
        <f>IF(ABS(X1091)=0,"",IF($S1091="NO ALLOC","NO ALLOC",ROUND($S1091*X1091,15)))</f>
        <v>245.60567208333299</v>
      </c>
      <c r="W1091" s="121">
        <f>IF(ABS(X1091)=0,"",IF($T1091="NO ALLOC","NO ALLOC",ROUND($T1091*X1091,15)))</f>
        <v>0</v>
      </c>
      <c r="X1091" s="121">
        <f t="shared" si="465"/>
        <v>245.60567208333299</v>
      </c>
      <c r="Y1091" s="121">
        <f>IF(ABS(AB1091)=0,"",IF($R1091="NO ALLOC","NO ALLOC",ROUND($R1091*AB1091,15)))</f>
        <v>0</v>
      </c>
      <c r="Z1091" s="121">
        <f>IF(ABS(AB1091)=0,"",IF($S1091="NO ALLOC","NO ALLOC",ROUND($S1091*AB1091,15)))</f>
        <v>498.12981000000002</v>
      </c>
      <c r="AA1091" s="121">
        <f>IF(ABS(AB1091)=0,"",IF($T1091="NO ALLOC","NO ALLOC",ROUND($T1091*AB1091,15)))</f>
        <v>0</v>
      </c>
      <c r="AB1091" s="121">
        <f t="shared" si="466"/>
        <v>498.12981000000002</v>
      </c>
      <c r="AC1091" s="121"/>
      <c r="AD1091" s="121"/>
      <c r="AE1091" s="121">
        <v>83.021640000000005</v>
      </c>
      <c r="AF1091" s="121">
        <v>124.53245</v>
      </c>
      <c r="AG1091" s="121">
        <v>166.04326999999998</v>
      </c>
      <c r="AH1091" s="121">
        <v>207.55409</v>
      </c>
      <c r="AI1091" s="161">
        <v>249.06491</v>
      </c>
      <c r="AJ1091" s="161">
        <v>290.57571999999999</v>
      </c>
      <c r="AK1091" s="161">
        <v>332.08653999999996</v>
      </c>
      <c r="AL1091" s="161">
        <v>373.59735999999998</v>
      </c>
      <c r="AM1091" s="161">
        <v>415.10818</v>
      </c>
      <c r="AN1091" s="161">
        <v>456.61900000000003</v>
      </c>
      <c r="AO1091" s="161">
        <v>498.12981000000002</v>
      </c>
      <c r="AP1091" s="125" t="str">
        <f>CONCATENATE(A1091,M1091)</f>
        <v>Def TaxR</v>
      </c>
      <c r="AQ1091" s="125" t="str">
        <f>CONCATENATE(AP1091,L1091,H1091)</f>
        <v>Def TaxRR11Continuation of Current Amorts Until New Rates Reset</v>
      </c>
      <c r="AS1091" s="125" t="str">
        <f>CONCATENATE(L1091,H1091,J1091)</f>
        <v>R11Continuation of Current Amorts Until New Rates Reset</v>
      </c>
    </row>
    <row r="1092" spans="1:45" s="125" customFormat="1" ht="25.5" customHeight="1">
      <c r="A1092" s="216" t="s">
        <v>1996</v>
      </c>
      <c r="B1092" s="217" t="str">
        <f t="shared" si="467"/>
        <v>Def Tax190502SenecaBT010389</v>
      </c>
      <c r="C1092" s="186">
        <v>190502</v>
      </c>
      <c r="D1092" s="201" t="s">
        <v>795</v>
      </c>
      <c r="E1092" s="162" t="s">
        <v>1666</v>
      </c>
      <c r="F1092" s="169" t="s">
        <v>1958</v>
      </c>
      <c r="G1092" s="117" t="s">
        <v>4704</v>
      </c>
      <c r="H1092" s="118" t="s">
        <v>792</v>
      </c>
      <c r="I1092" s="119"/>
      <c r="J1092" s="231" t="s">
        <v>105</v>
      </c>
      <c r="K1092" s="120" t="str">
        <f>IF(L1092="N3","SFAS-109","")</f>
        <v/>
      </c>
      <c r="L1092" s="170" t="s">
        <v>2821</v>
      </c>
      <c r="M1092" s="122" t="str">
        <f t="shared" si="456"/>
        <v>N</v>
      </c>
      <c r="N1092" s="116" t="str">
        <f>IF($L1092&lt;&gt;"",VLOOKUP($L1092,Categories!$E:$G,2,FALSE),IF($F1092&lt;&gt;"","NO CAT",""))</f>
        <v>Not in Rate Base</v>
      </c>
      <c r="O1092" s="116" t="str">
        <f>IF($L1092&lt;&gt;"",VLOOKUP($L1092,Categories!$E:$G,3,FALSE),IF($F1092&lt;&gt;"","NO CAT",""))</f>
        <v>Deferrals Accruing Non-Cash Return   (other than ASGA)</v>
      </c>
      <c r="P1092" s="170" t="s">
        <v>1186</v>
      </c>
      <c r="Q1092" s="123" t="s">
        <v>1187</v>
      </c>
      <c r="R1092" s="124">
        <v>0</v>
      </c>
      <c r="S1092" s="124">
        <v>0</v>
      </c>
      <c r="T1092" s="124">
        <v>1</v>
      </c>
      <c r="U1092" s="121">
        <f t="shared" si="459"/>
        <v>0</v>
      </c>
      <c r="V1092" s="121">
        <f t="shared" si="460"/>
        <v>0</v>
      </c>
      <c r="W1092" s="121">
        <f t="shared" si="461"/>
        <v>1547.8768674999999</v>
      </c>
      <c r="X1092" s="121">
        <f t="shared" si="465"/>
        <v>1547.8768674999999</v>
      </c>
      <c r="Y1092" s="121">
        <f t="shared" si="462"/>
        <v>0</v>
      </c>
      <c r="Z1092" s="121">
        <f t="shared" si="463"/>
        <v>0</v>
      </c>
      <c r="AA1092" s="121">
        <f t="shared" si="464"/>
        <v>553.49526000000105</v>
      </c>
      <c r="AB1092" s="121">
        <f t="shared" si="466"/>
        <v>553.49526000000094</v>
      </c>
      <c r="AC1092" s="121">
        <v>2787.4900000000011</v>
      </c>
      <c r="AD1092" s="121">
        <v>2403.8982500000011</v>
      </c>
      <c r="AE1092" s="121">
        <v>2066.6999500000011</v>
      </c>
      <c r="AF1092" s="121">
        <v>1759.4849000000008</v>
      </c>
      <c r="AG1092" s="121">
        <v>1721.6983600000008</v>
      </c>
      <c r="AH1092" s="121">
        <v>1507.475200000001</v>
      </c>
      <c r="AI1092" s="161">
        <v>1450.3584400000009</v>
      </c>
      <c r="AJ1092" s="161">
        <v>1401.5699900000009</v>
      </c>
      <c r="AK1092" s="161">
        <v>1319.3824400000008</v>
      </c>
      <c r="AL1092" s="161">
        <v>1245.6176600000008</v>
      </c>
      <c r="AM1092" s="161">
        <v>1143.0224100000009</v>
      </c>
      <c r="AN1092" s="161">
        <v>884.82218000000091</v>
      </c>
      <c r="AO1092" s="161">
        <v>553.49526000000094</v>
      </c>
      <c r="AP1092" s="125" t="str">
        <f>CONCATENATE(A1092,M1092)</f>
        <v>Def TaxN</v>
      </c>
      <c r="AQ1092" s="125" t="str">
        <f>CONCATENATE(AP1092,L1092,H1092)</f>
        <v>Def TaxNN10Seneca Sale Gain</v>
      </c>
      <c r="AS1092" s="125" t="str">
        <f>CONCATENATE(L1092,H1092,J1092)</f>
        <v>N10Seneca Sale GainNCR</v>
      </c>
    </row>
    <row r="1093" spans="1:45" s="125" customFormat="1" ht="25.5" customHeight="1">
      <c r="A1093" s="216" t="s">
        <v>1996</v>
      </c>
      <c r="B1093" s="217" t="str">
        <f>CONCATENATE(A1093,C1093,D1093,E1093)</f>
        <v>Def Tax190502BT010392</v>
      </c>
      <c r="C1093" s="186">
        <v>190502</v>
      </c>
      <c r="D1093" s="201"/>
      <c r="E1093" s="162" t="s">
        <v>4765</v>
      </c>
      <c r="F1093" s="169" t="s">
        <v>1958</v>
      </c>
      <c r="G1093" s="117" t="s">
        <v>4766</v>
      </c>
      <c r="H1093" s="118" t="s">
        <v>4761</v>
      </c>
      <c r="I1093" s="119"/>
      <c r="J1093" s="231"/>
      <c r="K1093" s="120" t="str">
        <f>IF(L1093="N3","SFAS-109","")</f>
        <v/>
      </c>
      <c r="L1093" s="170" t="s">
        <v>1895</v>
      </c>
      <c r="M1093" s="122" t="str">
        <f>LEFT(L1093,1)</f>
        <v>R</v>
      </c>
      <c r="N1093" s="116" t="str">
        <f>IF($L1093&lt;&gt;"",VLOOKUP($L1093,Categories!$E:$G,2,FALSE),IF($F1093&lt;&gt;"","NO CAT",""))</f>
        <v>Rate Base</v>
      </c>
      <c r="O1093" s="116" t="str">
        <f>IF($L1093&lt;&gt;"",VLOOKUP($L1093,Categories!$E:$G,3,FALSE),IF($F1093&lt;&gt;"","NO CAT",""))</f>
        <v>Deferred Income Taxes</v>
      </c>
      <c r="P1093" s="170" t="s">
        <v>1184</v>
      </c>
      <c r="Q1093" s="123" t="s">
        <v>1178</v>
      </c>
      <c r="R1093" s="124">
        <v>0</v>
      </c>
      <c r="S1093" s="124">
        <v>1</v>
      </c>
      <c r="T1093" s="124">
        <v>0</v>
      </c>
      <c r="U1093" s="121">
        <f>IF(ABS(X1093)=0,"",IF($R1093="NO ALLOC","NO ALLOC",ROUND($R1093*X1093,15)))</f>
        <v>0</v>
      </c>
      <c r="V1093" s="121">
        <f>IF(ABS(X1093)=0,"",IF($S1093="NO ALLOC","NO ALLOC",ROUND($S1093*X1093,15)))</f>
        <v>424.02269583333299</v>
      </c>
      <c r="W1093" s="121">
        <f>IF(ABS(X1093)=0,"",IF($T1093="NO ALLOC","NO ALLOC",ROUND($T1093*X1093,15)))</f>
        <v>0</v>
      </c>
      <c r="X1093" s="121">
        <f t="shared" si="465"/>
        <v>424.02269583333299</v>
      </c>
      <c r="Y1093" s="121">
        <f>IF(ABS(AB1093)=0,"",IF($R1093="NO ALLOC","NO ALLOC",ROUND($R1093*AB1093,15)))</f>
        <v>0</v>
      </c>
      <c r="Z1093" s="121">
        <f>IF(ABS(AB1093)=0,"",IF($S1093="NO ALLOC","NO ALLOC",ROUND($S1093*AB1093,15)))</f>
        <v>863.59839999999997</v>
      </c>
      <c r="AA1093" s="121">
        <f>IF(ABS(AB1093)=0,"",IF($T1093="NO ALLOC","NO ALLOC",ROUND($T1093*AB1093,15)))</f>
        <v>0</v>
      </c>
      <c r="AB1093" s="121">
        <f t="shared" si="466"/>
        <v>863.59839999999986</v>
      </c>
      <c r="AC1093" s="121"/>
      <c r="AD1093" s="121"/>
      <c r="AE1093" s="121"/>
      <c r="AF1093" s="121"/>
      <c r="AG1093" s="121"/>
      <c r="AH1093" s="121"/>
      <c r="AI1093" s="161">
        <v>758.57494999999994</v>
      </c>
      <c r="AJ1093" s="161">
        <v>758.57494999999994</v>
      </c>
      <c r="AK1093" s="161">
        <v>758.57494999999994</v>
      </c>
      <c r="AL1093" s="161">
        <v>758.57494999999994</v>
      </c>
      <c r="AM1093" s="161">
        <v>758.57494999999994</v>
      </c>
      <c r="AN1093" s="161">
        <v>863.59839999999986</v>
      </c>
      <c r="AO1093" s="161">
        <v>863.59839999999986</v>
      </c>
      <c r="AP1093" s="125" t="str">
        <f>CONCATENATE(A1093,M1093)</f>
        <v>Def TaxR</v>
      </c>
      <c r="AQ1093" s="125" t="str">
        <f>CONCATENATE(AP1093,L1093,H1093)</f>
        <v>Def TaxRR11Excess DIT - New York State Tax Rate change</v>
      </c>
      <c r="AS1093" s="125" t="str">
        <f>CONCATENATE(L1093,H1093,J1093)</f>
        <v>R11Excess DIT - New York State Tax Rate change</v>
      </c>
    </row>
    <row r="1094" spans="1:45" s="125" customFormat="1" ht="25.5" customHeight="1">
      <c r="A1094" s="216" t="s">
        <v>1996</v>
      </c>
      <c r="B1094" s="217" t="str">
        <f>CONCATENATE(A1094,C1094,D1094,E1094)</f>
        <v>Def Tax190502BT010299</v>
      </c>
      <c r="C1094" s="186">
        <v>190502</v>
      </c>
      <c r="D1094" s="201"/>
      <c r="E1094" s="162" t="s">
        <v>4814</v>
      </c>
      <c r="F1094" s="169" t="s">
        <v>1958</v>
      </c>
      <c r="G1094" s="117" t="s">
        <v>4816</v>
      </c>
      <c r="H1094" s="118" t="s">
        <v>1718</v>
      </c>
      <c r="I1094" s="119"/>
      <c r="J1094" s="231" t="s">
        <v>105</v>
      </c>
      <c r="K1094" s="120" t="str">
        <f>IF(L1094="N3","SFAS-109","")</f>
        <v/>
      </c>
      <c r="L1094" s="170" t="s">
        <v>2821</v>
      </c>
      <c r="M1094" s="122" t="str">
        <f>LEFT(L1094,1)</f>
        <v>N</v>
      </c>
      <c r="N1094" s="116" t="str">
        <f>IF($L1094&lt;&gt;"",VLOOKUP($L1094,Categories!$E:$G,2,FALSE),IF($F1094&lt;&gt;"","NO CAT",""))</f>
        <v>Not in Rate Base</v>
      </c>
      <c r="O1094" s="116" t="str">
        <f>IF($L1094&lt;&gt;"",VLOOKUP($L1094,Categories!$E:$G,3,FALSE),IF($F1094&lt;&gt;"","NO CAT",""))</f>
        <v>Deferrals Accruing Non-Cash Return   (other than ASGA)</v>
      </c>
      <c r="P1094" s="170" t="s">
        <v>1186</v>
      </c>
      <c r="Q1094" s="123" t="s">
        <v>1187</v>
      </c>
      <c r="R1094" s="124">
        <v>0</v>
      </c>
      <c r="S1094" s="124">
        <v>0</v>
      </c>
      <c r="T1094" s="124">
        <v>1</v>
      </c>
      <c r="U1094" s="121">
        <f>IF(ABS(X1094)=0,"",IF($R1094="NO ALLOC","NO ALLOC",ROUND($R1094*X1094,15)))</f>
        <v>0</v>
      </c>
      <c r="V1094" s="121">
        <f>IF(ABS(X1094)=0,"",IF($S1094="NO ALLOC","NO ALLOC",ROUND($S1094*X1094,15)))</f>
        <v>0</v>
      </c>
      <c r="W1094" s="121">
        <f>IF(ABS(X1094)=0,"",IF($T1094="NO ALLOC","NO ALLOC",ROUND($T1094*X1094,15)))</f>
        <v>-61.294305833333297</v>
      </c>
      <c r="X1094" s="121">
        <f t="shared" si="465"/>
        <v>-61.294305833333297</v>
      </c>
      <c r="Y1094" s="121">
        <f>IF(ABS(AB1094)=0,"",IF($R1094="NO ALLOC","NO ALLOC",ROUND($R1094*AB1094,15)))</f>
        <v>0</v>
      </c>
      <c r="Z1094" s="121">
        <f>IF(ABS(AB1094)=0,"",IF($S1094="NO ALLOC","NO ALLOC",ROUND($S1094*AB1094,15)))</f>
        <v>0</v>
      </c>
      <c r="AA1094" s="121">
        <f>IF(ABS(AB1094)=0,"",IF($T1094="NO ALLOC","NO ALLOC",ROUND($T1094*AB1094,15)))</f>
        <v>-99.493380000000002</v>
      </c>
      <c r="AB1094" s="121">
        <f t="shared" si="466"/>
        <v>-99.493380000000002</v>
      </c>
      <c r="AC1094" s="121"/>
      <c r="AD1094" s="121"/>
      <c r="AE1094" s="121"/>
      <c r="AF1094" s="121"/>
      <c r="AG1094" s="121"/>
      <c r="AH1094" s="121"/>
      <c r="AI1094" s="161"/>
      <c r="AJ1094" s="161"/>
      <c r="AK1094" s="161">
        <v>-91.288979999999995</v>
      </c>
      <c r="AL1094" s="161">
        <v>-184.00851</v>
      </c>
      <c r="AM1094" s="161">
        <v>-230.83126000000001</v>
      </c>
      <c r="AN1094" s="161">
        <v>-179.65623000000002</v>
      </c>
      <c r="AO1094" s="161">
        <v>-99.493380000000002</v>
      </c>
      <c r="AP1094" s="125" t="str">
        <f>CONCATENATE(A1094,M1094)</f>
        <v>Def TaxN</v>
      </c>
      <c r="AQ1094" s="125" t="str">
        <f>CONCATENATE(AP1094,L1094,H1094)</f>
        <v>Def TaxNN10Energy Efficiency Portfolio Standard</v>
      </c>
      <c r="AS1094" s="125" t="str">
        <f>CONCATENATE(L1094,H1094,J1094)</f>
        <v>N10Energy Efficiency Portfolio StandardNCR</v>
      </c>
    </row>
    <row r="1095" spans="1:45" s="125" customFormat="1" ht="25.5" customHeight="1">
      <c r="A1095" s="216" t="s">
        <v>1996</v>
      </c>
      <c r="B1095" s="217" t="str">
        <f t="shared" si="467"/>
        <v>Def Tax190511ASGA Gross-up-aBT010009</v>
      </c>
      <c r="C1095" s="186">
        <v>190511</v>
      </c>
      <c r="D1095" s="201" t="s">
        <v>2363</v>
      </c>
      <c r="E1095" s="162" t="s">
        <v>1124</v>
      </c>
      <c r="F1095" s="169" t="s">
        <v>346</v>
      </c>
      <c r="G1095" s="117" t="s">
        <v>1374</v>
      </c>
      <c r="H1095" s="118" t="s">
        <v>521</v>
      </c>
      <c r="I1095" s="119"/>
      <c r="J1095" s="120" t="s">
        <v>105</v>
      </c>
      <c r="K1095" s="120" t="str">
        <f t="shared" si="469"/>
        <v/>
      </c>
      <c r="L1095" s="170" t="s">
        <v>2817</v>
      </c>
      <c r="M1095" s="122" t="str">
        <f t="shared" si="456"/>
        <v>N</v>
      </c>
      <c r="N1095" s="116" t="str">
        <f>IF($L1095&lt;&gt;"",VLOOKUP($L1095,Categories!$E:$G,2,FALSE),IF($F1095&lt;&gt;"","NO CAT",""))</f>
        <v>Not in Rate Base</v>
      </c>
      <c r="O1095" s="116" t="str">
        <f>IF($L1095&lt;&gt;"",VLOOKUP($L1095,Categories!$E:$G,3,FALSE),IF($F1095&lt;&gt;"","NO CAT",""))</f>
        <v>NM-2 ASGA</v>
      </c>
      <c r="P1095" s="170" t="s">
        <v>1186</v>
      </c>
      <c r="Q1095" s="123" t="s">
        <v>1187</v>
      </c>
      <c r="R1095" s="124">
        <v>0</v>
      </c>
      <c r="S1095" s="124">
        <v>0</v>
      </c>
      <c r="T1095" s="124">
        <v>1</v>
      </c>
      <c r="U1095" s="121">
        <f t="shared" si="459"/>
        <v>0</v>
      </c>
      <c r="V1095" s="121">
        <f t="shared" si="460"/>
        <v>0</v>
      </c>
      <c r="W1095" s="121">
        <f t="shared" si="461"/>
        <v>-4489.1260904166702</v>
      </c>
      <c r="X1095" s="121">
        <f t="shared" si="465"/>
        <v>-4489.1260904166702</v>
      </c>
      <c r="Y1095" s="121">
        <f t="shared" si="462"/>
        <v>0</v>
      </c>
      <c r="Z1095" s="121">
        <f t="shared" si="463"/>
        <v>0</v>
      </c>
      <c r="AA1095" s="121">
        <f t="shared" si="464"/>
        <v>-4547.9090900000001</v>
      </c>
      <c r="AB1095" s="121">
        <f t="shared" si="466"/>
        <v>-4547.9090900000028</v>
      </c>
      <c r="AC1095" s="121">
        <v>-4435.8027200000006</v>
      </c>
      <c r="AD1095" s="121">
        <v>-4435.5733900000005</v>
      </c>
      <c r="AE1095" s="121">
        <v>-4435.3427100000008</v>
      </c>
      <c r="AF1095" s="121">
        <v>-4434.9587400000009</v>
      </c>
      <c r="AG1095" s="121">
        <v>-4442.9678300000014</v>
      </c>
      <c r="AH1095" s="121">
        <v>-4443.0933600000017</v>
      </c>
      <c r="AI1095" s="161">
        <v>-4443.2195900000015</v>
      </c>
      <c r="AJ1095" s="161">
        <v>-4548.8906700000016</v>
      </c>
      <c r="AK1095" s="161">
        <v>-4548.6968400000014</v>
      </c>
      <c r="AL1095" s="161">
        <v>-4548.5014500000025</v>
      </c>
      <c r="AM1095" s="161">
        <v>-4548.3049900000024</v>
      </c>
      <c r="AN1095" s="161">
        <v>-4548.1076100000018</v>
      </c>
      <c r="AO1095" s="161">
        <v>-4547.9090900000028</v>
      </c>
      <c r="AP1095" s="125" t="str">
        <f>CONCATENATE(A1095,M1095)</f>
        <v>Def TaxN</v>
      </c>
      <c r="AQ1095" s="125" t="str">
        <f>CONCATENATE(AP1095,L1095,H1095)</f>
        <v>Def TaxNN8ASGA</v>
      </c>
      <c r="AS1095" s="125" t="str">
        <f>CONCATENATE(L1095,H1095,J1095)</f>
        <v>N8ASGANCR</v>
      </c>
    </row>
    <row r="1096" spans="1:45" s="125" customFormat="1" ht="25.5" customHeight="1">
      <c r="A1096" s="216" t="s">
        <v>1996</v>
      </c>
      <c r="B1096" s="217" t="str">
        <f t="shared" si="467"/>
        <v>Def Tax1905110-186.01.43BT010073</v>
      </c>
      <c r="C1096" s="186">
        <v>190511</v>
      </c>
      <c r="D1096" s="201" t="s">
        <v>2490</v>
      </c>
      <c r="E1096" s="162" t="s">
        <v>2988</v>
      </c>
      <c r="F1096" s="169" t="s">
        <v>346</v>
      </c>
      <c r="G1096" s="117" t="s">
        <v>1375</v>
      </c>
      <c r="H1096" s="118" t="s">
        <v>2369</v>
      </c>
      <c r="I1096" s="119"/>
      <c r="J1096" s="120"/>
      <c r="K1096" s="120" t="str">
        <f t="shared" si="469"/>
        <v/>
      </c>
      <c r="L1096" s="170" t="s">
        <v>928</v>
      </c>
      <c r="M1096" s="122" t="str">
        <f t="shared" si="456"/>
        <v>N</v>
      </c>
      <c r="N1096" s="116" t="str">
        <f>IF($L1096&lt;&gt;"",VLOOKUP($L1096,Categories!$E:$G,2,FALSE),IF($F1096&lt;&gt;"","NO CAT",""))</f>
        <v>Not in Rate Base</v>
      </c>
      <c r="O1096" s="116" t="str">
        <f>IF($L1096&lt;&gt;"",VLOOKUP($L1096,Categories!$E:$G,3,FALSE),IF($F1096&lt;&gt;"","NO CAT",""))</f>
        <v>Direct Assign Items Not in RB</v>
      </c>
      <c r="P1096" s="170" t="s">
        <v>1186</v>
      </c>
      <c r="Q1096" s="123" t="s">
        <v>1187</v>
      </c>
      <c r="R1096" s="124">
        <v>0</v>
      </c>
      <c r="S1096" s="124">
        <v>0</v>
      </c>
      <c r="T1096" s="124">
        <v>1</v>
      </c>
      <c r="U1096" s="121">
        <f t="shared" si="459"/>
        <v>0</v>
      </c>
      <c r="V1096" s="121">
        <f t="shared" si="460"/>
        <v>0</v>
      </c>
      <c r="W1096" s="121">
        <f t="shared" si="461"/>
        <v>865.68700000000001</v>
      </c>
      <c r="X1096" s="121">
        <f t="shared" si="465"/>
        <v>865.68700000000001</v>
      </c>
      <c r="Y1096" s="121">
        <f t="shared" si="462"/>
        <v>0</v>
      </c>
      <c r="Z1096" s="121">
        <f t="shared" si="463"/>
        <v>0</v>
      </c>
      <c r="AA1096" s="121">
        <f t="shared" si="464"/>
        <v>865.68700000000001</v>
      </c>
      <c r="AB1096" s="121">
        <f t="shared" si="466"/>
        <v>865.68700000000001</v>
      </c>
      <c r="AC1096" s="121">
        <v>865.68700000000001</v>
      </c>
      <c r="AD1096" s="121">
        <v>865.68700000000001</v>
      </c>
      <c r="AE1096" s="121">
        <v>865.68700000000001</v>
      </c>
      <c r="AF1096" s="121">
        <v>865.68700000000001</v>
      </c>
      <c r="AG1096" s="121">
        <v>865.68700000000001</v>
      </c>
      <c r="AH1096" s="121">
        <v>865.68700000000001</v>
      </c>
      <c r="AI1096" s="161">
        <v>865.68700000000001</v>
      </c>
      <c r="AJ1096" s="161">
        <v>865.68700000000001</v>
      </c>
      <c r="AK1096" s="161">
        <v>865.68700000000001</v>
      </c>
      <c r="AL1096" s="161">
        <v>865.68700000000001</v>
      </c>
      <c r="AM1096" s="161">
        <v>865.68700000000001</v>
      </c>
      <c r="AN1096" s="161">
        <v>865.68700000000001</v>
      </c>
      <c r="AO1096" s="161">
        <v>865.68700000000001</v>
      </c>
      <c r="AP1096" s="125" t="str">
        <f>CONCATENATE(A1096,M1096)</f>
        <v>Def TaxN</v>
      </c>
      <c r="AQ1096" s="125" t="str">
        <f>CONCATENATE(AP1096,L1096,H1096)</f>
        <v>Def TaxNN2Environmental</v>
      </c>
      <c r="AS1096" s="125" t="str">
        <f>CONCATENATE(L1096,H1096,J1096)</f>
        <v>N2Environmental</v>
      </c>
    </row>
    <row r="1097" spans="1:45" s="125" customFormat="1" ht="25.5" customHeight="1">
      <c r="A1097" s="216" t="s">
        <v>1996</v>
      </c>
      <c r="B1097" s="217" t="str">
        <f t="shared" si="467"/>
        <v>Def Tax1905110-286.01.44BT010269</v>
      </c>
      <c r="C1097" s="186">
        <v>190511</v>
      </c>
      <c r="D1097" s="201" t="s">
        <v>3002</v>
      </c>
      <c r="E1097" s="162" t="s">
        <v>1126</v>
      </c>
      <c r="F1097" s="169" t="s">
        <v>346</v>
      </c>
      <c r="G1097" s="117" t="s">
        <v>1413</v>
      </c>
      <c r="H1097" s="118" t="s">
        <v>2369</v>
      </c>
      <c r="I1097" s="119"/>
      <c r="J1097" s="120"/>
      <c r="K1097" s="120" t="str">
        <f t="shared" si="469"/>
        <v/>
      </c>
      <c r="L1097" s="170" t="s">
        <v>928</v>
      </c>
      <c r="M1097" s="122" t="str">
        <f t="shared" si="456"/>
        <v>N</v>
      </c>
      <c r="N1097" s="116" t="str">
        <f>IF($L1097&lt;&gt;"",VLOOKUP($L1097,Categories!$E:$G,2,FALSE),IF($F1097&lt;&gt;"","NO CAT",""))</f>
        <v>Not in Rate Base</v>
      </c>
      <c r="O1097" s="116" t="str">
        <f>IF($L1097&lt;&gt;"",VLOOKUP($L1097,Categories!$E:$G,3,FALSE),IF($F1097&lt;&gt;"","NO CAT",""))</f>
        <v>Direct Assign Items Not in RB</v>
      </c>
      <c r="P1097" s="170" t="s">
        <v>1186</v>
      </c>
      <c r="Q1097" s="123" t="s">
        <v>1187</v>
      </c>
      <c r="R1097" s="124">
        <v>0</v>
      </c>
      <c r="S1097" s="124">
        <v>0</v>
      </c>
      <c r="T1097" s="124">
        <v>1</v>
      </c>
      <c r="U1097" s="121">
        <f t="shared" si="459"/>
        <v>0</v>
      </c>
      <c r="V1097" s="121">
        <f t="shared" si="460"/>
        <v>0</v>
      </c>
      <c r="W1097" s="121">
        <f t="shared" si="461"/>
        <v>108.82299999999999</v>
      </c>
      <c r="X1097" s="121">
        <f t="shared" ref="X1097:X1145" si="470">IF(ISERROR(ROUND((SUM(AC1097:AO1097)-((AC1097+AO1097))/2)/12,15)),"",ROUND((SUM(AC1097:AO1097)-((AC1097+AO1097))/2)/12,15))</f>
        <v>108.82299999999999</v>
      </c>
      <c r="Y1097" s="121">
        <f t="shared" si="462"/>
        <v>0</v>
      </c>
      <c r="Z1097" s="121">
        <f t="shared" si="463"/>
        <v>0</v>
      </c>
      <c r="AA1097" s="121">
        <f t="shared" si="464"/>
        <v>108.82299999999999</v>
      </c>
      <c r="AB1097" s="121">
        <f t="shared" ref="AB1097:AB1145" si="471">IF(AO1097="",0,+AO1097)</f>
        <v>108.82299999999999</v>
      </c>
      <c r="AC1097" s="121">
        <v>108.82299999999999</v>
      </c>
      <c r="AD1097" s="121">
        <v>108.82299999999999</v>
      </c>
      <c r="AE1097" s="121">
        <v>108.82299999999999</v>
      </c>
      <c r="AF1097" s="121">
        <v>108.82299999999999</v>
      </c>
      <c r="AG1097" s="121">
        <v>108.82299999999999</v>
      </c>
      <c r="AH1097" s="121">
        <v>108.82299999999999</v>
      </c>
      <c r="AI1097" s="161">
        <v>108.82299999999999</v>
      </c>
      <c r="AJ1097" s="161">
        <v>108.82299999999999</v>
      </c>
      <c r="AK1097" s="161">
        <v>108.82299999999999</v>
      </c>
      <c r="AL1097" s="161">
        <v>108.82299999999999</v>
      </c>
      <c r="AM1097" s="161">
        <v>108.82299999999999</v>
      </c>
      <c r="AN1097" s="161">
        <v>108.82299999999999</v>
      </c>
      <c r="AO1097" s="161">
        <v>108.82299999999999</v>
      </c>
      <c r="AP1097" s="125" t="str">
        <f>CONCATENATE(A1097,M1097)</f>
        <v>Def TaxN</v>
      </c>
      <c r="AQ1097" s="125" t="str">
        <f>CONCATENATE(AP1097,L1097,H1097)</f>
        <v>Def TaxNN2Environmental</v>
      </c>
      <c r="AS1097" s="125" t="str">
        <f>CONCATENATE(L1097,H1097,J1097)</f>
        <v>N2Environmental</v>
      </c>
    </row>
    <row r="1098" spans="1:45" s="125" customFormat="1" ht="25.5" customHeight="1">
      <c r="A1098" s="216" t="s">
        <v>1996</v>
      </c>
      <c r="B1098" s="217" t="str">
        <f t="shared" si="467"/>
        <v>Def Tax190511Multiple: 283.20.43/286.01.23/286.01.24/283.30.67/283.30.63/283.30.64/283.30.53/283.30.54/183.06.00/183.07.00/186.01.03/186.01.04/283.21.95/Loss Re Debt/283.20.42/283.21.96BT010096</v>
      </c>
      <c r="C1098" s="186">
        <v>190511</v>
      </c>
      <c r="D1098" s="201" t="s">
        <v>1367</v>
      </c>
      <c r="E1098" s="162" t="s">
        <v>2990</v>
      </c>
      <c r="F1098" s="169" t="s">
        <v>346</v>
      </c>
      <c r="G1098" s="117" t="s">
        <v>191</v>
      </c>
      <c r="H1098" s="118" t="s">
        <v>45</v>
      </c>
      <c r="I1098" s="119"/>
      <c r="J1098" s="120"/>
      <c r="K1098" s="120" t="str">
        <f t="shared" si="469"/>
        <v/>
      </c>
      <c r="L1098" s="170" t="s">
        <v>1895</v>
      </c>
      <c r="M1098" s="122" t="str">
        <f t="shared" si="456"/>
        <v>R</v>
      </c>
      <c r="N1098" s="116" t="str">
        <f>IF($L1098&lt;&gt;"",VLOOKUP($L1098,Categories!$E:$G,2,FALSE),IF($F1098&lt;&gt;"","NO CAT",""))</f>
        <v>Rate Base</v>
      </c>
      <c r="O1098" s="116" t="str">
        <f>IF($L1098&lt;&gt;"",VLOOKUP($L1098,Categories!$E:$G,3,FALSE),IF($F1098&lt;&gt;"","NO CAT",""))</f>
        <v>Deferred Income Taxes</v>
      </c>
      <c r="P1098" s="170" t="s">
        <v>1188</v>
      </c>
      <c r="Q1098" s="123" t="s">
        <v>1843</v>
      </c>
      <c r="R1098" s="124">
        <v>0.76071990262269951</v>
      </c>
      <c r="S1098" s="124">
        <v>0.23928009737730072</v>
      </c>
      <c r="T1098" s="124">
        <v>0</v>
      </c>
      <c r="U1098" s="121">
        <f t="shared" si="459"/>
        <v>1351.44034029248</v>
      </c>
      <c r="V1098" s="121">
        <f t="shared" si="460"/>
        <v>425.08783470751803</v>
      </c>
      <c r="W1098" s="121">
        <f t="shared" si="461"/>
        <v>0</v>
      </c>
      <c r="X1098" s="121">
        <f t="shared" si="470"/>
        <v>1776.5281749999999</v>
      </c>
      <c r="Y1098" s="121">
        <f t="shared" si="462"/>
        <v>1372.2340825231399</v>
      </c>
      <c r="Z1098" s="121">
        <f t="shared" si="463"/>
        <v>431.62838747685902</v>
      </c>
      <c r="AA1098" s="121">
        <f t="shared" si="464"/>
        <v>0</v>
      </c>
      <c r="AB1098" s="121">
        <f>IF(AO1098="",0,+AO1098)</f>
        <v>1803.8624700000032</v>
      </c>
      <c r="AC1098" s="121">
        <v>1753.5211100000026</v>
      </c>
      <c r="AD1098" s="121">
        <v>1757.2354200000027</v>
      </c>
      <c r="AE1098" s="121">
        <v>1760.9497300000028</v>
      </c>
      <c r="AF1098" s="121">
        <v>1764.6640400000028</v>
      </c>
      <c r="AG1098" s="121">
        <v>1768.3783500000029</v>
      </c>
      <c r="AH1098" s="121">
        <v>1772.092660000003</v>
      </c>
      <c r="AI1098" s="161">
        <v>1775.806970000003</v>
      </c>
      <c r="AJ1098" s="161">
        <v>1779.5212800000031</v>
      </c>
      <c r="AK1098" s="161">
        <v>1783.2355900000032</v>
      </c>
      <c r="AL1098" s="161">
        <v>1786.9499000000033</v>
      </c>
      <c r="AM1098" s="161">
        <v>1790.6642100000033</v>
      </c>
      <c r="AN1098" s="161">
        <v>1800.1481600000031</v>
      </c>
      <c r="AO1098" s="161">
        <v>1803.8624700000032</v>
      </c>
      <c r="AP1098" s="125" t="str">
        <f>CONCATENATE(A1098,M1098)</f>
        <v>Def TaxR</v>
      </c>
      <c r="AQ1098" s="125" t="str">
        <f>CONCATENATE(AP1098,L1098,H1098)</f>
        <v>Def TaxRR11Gain / Loss on Reacquired Debt</v>
      </c>
      <c r="AS1098" s="125" t="str">
        <f>CONCATENATE(L1098,H1098,J1098)</f>
        <v>R11Gain / Loss on Reacquired Debt</v>
      </c>
    </row>
    <row r="1099" spans="1:45" s="125" customFormat="1" ht="25.5" customHeight="1">
      <c r="A1099" s="216" t="s">
        <v>1996</v>
      </c>
      <c r="B1099" s="217" t="str">
        <f t="shared" si="467"/>
        <v>Def Tax190511Hist Bk RtBE030368</v>
      </c>
      <c r="C1099" s="186">
        <v>190511</v>
      </c>
      <c r="D1099" s="201" t="s">
        <v>1579</v>
      </c>
      <c r="E1099" s="162" t="s">
        <v>2991</v>
      </c>
      <c r="F1099" s="169" t="s">
        <v>346</v>
      </c>
      <c r="G1099" s="117" t="s">
        <v>77</v>
      </c>
      <c r="H1099" s="118" t="s">
        <v>539</v>
      </c>
      <c r="I1099" s="119"/>
      <c r="J1099" s="231"/>
      <c r="K1099" s="120" t="str">
        <f t="shared" si="469"/>
        <v/>
      </c>
      <c r="L1099" s="170" t="s">
        <v>1895</v>
      </c>
      <c r="M1099" s="122" t="str">
        <f t="shared" si="456"/>
        <v>R</v>
      </c>
      <c r="N1099" s="116" t="str">
        <f>IF($L1099&lt;&gt;"",VLOOKUP($L1099,Categories!$E:$G,2,FALSE),IF($F1099&lt;&gt;"","NO CAT",""))</f>
        <v>Rate Base</v>
      </c>
      <c r="O1099" s="116" t="str">
        <f>IF($L1099&lt;&gt;"",VLOOKUP($L1099,Categories!$E:$G,3,FALSE),IF($F1099&lt;&gt;"","NO CAT",""))</f>
        <v>Deferred Income Taxes</v>
      </c>
      <c r="P1099" s="170" t="s">
        <v>1183</v>
      </c>
      <c r="Q1099" s="123" t="s">
        <v>1177</v>
      </c>
      <c r="R1099" s="124">
        <v>1</v>
      </c>
      <c r="S1099" s="124">
        <v>0</v>
      </c>
      <c r="T1099" s="124">
        <v>0</v>
      </c>
      <c r="U1099" s="121">
        <f t="shared" si="459"/>
        <v>349.68189999999902</v>
      </c>
      <c r="V1099" s="121">
        <f t="shared" si="460"/>
        <v>0</v>
      </c>
      <c r="W1099" s="121">
        <f t="shared" si="461"/>
        <v>0</v>
      </c>
      <c r="X1099" s="121">
        <f t="shared" si="470"/>
        <v>349.68189999999902</v>
      </c>
      <c r="Y1099" s="121">
        <f t="shared" si="462"/>
        <v>349.68189999999902</v>
      </c>
      <c r="Z1099" s="121">
        <f t="shared" si="463"/>
        <v>0</v>
      </c>
      <c r="AA1099" s="121">
        <f t="shared" si="464"/>
        <v>0</v>
      </c>
      <c r="AB1099" s="121">
        <f t="shared" si="471"/>
        <v>349.68189999999902</v>
      </c>
      <c r="AC1099" s="121">
        <v>349.68189999999902</v>
      </c>
      <c r="AD1099" s="121">
        <v>349.68189999999902</v>
      </c>
      <c r="AE1099" s="121">
        <v>349.68189999999902</v>
      </c>
      <c r="AF1099" s="121">
        <v>349.68189999999902</v>
      </c>
      <c r="AG1099" s="121">
        <v>349.68189999999902</v>
      </c>
      <c r="AH1099" s="121">
        <v>349.68189999999902</v>
      </c>
      <c r="AI1099" s="161">
        <v>349.68189999999902</v>
      </c>
      <c r="AJ1099" s="161">
        <v>349.68189999999902</v>
      </c>
      <c r="AK1099" s="161">
        <v>349.68189999999902</v>
      </c>
      <c r="AL1099" s="161">
        <v>349.68189999999902</v>
      </c>
      <c r="AM1099" s="161">
        <v>349.68189999999902</v>
      </c>
      <c r="AN1099" s="161">
        <v>349.68189999999902</v>
      </c>
      <c r="AO1099" s="161">
        <v>349.68189999999902</v>
      </c>
      <c r="AP1099" s="125" t="str">
        <f>CONCATENATE(A1099,M1099)</f>
        <v>Def TaxR</v>
      </c>
      <c r="AQ1099" s="125" t="str">
        <f>CONCATENATE(AP1099,L1099,H1099)</f>
        <v>Def TaxRR11Inc Tax on Lower Book Depr Exp vs. Amt in Rates</v>
      </c>
      <c r="AS1099" s="125" t="str">
        <f>CONCATENATE(L1099,H1099,J1099)</f>
        <v>R11Inc Tax on Lower Book Depr Exp vs. Amt in Rates</v>
      </c>
    </row>
    <row r="1100" spans="1:45" s="125" customFormat="1" ht="25.5" customHeight="1">
      <c r="A1100" s="216" t="s">
        <v>1996</v>
      </c>
      <c r="B1100" s="217" t="str">
        <f t="shared" si="467"/>
        <v>Def Tax190511Incr MaintBE030599</v>
      </c>
      <c r="C1100" s="186">
        <v>190511</v>
      </c>
      <c r="D1100" s="201" t="s">
        <v>1435</v>
      </c>
      <c r="E1100" s="162" t="s">
        <v>39</v>
      </c>
      <c r="F1100" s="169" t="s">
        <v>346</v>
      </c>
      <c r="G1100" s="117" t="s">
        <v>1015</v>
      </c>
      <c r="H1100" s="118" t="s">
        <v>1078</v>
      </c>
      <c r="I1100" s="119"/>
      <c r="J1100" s="231" t="s">
        <v>105</v>
      </c>
      <c r="K1100" s="120" t="str">
        <f t="shared" si="469"/>
        <v/>
      </c>
      <c r="L1100" s="170" t="s">
        <v>2821</v>
      </c>
      <c r="M1100" s="122" t="str">
        <f t="shared" si="456"/>
        <v>N</v>
      </c>
      <c r="N1100" s="116" t="str">
        <f>IF($L1100&lt;&gt;"",VLOOKUP($L1100,Categories!$E:$G,2,FALSE),IF($F1100&lt;&gt;"","NO CAT",""))</f>
        <v>Not in Rate Base</v>
      </c>
      <c r="O1100" s="116" t="str">
        <f>IF($L1100&lt;&gt;"",VLOOKUP($L1100,Categories!$E:$G,3,FALSE),IF($F1100&lt;&gt;"","NO CAT",""))</f>
        <v>Deferrals Accruing Non-Cash Return   (other than ASGA)</v>
      </c>
      <c r="P1100" s="170" t="s">
        <v>1186</v>
      </c>
      <c r="Q1100" s="123" t="s">
        <v>1187</v>
      </c>
      <c r="R1100" s="124">
        <v>0</v>
      </c>
      <c r="S1100" s="124">
        <v>0</v>
      </c>
      <c r="T1100" s="124">
        <v>1</v>
      </c>
      <c r="U1100" s="121">
        <f t="shared" ref="U1100:U1160" si="472">IF(ABS(X1100)=0,"",IF($R1100="NO ALLOC","NO ALLOC",ROUND($R1100*X1100,15)))</f>
        <v>0</v>
      </c>
      <c r="V1100" s="121">
        <f t="shared" ref="V1100:V1160" si="473">IF(ABS(X1100)=0,"",IF($S1100="NO ALLOC","NO ALLOC",ROUND($S1100*X1100,15)))</f>
        <v>0</v>
      </c>
      <c r="W1100" s="121">
        <f t="shared" ref="W1100:W1160" si="474">IF(ABS(X1100)=0,"",IF($T1100="NO ALLOC","NO ALLOC",ROUND($T1100*X1100,15)))</f>
        <v>24.9770795833333</v>
      </c>
      <c r="X1100" s="121">
        <f t="shared" si="470"/>
        <v>24.9770795833333</v>
      </c>
      <c r="Y1100" s="121">
        <f t="shared" ref="Y1100:Y1160" si="475">IF(ABS(AB1100)=0,"",IF($R1100="NO ALLOC","NO ALLOC",ROUND($R1100*AB1100,15)))</f>
        <v>0</v>
      </c>
      <c r="Z1100" s="121">
        <f t="shared" ref="Z1100:Z1160" si="476">IF(ABS(AB1100)=0,"",IF($S1100="NO ALLOC","NO ALLOC",ROUND($S1100*AB1100,15)))</f>
        <v>0</v>
      </c>
      <c r="AA1100" s="121">
        <f t="shared" ref="AA1100:AA1160" si="477">IF(ABS(AB1100)=0,"",IF($T1100="NO ALLOC","NO ALLOC",ROUND($T1100*AB1100,15)))</f>
        <v>-1.0000000000000001E-5</v>
      </c>
      <c r="AB1100" s="121">
        <f t="shared" si="471"/>
        <v>-1.000000000021828E-5</v>
      </c>
      <c r="AC1100" s="121">
        <v>-1.9999999989522621E-5</v>
      </c>
      <c r="AD1100" s="121">
        <v>22.564630000000005</v>
      </c>
      <c r="AE1100" s="121">
        <v>46.138090000000005</v>
      </c>
      <c r="AF1100" s="121">
        <v>55.959450000000004</v>
      </c>
      <c r="AG1100" s="121">
        <v>68.627080000000007</v>
      </c>
      <c r="AH1100" s="121">
        <v>20.677919999999997</v>
      </c>
      <c r="AI1100" s="161">
        <v>29.427899999999998</v>
      </c>
      <c r="AJ1100" s="161">
        <v>10.079079999999998</v>
      </c>
      <c r="AK1100" s="161">
        <v>14.71039</v>
      </c>
      <c r="AL1100" s="161">
        <v>6.6819499999999996</v>
      </c>
      <c r="AM1100" s="161">
        <v>10.813529999999998</v>
      </c>
      <c r="AN1100" s="161">
        <v>14.044949999999998</v>
      </c>
      <c r="AO1100" s="161">
        <v>-1.000000000021828E-5</v>
      </c>
      <c r="AP1100" s="125" t="str">
        <f>CONCATENATE(A1100,M1100)</f>
        <v>Def TaxN</v>
      </c>
      <c r="AQ1100" s="125" t="str">
        <f>CONCATENATE(AP1100,L1100,H1100)</f>
        <v>Def TaxNN10Incremental Maintenance</v>
      </c>
      <c r="AS1100" s="125" t="str">
        <f>CONCATENATE(L1100,H1100,J1100)</f>
        <v>N10Incremental MaintenanceNCR</v>
      </c>
    </row>
    <row r="1101" spans="1:45" s="125" customFormat="1" ht="25.5" customHeight="1">
      <c r="A1101" s="216" t="s">
        <v>1996</v>
      </c>
      <c r="B1101" s="217" t="str">
        <f>CONCATENATE(A1101,C1101,D1101,E1101)</f>
        <v>Def Tax190511BT010390</v>
      </c>
      <c r="C1101" s="186">
        <v>190511</v>
      </c>
      <c r="D1101" s="201"/>
      <c r="E1101" s="162" t="s">
        <v>2235</v>
      </c>
      <c r="F1101" s="169" t="s">
        <v>346</v>
      </c>
      <c r="G1101" s="117" t="s">
        <v>4498</v>
      </c>
      <c r="H1101" s="118" t="s">
        <v>2675</v>
      </c>
      <c r="I1101" s="119"/>
      <c r="J1101" s="231" t="s">
        <v>105</v>
      </c>
      <c r="K1101" s="120" t="str">
        <f>IF(L1101="N3","SFAS-109","")</f>
        <v/>
      </c>
      <c r="L1101" s="170" t="s">
        <v>2821</v>
      </c>
      <c r="M1101" s="122" t="str">
        <f>LEFT(L1101,1)</f>
        <v>N</v>
      </c>
      <c r="N1101" s="116" t="str">
        <f>IF($L1101&lt;&gt;"",VLOOKUP($L1101,Categories!$E:$G,2,FALSE),IF($F1101&lt;&gt;"","NO CAT",""))</f>
        <v>Not in Rate Base</v>
      </c>
      <c r="O1101" s="116" t="str">
        <f>IF($L1101&lt;&gt;"",VLOOKUP($L1101,Categories!$E:$G,3,FALSE),IF($F1101&lt;&gt;"","NO CAT",""))</f>
        <v>Deferrals Accruing Non-Cash Return   (other than ASGA)</v>
      </c>
      <c r="P1101" s="170" t="s">
        <v>1186</v>
      </c>
      <c r="Q1101" s="123" t="s">
        <v>1187</v>
      </c>
      <c r="R1101" s="124">
        <v>0</v>
      </c>
      <c r="S1101" s="124">
        <v>0</v>
      </c>
      <c r="T1101" s="124">
        <v>1</v>
      </c>
      <c r="U1101" s="121">
        <f>IF(ABS(X1101)=0,"",IF($R1101="NO ALLOC","NO ALLOC",ROUND($R1101*X1101,15)))</f>
        <v>0</v>
      </c>
      <c r="V1101" s="121">
        <f>IF(ABS(X1101)=0,"",IF($S1101="NO ALLOC","NO ALLOC",ROUND($S1101*X1101,15)))</f>
        <v>0</v>
      </c>
      <c r="W1101" s="121">
        <f>IF(ABS(X1101)=0,"",IF($T1101="NO ALLOC","NO ALLOC",ROUND($T1101*X1101,15)))</f>
        <v>803.827982916667</v>
      </c>
      <c r="X1101" s="121">
        <f t="shared" si="470"/>
        <v>803.827982916667</v>
      </c>
      <c r="Y1101" s="121">
        <f>IF(ABS(AB1101)=0,"",IF($R1101="NO ALLOC","NO ALLOC",ROUND($R1101*AB1101,15)))</f>
        <v>0</v>
      </c>
      <c r="Z1101" s="121">
        <f>IF(ABS(AB1101)=0,"",IF($S1101="NO ALLOC","NO ALLOC",ROUND($S1101*AB1101,15)))</f>
        <v>0</v>
      </c>
      <c r="AA1101" s="121">
        <f>IF(ABS(AB1101)=0,"",IF($T1101="NO ALLOC","NO ALLOC",ROUND($T1101*AB1101,15)))</f>
        <v>978.23636999999997</v>
      </c>
      <c r="AB1101" s="121">
        <f t="shared" si="471"/>
        <v>978.23636999999997</v>
      </c>
      <c r="AC1101" s="121">
        <v>631.30629999999996</v>
      </c>
      <c r="AD1101" s="121">
        <v>659.65281999999991</v>
      </c>
      <c r="AE1101" s="121">
        <v>688.12144999999998</v>
      </c>
      <c r="AF1101" s="121">
        <v>716.71258999999998</v>
      </c>
      <c r="AG1101" s="121">
        <v>745.42687999999998</v>
      </c>
      <c r="AH1101" s="121">
        <v>774.26496999999995</v>
      </c>
      <c r="AI1101" s="161">
        <v>803.22748999999999</v>
      </c>
      <c r="AJ1101" s="161">
        <v>832.31508999999994</v>
      </c>
      <c r="AK1101" s="161">
        <v>861.52840999999989</v>
      </c>
      <c r="AL1101" s="161">
        <v>890.7836299999999</v>
      </c>
      <c r="AM1101" s="161">
        <v>919.99005999999997</v>
      </c>
      <c r="AN1101" s="161">
        <v>949.1410699999999</v>
      </c>
      <c r="AO1101" s="161">
        <v>978.23636999999997</v>
      </c>
      <c r="AP1101" s="125" t="str">
        <f>CONCATENATE(A1101,M1101)</f>
        <v>Def TaxN</v>
      </c>
      <c r="AQ1101" s="125" t="str">
        <f>CONCATENATE(AP1101,L1101,H1101)</f>
        <v>Def TaxNN10Mixed Use 263(a)</v>
      </c>
      <c r="AS1101" s="125" t="str">
        <f>CONCATENATE(L1101,H1101,J1101)</f>
        <v>N10Mixed Use 263(a)NCR</v>
      </c>
    </row>
    <row r="1102" spans="1:45" s="125" customFormat="1" ht="25.5" customHeight="1">
      <c r="A1102" s="216" t="s">
        <v>1996</v>
      </c>
      <c r="B1102" s="217" t="str">
        <f t="shared" si="467"/>
        <v>Def Tax190511Mgt AuditBE030596</v>
      </c>
      <c r="C1102" s="186">
        <v>190511</v>
      </c>
      <c r="D1102" s="201" t="s">
        <v>1433</v>
      </c>
      <c r="E1102" s="162" t="s">
        <v>37</v>
      </c>
      <c r="F1102" s="169" t="s">
        <v>346</v>
      </c>
      <c r="G1102" s="117" t="s">
        <v>1013</v>
      </c>
      <c r="H1102" s="118" t="s">
        <v>1076</v>
      </c>
      <c r="I1102" s="119"/>
      <c r="J1102" s="231" t="s">
        <v>105</v>
      </c>
      <c r="K1102" s="120" t="str">
        <f t="shared" si="469"/>
        <v/>
      </c>
      <c r="L1102" s="170" t="s">
        <v>2821</v>
      </c>
      <c r="M1102" s="122" t="str">
        <f t="shared" si="456"/>
        <v>N</v>
      </c>
      <c r="N1102" s="116" t="str">
        <f>IF($L1102&lt;&gt;"",VLOOKUP($L1102,Categories!$E:$G,2,FALSE),IF($F1102&lt;&gt;"","NO CAT",""))</f>
        <v>Not in Rate Base</v>
      </c>
      <c r="O1102" s="116" t="str">
        <f>IF($L1102&lt;&gt;"",VLOOKUP($L1102,Categories!$E:$G,3,FALSE),IF($F1102&lt;&gt;"","NO CAT",""))</f>
        <v>Deferrals Accruing Non-Cash Return   (other than ASGA)</v>
      </c>
      <c r="P1102" s="170" t="s">
        <v>1186</v>
      </c>
      <c r="Q1102" s="123" t="s">
        <v>1187</v>
      </c>
      <c r="R1102" s="124">
        <v>0</v>
      </c>
      <c r="S1102" s="124">
        <v>0</v>
      </c>
      <c r="T1102" s="124">
        <v>1</v>
      </c>
      <c r="U1102" s="121">
        <f t="shared" si="472"/>
        <v>0</v>
      </c>
      <c r="V1102" s="121">
        <f t="shared" si="473"/>
        <v>0</v>
      </c>
      <c r="W1102" s="121">
        <f t="shared" si="474"/>
        <v>1.7221483333333301</v>
      </c>
      <c r="X1102" s="121">
        <f t="shared" si="470"/>
        <v>1.7221483333333301</v>
      </c>
      <c r="Y1102" s="121">
        <f t="shared" si="475"/>
        <v>0</v>
      </c>
      <c r="Z1102" s="121">
        <f t="shared" si="476"/>
        <v>0</v>
      </c>
      <c r="AA1102" s="121">
        <f t="shared" si="477"/>
        <v>8.6529799999999994</v>
      </c>
      <c r="AB1102" s="121">
        <f t="shared" si="471"/>
        <v>8.6529799999999959</v>
      </c>
      <c r="AC1102" s="121">
        <v>-5.2121400000000024</v>
      </c>
      <c r="AD1102" s="121">
        <v>-4.0559200000000022</v>
      </c>
      <c r="AE1102" s="121">
        <v>-2.899850000000002</v>
      </c>
      <c r="AF1102" s="121">
        <v>-1.7439100000000021</v>
      </c>
      <c r="AG1102" s="121">
        <v>-0.5881200000000022</v>
      </c>
      <c r="AH1102" s="121">
        <v>0.56751999999999792</v>
      </c>
      <c r="AI1102" s="161">
        <v>1.7230299999999978</v>
      </c>
      <c r="AJ1102" s="161">
        <v>2.8783899999999978</v>
      </c>
      <c r="AK1102" s="161">
        <v>4.0335999999999981</v>
      </c>
      <c r="AL1102" s="161">
        <v>5.1886699999999975</v>
      </c>
      <c r="AM1102" s="161">
        <v>6.3435899999999972</v>
      </c>
      <c r="AN1102" s="161">
        <v>7.4983599999999972</v>
      </c>
      <c r="AO1102" s="161">
        <v>8.6529799999999959</v>
      </c>
      <c r="AP1102" s="125" t="str">
        <f>CONCATENATE(A1102,M1102)</f>
        <v>Def TaxN</v>
      </c>
      <c r="AQ1102" s="125" t="str">
        <f>CONCATENATE(AP1102,L1102,H1102)</f>
        <v>Def TaxNN10Management Audit</v>
      </c>
      <c r="AS1102" s="125" t="str">
        <f>CONCATENATE(L1102,H1102,J1102)</f>
        <v>N10Management AuditNCR</v>
      </c>
    </row>
    <row r="1103" spans="1:45" s="125" customFormat="1" ht="25.5" customHeight="1">
      <c r="A1103" s="216" t="s">
        <v>1996</v>
      </c>
      <c r="B1103" s="217" t="str">
        <f t="shared" si="467"/>
        <v>Def Tax190511PBABT010287</v>
      </c>
      <c r="C1103" s="186">
        <v>190511</v>
      </c>
      <c r="D1103" s="201" t="s">
        <v>1800</v>
      </c>
      <c r="E1103" s="162" t="s">
        <v>391</v>
      </c>
      <c r="F1103" s="169" t="s">
        <v>346</v>
      </c>
      <c r="G1103" s="117" t="s">
        <v>193</v>
      </c>
      <c r="H1103" s="118" t="s">
        <v>763</v>
      </c>
      <c r="I1103" s="119"/>
      <c r="J1103" s="120"/>
      <c r="K1103" s="120" t="str">
        <f t="shared" si="469"/>
        <v/>
      </c>
      <c r="L1103" s="170" t="s">
        <v>1895</v>
      </c>
      <c r="M1103" s="122" t="str">
        <f t="shared" si="456"/>
        <v>R</v>
      </c>
      <c r="N1103" s="116" t="str">
        <f>IF($L1103&lt;&gt;"",VLOOKUP($L1103,Categories!$E:$G,2,FALSE),IF($F1103&lt;&gt;"","NO CAT",""))</f>
        <v>Rate Base</v>
      </c>
      <c r="O1103" s="116" t="str">
        <f>IF($L1103&lt;&gt;"",VLOOKUP($L1103,Categories!$E:$G,3,FALSE),IF($F1103&lt;&gt;"","NO CAT",""))</f>
        <v>Deferred Income Taxes</v>
      </c>
      <c r="P1103" s="170" t="s">
        <v>1183</v>
      </c>
      <c r="Q1103" s="123" t="s">
        <v>1177</v>
      </c>
      <c r="R1103" s="124">
        <v>1</v>
      </c>
      <c r="S1103" s="124">
        <v>0</v>
      </c>
      <c r="T1103" s="124">
        <v>0</v>
      </c>
      <c r="U1103" s="121">
        <f t="shared" si="472"/>
        <v>969.47345999999402</v>
      </c>
      <c r="V1103" s="121">
        <f t="shared" si="473"/>
        <v>0</v>
      </c>
      <c r="W1103" s="121">
        <f t="shared" si="474"/>
        <v>0</v>
      </c>
      <c r="X1103" s="121">
        <f t="shared" si="470"/>
        <v>969.47345999999402</v>
      </c>
      <c r="Y1103" s="121">
        <f t="shared" si="475"/>
        <v>969.47345999999402</v>
      </c>
      <c r="Z1103" s="121">
        <f t="shared" si="476"/>
        <v>0</v>
      </c>
      <c r="AA1103" s="121">
        <f t="shared" si="477"/>
        <v>0</v>
      </c>
      <c r="AB1103" s="121">
        <f t="shared" si="471"/>
        <v>969.47345999999413</v>
      </c>
      <c r="AC1103" s="121">
        <v>969.47345999999413</v>
      </c>
      <c r="AD1103" s="121">
        <v>969.47345999999413</v>
      </c>
      <c r="AE1103" s="121">
        <v>969.47345999999413</v>
      </c>
      <c r="AF1103" s="121">
        <v>969.47345999999413</v>
      </c>
      <c r="AG1103" s="121">
        <v>969.47345999999413</v>
      </c>
      <c r="AH1103" s="121">
        <v>969.47345999999413</v>
      </c>
      <c r="AI1103" s="161">
        <v>969.47345999999413</v>
      </c>
      <c r="AJ1103" s="161">
        <v>969.47345999999413</v>
      </c>
      <c r="AK1103" s="161">
        <v>969.47345999999413</v>
      </c>
      <c r="AL1103" s="161">
        <v>969.47345999999413</v>
      </c>
      <c r="AM1103" s="161">
        <v>969.47345999999413</v>
      </c>
      <c r="AN1103" s="161">
        <v>969.47345999999413</v>
      </c>
      <c r="AO1103" s="161">
        <v>969.47345999999413</v>
      </c>
      <c r="AP1103" s="125" t="str">
        <f>CONCATENATE(A1103,M1103)</f>
        <v>Def TaxR</v>
      </c>
      <c r="AQ1103" s="125" t="str">
        <f>CONCATENATE(AP1103,L1103,H1103)</f>
        <v>Def TaxRR11Positive Benefit Adjustment</v>
      </c>
      <c r="AS1103" s="125" t="str">
        <f>CONCATENATE(L1103,H1103,J1103)</f>
        <v>R11Positive Benefit Adjustment</v>
      </c>
    </row>
    <row r="1104" spans="1:45" s="125" customFormat="1" ht="25.5" customHeight="1">
      <c r="A1104" s="216" t="s">
        <v>1996</v>
      </c>
      <c r="B1104" s="217" t="str">
        <f t="shared" si="467"/>
        <v>Def Tax190511PensionBT010166</v>
      </c>
      <c r="C1104" s="186">
        <v>190511</v>
      </c>
      <c r="D1104" s="201" t="s">
        <v>1553</v>
      </c>
      <c r="E1104" s="162" t="s">
        <v>1017</v>
      </c>
      <c r="F1104" s="169" t="s">
        <v>346</v>
      </c>
      <c r="G1104" s="117" t="s">
        <v>1016</v>
      </c>
      <c r="H1104" s="118" t="s">
        <v>1553</v>
      </c>
      <c r="I1104" s="119"/>
      <c r="J1104" s="120" t="s">
        <v>105</v>
      </c>
      <c r="K1104" s="120" t="str">
        <f t="shared" si="469"/>
        <v/>
      </c>
      <c r="L1104" s="170" t="s">
        <v>2821</v>
      </c>
      <c r="M1104" s="122" t="str">
        <f t="shared" si="456"/>
        <v>N</v>
      </c>
      <c r="N1104" s="116" t="str">
        <f>IF($L1104&lt;&gt;"",VLOOKUP($L1104,Categories!$E:$G,2,FALSE),IF($F1104&lt;&gt;"","NO CAT",""))</f>
        <v>Not in Rate Base</v>
      </c>
      <c r="O1104" s="116" t="str">
        <f>IF($L1104&lt;&gt;"",VLOOKUP($L1104,Categories!$E:$G,3,FALSE),IF($F1104&lt;&gt;"","NO CAT",""))</f>
        <v>Deferrals Accruing Non-Cash Return   (other than ASGA)</v>
      </c>
      <c r="P1104" s="170" t="s">
        <v>1186</v>
      </c>
      <c r="Q1104" s="123" t="s">
        <v>1187</v>
      </c>
      <c r="R1104" s="124">
        <v>0</v>
      </c>
      <c r="S1104" s="124">
        <v>0</v>
      </c>
      <c r="T1104" s="124">
        <v>1</v>
      </c>
      <c r="U1104" s="121">
        <f t="shared" si="472"/>
        <v>0</v>
      </c>
      <c r="V1104" s="121">
        <f t="shared" si="473"/>
        <v>0</v>
      </c>
      <c r="W1104" s="121">
        <f t="shared" si="474"/>
        <v>-2.8000000000000001E-14</v>
      </c>
      <c r="X1104" s="121">
        <f t="shared" si="470"/>
        <v>-2.8000000000000001E-14</v>
      </c>
      <c r="Y1104" s="121">
        <f t="shared" si="475"/>
        <v>0</v>
      </c>
      <c r="Z1104" s="121">
        <f t="shared" si="476"/>
        <v>0</v>
      </c>
      <c r="AA1104" s="121">
        <f t="shared" si="477"/>
        <v>-2.9000000000000003E-14</v>
      </c>
      <c r="AB1104" s="121">
        <f t="shared" si="471"/>
        <v>-2.9103830456733704E-14</v>
      </c>
      <c r="AC1104" s="121">
        <v>0</v>
      </c>
      <c r="AD1104" s="121">
        <v>-2.9103830456733704E-14</v>
      </c>
      <c r="AE1104" s="121">
        <v>-2.9103830456733704E-14</v>
      </c>
      <c r="AF1104" s="121">
        <v>-2.9103830456733704E-14</v>
      </c>
      <c r="AG1104" s="121">
        <v>-2.9103830456733704E-14</v>
      </c>
      <c r="AH1104" s="121">
        <v>-2.9103830456733704E-14</v>
      </c>
      <c r="AI1104" s="161">
        <v>-2.9103830456733704E-14</v>
      </c>
      <c r="AJ1104" s="161">
        <v>-2.9103830456733704E-14</v>
      </c>
      <c r="AK1104" s="161">
        <v>-2.9103830456733704E-14</v>
      </c>
      <c r="AL1104" s="161">
        <v>-2.9103830456733704E-14</v>
      </c>
      <c r="AM1104" s="161">
        <v>-2.9103830456733704E-14</v>
      </c>
      <c r="AN1104" s="161">
        <v>-2.9103830456733704E-14</v>
      </c>
      <c r="AO1104" s="161">
        <v>-2.9103830456733704E-14</v>
      </c>
      <c r="AP1104" s="125" t="str">
        <f>CONCATENATE(A1104,M1104)</f>
        <v>Def TaxN</v>
      </c>
      <c r="AQ1104" s="125" t="str">
        <f>CONCATENATE(AP1104,L1104,H1104)</f>
        <v>Def TaxNN10Pension</v>
      </c>
      <c r="AS1104" s="125" t="str">
        <f>CONCATENATE(L1104,H1104,J1104)</f>
        <v>N10PensionNCR</v>
      </c>
    </row>
    <row r="1105" spans="1:45" s="125" customFormat="1" ht="25.5" customHeight="1">
      <c r="A1105" s="216" t="s">
        <v>1996</v>
      </c>
      <c r="B1105" s="217" t="str">
        <f t="shared" si="467"/>
        <v>Def Tax1905110-286.01.41BE030210</v>
      </c>
      <c r="C1105" s="186">
        <v>190511</v>
      </c>
      <c r="D1105" s="201" t="s">
        <v>3000</v>
      </c>
      <c r="E1105" s="162" t="s">
        <v>1730</v>
      </c>
      <c r="F1105" s="169" t="s">
        <v>346</v>
      </c>
      <c r="G1105" s="117" t="s">
        <v>3001</v>
      </c>
      <c r="H1105" s="118" t="s">
        <v>2833</v>
      </c>
      <c r="I1105" s="119"/>
      <c r="J1105" s="231" t="s">
        <v>105</v>
      </c>
      <c r="K1105" s="120" t="str">
        <f t="shared" si="469"/>
        <v/>
      </c>
      <c r="L1105" s="170" t="s">
        <v>2821</v>
      </c>
      <c r="M1105" s="122" t="str">
        <f t="shared" si="456"/>
        <v>N</v>
      </c>
      <c r="N1105" s="116" t="str">
        <f>IF($L1105&lt;&gt;"",VLOOKUP($L1105,Categories!$E:$G,2,FALSE),IF($F1105&lt;&gt;"","NO CAT",""))</f>
        <v>Not in Rate Base</v>
      </c>
      <c r="O1105" s="116" t="str">
        <f>IF($L1105&lt;&gt;"",VLOOKUP($L1105,Categories!$E:$G,3,FALSE),IF($F1105&lt;&gt;"","NO CAT",""))</f>
        <v>Deferrals Accruing Non-Cash Return   (other than ASGA)</v>
      </c>
      <c r="P1105" s="170" t="s">
        <v>1186</v>
      </c>
      <c r="Q1105" s="123" t="s">
        <v>1187</v>
      </c>
      <c r="R1105" s="124">
        <v>0</v>
      </c>
      <c r="S1105" s="124">
        <v>0</v>
      </c>
      <c r="T1105" s="124">
        <v>1</v>
      </c>
      <c r="U1105" s="121">
        <f t="shared" si="472"/>
        <v>0</v>
      </c>
      <c r="V1105" s="121">
        <f t="shared" si="473"/>
        <v>0</v>
      </c>
      <c r="W1105" s="121">
        <f t="shared" si="474"/>
        <v>154.09836000000001</v>
      </c>
      <c r="X1105" s="121">
        <f t="shared" si="470"/>
        <v>154.09836000000001</v>
      </c>
      <c r="Y1105" s="121">
        <f t="shared" si="475"/>
        <v>0</v>
      </c>
      <c r="Z1105" s="121">
        <f t="shared" si="476"/>
        <v>0</v>
      </c>
      <c r="AA1105" s="121">
        <f t="shared" si="477"/>
        <v>154.09836000000001</v>
      </c>
      <c r="AB1105" s="121">
        <f t="shared" si="471"/>
        <v>154.09835999999993</v>
      </c>
      <c r="AC1105" s="121">
        <v>154.09835999999993</v>
      </c>
      <c r="AD1105" s="121">
        <v>154.09835999999993</v>
      </c>
      <c r="AE1105" s="121">
        <v>154.09835999999993</v>
      </c>
      <c r="AF1105" s="121">
        <v>154.09835999999993</v>
      </c>
      <c r="AG1105" s="121">
        <v>154.09835999999993</v>
      </c>
      <c r="AH1105" s="121">
        <v>154.09835999999993</v>
      </c>
      <c r="AI1105" s="161">
        <v>154.09835999999993</v>
      </c>
      <c r="AJ1105" s="161">
        <v>154.09835999999993</v>
      </c>
      <c r="AK1105" s="161">
        <v>154.09835999999993</v>
      </c>
      <c r="AL1105" s="161">
        <v>154.09835999999993</v>
      </c>
      <c r="AM1105" s="161">
        <v>154.09835999999993</v>
      </c>
      <c r="AN1105" s="161">
        <v>154.09835999999993</v>
      </c>
      <c r="AO1105" s="161">
        <v>154.09835999999993</v>
      </c>
      <c r="AP1105" s="125" t="str">
        <f>CONCATENATE(A1105,M1105)</f>
        <v>Def TaxN</v>
      </c>
      <c r="AQ1105" s="125" t="str">
        <f>CONCATENATE(AP1105,L1105,H1105)</f>
        <v>Def TaxNN10Low Income</v>
      </c>
      <c r="AS1105" s="125" t="str">
        <f>CONCATENATE(L1105,H1105,J1105)</f>
        <v>N10Low IncomeNCR</v>
      </c>
    </row>
    <row r="1106" spans="1:45" s="125" customFormat="1" ht="25.5" customHeight="1">
      <c r="A1106" s="216" t="s">
        <v>1996</v>
      </c>
      <c r="B1106" s="217" t="str">
        <f t="shared" si="467"/>
        <v>Def Tax1905110BE030182</v>
      </c>
      <c r="C1106" s="186">
        <v>190511</v>
      </c>
      <c r="D1106" s="201">
        <v>0</v>
      </c>
      <c r="E1106" s="162" t="s">
        <v>397</v>
      </c>
      <c r="F1106" s="169" t="s">
        <v>346</v>
      </c>
      <c r="G1106" s="117" t="s">
        <v>1019</v>
      </c>
      <c r="H1106" s="118" t="s">
        <v>1805</v>
      </c>
      <c r="I1106" s="119"/>
      <c r="J1106" s="231"/>
      <c r="K1106" s="120" t="str">
        <f t="shared" si="469"/>
        <v/>
      </c>
      <c r="L1106" s="170" t="s">
        <v>1895</v>
      </c>
      <c r="M1106" s="122" t="str">
        <f t="shared" si="456"/>
        <v>R</v>
      </c>
      <c r="N1106" s="116" t="str">
        <f>IF($L1106&lt;&gt;"",VLOOKUP($L1106,Categories!$E:$G,2,FALSE),IF($F1106&lt;&gt;"","NO CAT",""))</f>
        <v>Rate Base</v>
      </c>
      <c r="O1106" s="116" t="str">
        <f>IF($L1106&lt;&gt;"",VLOOKUP($L1106,Categories!$E:$G,3,FALSE),IF($F1106&lt;&gt;"","NO CAT",""))</f>
        <v>Deferred Income Taxes</v>
      </c>
      <c r="P1106" s="170" t="s">
        <v>1183</v>
      </c>
      <c r="Q1106" s="123" t="s">
        <v>1177</v>
      </c>
      <c r="R1106" s="124">
        <v>1</v>
      </c>
      <c r="S1106" s="124">
        <v>0</v>
      </c>
      <c r="T1106" s="124">
        <v>0</v>
      </c>
      <c r="U1106" s="121">
        <f t="shared" si="472"/>
        <v>-8.6250000010999999E-5</v>
      </c>
      <c r="V1106" s="121">
        <f t="shared" si="473"/>
        <v>0</v>
      </c>
      <c r="W1106" s="121">
        <f t="shared" si="474"/>
        <v>0</v>
      </c>
      <c r="X1106" s="121">
        <f t="shared" si="470"/>
        <v>-8.6250000010999999E-5</v>
      </c>
      <c r="Y1106" s="121">
        <f t="shared" si="475"/>
        <v>-9.0000000011999996E-5</v>
      </c>
      <c r="Z1106" s="121">
        <f t="shared" si="476"/>
        <v>0</v>
      </c>
      <c r="AA1106" s="121">
        <f t="shared" si="477"/>
        <v>0</v>
      </c>
      <c r="AB1106" s="121">
        <f t="shared" si="471"/>
        <v>-9.0000000011968947E-5</v>
      </c>
      <c r="AC1106" s="121">
        <v>0</v>
      </c>
      <c r="AD1106" s="121">
        <v>-9.0000000011968947E-5</v>
      </c>
      <c r="AE1106" s="121">
        <v>-9.0000000011968947E-5</v>
      </c>
      <c r="AF1106" s="121">
        <v>-9.0000000011968947E-5</v>
      </c>
      <c r="AG1106" s="121">
        <v>-9.0000000011968947E-5</v>
      </c>
      <c r="AH1106" s="121">
        <v>-9.0000000011968947E-5</v>
      </c>
      <c r="AI1106" s="161">
        <v>-9.0000000011968947E-5</v>
      </c>
      <c r="AJ1106" s="161">
        <v>-9.0000000011968947E-5</v>
      </c>
      <c r="AK1106" s="161">
        <v>-9.0000000011968947E-5</v>
      </c>
      <c r="AL1106" s="161">
        <v>-9.0000000011968947E-5</v>
      </c>
      <c r="AM1106" s="161">
        <v>-9.0000000011968947E-5</v>
      </c>
      <c r="AN1106" s="161">
        <v>-9.0000000011968947E-5</v>
      </c>
      <c r="AO1106" s="161">
        <v>-9.0000000011968947E-5</v>
      </c>
      <c r="AP1106" s="125" t="str">
        <f>CONCATENATE(A1106,M1106)</f>
        <v>Def TaxR</v>
      </c>
      <c r="AQ1106" s="125" t="str">
        <f>CONCATENATE(AP1106,L1106,H1106)</f>
        <v>Def TaxRR11Capitalized Installation Costs</v>
      </c>
      <c r="AS1106" s="125" t="str">
        <f>CONCATENATE(L1106,H1106,J1106)</f>
        <v>R11Capitalized Installation Costs</v>
      </c>
    </row>
    <row r="1107" spans="1:45" s="125" customFormat="1" ht="25.5" customHeight="1">
      <c r="A1107" s="216" t="s">
        <v>1996</v>
      </c>
      <c r="B1107" s="217" t="str">
        <f t="shared" ref="B1107:B1170" si="478">CONCATENATE(A1107,C1107,D1107,E1107)</f>
        <v>Def Tax190511PSC AssessmentBT010353</v>
      </c>
      <c r="C1107" s="186">
        <v>190511</v>
      </c>
      <c r="D1107" s="201" t="s">
        <v>1844</v>
      </c>
      <c r="E1107" s="162" t="s">
        <v>1054</v>
      </c>
      <c r="F1107" s="169" t="s">
        <v>346</v>
      </c>
      <c r="G1107" s="117" t="s">
        <v>1053</v>
      </c>
      <c r="H1107" s="118" t="s">
        <v>1844</v>
      </c>
      <c r="I1107" s="119"/>
      <c r="J1107" s="231" t="s">
        <v>105</v>
      </c>
      <c r="K1107" s="120" t="str">
        <f t="shared" si="469"/>
        <v/>
      </c>
      <c r="L1107" s="170" t="s">
        <v>2821</v>
      </c>
      <c r="M1107" s="122" t="str">
        <f t="shared" si="456"/>
        <v>N</v>
      </c>
      <c r="N1107" s="116" t="str">
        <f>IF($L1107&lt;&gt;"",VLOOKUP($L1107,Categories!$E:$G,2,FALSE),IF($F1107&lt;&gt;"","NO CAT",""))</f>
        <v>Not in Rate Base</v>
      </c>
      <c r="O1107" s="116" t="str">
        <f>IF($L1107&lt;&gt;"",VLOOKUP($L1107,Categories!$E:$G,3,FALSE),IF($F1107&lt;&gt;"","NO CAT",""))</f>
        <v>Deferrals Accruing Non-Cash Return   (other than ASGA)</v>
      </c>
      <c r="P1107" s="170" t="s">
        <v>1186</v>
      </c>
      <c r="Q1107" s="123" t="s">
        <v>1187</v>
      </c>
      <c r="R1107" s="124">
        <v>0</v>
      </c>
      <c r="S1107" s="124">
        <v>0</v>
      </c>
      <c r="T1107" s="124">
        <v>1</v>
      </c>
      <c r="U1107" s="121">
        <f t="shared" si="472"/>
        <v>0</v>
      </c>
      <c r="V1107" s="121">
        <f t="shared" si="473"/>
        <v>0</v>
      </c>
      <c r="W1107" s="121">
        <f t="shared" si="474"/>
        <v>-177.22283666666701</v>
      </c>
      <c r="X1107" s="121">
        <f t="shared" si="470"/>
        <v>-177.22283666666701</v>
      </c>
      <c r="Y1107" s="121">
        <f t="shared" si="475"/>
        <v>0</v>
      </c>
      <c r="Z1107" s="121">
        <f t="shared" si="476"/>
        <v>0</v>
      </c>
      <c r="AA1107" s="121">
        <f t="shared" si="477"/>
        <v>-382.91748999999999</v>
      </c>
      <c r="AB1107" s="121">
        <f t="shared" si="471"/>
        <v>-382.91748999999993</v>
      </c>
      <c r="AC1107" s="121">
        <v>5.0000000046566127E-5</v>
      </c>
      <c r="AD1107" s="121">
        <v>5.0000000046566127E-5</v>
      </c>
      <c r="AE1107" s="121">
        <v>5.0000000046566127E-5</v>
      </c>
      <c r="AF1107" s="121">
        <v>5.0000000046566127E-5</v>
      </c>
      <c r="AG1107" s="121">
        <v>5.0000000046566127E-5</v>
      </c>
      <c r="AH1107" s="121">
        <v>5.0000000046566127E-5</v>
      </c>
      <c r="AI1107" s="161">
        <v>5.0000000046566127E-5</v>
      </c>
      <c r="AJ1107" s="161">
        <v>-404.17227999999994</v>
      </c>
      <c r="AK1107" s="161">
        <v>-422.09725999999995</v>
      </c>
      <c r="AL1107" s="161">
        <v>-351.16039999999998</v>
      </c>
      <c r="AM1107" s="161">
        <v>-372.16075999999993</v>
      </c>
      <c r="AN1107" s="161">
        <v>-385.62491999999992</v>
      </c>
      <c r="AO1107" s="161">
        <v>-382.91748999999993</v>
      </c>
      <c r="AP1107" s="125" t="str">
        <f>CONCATENATE(A1107,M1107)</f>
        <v>Def TaxN</v>
      </c>
      <c r="AQ1107" s="125" t="str">
        <f>CONCATENATE(AP1107,L1107,H1107)</f>
        <v>Def TaxNN10PSC Assessment</v>
      </c>
      <c r="AS1107" s="125" t="str">
        <f>CONCATENATE(L1107,H1107,J1107)</f>
        <v>N10PSC AssessmentNCR</v>
      </c>
    </row>
    <row r="1108" spans="1:45" s="125" customFormat="1" ht="25.5" customHeight="1">
      <c r="A1108" s="216" t="s">
        <v>1996</v>
      </c>
      <c r="B1108" s="217" t="str">
        <f t="shared" si="478"/>
        <v>Def Tax190511SQPMBT010209</v>
      </c>
      <c r="C1108" s="186">
        <v>190511</v>
      </c>
      <c r="D1108" s="201" t="s">
        <v>2895</v>
      </c>
      <c r="E1108" s="162" t="s">
        <v>394</v>
      </c>
      <c r="F1108" s="169" t="s">
        <v>346</v>
      </c>
      <c r="G1108" s="117" t="s">
        <v>2894</v>
      </c>
      <c r="H1108" s="118" t="s">
        <v>1943</v>
      </c>
      <c r="I1108" s="119"/>
      <c r="J1108" s="120"/>
      <c r="K1108" s="120" t="str">
        <f t="shared" si="469"/>
        <v/>
      </c>
      <c r="L1108" s="170" t="s">
        <v>1895</v>
      </c>
      <c r="M1108" s="122" t="str">
        <f t="shared" ref="M1108:M1172" si="479">LEFT(L1108,1)</f>
        <v>R</v>
      </c>
      <c r="N1108" s="116" t="str">
        <f>IF($L1108&lt;&gt;"",VLOOKUP($L1108,Categories!$E:$G,2,FALSE),IF($F1108&lt;&gt;"","NO CAT",""))</f>
        <v>Rate Base</v>
      </c>
      <c r="O1108" s="116" t="str">
        <f>IF($L1108&lt;&gt;"",VLOOKUP($L1108,Categories!$E:$G,3,FALSE),IF($F1108&lt;&gt;"","NO CAT",""))</f>
        <v>Deferred Income Taxes</v>
      </c>
      <c r="P1108" s="170" t="s">
        <v>1183</v>
      </c>
      <c r="Q1108" s="123" t="s">
        <v>1177</v>
      </c>
      <c r="R1108" s="124">
        <v>1</v>
      </c>
      <c r="S1108" s="124">
        <v>0</v>
      </c>
      <c r="T1108" s="124">
        <v>0</v>
      </c>
      <c r="U1108" s="121">
        <f t="shared" si="472"/>
        <v>138</v>
      </c>
      <c r="V1108" s="121">
        <f t="shared" si="473"/>
        <v>0</v>
      </c>
      <c r="W1108" s="121">
        <f t="shared" si="474"/>
        <v>0</v>
      </c>
      <c r="X1108" s="121">
        <f t="shared" si="470"/>
        <v>138</v>
      </c>
      <c r="Y1108" s="121">
        <f t="shared" si="475"/>
        <v>138</v>
      </c>
      <c r="Z1108" s="121">
        <f t="shared" si="476"/>
        <v>0</v>
      </c>
      <c r="AA1108" s="121">
        <f t="shared" si="477"/>
        <v>0</v>
      </c>
      <c r="AB1108" s="121">
        <f t="shared" si="471"/>
        <v>138</v>
      </c>
      <c r="AC1108" s="121">
        <v>138</v>
      </c>
      <c r="AD1108" s="121">
        <v>138</v>
      </c>
      <c r="AE1108" s="121">
        <v>138</v>
      </c>
      <c r="AF1108" s="121">
        <v>138</v>
      </c>
      <c r="AG1108" s="121">
        <v>138</v>
      </c>
      <c r="AH1108" s="121">
        <v>138</v>
      </c>
      <c r="AI1108" s="161">
        <v>138</v>
      </c>
      <c r="AJ1108" s="161">
        <v>138</v>
      </c>
      <c r="AK1108" s="161">
        <v>138</v>
      </c>
      <c r="AL1108" s="161">
        <v>138</v>
      </c>
      <c r="AM1108" s="161">
        <v>138</v>
      </c>
      <c r="AN1108" s="161">
        <v>138</v>
      </c>
      <c r="AO1108" s="161">
        <v>138</v>
      </c>
      <c r="AP1108" s="125" t="str">
        <f>CONCATENATE(A1108,M1108)</f>
        <v>Def TaxR</v>
      </c>
      <c r="AQ1108" s="125" t="str">
        <f>CONCATENATE(AP1108,L1108,H1108)</f>
        <v>Def TaxRR11Service Quality Performance Program</v>
      </c>
      <c r="AS1108" s="125" t="str">
        <f>CONCATENATE(L1108,H1108,J1108)</f>
        <v>R11Service Quality Performance Program</v>
      </c>
    </row>
    <row r="1109" spans="1:45" s="125" customFormat="1" ht="25.5" customHeight="1">
      <c r="A1109" s="216" t="s">
        <v>1996</v>
      </c>
      <c r="B1109" s="217" t="str">
        <f t="shared" si="478"/>
        <v>Def Tax190511Str VoltageBE030186</v>
      </c>
      <c r="C1109" s="186">
        <v>190511</v>
      </c>
      <c r="D1109" s="201" t="s">
        <v>1751</v>
      </c>
      <c r="E1109" s="162" t="s">
        <v>1610</v>
      </c>
      <c r="F1109" s="169" t="s">
        <v>346</v>
      </c>
      <c r="G1109" s="117" t="s">
        <v>1750</v>
      </c>
      <c r="H1109" s="118" t="s">
        <v>2857</v>
      </c>
      <c r="I1109" s="119"/>
      <c r="J1109" s="231"/>
      <c r="K1109" s="120" t="str">
        <f t="shared" si="469"/>
        <v/>
      </c>
      <c r="L1109" s="170" t="s">
        <v>2821</v>
      </c>
      <c r="M1109" s="122" t="str">
        <f t="shared" si="479"/>
        <v>N</v>
      </c>
      <c r="N1109" s="116" t="str">
        <f>IF($L1109&lt;&gt;"",VLOOKUP($L1109,Categories!$E:$G,2,FALSE),IF($F1109&lt;&gt;"","NO CAT",""))</f>
        <v>Not in Rate Base</v>
      </c>
      <c r="O1109" s="116" t="str">
        <f>IF($L1109&lt;&gt;"",VLOOKUP($L1109,Categories!$E:$G,3,FALSE),IF($F1109&lt;&gt;"","NO CAT",""))</f>
        <v>Deferrals Accruing Non-Cash Return   (other than ASGA)</v>
      </c>
      <c r="P1109" s="170" t="s">
        <v>1186</v>
      </c>
      <c r="Q1109" s="123" t="s">
        <v>1187</v>
      </c>
      <c r="R1109" s="124">
        <v>0</v>
      </c>
      <c r="S1109" s="124">
        <v>0</v>
      </c>
      <c r="T1109" s="124">
        <v>1</v>
      </c>
      <c r="U1109" s="121">
        <f t="shared" si="472"/>
        <v>0</v>
      </c>
      <c r="V1109" s="121">
        <f t="shared" si="473"/>
        <v>0</v>
      </c>
      <c r="W1109" s="121">
        <f t="shared" si="474"/>
        <v>223.14042166666701</v>
      </c>
      <c r="X1109" s="121">
        <f t="shared" si="470"/>
        <v>223.14042166666701</v>
      </c>
      <c r="Y1109" s="121">
        <f t="shared" si="475"/>
        <v>0</v>
      </c>
      <c r="Z1109" s="121">
        <f t="shared" si="476"/>
        <v>0</v>
      </c>
      <c r="AA1109" s="121">
        <f t="shared" si="477"/>
        <v>327.73214999999999</v>
      </c>
      <c r="AB1109" s="121">
        <f t="shared" si="471"/>
        <v>327.73214999999999</v>
      </c>
      <c r="AC1109" s="121">
        <v>118.11819</v>
      </c>
      <c r="AD1109" s="121">
        <v>137.23774</v>
      </c>
      <c r="AE1109" s="121">
        <v>155.92322000000001</v>
      </c>
      <c r="AF1109" s="121">
        <v>172.95193</v>
      </c>
      <c r="AG1109" s="121">
        <v>186.86225999999999</v>
      </c>
      <c r="AH1109" s="121">
        <v>207.53510999999997</v>
      </c>
      <c r="AI1109" s="161">
        <v>225.38615999999996</v>
      </c>
      <c r="AJ1109" s="161">
        <v>241.94937999999996</v>
      </c>
      <c r="AK1109" s="161">
        <v>256.09958</v>
      </c>
      <c r="AL1109" s="161">
        <v>272.59395999999998</v>
      </c>
      <c r="AM1109" s="161">
        <v>289.62715999999995</v>
      </c>
      <c r="AN1109" s="161">
        <v>308.59338999999994</v>
      </c>
      <c r="AO1109" s="161">
        <v>327.73214999999999</v>
      </c>
      <c r="AP1109" s="125" t="str">
        <f>CONCATENATE(A1109,M1109)</f>
        <v>Def TaxN</v>
      </c>
      <c r="AQ1109" s="125" t="str">
        <f>CONCATENATE(AP1109,L1109,H1109)</f>
        <v>Def TaxNN10Stray Voltage</v>
      </c>
      <c r="AS1109" s="125" t="str">
        <f>CONCATENATE(L1109,H1109,J1109)</f>
        <v>N10Stray Voltage</v>
      </c>
    </row>
    <row r="1110" spans="1:45" s="125" customFormat="1" ht="25.5" customHeight="1">
      <c r="A1110" s="216" t="s">
        <v>1996</v>
      </c>
      <c r="B1110" s="217" t="str">
        <f t="shared" si="478"/>
        <v>Def Tax1905110-186.01.41BT010224</v>
      </c>
      <c r="C1110" s="186">
        <v>190511</v>
      </c>
      <c r="D1110" s="201" t="s">
        <v>2487</v>
      </c>
      <c r="E1110" s="162" t="s">
        <v>395</v>
      </c>
      <c r="F1110" s="169" t="s">
        <v>346</v>
      </c>
      <c r="G1110" s="117" t="s">
        <v>1618</v>
      </c>
      <c r="H1110" s="118" t="s">
        <v>2369</v>
      </c>
      <c r="I1110" s="119"/>
      <c r="J1110" s="120"/>
      <c r="K1110" s="120" t="str">
        <f t="shared" si="469"/>
        <v/>
      </c>
      <c r="L1110" s="170" t="s">
        <v>928</v>
      </c>
      <c r="M1110" s="122" t="str">
        <f t="shared" si="479"/>
        <v>N</v>
      </c>
      <c r="N1110" s="116" t="str">
        <f>IF($L1110&lt;&gt;"",VLOOKUP($L1110,Categories!$E:$G,2,FALSE),IF($F1110&lt;&gt;"","NO CAT",""))</f>
        <v>Not in Rate Base</v>
      </c>
      <c r="O1110" s="116" t="str">
        <f>IF($L1110&lt;&gt;"",VLOOKUP($L1110,Categories!$E:$G,3,FALSE),IF($F1110&lt;&gt;"","NO CAT",""))</f>
        <v>Direct Assign Items Not in RB</v>
      </c>
      <c r="P1110" s="170" t="s">
        <v>1186</v>
      </c>
      <c r="Q1110" s="123" t="s">
        <v>1187</v>
      </c>
      <c r="R1110" s="124">
        <v>0</v>
      </c>
      <c r="S1110" s="124">
        <v>0</v>
      </c>
      <c r="T1110" s="124">
        <v>1</v>
      </c>
      <c r="U1110" s="121">
        <f t="shared" si="472"/>
        <v>0</v>
      </c>
      <c r="V1110" s="121">
        <f t="shared" si="473"/>
        <v>0</v>
      </c>
      <c r="W1110" s="121">
        <f t="shared" si="474"/>
        <v>281.94299999999998</v>
      </c>
      <c r="X1110" s="121">
        <f t="shared" si="470"/>
        <v>281.94299999999998</v>
      </c>
      <c r="Y1110" s="121">
        <f t="shared" si="475"/>
        <v>0</v>
      </c>
      <c r="Z1110" s="121">
        <f t="shared" si="476"/>
        <v>0</v>
      </c>
      <c r="AA1110" s="121">
        <f t="shared" si="477"/>
        <v>281.94299999999998</v>
      </c>
      <c r="AB1110" s="121">
        <f t="shared" si="471"/>
        <v>281.94299999999998</v>
      </c>
      <c r="AC1110" s="121">
        <v>281.94299999999998</v>
      </c>
      <c r="AD1110" s="121">
        <v>281.94299999999998</v>
      </c>
      <c r="AE1110" s="121">
        <v>281.94299999999998</v>
      </c>
      <c r="AF1110" s="121">
        <v>281.94299999999998</v>
      </c>
      <c r="AG1110" s="121">
        <v>281.94299999999998</v>
      </c>
      <c r="AH1110" s="121">
        <v>281.94299999999998</v>
      </c>
      <c r="AI1110" s="161">
        <v>281.94299999999998</v>
      </c>
      <c r="AJ1110" s="161">
        <v>281.94299999999998</v>
      </c>
      <c r="AK1110" s="161">
        <v>281.94299999999998</v>
      </c>
      <c r="AL1110" s="161">
        <v>281.94299999999998</v>
      </c>
      <c r="AM1110" s="161">
        <v>281.94299999999998</v>
      </c>
      <c r="AN1110" s="161">
        <v>281.94299999999998</v>
      </c>
      <c r="AO1110" s="161">
        <v>281.94299999999998</v>
      </c>
      <c r="AP1110" s="125" t="str">
        <f>CONCATENATE(A1110,M1110)</f>
        <v>Def TaxN</v>
      </c>
      <c r="AQ1110" s="125" t="str">
        <f>CONCATENATE(AP1110,L1110,H1110)</f>
        <v>Def TaxNN2Environmental</v>
      </c>
      <c r="AS1110" s="125" t="str">
        <f>CONCATENATE(L1110,H1110,J1110)</f>
        <v>N2Environmental</v>
      </c>
    </row>
    <row r="1111" spans="1:45" s="125" customFormat="1" ht="25.5" customHeight="1">
      <c r="A1111" s="216" t="s">
        <v>1996</v>
      </c>
      <c r="B1111" s="217" t="str">
        <f t="shared" si="478"/>
        <v>Def Tax190511Trans MeterBE030182</v>
      </c>
      <c r="C1111" s="186">
        <v>190511</v>
      </c>
      <c r="D1111" s="201" t="s">
        <v>1753</v>
      </c>
      <c r="E1111" s="162" t="s">
        <v>397</v>
      </c>
      <c r="F1111" s="169" t="s">
        <v>346</v>
      </c>
      <c r="G1111" s="117" t="s">
        <v>190</v>
      </c>
      <c r="H1111" s="118" t="s">
        <v>1805</v>
      </c>
      <c r="I1111" s="119"/>
      <c r="J1111" s="120"/>
      <c r="K1111" s="120" t="str">
        <f t="shared" si="469"/>
        <v/>
      </c>
      <c r="L1111" s="170" t="s">
        <v>1895</v>
      </c>
      <c r="M1111" s="122" t="str">
        <f t="shared" si="479"/>
        <v>R</v>
      </c>
      <c r="N1111" s="116" t="str">
        <f>IF($L1111&lt;&gt;"",VLOOKUP($L1111,Categories!$E:$G,2,FALSE),IF($F1111&lt;&gt;"","NO CAT",""))</f>
        <v>Rate Base</v>
      </c>
      <c r="O1111" s="116" t="str">
        <f>IF($L1111&lt;&gt;"",VLOOKUP($L1111,Categories!$E:$G,3,FALSE),IF($F1111&lt;&gt;"","NO CAT",""))</f>
        <v>Deferred Income Taxes</v>
      </c>
      <c r="P1111" s="170" t="s">
        <v>1183</v>
      </c>
      <c r="Q1111" s="123" t="s">
        <v>1177</v>
      </c>
      <c r="R1111" s="124">
        <v>1</v>
      </c>
      <c r="S1111" s="124">
        <v>0</v>
      </c>
      <c r="T1111" s="124">
        <v>0</v>
      </c>
      <c r="U1111" s="121">
        <f t="shared" si="472"/>
        <v>-9.0000000011999996E-5</v>
      </c>
      <c r="V1111" s="121">
        <f t="shared" si="473"/>
        <v>0</v>
      </c>
      <c r="W1111" s="121">
        <f t="shared" si="474"/>
        <v>0</v>
      </c>
      <c r="X1111" s="121">
        <f t="shared" si="470"/>
        <v>-9.0000000011999996E-5</v>
      </c>
      <c r="Y1111" s="121">
        <f t="shared" si="475"/>
        <v>-9.0000000011999996E-5</v>
      </c>
      <c r="Z1111" s="121">
        <f t="shared" si="476"/>
        <v>0</v>
      </c>
      <c r="AA1111" s="121">
        <f t="shared" si="477"/>
        <v>0</v>
      </c>
      <c r="AB1111" s="121">
        <f t="shared" si="471"/>
        <v>-9.0000000011968947E-5</v>
      </c>
      <c r="AC1111" s="121">
        <v>-9.0000000011968947E-5</v>
      </c>
      <c r="AD1111" s="121">
        <v>-9.0000000011968947E-5</v>
      </c>
      <c r="AE1111" s="121">
        <v>-9.0000000011968947E-5</v>
      </c>
      <c r="AF1111" s="121">
        <v>-9.0000000011968947E-5</v>
      </c>
      <c r="AG1111" s="121">
        <v>-9.0000000011968947E-5</v>
      </c>
      <c r="AH1111" s="121">
        <v>-9.0000000011968947E-5</v>
      </c>
      <c r="AI1111" s="161">
        <v>-9.0000000011968947E-5</v>
      </c>
      <c r="AJ1111" s="161">
        <v>-9.0000000011968947E-5</v>
      </c>
      <c r="AK1111" s="161">
        <v>-9.0000000011968947E-5</v>
      </c>
      <c r="AL1111" s="161">
        <v>-9.0000000011968947E-5</v>
      </c>
      <c r="AM1111" s="161">
        <v>-9.0000000011968947E-5</v>
      </c>
      <c r="AN1111" s="161">
        <v>-9.0000000011968947E-5</v>
      </c>
      <c r="AO1111" s="161">
        <v>-9.0000000011968947E-5</v>
      </c>
      <c r="AP1111" s="125" t="str">
        <f>CONCATENATE(A1111,M1111)</f>
        <v>Def TaxR</v>
      </c>
      <c r="AQ1111" s="125" t="str">
        <f>CONCATENATE(AP1111,L1111,H1111)</f>
        <v>Def TaxRR11Capitalized Installation Costs</v>
      </c>
      <c r="AS1111" s="125" t="str">
        <f>CONCATENATE(L1111,H1111,J1111)</f>
        <v>R11Capitalized Installation Costs</v>
      </c>
    </row>
    <row r="1112" spans="1:45" s="125" customFormat="1" ht="25.5" customHeight="1">
      <c r="A1112" s="216" t="s">
        <v>1996</v>
      </c>
      <c r="B1112" s="217" t="str">
        <f t="shared" si="478"/>
        <v>Def Tax190511VRDBE030598</v>
      </c>
      <c r="C1112" s="186">
        <v>190511</v>
      </c>
      <c r="D1112" s="201" t="s">
        <v>1434</v>
      </c>
      <c r="E1112" s="162" t="s">
        <v>34</v>
      </c>
      <c r="F1112" s="169" t="s">
        <v>346</v>
      </c>
      <c r="G1112" s="117" t="s">
        <v>1014</v>
      </c>
      <c r="H1112" s="118" t="s">
        <v>1075</v>
      </c>
      <c r="I1112" s="119"/>
      <c r="J1112" s="120" t="s">
        <v>105</v>
      </c>
      <c r="K1112" s="120" t="str">
        <f t="shared" si="469"/>
        <v/>
      </c>
      <c r="L1112" s="170" t="s">
        <v>2821</v>
      </c>
      <c r="M1112" s="122" t="str">
        <f t="shared" si="479"/>
        <v>N</v>
      </c>
      <c r="N1112" s="116" t="str">
        <f>IF($L1112&lt;&gt;"",VLOOKUP($L1112,Categories!$E:$G,2,FALSE),IF($F1112&lt;&gt;"","NO CAT",""))</f>
        <v>Not in Rate Base</v>
      </c>
      <c r="O1112" s="116" t="str">
        <f>IF($L1112&lt;&gt;"",VLOOKUP($L1112,Categories!$E:$G,3,FALSE),IF($F1112&lt;&gt;"","NO CAT",""))</f>
        <v>Deferrals Accruing Non-Cash Return   (other than ASGA)</v>
      </c>
      <c r="P1112" s="170" t="s">
        <v>1186</v>
      </c>
      <c r="Q1112" s="123" t="s">
        <v>1187</v>
      </c>
      <c r="R1112" s="124">
        <v>0</v>
      </c>
      <c r="S1112" s="124">
        <v>0</v>
      </c>
      <c r="T1112" s="124">
        <v>1</v>
      </c>
      <c r="U1112" s="121">
        <f t="shared" si="472"/>
        <v>0</v>
      </c>
      <c r="V1112" s="121">
        <f t="shared" si="473"/>
        <v>0</v>
      </c>
      <c r="W1112" s="121">
        <f t="shared" si="474"/>
        <v>565.79455541666698</v>
      </c>
      <c r="X1112" s="121">
        <f t="shared" si="470"/>
        <v>565.79455541666698</v>
      </c>
      <c r="Y1112" s="121">
        <f t="shared" si="475"/>
        <v>0</v>
      </c>
      <c r="Z1112" s="121">
        <f t="shared" si="476"/>
        <v>0</v>
      </c>
      <c r="AA1112" s="121">
        <f t="shared" si="477"/>
        <v>718.68829000000005</v>
      </c>
      <c r="AB1112" s="121">
        <f t="shared" si="471"/>
        <v>718.68829000000005</v>
      </c>
      <c r="AC1112" s="121">
        <v>343.54549999999995</v>
      </c>
      <c r="AD1112" s="121">
        <v>449.62053999999995</v>
      </c>
      <c r="AE1112" s="121">
        <v>474.78530999999992</v>
      </c>
      <c r="AF1112" s="121">
        <v>491.00677999999994</v>
      </c>
      <c r="AG1112" s="121">
        <v>516.29558999999995</v>
      </c>
      <c r="AH1112" s="121">
        <v>541.78357999999992</v>
      </c>
      <c r="AI1112" s="161">
        <v>567.25224000000003</v>
      </c>
      <c r="AJ1112" s="161">
        <v>592.84118999999998</v>
      </c>
      <c r="AK1112" s="161">
        <v>618.2684099999999</v>
      </c>
      <c r="AL1112" s="161">
        <v>643.45246999999995</v>
      </c>
      <c r="AM1112" s="161">
        <v>668.80736999999999</v>
      </c>
      <c r="AN1112" s="161">
        <v>694.30429000000004</v>
      </c>
      <c r="AO1112" s="161">
        <v>718.68829000000005</v>
      </c>
      <c r="AP1112" s="125" t="str">
        <f>CONCATENATE(A1112,M1112)</f>
        <v>Def TaxN</v>
      </c>
      <c r="AQ1112" s="125" t="str">
        <f>CONCATENATE(AP1112,L1112,H1112)</f>
        <v>Def TaxNN10Variable Rate Debt</v>
      </c>
      <c r="AS1112" s="125" t="str">
        <f>CONCATENATE(L1112,H1112,J1112)</f>
        <v>N10Variable Rate DebtNCR</v>
      </c>
    </row>
    <row r="1113" spans="1:45" s="125" customFormat="1" ht="25.5" customHeight="1">
      <c r="A1113" s="216" t="s">
        <v>1996</v>
      </c>
      <c r="B1113" s="217" t="str">
        <f t="shared" si="478"/>
        <v>Def Tax190511NCR/Non NCR-a0</v>
      </c>
      <c r="C1113" s="186">
        <v>190511</v>
      </c>
      <c r="D1113" s="201" t="s">
        <v>2354</v>
      </c>
      <c r="E1113" s="162">
        <v>0</v>
      </c>
      <c r="F1113" s="169" t="s">
        <v>346</v>
      </c>
      <c r="G1113" s="117" t="s">
        <v>1376</v>
      </c>
      <c r="H1113" s="118" t="s">
        <v>967</v>
      </c>
      <c r="I1113" s="119"/>
      <c r="J1113" s="120"/>
      <c r="K1113" s="120" t="str">
        <f t="shared" si="469"/>
        <v/>
      </c>
      <c r="L1113" s="170" t="s">
        <v>1895</v>
      </c>
      <c r="M1113" s="122" t="str">
        <f t="shared" si="479"/>
        <v>R</v>
      </c>
      <c r="N1113" s="116" t="str">
        <f>IF($L1113&lt;&gt;"",VLOOKUP($L1113,Categories!$E:$G,2,FALSE),IF($F1113&lt;&gt;"","NO CAT",""))</f>
        <v>Rate Base</v>
      </c>
      <c r="O1113" s="116" t="str">
        <f>IF($L1113&lt;&gt;"",VLOOKUP($L1113,Categories!$E:$G,3,FALSE),IF($F1113&lt;&gt;"","NO CAT",""))</f>
        <v>Deferred Income Taxes</v>
      </c>
      <c r="P1113" s="170" t="s">
        <v>1183</v>
      </c>
      <c r="Q1113" s="123" t="s">
        <v>1177</v>
      </c>
      <c r="R1113" s="124">
        <v>1</v>
      </c>
      <c r="S1113" s="124">
        <v>0</v>
      </c>
      <c r="T1113" s="124">
        <v>0</v>
      </c>
      <c r="U1113" s="121">
        <f t="shared" si="472"/>
        <v>-39.130929999999999</v>
      </c>
      <c r="V1113" s="121">
        <f t="shared" si="473"/>
        <v>0</v>
      </c>
      <c r="W1113" s="121">
        <f t="shared" si="474"/>
        <v>0</v>
      </c>
      <c r="X1113" s="121">
        <f t="shared" si="470"/>
        <v>-39.130929999999999</v>
      </c>
      <c r="Y1113" s="121">
        <f t="shared" si="475"/>
        <v>-39.130929999999999</v>
      </c>
      <c r="Z1113" s="121">
        <f t="shared" si="476"/>
        <v>0</v>
      </c>
      <c r="AA1113" s="121">
        <f t="shared" si="477"/>
        <v>0</v>
      </c>
      <c r="AB1113" s="121">
        <f t="shared" si="471"/>
        <v>-39.130929999999999</v>
      </c>
      <c r="AC1113" s="121">
        <v>-39.130929999999992</v>
      </c>
      <c r="AD1113" s="121">
        <v>-39.130929999999992</v>
      </c>
      <c r="AE1113" s="121">
        <v>-39.130929999999999</v>
      </c>
      <c r="AF1113" s="121">
        <v>-39.130929999999999</v>
      </c>
      <c r="AG1113" s="121">
        <v>-39.130929999999999</v>
      </c>
      <c r="AH1113" s="121">
        <v>-39.130929999999999</v>
      </c>
      <c r="AI1113" s="121">
        <v>-39.130929999999999</v>
      </c>
      <c r="AJ1113" s="121">
        <v>-39.130929999999999</v>
      </c>
      <c r="AK1113" s="121">
        <v>-39.130929999999999</v>
      </c>
      <c r="AL1113" s="121">
        <v>-39.130929999999999</v>
      </c>
      <c r="AM1113" s="121">
        <v>-39.130929999999999</v>
      </c>
      <c r="AN1113" s="121">
        <v>-39.130929999999999</v>
      </c>
      <c r="AO1113" s="121">
        <v>-39.130929999999999</v>
      </c>
      <c r="AP1113" s="125" t="str">
        <f>CONCATENATE(A1113,M1113)</f>
        <v>Def TaxR</v>
      </c>
      <c r="AQ1113" s="125" t="str">
        <f>CONCATENATE(AP1113,L1113,H1113)</f>
        <v>Def TaxRR11Excess DIT &gt; 7.1% (NYS)</v>
      </c>
      <c r="AS1113" s="125" t="str">
        <f>CONCATENATE(L1113,H1113,J1113)</f>
        <v>R11Excess DIT &gt; 7.1% (NYS)</v>
      </c>
    </row>
    <row r="1114" spans="1:45" s="125" customFormat="1" ht="25.5" customHeight="1">
      <c r="A1114" s="216" t="s">
        <v>1996</v>
      </c>
      <c r="B1114" s="217" t="str">
        <f t="shared" si="478"/>
        <v>Def Tax190511NCR/Non NCR-b0</v>
      </c>
      <c r="C1114" s="186">
        <v>190511</v>
      </c>
      <c r="D1114" s="201" t="s">
        <v>2355</v>
      </c>
      <c r="E1114" s="162">
        <v>0</v>
      </c>
      <c r="F1114" s="169" t="s">
        <v>346</v>
      </c>
      <c r="G1114" s="117" t="s">
        <v>1118</v>
      </c>
      <c r="H1114" s="118" t="s">
        <v>967</v>
      </c>
      <c r="I1114" s="119"/>
      <c r="J1114" s="120"/>
      <c r="K1114" s="120" t="str">
        <f t="shared" si="469"/>
        <v/>
      </c>
      <c r="L1114" s="170" t="s">
        <v>1895</v>
      </c>
      <c r="M1114" s="122" t="str">
        <f t="shared" si="479"/>
        <v>R</v>
      </c>
      <c r="N1114" s="116" t="str">
        <f>IF($L1114&lt;&gt;"",VLOOKUP($L1114,Categories!$E:$G,2,FALSE),IF($F1114&lt;&gt;"","NO CAT",""))</f>
        <v>Rate Base</v>
      </c>
      <c r="O1114" s="116" t="str">
        <f>IF($L1114&lt;&gt;"",VLOOKUP($L1114,Categories!$E:$G,3,FALSE),IF($F1114&lt;&gt;"","NO CAT",""))</f>
        <v>Deferred Income Taxes</v>
      </c>
      <c r="P1114" s="170" t="s">
        <v>1183</v>
      </c>
      <c r="Q1114" s="123" t="s">
        <v>1177</v>
      </c>
      <c r="R1114" s="124">
        <v>1</v>
      </c>
      <c r="S1114" s="124">
        <v>0</v>
      </c>
      <c r="T1114" s="124">
        <v>0</v>
      </c>
      <c r="U1114" s="121">
        <f t="shared" si="472"/>
        <v>-101.60938</v>
      </c>
      <c r="V1114" s="121">
        <f t="shared" si="473"/>
        <v>0</v>
      </c>
      <c r="W1114" s="121">
        <f t="shared" si="474"/>
        <v>0</v>
      </c>
      <c r="X1114" s="121">
        <f t="shared" si="470"/>
        <v>-101.60938</v>
      </c>
      <c r="Y1114" s="121">
        <f t="shared" si="475"/>
        <v>-101.60938</v>
      </c>
      <c r="Z1114" s="121">
        <f t="shared" si="476"/>
        <v>0</v>
      </c>
      <c r="AA1114" s="121">
        <f t="shared" si="477"/>
        <v>0</v>
      </c>
      <c r="AB1114" s="121">
        <f t="shared" si="471"/>
        <v>-101.60938000000003</v>
      </c>
      <c r="AC1114" s="121">
        <v>-101.60938000000003</v>
      </c>
      <c r="AD1114" s="121">
        <v>-101.60938000000003</v>
      </c>
      <c r="AE1114" s="121">
        <v>-101.60938000000003</v>
      </c>
      <c r="AF1114" s="121">
        <v>-101.60938000000003</v>
      </c>
      <c r="AG1114" s="121">
        <v>-101.60938000000003</v>
      </c>
      <c r="AH1114" s="121">
        <v>-101.60938000000003</v>
      </c>
      <c r="AI1114" s="121">
        <v>-101.60938000000003</v>
      </c>
      <c r="AJ1114" s="121">
        <v>-101.60938000000003</v>
      </c>
      <c r="AK1114" s="121">
        <v>-101.60938000000003</v>
      </c>
      <c r="AL1114" s="121">
        <v>-101.60938000000003</v>
      </c>
      <c r="AM1114" s="161">
        <v>-101.60938000000003</v>
      </c>
      <c r="AN1114" s="161">
        <v>-101.60938000000003</v>
      </c>
      <c r="AO1114" s="161">
        <v>-101.60938000000003</v>
      </c>
      <c r="AP1114" s="125" t="str">
        <f>CONCATENATE(A1114,M1114)</f>
        <v>Def TaxR</v>
      </c>
      <c r="AQ1114" s="125" t="str">
        <f>CONCATENATE(AP1114,L1114,H1114)</f>
        <v>Def TaxRR11Excess DIT &gt; 7.1% (NYS)</v>
      </c>
      <c r="AS1114" s="125" t="str">
        <f>CONCATENATE(L1114,H1114,J1114)</f>
        <v>R11Excess DIT &gt; 7.1% (NYS)</v>
      </c>
    </row>
    <row r="1115" spans="1:45" s="125" customFormat="1" ht="25.5" customHeight="1">
      <c r="A1115" s="216" t="s">
        <v>1996</v>
      </c>
      <c r="B1115" s="217" t="str">
        <f t="shared" si="478"/>
        <v>Def Tax190511NCR/Non NCR-c0</v>
      </c>
      <c r="C1115" s="186">
        <v>190511</v>
      </c>
      <c r="D1115" s="201" t="s">
        <v>2356</v>
      </c>
      <c r="E1115" s="162">
        <v>0</v>
      </c>
      <c r="F1115" s="169" t="s">
        <v>346</v>
      </c>
      <c r="G1115" s="117" t="s">
        <v>1377</v>
      </c>
      <c r="H1115" s="118" t="s">
        <v>967</v>
      </c>
      <c r="I1115" s="119"/>
      <c r="J1115" s="120"/>
      <c r="K1115" s="120" t="str">
        <f t="shared" si="469"/>
        <v/>
      </c>
      <c r="L1115" s="170" t="s">
        <v>1895</v>
      </c>
      <c r="M1115" s="122" t="str">
        <f t="shared" si="479"/>
        <v>R</v>
      </c>
      <c r="N1115" s="116" t="str">
        <f>IF($L1115&lt;&gt;"",VLOOKUP($L1115,Categories!$E:$G,2,FALSE),IF($F1115&lt;&gt;"","NO CAT",""))</f>
        <v>Rate Base</v>
      </c>
      <c r="O1115" s="116" t="str">
        <f>IF($L1115&lt;&gt;"",VLOOKUP($L1115,Categories!$E:$G,3,FALSE),IF($F1115&lt;&gt;"","NO CAT",""))</f>
        <v>Deferred Income Taxes</v>
      </c>
      <c r="P1115" s="170" t="s">
        <v>1183</v>
      </c>
      <c r="Q1115" s="123" t="s">
        <v>1177</v>
      </c>
      <c r="R1115" s="124">
        <v>1</v>
      </c>
      <c r="S1115" s="124">
        <v>0</v>
      </c>
      <c r="T1115" s="124">
        <v>0</v>
      </c>
      <c r="U1115" s="121">
        <f t="shared" si="472"/>
        <v>144.73018999999999</v>
      </c>
      <c r="V1115" s="121">
        <f t="shared" si="473"/>
        <v>0</v>
      </c>
      <c r="W1115" s="121">
        <f t="shared" si="474"/>
        <v>0</v>
      </c>
      <c r="X1115" s="121">
        <f t="shared" si="470"/>
        <v>144.73018999999999</v>
      </c>
      <c r="Y1115" s="121">
        <f t="shared" si="475"/>
        <v>144.73018999999999</v>
      </c>
      <c r="Z1115" s="121">
        <f t="shared" si="476"/>
        <v>0</v>
      </c>
      <c r="AA1115" s="121">
        <f t="shared" si="477"/>
        <v>0</v>
      </c>
      <c r="AB1115" s="121">
        <f t="shared" si="471"/>
        <v>144.73018999999999</v>
      </c>
      <c r="AC1115" s="121">
        <v>144.73018999999999</v>
      </c>
      <c r="AD1115" s="121">
        <v>144.73018999999999</v>
      </c>
      <c r="AE1115" s="121">
        <v>144.73018999999999</v>
      </c>
      <c r="AF1115" s="121">
        <v>144.73018999999999</v>
      </c>
      <c r="AG1115" s="121">
        <v>144.73018999999999</v>
      </c>
      <c r="AH1115" s="121">
        <v>144.73018999999999</v>
      </c>
      <c r="AI1115" s="121">
        <v>144.73018999999999</v>
      </c>
      <c r="AJ1115" s="121">
        <v>144.73018999999999</v>
      </c>
      <c r="AK1115" s="121">
        <v>144.73018999999999</v>
      </c>
      <c r="AL1115" s="121">
        <v>144.73018999999999</v>
      </c>
      <c r="AM1115" s="121">
        <v>144.73018999999999</v>
      </c>
      <c r="AN1115" s="121">
        <v>144.73018999999999</v>
      </c>
      <c r="AO1115" s="121">
        <v>144.73018999999999</v>
      </c>
      <c r="AP1115" s="125" t="str">
        <f>CONCATENATE(A1115,M1115)</f>
        <v>Def TaxR</v>
      </c>
      <c r="AQ1115" s="125" t="str">
        <f>CONCATENATE(AP1115,L1115,H1115)</f>
        <v>Def TaxRR11Excess DIT &gt; 7.1% (NYS)</v>
      </c>
      <c r="AS1115" s="125" t="str">
        <f>CONCATENATE(L1115,H1115,J1115)</f>
        <v>R11Excess DIT &gt; 7.1% (NYS)</v>
      </c>
    </row>
    <row r="1116" spans="1:45" s="125" customFormat="1" ht="25.5" customHeight="1">
      <c r="A1116" s="216" t="s">
        <v>1996</v>
      </c>
      <c r="B1116" s="217" t="str">
        <f t="shared" si="478"/>
        <v>Def Tax190511NCR/Non NCR-d0</v>
      </c>
      <c r="C1116" s="186">
        <v>190511</v>
      </c>
      <c r="D1116" s="201" t="s">
        <v>2357</v>
      </c>
      <c r="E1116" s="162">
        <v>0</v>
      </c>
      <c r="F1116" s="169" t="s">
        <v>346</v>
      </c>
      <c r="G1116" s="117" t="s">
        <v>2989</v>
      </c>
      <c r="H1116" s="118" t="s">
        <v>967</v>
      </c>
      <c r="I1116" s="119"/>
      <c r="J1116" s="120"/>
      <c r="K1116" s="120" t="str">
        <f t="shared" si="469"/>
        <v/>
      </c>
      <c r="L1116" s="170" t="s">
        <v>1895</v>
      </c>
      <c r="M1116" s="122" t="str">
        <f t="shared" si="479"/>
        <v>R</v>
      </c>
      <c r="N1116" s="116" t="str">
        <f>IF($L1116&lt;&gt;"",VLOOKUP($L1116,Categories!$E:$G,2,FALSE),IF($F1116&lt;&gt;"","NO CAT",""))</f>
        <v>Rate Base</v>
      </c>
      <c r="O1116" s="116" t="str">
        <f>IF($L1116&lt;&gt;"",VLOOKUP($L1116,Categories!$E:$G,3,FALSE),IF($F1116&lt;&gt;"","NO CAT",""))</f>
        <v>Deferred Income Taxes</v>
      </c>
      <c r="P1116" s="170" t="s">
        <v>1183</v>
      </c>
      <c r="Q1116" s="123" t="s">
        <v>1177</v>
      </c>
      <c r="R1116" s="124">
        <v>1</v>
      </c>
      <c r="S1116" s="124">
        <v>0</v>
      </c>
      <c r="T1116" s="124">
        <v>0</v>
      </c>
      <c r="U1116" s="121">
        <f t="shared" si="472"/>
        <v>2.375E-2</v>
      </c>
      <c r="V1116" s="121">
        <f t="shared" si="473"/>
        <v>0</v>
      </c>
      <c r="W1116" s="121">
        <f t="shared" si="474"/>
        <v>0</v>
      </c>
      <c r="X1116" s="121">
        <f t="shared" si="470"/>
        <v>2.375E-2</v>
      </c>
      <c r="Y1116" s="121">
        <f t="shared" si="475"/>
        <v>2.375E-2</v>
      </c>
      <c r="Z1116" s="121">
        <f t="shared" si="476"/>
        <v>0</v>
      </c>
      <c r="AA1116" s="121">
        <f t="shared" si="477"/>
        <v>0</v>
      </c>
      <c r="AB1116" s="121">
        <f t="shared" si="471"/>
        <v>2.375E-2</v>
      </c>
      <c r="AC1116" s="121">
        <v>2.375E-2</v>
      </c>
      <c r="AD1116" s="121">
        <v>2.375E-2</v>
      </c>
      <c r="AE1116" s="121">
        <v>2.375E-2</v>
      </c>
      <c r="AF1116" s="121">
        <v>2.375E-2</v>
      </c>
      <c r="AG1116" s="121">
        <v>2.375E-2</v>
      </c>
      <c r="AH1116" s="121">
        <v>2.375E-2</v>
      </c>
      <c r="AI1116" s="121">
        <v>2.375E-2</v>
      </c>
      <c r="AJ1116" s="121">
        <v>2.375E-2</v>
      </c>
      <c r="AK1116" s="121">
        <v>2.375E-2</v>
      </c>
      <c r="AL1116" s="121">
        <v>2.375E-2</v>
      </c>
      <c r="AM1116" s="121">
        <v>2.375E-2</v>
      </c>
      <c r="AN1116" s="121">
        <v>2.375E-2</v>
      </c>
      <c r="AO1116" s="121">
        <v>2.375E-2</v>
      </c>
      <c r="AP1116" s="125" t="str">
        <f>CONCATENATE(A1116,M1116)</f>
        <v>Def TaxR</v>
      </c>
      <c r="AQ1116" s="125" t="str">
        <f>CONCATENATE(AP1116,L1116,H1116)</f>
        <v>Def TaxRR11Excess DIT &gt; 7.1% (NYS)</v>
      </c>
      <c r="AS1116" s="125" t="str">
        <f>CONCATENATE(L1116,H1116,J1116)</f>
        <v>R11Excess DIT &gt; 7.1% (NYS)</v>
      </c>
    </row>
    <row r="1117" spans="1:45" s="125" customFormat="1" ht="25.5" customHeight="1">
      <c r="A1117" s="216" t="s">
        <v>1996</v>
      </c>
      <c r="B1117" s="217" t="str">
        <f t="shared" si="478"/>
        <v>Def Tax190511NCR/Non NCR-e0</v>
      </c>
      <c r="C1117" s="186">
        <v>190511</v>
      </c>
      <c r="D1117" s="201" t="s">
        <v>2358</v>
      </c>
      <c r="E1117" s="162">
        <v>0</v>
      </c>
      <c r="F1117" s="169" t="s">
        <v>346</v>
      </c>
      <c r="G1117" s="117" t="s">
        <v>1378</v>
      </c>
      <c r="H1117" s="118" t="s">
        <v>967</v>
      </c>
      <c r="I1117" s="119"/>
      <c r="J1117" s="120"/>
      <c r="K1117" s="120" t="str">
        <f t="shared" si="469"/>
        <v/>
      </c>
      <c r="L1117" s="170" t="s">
        <v>1895</v>
      </c>
      <c r="M1117" s="122" t="str">
        <f t="shared" si="479"/>
        <v>R</v>
      </c>
      <c r="N1117" s="116" t="str">
        <f>IF($L1117&lt;&gt;"",VLOOKUP($L1117,Categories!$E:$G,2,FALSE),IF($F1117&lt;&gt;"","NO CAT",""))</f>
        <v>Rate Base</v>
      </c>
      <c r="O1117" s="116" t="str">
        <f>IF($L1117&lt;&gt;"",VLOOKUP($L1117,Categories!$E:$G,3,FALSE),IF($F1117&lt;&gt;"","NO CAT",""))</f>
        <v>Deferred Income Taxes</v>
      </c>
      <c r="P1117" s="170" t="s">
        <v>1183</v>
      </c>
      <c r="Q1117" s="123" t="s">
        <v>1177</v>
      </c>
      <c r="R1117" s="124">
        <v>1</v>
      </c>
      <c r="S1117" s="124">
        <v>0</v>
      </c>
      <c r="T1117" s="124">
        <v>0</v>
      </c>
      <c r="U1117" s="121">
        <f t="shared" si="472"/>
        <v>1.8671500000000001</v>
      </c>
      <c r="V1117" s="121">
        <f t="shared" si="473"/>
        <v>0</v>
      </c>
      <c r="W1117" s="121">
        <f t="shared" si="474"/>
        <v>0</v>
      </c>
      <c r="X1117" s="121">
        <f t="shared" si="470"/>
        <v>1.8671500000000001</v>
      </c>
      <c r="Y1117" s="121">
        <f t="shared" si="475"/>
        <v>1.8671500000000001</v>
      </c>
      <c r="Z1117" s="121">
        <f t="shared" si="476"/>
        <v>0</v>
      </c>
      <c r="AA1117" s="121">
        <f t="shared" si="477"/>
        <v>0</v>
      </c>
      <c r="AB1117" s="121">
        <f t="shared" si="471"/>
        <v>1.8671500000000001</v>
      </c>
      <c r="AC1117" s="121">
        <v>1.8671500000000001</v>
      </c>
      <c r="AD1117" s="121">
        <v>1.8671500000000001</v>
      </c>
      <c r="AE1117" s="121">
        <v>1.8671500000000001</v>
      </c>
      <c r="AF1117" s="121">
        <v>1.8671500000000001</v>
      </c>
      <c r="AG1117" s="121">
        <v>1.8671500000000001</v>
      </c>
      <c r="AH1117" s="121">
        <v>1.8671500000000001</v>
      </c>
      <c r="AI1117" s="121">
        <v>1.8671500000000001</v>
      </c>
      <c r="AJ1117" s="121">
        <v>1.8671500000000001</v>
      </c>
      <c r="AK1117" s="121">
        <v>1.8671500000000001</v>
      </c>
      <c r="AL1117" s="121">
        <v>1.8671500000000001</v>
      </c>
      <c r="AM1117" s="121">
        <v>1.8671500000000001</v>
      </c>
      <c r="AN1117" s="121">
        <v>1.8671500000000001</v>
      </c>
      <c r="AO1117" s="121">
        <v>1.8671500000000001</v>
      </c>
      <c r="AP1117" s="125" t="str">
        <f>CONCATENATE(A1117,M1117)</f>
        <v>Def TaxR</v>
      </c>
      <c r="AQ1117" s="125" t="str">
        <f>CONCATENATE(AP1117,L1117,H1117)</f>
        <v>Def TaxRR11Excess DIT &gt; 7.1% (NYS)</v>
      </c>
      <c r="AS1117" s="125" t="str">
        <f>CONCATENATE(L1117,H1117,J1117)</f>
        <v>R11Excess DIT &gt; 7.1% (NYS)</v>
      </c>
    </row>
    <row r="1118" spans="1:45" s="125" customFormat="1" ht="25.5" customHeight="1">
      <c r="A1118" s="216" t="s">
        <v>1996</v>
      </c>
      <c r="B1118" s="217" t="str">
        <f t="shared" si="478"/>
        <v>Def Tax190511NCR/Non NCR-f0</v>
      </c>
      <c r="C1118" s="186">
        <v>190511</v>
      </c>
      <c r="D1118" s="201" t="s">
        <v>2359</v>
      </c>
      <c r="E1118" s="162">
        <v>0</v>
      </c>
      <c r="F1118" s="169" t="s">
        <v>346</v>
      </c>
      <c r="G1118" s="117" t="s">
        <v>1379</v>
      </c>
      <c r="H1118" s="118" t="s">
        <v>967</v>
      </c>
      <c r="I1118" s="119"/>
      <c r="J1118" s="120"/>
      <c r="K1118" s="120" t="str">
        <f t="shared" si="469"/>
        <v/>
      </c>
      <c r="L1118" s="170" t="s">
        <v>1895</v>
      </c>
      <c r="M1118" s="122" t="str">
        <f t="shared" si="479"/>
        <v>R</v>
      </c>
      <c r="N1118" s="116" t="str">
        <f>IF($L1118&lt;&gt;"",VLOOKUP($L1118,Categories!$E:$G,2,FALSE),IF($F1118&lt;&gt;"","NO CAT",""))</f>
        <v>Rate Base</v>
      </c>
      <c r="O1118" s="116" t="str">
        <f>IF($L1118&lt;&gt;"",VLOOKUP($L1118,Categories!$E:$G,3,FALSE),IF($F1118&lt;&gt;"","NO CAT",""))</f>
        <v>Deferred Income Taxes</v>
      </c>
      <c r="P1118" s="170" t="s">
        <v>1183</v>
      </c>
      <c r="Q1118" s="123" t="s">
        <v>1177</v>
      </c>
      <c r="R1118" s="124">
        <v>1</v>
      </c>
      <c r="S1118" s="124">
        <v>0</v>
      </c>
      <c r="T1118" s="124">
        <v>0</v>
      </c>
      <c r="U1118" s="121">
        <f t="shared" si="472"/>
        <v>-5.8808199999999999</v>
      </c>
      <c r="V1118" s="121">
        <f t="shared" si="473"/>
        <v>0</v>
      </c>
      <c r="W1118" s="121">
        <f t="shared" si="474"/>
        <v>0</v>
      </c>
      <c r="X1118" s="121">
        <f t="shared" si="470"/>
        <v>-5.8808199999999999</v>
      </c>
      <c r="Y1118" s="121">
        <f t="shared" si="475"/>
        <v>-5.8808199999999999</v>
      </c>
      <c r="Z1118" s="121">
        <f t="shared" si="476"/>
        <v>0</v>
      </c>
      <c r="AA1118" s="121">
        <f t="shared" si="477"/>
        <v>0</v>
      </c>
      <c r="AB1118" s="121">
        <f t="shared" si="471"/>
        <v>-5.8808199999999999</v>
      </c>
      <c r="AC1118" s="121">
        <v>-5.8808199999999999</v>
      </c>
      <c r="AD1118" s="121">
        <v>-5.8808199999999999</v>
      </c>
      <c r="AE1118" s="121">
        <v>-5.8808199999999999</v>
      </c>
      <c r="AF1118" s="121">
        <v>-5.8808199999999999</v>
      </c>
      <c r="AG1118" s="121">
        <v>-5.8808199999999999</v>
      </c>
      <c r="AH1118" s="121">
        <v>-5.8808199999999999</v>
      </c>
      <c r="AI1118" s="121">
        <v>-5.8808199999999999</v>
      </c>
      <c r="AJ1118" s="121">
        <v>-5.8808199999999999</v>
      </c>
      <c r="AK1118" s="121">
        <v>-5.8808199999999999</v>
      </c>
      <c r="AL1118" s="121">
        <v>-5.8808199999999999</v>
      </c>
      <c r="AM1118" s="121">
        <v>-5.8808199999999999</v>
      </c>
      <c r="AN1118" s="121">
        <v>-5.8808199999999999</v>
      </c>
      <c r="AO1118" s="121">
        <v>-5.8808199999999999</v>
      </c>
      <c r="AP1118" s="125" t="str">
        <f>CONCATENATE(A1118,M1118)</f>
        <v>Def TaxR</v>
      </c>
      <c r="AQ1118" s="125" t="str">
        <f>CONCATENATE(AP1118,L1118,H1118)</f>
        <v>Def TaxRR11Excess DIT &gt; 7.1% (NYS)</v>
      </c>
      <c r="AS1118" s="125" t="str">
        <f>CONCATENATE(L1118,H1118,J1118)</f>
        <v>R11Excess DIT &gt; 7.1% (NYS)</v>
      </c>
    </row>
    <row r="1119" spans="1:45" s="125" customFormat="1" ht="25.5" customHeight="1">
      <c r="A1119" s="216" t="s">
        <v>1996</v>
      </c>
      <c r="B1119" s="217" t="str">
        <f t="shared" si="478"/>
        <v>Def Tax190511ASGA Gross-up-bBT010009</v>
      </c>
      <c r="C1119" s="186">
        <v>190511</v>
      </c>
      <c r="D1119" s="201" t="s">
        <v>2364</v>
      </c>
      <c r="E1119" s="162" t="s">
        <v>1124</v>
      </c>
      <c r="F1119" s="169" t="s">
        <v>346</v>
      </c>
      <c r="G1119" s="117" t="s">
        <v>7</v>
      </c>
      <c r="H1119" s="118" t="s">
        <v>521</v>
      </c>
      <c r="I1119" s="119"/>
      <c r="J1119" s="120" t="s">
        <v>105</v>
      </c>
      <c r="K1119" s="120" t="str">
        <f t="shared" si="469"/>
        <v/>
      </c>
      <c r="L1119" s="170" t="s">
        <v>2817</v>
      </c>
      <c r="M1119" s="122" t="str">
        <f t="shared" si="479"/>
        <v>N</v>
      </c>
      <c r="N1119" s="116" t="str">
        <f>IF($L1119&lt;&gt;"",VLOOKUP($L1119,Categories!$E:$G,2,FALSE),IF($F1119&lt;&gt;"","NO CAT",""))</f>
        <v>Not in Rate Base</v>
      </c>
      <c r="O1119" s="116" t="str">
        <f>IF($L1119&lt;&gt;"",VLOOKUP($L1119,Categories!$E:$G,3,FALSE),IF($F1119&lt;&gt;"","NO CAT",""))</f>
        <v>NM-2 ASGA</v>
      </c>
      <c r="P1119" s="170" t="s">
        <v>1186</v>
      </c>
      <c r="Q1119" s="123" t="s">
        <v>1187</v>
      </c>
      <c r="R1119" s="124">
        <v>0</v>
      </c>
      <c r="S1119" s="124">
        <v>0</v>
      </c>
      <c r="T1119" s="124">
        <v>1</v>
      </c>
      <c r="U1119" s="121" t="str">
        <f t="shared" si="472"/>
        <v/>
      </c>
      <c r="V1119" s="121" t="str">
        <f t="shared" si="473"/>
        <v/>
      </c>
      <c r="W1119" s="121" t="str">
        <f t="shared" si="474"/>
        <v/>
      </c>
      <c r="X1119" s="121">
        <f t="shared" si="470"/>
        <v>0</v>
      </c>
      <c r="Y1119" s="121" t="str">
        <f t="shared" si="475"/>
        <v/>
      </c>
      <c r="Z1119" s="121" t="str">
        <f t="shared" si="476"/>
        <v/>
      </c>
      <c r="AA1119" s="121" t="str">
        <f t="shared" si="477"/>
        <v/>
      </c>
      <c r="AB1119" s="121">
        <f t="shared" si="471"/>
        <v>0</v>
      </c>
      <c r="AC1119" s="121">
        <v>0</v>
      </c>
      <c r="AD1119" s="121">
        <v>0</v>
      </c>
      <c r="AE1119" s="121">
        <v>0</v>
      </c>
      <c r="AF1119" s="121">
        <v>0</v>
      </c>
      <c r="AG1119" s="121">
        <v>0</v>
      </c>
      <c r="AH1119" s="121">
        <v>0</v>
      </c>
      <c r="AI1119" s="161">
        <v>0</v>
      </c>
      <c r="AJ1119" s="161">
        <f>IF(AI1119=0,0,0)</f>
        <v>0</v>
      </c>
      <c r="AK1119" s="161">
        <v>0</v>
      </c>
      <c r="AL1119" s="161">
        <v>0</v>
      </c>
      <c r="AM1119" s="161">
        <v>0</v>
      </c>
      <c r="AN1119" s="161">
        <v>0</v>
      </c>
      <c r="AO1119" s="161">
        <v>0</v>
      </c>
      <c r="AP1119" s="125" t="str">
        <f>CONCATENATE(A1119,M1119)</f>
        <v>Def TaxN</v>
      </c>
      <c r="AQ1119" s="125" t="str">
        <f>CONCATENATE(AP1119,L1119,H1119)</f>
        <v>Def TaxNN8ASGA</v>
      </c>
      <c r="AS1119" s="125" t="str">
        <f>CONCATENATE(L1119,H1119,J1119)</f>
        <v>N8ASGANCR</v>
      </c>
    </row>
    <row r="1120" spans="1:45" s="125" customFormat="1" ht="25.5" customHeight="1">
      <c r="A1120" s="216" t="s">
        <v>1996</v>
      </c>
      <c r="B1120" s="217" t="str">
        <f t="shared" si="478"/>
        <v>Def Tax190511Low IncomeBE030594</v>
      </c>
      <c r="C1120" s="186">
        <v>190511</v>
      </c>
      <c r="D1120" s="201" t="s">
        <v>2833</v>
      </c>
      <c r="E1120" s="162" t="s">
        <v>342</v>
      </c>
      <c r="F1120" s="169" t="s">
        <v>346</v>
      </c>
      <c r="G1120" s="117" t="s">
        <v>8</v>
      </c>
      <c r="H1120" s="118" t="s">
        <v>2833</v>
      </c>
      <c r="I1120" s="119"/>
      <c r="J1120" s="120" t="s">
        <v>105</v>
      </c>
      <c r="K1120" s="120" t="str">
        <f t="shared" si="469"/>
        <v/>
      </c>
      <c r="L1120" s="170" t="s">
        <v>2821</v>
      </c>
      <c r="M1120" s="122" t="str">
        <f t="shared" si="479"/>
        <v>N</v>
      </c>
      <c r="N1120" s="116" t="str">
        <f>IF($L1120&lt;&gt;"",VLOOKUP($L1120,Categories!$E:$G,2,FALSE),IF($F1120&lt;&gt;"","NO CAT",""))</f>
        <v>Not in Rate Base</v>
      </c>
      <c r="O1120" s="116" t="str">
        <f>IF($L1120&lt;&gt;"",VLOOKUP($L1120,Categories!$E:$G,3,FALSE),IF($F1120&lt;&gt;"","NO CAT",""))</f>
        <v>Deferrals Accruing Non-Cash Return   (other than ASGA)</v>
      </c>
      <c r="P1120" s="170" t="s">
        <v>1186</v>
      </c>
      <c r="Q1120" s="123" t="s">
        <v>1187</v>
      </c>
      <c r="R1120" s="124">
        <v>0</v>
      </c>
      <c r="S1120" s="124">
        <v>0</v>
      </c>
      <c r="T1120" s="124">
        <v>1</v>
      </c>
      <c r="U1120" s="121">
        <f t="shared" si="472"/>
        <v>0</v>
      </c>
      <c r="V1120" s="121">
        <f t="shared" si="473"/>
        <v>0</v>
      </c>
      <c r="W1120" s="121">
        <f t="shared" si="474"/>
        <v>353.43742750000001</v>
      </c>
      <c r="X1120" s="121">
        <f t="shared" si="470"/>
        <v>353.43742750000001</v>
      </c>
      <c r="Y1120" s="121">
        <f t="shared" si="475"/>
        <v>0</v>
      </c>
      <c r="Z1120" s="121">
        <f t="shared" si="476"/>
        <v>0</v>
      </c>
      <c r="AA1120" s="121">
        <f t="shared" si="477"/>
        <v>371.32240000000002</v>
      </c>
      <c r="AB1120" s="121">
        <f t="shared" si="471"/>
        <v>371.3223999999999</v>
      </c>
      <c r="AC1120" s="121">
        <v>345.60115999999994</v>
      </c>
      <c r="AD1120" s="121">
        <v>347.95300999999989</v>
      </c>
      <c r="AE1120" s="121">
        <v>350.23813999999987</v>
      </c>
      <c r="AF1120" s="121">
        <v>350.14886999999987</v>
      </c>
      <c r="AG1120" s="121">
        <v>349.55725999999987</v>
      </c>
      <c r="AH1120" s="121">
        <v>349.30543999999986</v>
      </c>
      <c r="AI1120" s="161">
        <v>350.05819999999989</v>
      </c>
      <c r="AJ1120" s="161">
        <v>350.77255999999988</v>
      </c>
      <c r="AK1120" s="161">
        <v>352.9427399999999</v>
      </c>
      <c r="AL1120" s="161">
        <v>356.28981999999991</v>
      </c>
      <c r="AM1120" s="161">
        <v>359.94179999999989</v>
      </c>
      <c r="AN1120" s="161">
        <v>365.57950999999991</v>
      </c>
      <c r="AO1120" s="161">
        <v>371.3223999999999</v>
      </c>
      <c r="AP1120" s="125" t="str">
        <f>CONCATENATE(A1120,M1120)</f>
        <v>Def TaxN</v>
      </c>
      <c r="AQ1120" s="125" t="str">
        <f>CONCATENATE(AP1120,L1120,H1120)</f>
        <v>Def TaxNN10Low Income</v>
      </c>
      <c r="AS1120" s="125" t="str">
        <f>CONCATENATE(L1120,H1120,J1120)</f>
        <v>N10Low IncomeNCR</v>
      </c>
    </row>
    <row r="1121" spans="1:45" s="125" customFormat="1" ht="25.5" customHeight="1">
      <c r="A1121" s="216" t="s">
        <v>1996</v>
      </c>
      <c r="B1121" s="217" t="str">
        <f>CONCATENATE(A1121,C1121,D1121,E1121)</f>
        <v>Def Tax190511BE030579</v>
      </c>
      <c r="C1121" s="186">
        <v>190511</v>
      </c>
      <c r="D1121" s="201"/>
      <c r="E1121" s="162" t="s">
        <v>1998</v>
      </c>
      <c r="F1121" s="169" t="s">
        <v>346</v>
      </c>
      <c r="G1121" s="117" t="s">
        <v>2698</v>
      </c>
      <c r="H1121" s="118" t="s">
        <v>2698</v>
      </c>
      <c r="I1121" s="119"/>
      <c r="J1121" s="120"/>
      <c r="K1121" s="120" t="str">
        <f>IF(L1121="N3","SFAS-109","")</f>
        <v/>
      </c>
      <c r="L1121" s="170" t="s">
        <v>928</v>
      </c>
      <c r="M1121" s="122" t="str">
        <f>LEFT(L1121,1)</f>
        <v>N</v>
      </c>
      <c r="N1121" s="116" t="str">
        <f>IF($L1121&lt;&gt;"",VLOOKUP($L1121,Categories!$E:$G,2,FALSE),IF($F1121&lt;&gt;"","NO CAT",""))</f>
        <v>Not in Rate Base</v>
      </c>
      <c r="O1121" s="116" t="str">
        <f>IF($L1121&lt;&gt;"",VLOOKUP($L1121,Categories!$E:$G,3,FALSE),IF($F1121&lt;&gt;"","NO CAT",""))</f>
        <v>Direct Assign Items Not in RB</v>
      </c>
      <c r="P1121" s="170" t="s">
        <v>1186</v>
      </c>
      <c r="Q1121" s="123" t="s">
        <v>1187</v>
      </c>
      <c r="R1121" s="124">
        <v>0</v>
      </c>
      <c r="S1121" s="124">
        <v>0</v>
      </c>
      <c r="T1121" s="124">
        <v>1</v>
      </c>
      <c r="U1121" s="121">
        <f>IF(ABS(X1121)=0,"",IF($R1121="NO ALLOC","NO ALLOC",ROUND($R1121*X1121,15)))</f>
        <v>0</v>
      </c>
      <c r="V1121" s="121">
        <f>IF(ABS(X1121)=0,"",IF($S1121="NO ALLOC","NO ALLOC",ROUND($S1121*X1121,15)))</f>
        <v>0</v>
      </c>
      <c r="W1121" s="121">
        <f>IF(ABS(X1121)=0,"",IF($T1121="NO ALLOC","NO ALLOC",ROUND($T1121*X1121,15)))</f>
        <v>-10.792</v>
      </c>
      <c r="X1121" s="121">
        <f t="shared" si="470"/>
        <v>-10.792</v>
      </c>
      <c r="Y1121" s="121">
        <f>IF(ABS(AB1121)=0,"",IF($R1121="NO ALLOC","NO ALLOC",ROUND($R1121*AB1121,15)))</f>
        <v>0</v>
      </c>
      <c r="Z1121" s="121">
        <f>IF(ABS(AB1121)=0,"",IF($S1121="NO ALLOC","NO ALLOC",ROUND($S1121*AB1121,15)))</f>
        <v>0</v>
      </c>
      <c r="AA1121" s="121">
        <f>IF(ABS(AB1121)=0,"",IF($T1121="NO ALLOC","NO ALLOC",ROUND($T1121*AB1121,15)))</f>
        <v>-10.792</v>
      </c>
      <c r="AB1121" s="121">
        <f t="shared" si="471"/>
        <v>-10.792</v>
      </c>
      <c r="AC1121" s="121">
        <v>-10.792</v>
      </c>
      <c r="AD1121" s="121">
        <v>-10.792</v>
      </c>
      <c r="AE1121" s="121">
        <v>-10.792</v>
      </c>
      <c r="AF1121" s="121">
        <v>-10.792</v>
      </c>
      <c r="AG1121" s="121">
        <v>-10.792</v>
      </c>
      <c r="AH1121" s="121">
        <v>-10.792</v>
      </c>
      <c r="AI1121" s="161">
        <v>-10.792</v>
      </c>
      <c r="AJ1121" s="161">
        <v>-10.792</v>
      </c>
      <c r="AK1121" s="161">
        <v>-10.792</v>
      </c>
      <c r="AL1121" s="161">
        <v>-10.792</v>
      </c>
      <c r="AM1121" s="161">
        <v>-10.792</v>
      </c>
      <c r="AN1121" s="161">
        <v>-10.792</v>
      </c>
      <c r="AO1121" s="161">
        <v>-10.792</v>
      </c>
      <c r="AP1121" s="125" t="str">
        <f>CONCATENATE(A1121,M1121)</f>
        <v>Def TaxN</v>
      </c>
      <c r="AQ1121" s="125" t="str">
        <f>CONCATENATE(AP1121,L1121,H1121)</f>
        <v>Def TaxNN2CapEx Customer Credit</v>
      </c>
      <c r="AS1121" s="125" t="str">
        <f>CONCATENATE(L1121,H1121,J1121)</f>
        <v>N2CapEx Customer Credit</v>
      </c>
    </row>
    <row r="1122" spans="1:45" s="125" customFormat="1" ht="25.5" customHeight="1">
      <c r="A1122" s="216" t="s">
        <v>1996</v>
      </c>
      <c r="B1122" s="217" t="str">
        <f t="shared" si="478"/>
        <v>Def Tax190511BE030597</v>
      </c>
      <c r="C1122" s="186">
        <v>190511</v>
      </c>
      <c r="D1122" s="201"/>
      <c r="E1122" s="162" t="s">
        <v>1935</v>
      </c>
      <c r="F1122" s="169" t="s">
        <v>346</v>
      </c>
      <c r="G1122" s="117" t="s">
        <v>1934</v>
      </c>
      <c r="H1122" s="118" t="s">
        <v>2574</v>
      </c>
      <c r="I1122" s="119"/>
      <c r="J1122" s="231" t="s">
        <v>105</v>
      </c>
      <c r="K1122" s="120" t="str">
        <f t="shared" si="469"/>
        <v/>
      </c>
      <c r="L1122" s="170" t="s">
        <v>2821</v>
      </c>
      <c r="M1122" s="122" t="str">
        <f t="shared" si="479"/>
        <v>N</v>
      </c>
      <c r="N1122" s="116" t="str">
        <f>IF($L1122&lt;&gt;"",VLOOKUP($L1122,Categories!$E:$G,2,FALSE),IF($F1122&lt;&gt;"","NO CAT",""))</f>
        <v>Not in Rate Base</v>
      </c>
      <c r="O1122" s="116" t="str">
        <f>IF($L1122&lt;&gt;"",VLOOKUP($L1122,Categories!$E:$G,3,FALSE),IF($F1122&lt;&gt;"","NO CAT",""))</f>
        <v>Deferrals Accruing Non-Cash Return   (other than ASGA)</v>
      </c>
      <c r="P1122" s="170" t="s">
        <v>1186</v>
      </c>
      <c r="Q1122" s="123" t="s">
        <v>1187</v>
      </c>
      <c r="R1122" s="124">
        <v>0</v>
      </c>
      <c r="S1122" s="124">
        <v>0</v>
      </c>
      <c r="T1122" s="124">
        <v>1</v>
      </c>
      <c r="U1122" s="121">
        <f t="shared" si="472"/>
        <v>0</v>
      </c>
      <c r="V1122" s="121">
        <f t="shared" si="473"/>
        <v>0</v>
      </c>
      <c r="W1122" s="121">
        <f t="shared" si="474"/>
        <v>-5.2526333333333302</v>
      </c>
      <c r="X1122" s="121">
        <f t="shared" si="470"/>
        <v>-5.2526333333333302</v>
      </c>
      <c r="Y1122" s="121" t="str">
        <f t="shared" si="475"/>
        <v/>
      </c>
      <c r="Z1122" s="121" t="str">
        <f t="shared" si="476"/>
        <v/>
      </c>
      <c r="AA1122" s="121" t="str">
        <f t="shared" si="477"/>
        <v/>
      </c>
      <c r="AB1122" s="121">
        <f t="shared" si="471"/>
        <v>0</v>
      </c>
      <c r="AC1122" s="121">
        <v>-5.4266800000000002</v>
      </c>
      <c r="AD1122" s="121">
        <v>-5.4266800000000002</v>
      </c>
      <c r="AE1122" s="121">
        <v>-5.4266800000000002</v>
      </c>
      <c r="AF1122" s="121">
        <v>-5.4266800000000002</v>
      </c>
      <c r="AG1122" s="121">
        <v>-5.4266800000000002</v>
      </c>
      <c r="AH1122" s="121">
        <v>-5.4266800000000002</v>
      </c>
      <c r="AI1122" s="161">
        <v>-5.4266800000000002</v>
      </c>
      <c r="AJ1122" s="161">
        <v>-5.4266800000000002</v>
      </c>
      <c r="AK1122" s="161">
        <v>-5.4266800000000002</v>
      </c>
      <c r="AL1122" s="161">
        <v>-5.4266800000000002</v>
      </c>
      <c r="AM1122" s="161">
        <v>-5.4266800000000002</v>
      </c>
      <c r="AN1122" s="161">
        <v>-6.0514600000000005</v>
      </c>
      <c r="AO1122" s="161">
        <v>0</v>
      </c>
      <c r="AP1122" s="125" t="str">
        <f>CONCATENATE(A1122,M1122)</f>
        <v>Def TaxN</v>
      </c>
      <c r="AQ1122" s="125" t="str">
        <f>CONCATENATE(AP1122,L1122,H1122)</f>
        <v>Def TaxNN10CAIDI/SAIFI Study</v>
      </c>
      <c r="AS1122" s="125" t="str">
        <f>CONCATENATE(L1122,H1122,J1122)</f>
        <v>N10CAIDI/SAIFI StudyNCR</v>
      </c>
    </row>
    <row r="1123" spans="1:45" s="125" customFormat="1" ht="25.5" customHeight="1">
      <c r="A1123" s="216" t="s">
        <v>1996</v>
      </c>
      <c r="B1123" s="217" t="str">
        <f>CONCATENATE(A1123,C1123,D1123,E1123)</f>
        <v>Def Tax190511</v>
      </c>
      <c r="C1123" s="186">
        <v>190511</v>
      </c>
      <c r="D1123" s="201"/>
      <c r="E1123" s="162"/>
      <c r="F1123" s="169" t="s">
        <v>346</v>
      </c>
      <c r="G1123" s="117" t="s">
        <v>4543</v>
      </c>
      <c r="H1123" s="118" t="s">
        <v>2574</v>
      </c>
      <c r="I1123" s="119"/>
      <c r="J1123" s="231" t="s">
        <v>105</v>
      </c>
      <c r="K1123" s="120" t="str">
        <f>IF(L1123="N3","SFAS-109","")</f>
        <v/>
      </c>
      <c r="L1123" s="170" t="s">
        <v>2821</v>
      </c>
      <c r="M1123" s="122" t="str">
        <f t="shared" si="479"/>
        <v>N</v>
      </c>
      <c r="N1123" s="116" t="str">
        <f>IF($L1123&lt;&gt;"",VLOOKUP($L1123,Categories!$E:$G,2,FALSE),IF($F1123&lt;&gt;"","NO CAT",""))</f>
        <v>Not in Rate Base</v>
      </c>
      <c r="O1123" s="116" t="str">
        <f>IF($L1123&lt;&gt;"",VLOOKUP($L1123,Categories!$E:$G,3,FALSE),IF($F1123&lt;&gt;"","NO CAT",""))</f>
        <v>Deferrals Accruing Non-Cash Return   (other than ASGA)</v>
      </c>
      <c r="P1123" s="170" t="s">
        <v>1186</v>
      </c>
      <c r="Q1123" s="123" t="s">
        <v>1187</v>
      </c>
      <c r="R1123" s="124">
        <v>0</v>
      </c>
      <c r="S1123" s="124">
        <v>0</v>
      </c>
      <c r="T1123" s="124">
        <v>1</v>
      </c>
      <c r="U1123" s="121">
        <f>IF(ABS(X1123)=0,"",IF($R1123="NO ALLOC","NO ALLOC",ROUND($R1123*X1123,15)))</f>
        <v>0</v>
      </c>
      <c r="V1123" s="121">
        <f>IF(ABS(X1123)=0,"",IF($S1123="NO ALLOC","NO ALLOC",ROUND($S1123*X1123,15)))</f>
        <v>0</v>
      </c>
      <c r="W1123" s="121">
        <f>IF(ABS(X1123)=0,"",IF($T1123="NO ALLOC","NO ALLOC",ROUND($T1123*X1123,15)))</f>
        <v>-0.15234875000000001</v>
      </c>
      <c r="X1123" s="121">
        <f t="shared" si="470"/>
        <v>-0.15234875000000001</v>
      </c>
      <c r="Y1123" s="121" t="str">
        <f>IF(ABS(AB1123)=0,"",IF($R1123="NO ALLOC","NO ALLOC",ROUND($R1123*AB1123,15)))</f>
        <v/>
      </c>
      <c r="Z1123" s="121" t="str">
        <f>IF(ABS(AB1123)=0,"",IF($S1123="NO ALLOC","NO ALLOC",ROUND($S1123*AB1123,15)))</f>
        <v/>
      </c>
      <c r="AA1123" s="121" t="str">
        <f>IF(ABS(AB1123)=0,"",IF($T1123="NO ALLOC","NO ALLOC",ROUND($T1123*AB1123,15)))</f>
        <v/>
      </c>
      <c r="AB1123" s="121">
        <f t="shared" si="471"/>
        <v>0</v>
      </c>
      <c r="AC1123" s="121">
        <v>-0.28902999999999995</v>
      </c>
      <c r="AD1123" s="121">
        <v>-0.28902999999999995</v>
      </c>
      <c r="AE1123" s="121">
        <v>-0.34865999999999997</v>
      </c>
      <c r="AF1123" s="121">
        <v>-0.34865999999999997</v>
      </c>
      <c r="AG1123" s="121">
        <v>-0.34865999999999997</v>
      </c>
      <c r="AH1123" s="121">
        <v>-0.34865999999999997</v>
      </c>
      <c r="AI1123" s="161">
        <v>0</v>
      </c>
      <c r="AJ1123" s="161">
        <f>IF(AI1123=0,0,0)</f>
        <v>0</v>
      </c>
      <c r="AK1123" s="161">
        <v>0</v>
      </c>
      <c r="AL1123" s="161">
        <v>0</v>
      </c>
      <c r="AM1123" s="161">
        <v>0</v>
      </c>
      <c r="AN1123" s="161">
        <v>0</v>
      </c>
      <c r="AO1123" s="161">
        <v>0</v>
      </c>
      <c r="AP1123" s="125" t="str">
        <f>CONCATENATE(A1123,M1123)</f>
        <v>Def TaxN</v>
      </c>
      <c r="AQ1123" s="125" t="str">
        <f>CONCATENATE(AP1123,L1123,H1123)</f>
        <v>Def TaxNN10CAIDI/SAIFI Study</v>
      </c>
      <c r="AS1123" s="125" t="str">
        <f>CONCATENATE(L1123,H1123,J1123)</f>
        <v>N10CAIDI/SAIFI StudyNCR</v>
      </c>
    </row>
    <row r="1124" spans="1:45" s="125" customFormat="1" ht="25.5" customHeight="1">
      <c r="A1124" s="216" t="s">
        <v>1996</v>
      </c>
      <c r="B1124" s="217" t="str">
        <f t="shared" si="478"/>
        <v>Def Tax190511Veg MgtBE030595</v>
      </c>
      <c r="C1124" s="186">
        <v>190511</v>
      </c>
      <c r="D1124" s="201" t="s">
        <v>2720</v>
      </c>
      <c r="E1124" s="162" t="s">
        <v>1160</v>
      </c>
      <c r="F1124" s="169" t="s">
        <v>346</v>
      </c>
      <c r="G1124" s="117" t="s">
        <v>1647</v>
      </c>
      <c r="H1124" s="118" t="s">
        <v>892</v>
      </c>
      <c r="I1124" s="119"/>
      <c r="J1124" s="231" t="s">
        <v>105</v>
      </c>
      <c r="K1124" s="120" t="str">
        <f t="shared" si="469"/>
        <v/>
      </c>
      <c r="L1124" s="170" t="s">
        <v>2821</v>
      </c>
      <c r="M1124" s="122" t="str">
        <f>LEFT(L1124,1)</f>
        <v>N</v>
      </c>
      <c r="N1124" s="116" t="str">
        <f>IF($L1124&lt;&gt;"",VLOOKUP($L1124,Categories!$E:$G,2,FALSE),IF($F1124&lt;&gt;"","NO CAT",""))</f>
        <v>Not in Rate Base</v>
      </c>
      <c r="O1124" s="116" t="str">
        <f>IF($L1124&lt;&gt;"",VLOOKUP($L1124,Categories!$E:$G,3,FALSE),IF($F1124&lt;&gt;"","NO CAT",""))</f>
        <v>Deferrals Accruing Non-Cash Return   (other than ASGA)</v>
      </c>
      <c r="P1124" s="170" t="s">
        <v>1186</v>
      </c>
      <c r="Q1124" s="123" t="s">
        <v>1187</v>
      </c>
      <c r="R1124" s="124">
        <v>0</v>
      </c>
      <c r="S1124" s="124">
        <v>0</v>
      </c>
      <c r="T1124" s="124">
        <v>1</v>
      </c>
      <c r="U1124" s="121">
        <f t="shared" si="472"/>
        <v>0</v>
      </c>
      <c r="V1124" s="121">
        <f t="shared" si="473"/>
        <v>0</v>
      </c>
      <c r="W1124" s="121">
        <f t="shared" si="474"/>
        <v>34.964764166666697</v>
      </c>
      <c r="X1124" s="121">
        <f t="shared" si="470"/>
        <v>34.964764166666697</v>
      </c>
      <c r="Y1124" s="121">
        <f t="shared" si="475"/>
        <v>0</v>
      </c>
      <c r="Z1124" s="121">
        <f t="shared" si="476"/>
        <v>0</v>
      </c>
      <c r="AA1124" s="121">
        <f t="shared" si="477"/>
        <v>2.3E-14</v>
      </c>
      <c r="AB1124" s="121">
        <f t="shared" si="471"/>
        <v>2.2737367544323207E-14</v>
      </c>
      <c r="AC1124" s="121">
        <v>2.000888343900442E-14</v>
      </c>
      <c r="AD1124" s="121">
        <v>58.447460000000021</v>
      </c>
      <c r="AE1124" s="121">
        <v>51.707640000000019</v>
      </c>
      <c r="AF1124" s="121">
        <v>37.052480000000024</v>
      </c>
      <c r="AG1124" s="121">
        <v>19.914080000000023</v>
      </c>
      <c r="AH1124" s="121">
        <v>22.082560000000022</v>
      </c>
      <c r="AI1124" s="161">
        <v>47.489380000000018</v>
      </c>
      <c r="AJ1124" s="161">
        <v>44.05343000000002</v>
      </c>
      <c r="AK1124" s="161">
        <v>73.214930000000024</v>
      </c>
      <c r="AL1124" s="161">
        <v>58.304600000000022</v>
      </c>
      <c r="AM1124" s="161">
        <v>7.3106100000000227</v>
      </c>
      <c r="AN1124" s="161">
        <v>2.2737367544323207E-14</v>
      </c>
      <c r="AO1124" s="161">
        <v>2.2737367544323207E-14</v>
      </c>
      <c r="AP1124" s="125" t="str">
        <f>CONCATENATE(A1124,M1124)</f>
        <v>Def TaxN</v>
      </c>
      <c r="AQ1124" s="125" t="str">
        <f>CONCATENATE(AP1124,L1124,H1124)</f>
        <v>Def TaxNN10Vegetation Management</v>
      </c>
      <c r="AS1124" s="125" t="str">
        <f>CONCATENATE(L1124,H1124,J1124)</f>
        <v>N10Vegetation ManagementNCR</v>
      </c>
    </row>
    <row r="1125" spans="1:45" s="125" customFormat="1" ht="25.5" customHeight="1">
      <c r="A1125" s="216" t="s">
        <v>1996</v>
      </c>
      <c r="B1125" s="217" t="str">
        <f t="shared" si="478"/>
        <v>Def Tax190511BC030561</v>
      </c>
      <c r="C1125" s="186">
        <v>190511</v>
      </c>
      <c r="D1125" s="201"/>
      <c r="E1125" s="162" t="s">
        <v>734</v>
      </c>
      <c r="F1125" s="169" t="s">
        <v>346</v>
      </c>
      <c r="G1125" s="117" t="s">
        <v>4542</v>
      </c>
      <c r="H1125" s="118" t="s">
        <v>1002</v>
      </c>
      <c r="I1125" s="119"/>
      <c r="J1125" s="231"/>
      <c r="K1125" s="120" t="str">
        <f t="shared" si="469"/>
        <v/>
      </c>
      <c r="L1125" s="170" t="s">
        <v>1895</v>
      </c>
      <c r="M1125" s="122" t="str">
        <f t="shared" si="479"/>
        <v>R</v>
      </c>
      <c r="N1125" s="116" t="str">
        <f>IF($L1125&lt;&gt;"",VLOOKUP($L1125,Categories!$E:$G,2,FALSE),IF($F1125&lt;&gt;"","NO CAT",""))</f>
        <v>Rate Base</v>
      </c>
      <c r="O1125" s="116" t="str">
        <f>IF($L1125&lt;&gt;"",VLOOKUP($L1125,Categories!$E:$G,3,FALSE),IF($F1125&lt;&gt;"","NO CAT",""))</f>
        <v>Deferred Income Taxes</v>
      </c>
      <c r="P1125" s="170" t="s">
        <v>1553</v>
      </c>
      <c r="Q1125" s="123" t="s">
        <v>2587</v>
      </c>
      <c r="R1125" s="124">
        <v>0.81899999999999995</v>
      </c>
      <c r="S1125" s="124">
        <v>0.18099999999999999</v>
      </c>
      <c r="T1125" s="124">
        <v>0</v>
      </c>
      <c r="U1125" s="121" t="str">
        <f t="shared" si="472"/>
        <v/>
      </c>
      <c r="V1125" s="121" t="str">
        <f t="shared" si="473"/>
        <v/>
      </c>
      <c r="W1125" s="121" t="str">
        <f t="shared" si="474"/>
        <v/>
      </c>
      <c r="X1125" s="121">
        <f t="shared" si="470"/>
        <v>0</v>
      </c>
      <c r="Y1125" s="121" t="str">
        <f t="shared" si="475"/>
        <v/>
      </c>
      <c r="Z1125" s="121" t="str">
        <f t="shared" si="476"/>
        <v/>
      </c>
      <c r="AA1125" s="121" t="str">
        <f t="shared" si="477"/>
        <v/>
      </c>
      <c r="AB1125" s="121">
        <f t="shared" si="471"/>
        <v>0</v>
      </c>
      <c r="AC1125" s="121">
        <v>0</v>
      </c>
      <c r="AD1125" s="121">
        <v>0</v>
      </c>
      <c r="AE1125" s="121">
        <v>0</v>
      </c>
      <c r="AF1125" s="121">
        <v>0</v>
      </c>
      <c r="AG1125" s="121">
        <v>0</v>
      </c>
      <c r="AH1125" s="121">
        <v>0</v>
      </c>
      <c r="AI1125" s="161">
        <v>0</v>
      </c>
      <c r="AJ1125" s="161">
        <f>IF(AI1125=0,0,0)</f>
        <v>0</v>
      </c>
      <c r="AK1125" s="161">
        <v>0</v>
      </c>
      <c r="AL1125" s="161">
        <v>0</v>
      </c>
      <c r="AM1125" s="161">
        <v>0</v>
      </c>
      <c r="AN1125" s="161">
        <v>0</v>
      </c>
      <c r="AO1125" s="161">
        <v>0</v>
      </c>
      <c r="AP1125" s="125" t="str">
        <f>CONCATENATE(A1125,M1125)</f>
        <v>Def TaxR</v>
      </c>
      <c r="AQ1125" s="125" t="str">
        <f>CONCATENATE(AP1125,L1125,H1125)</f>
        <v>Def TaxRR11Accrued Pension</v>
      </c>
      <c r="AS1125" s="125" t="str">
        <f>CONCATENATE(L1125,H1125,J1125)</f>
        <v>R11Accrued Pension</v>
      </c>
    </row>
    <row r="1126" spans="1:45" s="125" customFormat="1" ht="25.5" customHeight="1">
      <c r="A1126" s="216" t="s">
        <v>1996</v>
      </c>
      <c r="B1126" s="217" t="str">
        <f t="shared" si="478"/>
        <v>Def Tax190511BT030562</v>
      </c>
      <c r="C1126" s="186">
        <v>190511</v>
      </c>
      <c r="D1126" s="201"/>
      <c r="E1126" s="162" t="s">
        <v>1548</v>
      </c>
      <c r="F1126" s="169" t="s">
        <v>346</v>
      </c>
      <c r="G1126" s="117" t="s">
        <v>2537</v>
      </c>
      <c r="H1126" s="118" t="s">
        <v>170</v>
      </c>
      <c r="I1126" s="119"/>
      <c r="J1126" s="231"/>
      <c r="K1126" s="120" t="str">
        <f t="shared" si="469"/>
        <v/>
      </c>
      <c r="L1126" s="170" t="s">
        <v>1895</v>
      </c>
      <c r="M1126" s="122" t="str">
        <f t="shared" si="479"/>
        <v>R</v>
      </c>
      <c r="N1126" s="116" t="str">
        <f>IF($L1126&lt;&gt;"",VLOOKUP($L1126,Categories!$E:$G,2,FALSE),IF($F1126&lt;&gt;"","NO CAT",""))</f>
        <v>Rate Base</v>
      </c>
      <c r="O1126" s="116" t="str">
        <f>IF($L1126&lt;&gt;"",VLOOKUP($L1126,Categories!$E:$G,3,FALSE),IF($F1126&lt;&gt;"","NO CAT",""))</f>
        <v>Deferred Income Taxes</v>
      </c>
      <c r="P1126" s="170" t="s">
        <v>1553</v>
      </c>
      <c r="Q1126" s="123" t="s">
        <v>2587</v>
      </c>
      <c r="R1126" s="124">
        <v>0.81899999999999995</v>
      </c>
      <c r="S1126" s="124">
        <v>0.18099999999999999</v>
      </c>
      <c r="T1126" s="124">
        <v>0</v>
      </c>
      <c r="U1126" s="121" t="str">
        <f t="shared" si="472"/>
        <v/>
      </c>
      <c r="V1126" s="121" t="str">
        <f t="shared" si="473"/>
        <v/>
      </c>
      <c r="W1126" s="121" t="str">
        <f t="shared" si="474"/>
        <v/>
      </c>
      <c r="X1126" s="121">
        <f t="shared" si="470"/>
        <v>0</v>
      </c>
      <c r="Y1126" s="121" t="str">
        <f t="shared" si="475"/>
        <v/>
      </c>
      <c r="Z1126" s="121" t="str">
        <f t="shared" si="476"/>
        <v/>
      </c>
      <c r="AA1126" s="121" t="str">
        <f t="shared" si="477"/>
        <v/>
      </c>
      <c r="AB1126" s="121">
        <f t="shared" si="471"/>
        <v>0</v>
      </c>
      <c r="AC1126" s="121">
        <v>0</v>
      </c>
      <c r="AD1126" s="121">
        <v>0</v>
      </c>
      <c r="AE1126" s="121">
        <v>0</v>
      </c>
      <c r="AF1126" s="121">
        <v>0</v>
      </c>
      <c r="AG1126" s="121">
        <v>0</v>
      </c>
      <c r="AH1126" s="121">
        <v>0</v>
      </c>
      <c r="AI1126" s="161">
        <v>0</v>
      </c>
      <c r="AJ1126" s="161">
        <f>IF(AI1126=0,0,0)</f>
        <v>0</v>
      </c>
      <c r="AK1126" s="161">
        <v>0</v>
      </c>
      <c r="AL1126" s="161">
        <v>0</v>
      </c>
      <c r="AM1126" s="161">
        <v>0</v>
      </c>
      <c r="AN1126" s="161">
        <v>0</v>
      </c>
      <c r="AO1126" s="161">
        <v>0</v>
      </c>
      <c r="AP1126" s="125" t="str">
        <f>CONCATENATE(A1126,M1126)</f>
        <v>Def TaxR</v>
      </c>
      <c r="AQ1126" s="125" t="str">
        <f>CONCATENATE(AP1126,L1126,H1126)</f>
        <v>Def TaxRR11OPEBs</v>
      </c>
      <c r="AS1126" s="125" t="str">
        <f>CONCATENATE(L1126,H1126,J1126)</f>
        <v>R11OPEBs</v>
      </c>
    </row>
    <row r="1127" spans="1:45" s="125" customFormat="1" ht="25.5" customHeight="1">
      <c r="A1127" s="216" t="s">
        <v>1996</v>
      </c>
      <c r="B1127" s="217" t="str">
        <f>CONCATENATE(A1127,C1127,D1127,E1127)</f>
        <v>Def Tax190511BT010392</v>
      </c>
      <c r="C1127" s="186">
        <v>190511</v>
      </c>
      <c r="D1127" s="201"/>
      <c r="E1127" s="162" t="s">
        <v>4765</v>
      </c>
      <c r="F1127" s="169" t="s">
        <v>346</v>
      </c>
      <c r="G1127" s="117" t="s">
        <v>4766</v>
      </c>
      <c r="H1127" s="118" t="s">
        <v>4761</v>
      </c>
      <c r="I1127" s="119"/>
      <c r="J1127" s="231"/>
      <c r="K1127" s="120" t="str">
        <f>IF(L1127="N3","SFAS-109","")</f>
        <v/>
      </c>
      <c r="L1127" s="170" t="s">
        <v>1895</v>
      </c>
      <c r="M1127" s="122" t="str">
        <f>LEFT(L1127,1)</f>
        <v>R</v>
      </c>
      <c r="N1127" s="116" t="str">
        <f>IF($L1127&lt;&gt;"",VLOOKUP($L1127,Categories!$E:$G,2,FALSE),IF($F1127&lt;&gt;"","NO CAT",""))</f>
        <v>Rate Base</v>
      </c>
      <c r="O1127" s="116" t="str">
        <f>IF($L1127&lt;&gt;"",VLOOKUP($L1127,Categories!$E:$G,3,FALSE),IF($F1127&lt;&gt;"","NO CAT",""))</f>
        <v>Deferred Income Taxes</v>
      </c>
      <c r="P1127" s="170" t="s">
        <v>1183</v>
      </c>
      <c r="Q1127" s="123" t="s">
        <v>1177</v>
      </c>
      <c r="R1127" s="124">
        <v>1</v>
      </c>
      <c r="S1127" s="124">
        <v>0</v>
      </c>
      <c r="T1127" s="124">
        <v>0</v>
      </c>
      <c r="U1127" s="121">
        <f>IF(ABS(X1127)=0,"",IF($R1127="NO ALLOC","NO ALLOC",ROUND($R1127*X1127,15)))</f>
        <v>410.723166666667</v>
      </c>
      <c r="V1127" s="121">
        <f>IF(ABS(X1127)=0,"",IF($S1127="NO ALLOC","NO ALLOC",ROUND($S1127*X1127,15)))</f>
        <v>0</v>
      </c>
      <c r="W1127" s="121">
        <f>IF(ABS(X1127)=0,"",IF($T1127="NO ALLOC","NO ALLOC",ROUND($T1127*X1127,15)))</f>
        <v>0</v>
      </c>
      <c r="X1127" s="121">
        <f t="shared" si="470"/>
        <v>410.723166666667</v>
      </c>
      <c r="Y1127" s="121">
        <f>IF(ABS(AB1127)=0,"",IF($R1127="NO ALLOC","NO ALLOC",ROUND($R1127*AB1127,15)))</f>
        <v>761.26199999999994</v>
      </c>
      <c r="Z1127" s="121">
        <f>IF(ABS(AB1127)=0,"",IF($S1127="NO ALLOC","NO ALLOC",ROUND($S1127*AB1127,15)))</f>
        <v>0</v>
      </c>
      <c r="AA1127" s="121">
        <f>IF(ABS(AB1127)=0,"",IF($T1127="NO ALLOC","NO ALLOC",ROUND($T1127*AB1127,15)))</f>
        <v>0</v>
      </c>
      <c r="AB1127" s="121">
        <f t="shared" si="471"/>
        <v>761.26199999999994</v>
      </c>
      <c r="AC1127" s="121"/>
      <c r="AD1127" s="121"/>
      <c r="AE1127" s="121"/>
      <c r="AF1127" s="121"/>
      <c r="AG1127" s="121"/>
      <c r="AH1127" s="121"/>
      <c r="AI1127" s="161">
        <v>757.35699999999997</v>
      </c>
      <c r="AJ1127" s="161">
        <v>757.35699999999997</v>
      </c>
      <c r="AK1127" s="161">
        <v>757.35699999999997</v>
      </c>
      <c r="AL1127" s="161">
        <v>757.35699999999997</v>
      </c>
      <c r="AM1127" s="161">
        <v>757.35699999999997</v>
      </c>
      <c r="AN1127" s="161">
        <v>761.26199999999994</v>
      </c>
      <c r="AO1127" s="161">
        <v>761.26199999999994</v>
      </c>
      <c r="AP1127" s="125" t="str">
        <f>CONCATENATE(A1127,M1127)</f>
        <v>Def TaxR</v>
      </c>
      <c r="AQ1127" s="125" t="str">
        <f>CONCATENATE(AP1127,L1127,H1127)</f>
        <v>Def TaxRR11Excess DIT - New York State Tax Rate change</v>
      </c>
      <c r="AS1127" s="125" t="str">
        <f>CONCATENATE(L1127,H1127,J1127)</f>
        <v>R11Excess DIT - New York State Tax Rate change</v>
      </c>
    </row>
    <row r="1128" spans="1:45" s="125" customFormat="1" ht="25.5" customHeight="1">
      <c r="A1128" s="216" t="s">
        <v>1996</v>
      </c>
      <c r="B1128" s="217" t="str">
        <f>CONCATENATE(A1128,C1128,D1128,E1128)</f>
        <v>Def Tax190511BT010299</v>
      </c>
      <c r="C1128" s="186">
        <v>190511</v>
      </c>
      <c r="D1128" s="201"/>
      <c r="E1128" s="162" t="s">
        <v>4814</v>
      </c>
      <c r="F1128" s="169" t="s">
        <v>346</v>
      </c>
      <c r="G1128" s="117" t="s">
        <v>4816</v>
      </c>
      <c r="H1128" s="118" t="s">
        <v>1718</v>
      </c>
      <c r="I1128" s="119"/>
      <c r="J1128" s="231" t="s">
        <v>105</v>
      </c>
      <c r="K1128" s="120" t="str">
        <f>IF(L1128="N3","SFAS-109","")</f>
        <v/>
      </c>
      <c r="L1128" s="170" t="s">
        <v>2821</v>
      </c>
      <c r="M1128" s="122" t="str">
        <f>LEFT(L1128,1)</f>
        <v>N</v>
      </c>
      <c r="N1128" s="116" t="str">
        <f>IF($L1128&lt;&gt;"",VLOOKUP($L1128,Categories!$E:$G,2,FALSE),IF($F1128&lt;&gt;"","NO CAT",""))</f>
        <v>Not in Rate Base</v>
      </c>
      <c r="O1128" s="116" t="str">
        <f>IF($L1128&lt;&gt;"",VLOOKUP($L1128,Categories!$E:$G,3,FALSE),IF($F1128&lt;&gt;"","NO CAT",""))</f>
        <v>Deferrals Accruing Non-Cash Return   (other than ASGA)</v>
      </c>
      <c r="P1128" s="170" t="s">
        <v>1186</v>
      </c>
      <c r="Q1128" s="123" t="s">
        <v>1187</v>
      </c>
      <c r="R1128" s="124">
        <v>0</v>
      </c>
      <c r="S1128" s="124">
        <v>0</v>
      </c>
      <c r="T1128" s="124">
        <v>1</v>
      </c>
      <c r="U1128" s="121">
        <f>IF(ABS(X1128)=0,"",IF($R1128="NO ALLOC","NO ALLOC",ROUND($R1128*X1128,15)))</f>
        <v>0</v>
      </c>
      <c r="V1128" s="121">
        <f>IF(ABS(X1128)=0,"",IF($S1128="NO ALLOC","NO ALLOC",ROUND($S1128*X1128,15)))</f>
        <v>0</v>
      </c>
      <c r="W1128" s="121">
        <f>IF(ABS(X1128)=0,"",IF($T1128="NO ALLOC","NO ALLOC",ROUND($T1128*X1128,15)))</f>
        <v>389.39170124999998</v>
      </c>
      <c r="X1128" s="121">
        <f t="shared" si="470"/>
        <v>389.39170124999998</v>
      </c>
      <c r="Y1128" s="121">
        <f>IF(ABS(AB1128)=0,"",IF($R1128="NO ALLOC","NO ALLOC",ROUND($R1128*AB1128,15)))</f>
        <v>0</v>
      </c>
      <c r="Z1128" s="121">
        <f>IF(ABS(AB1128)=0,"",IF($S1128="NO ALLOC","NO ALLOC",ROUND($S1128*AB1128,15)))</f>
        <v>0</v>
      </c>
      <c r="AA1128" s="121">
        <f>IF(ABS(AB1128)=0,"",IF($T1128="NO ALLOC","NO ALLOC",ROUND($T1128*AB1128,15)))</f>
        <v>1066.5723499999999</v>
      </c>
      <c r="AB1128" s="121">
        <f t="shared" si="471"/>
        <v>1066.5723499999999</v>
      </c>
      <c r="AC1128" s="121"/>
      <c r="AD1128" s="121"/>
      <c r="AE1128" s="121"/>
      <c r="AF1128" s="121"/>
      <c r="AG1128" s="121"/>
      <c r="AH1128" s="121"/>
      <c r="AI1128" s="161"/>
      <c r="AJ1128" s="161"/>
      <c r="AK1128" s="161">
        <v>1057.0415</v>
      </c>
      <c r="AL1128" s="161">
        <v>1056.6046899999999</v>
      </c>
      <c r="AM1128" s="161">
        <v>1013.25436</v>
      </c>
      <c r="AN1128" s="161">
        <v>1012.51369</v>
      </c>
      <c r="AO1128" s="161">
        <v>1066.5723499999999</v>
      </c>
      <c r="AP1128" s="125" t="str">
        <f>CONCATENATE(A1128,M1128)</f>
        <v>Def TaxN</v>
      </c>
      <c r="AQ1128" s="125" t="str">
        <f>CONCATENATE(AP1128,L1128,H1128)</f>
        <v>Def TaxNN10Energy Efficiency Portfolio Standard</v>
      </c>
      <c r="AS1128" s="125" t="str">
        <f>CONCATENATE(L1128,H1128,J1128)</f>
        <v>N10Energy Efficiency Portfolio StandardNCR</v>
      </c>
    </row>
    <row r="1129" spans="1:45" s="125" customFormat="1" ht="25.5" customHeight="1">
      <c r="A1129" s="216" t="s">
        <v>1996</v>
      </c>
      <c r="B1129" s="217" t="str">
        <f>CONCATENATE(A1129,C1129,D1129,E1129)</f>
        <v>Def Tax190511BE030939</v>
      </c>
      <c r="C1129" s="186">
        <v>190511</v>
      </c>
      <c r="D1129" s="201"/>
      <c r="E1129" s="162" t="s">
        <v>4786</v>
      </c>
      <c r="F1129" s="169" t="s">
        <v>346</v>
      </c>
      <c r="G1129" s="117" t="s">
        <v>2862</v>
      </c>
      <c r="H1129" s="118" t="s">
        <v>2862</v>
      </c>
      <c r="I1129" s="119"/>
      <c r="J1129" s="231"/>
      <c r="K1129" s="120" t="str">
        <f>IF(L1129="N3","SFAS-109","")</f>
        <v/>
      </c>
      <c r="L1129" s="170" t="s">
        <v>1895</v>
      </c>
      <c r="M1129" s="122" t="str">
        <f>LEFT(L1129,1)</f>
        <v>R</v>
      </c>
      <c r="N1129" s="116" t="str">
        <f>IF($L1129&lt;&gt;"",VLOOKUP($L1129,Categories!$E:$G,2,FALSE),IF($F1129&lt;&gt;"","NO CAT",""))</f>
        <v>Rate Base</v>
      </c>
      <c r="O1129" s="116" t="str">
        <f>IF($L1129&lt;&gt;"",VLOOKUP($L1129,Categories!$E:$G,3,FALSE),IF($F1129&lt;&gt;"","NO CAT",""))</f>
        <v>Deferred Income Taxes</v>
      </c>
      <c r="P1129" s="170" t="s">
        <v>1183</v>
      </c>
      <c r="Q1129" s="123" t="s">
        <v>1177</v>
      </c>
      <c r="R1129" s="124">
        <v>1</v>
      </c>
      <c r="S1129" s="124">
        <v>0</v>
      </c>
      <c r="T1129" s="124">
        <v>0</v>
      </c>
      <c r="U1129" s="121">
        <f>IF(ABS(X1129)=0,"",IF($R1129="NO ALLOC","NO ALLOC",ROUND($R1129*X1129,15)))</f>
        <v>-0.67648708333333396</v>
      </c>
      <c r="V1129" s="121">
        <f>IF(ABS(X1129)=0,"",IF($S1129="NO ALLOC","NO ALLOC",ROUND($S1129*X1129,15)))</f>
        <v>0</v>
      </c>
      <c r="W1129" s="121">
        <f>IF(ABS(X1129)=0,"",IF($T1129="NO ALLOC","NO ALLOC",ROUND($T1129*X1129,15)))</f>
        <v>0</v>
      </c>
      <c r="X1129" s="121">
        <f t="shared" si="470"/>
        <v>-0.67648708333333396</v>
      </c>
      <c r="Y1129" s="121">
        <f>IF(ABS(AB1129)=0,"",IF($R1129="NO ALLOC","NO ALLOC",ROUND($R1129*AB1129,15)))</f>
        <v>-1.1915100000000101</v>
      </c>
      <c r="Z1129" s="121">
        <f>IF(ABS(AB1129)=0,"",IF($S1129="NO ALLOC","NO ALLOC",ROUND($S1129*AB1129,15)))</f>
        <v>0</v>
      </c>
      <c r="AA1129" s="121">
        <f>IF(ABS(AB1129)=0,"",IF($T1129="NO ALLOC","NO ALLOC",ROUND($T1129*AB1129,15)))</f>
        <v>0</v>
      </c>
      <c r="AB1129" s="121">
        <f t="shared" si="471"/>
        <v>-1.1915100000000056</v>
      </c>
      <c r="AC1129" s="121"/>
      <c r="AD1129" s="121"/>
      <c r="AE1129" s="121"/>
      <c r="AF1129" s="121"/>
      <c r="AG1129" s="121"/>
      <c r="AH1129" s="121"/>
      <c r="AI1129" s="161"/>
      <c r="AJ1129" s="161"/>
      <c r="AK1129" s="161">
        <v>29.786259999999999</v>
      </c>
      <c r="AL1129" s="161">
        <v>10.984419999999998</v>
      </c>
      <c r="AM1129" s="161">
        <v>-17.194640000000003</v>
      </c>
      <c r="AN1129" s="161">
        <v>-31.098130000000005</v>
      </c>
      <c r="AO1129" s="161">
        <v>-1.1915100000000056</v>
      </c>
      <c r="AP1129" s="125" t="str">
        <f>CONCATENATE(A1129,M1129)</f>
        <v>Def TaxR</v>
      </c>
      <c r="AQ1129" s="125" t="str">
        <f>CONCATENATE(AP1129,L1129,H1129)</f>
        <v>Def TaxRR11Renewable Portfolio Standard</v>
      </c>
      <c r="AS1129" s="125" t="str">
        <f>CONCATENATE(L1129,H1129,J1129)</f>
        <v>R11Renewable Portfolio Standard</v>
      </c>
    </row>
    <row r="1130" spans="1:45" s="125" customFormat="1" ht="25.5" customHeight="1">
      <c r="A1130" s="216" t="s">
        <v>1996</v>
      </c>
      <c r="B1130" s="217" t="str">
        <f>CONCATENATE(A1130,C1130,D1130,E1130)</f>
        <v>Def Tax190511BE030583</v>
      </c>
      <c r="C1130" s="186">
        <v>190511</v>
      </c>
      <c r="D1130" s="201"/>
      <c r="E1130" s="162" t="s">
        <v>4787</v>
      </c>
      <c r="F1130" s="169" t="s">
        <v>346</v>
      </c>
      <c r="G1130" s="117" t="s">
        <v>4815</v>
      </c>
      <c r="H1130" s="118" t="s">
        <v>2496</v>
      </c>
      <c r="I1130" s="119"/>
      <c r="J1130" s="231" t="s">
        <v>105</v>
      </c>
      <c r="K1130" s="120" t="str">
        <f>IF(L1130="N3","SFAS-109","")</f>
        <v/>
      </c>
      <c r="L1130" s="170" t="s">
        <v>2821</v>
      </c>
      <c r="M1130" s="122" t="str">
        <f>LEFT(L1130,1)</f>
        <v>N</v>
      </c>
      <c r="N1130" s="116" t="str">
        <f>IF($L1130&lt;&gt;"",VLOOKUP($L1130,Categories!$E:$G,2,FALSE),IF($F1130&lt;&gt;"","NO CAT",""))</f>
        <v>Not in Rate Base</v>
      </c>
      <c r="O1130" s="116" t="str">
        <f>IF($L1130&lt;&gt;"",VLOOKUP($L1130,Categories!$E:$G,3,FALSE),IF($F1130&lt;&gt;"","NO CAT",""))</f>
        <v>Deferrals Accruing Non-Cash Return   (other than ASGA)</v>
      </c>
      <c r="P1130" s="170" t="s">
        <v>1186</v>
      </c>
      <c r="Q1130" s="123" t="s">
        <v>1187</v>
      </c>
      <c r="R1130" s="124">
        <v>0</v>
      </c>
      <c r="S1130" s="124">
        <v>0</v>
      </c>
      <c r="T1130" s="124">
        <v>1</v>
      </c>
      <c r="U1130" s="121">
        <f>IF(ABS(X1130)=0,"",IF($R1130="NO ALLOC","NO ALLOC",ROUND($R1130*X1130,15)))</f>
        <v>0</v>
      </c>
      <c r="V1130" s="121">
        <f>IF(ABS(X1130)=0,"",IF($S1130="NO ALLOC","NO ALLOC",ROUND($S1130*X1130,15)))</f>
        <v>0</v>
      </c>
      <c r="W1130" s="121">
        <f>IF(ABS(X1130)=0,"",IF($T1130="NO ALLOC","NO ALLOC",ROUND($T1130*X1130,15)))</f>
        <v>17.834520000000001</v>
      </c>
      <c r="X1130" s="121">
        <f t="shared" si="470"/>
        <v>17.834520000000001</v>
      </c>
      <c r="Y1130" s="121">
        <f>IF(ABS(AB1130)=0,"",IF($R1130="NO ALLOC","NO ALLOC",ROUND($R1130*AB1130,15)))</f>
        <v>0</v>
      </c>
      <c r="Z1130" s="121">
        <f>IF(ABS(AB1130)=0,"",IF($S1130="NO ALLOC","NO ALLOC",ROUND($S1130*AB1130,15)))</f>
        <v>0</v>
      </c>
      <c r="AA1130" s="121">
        <f>IF(ABS(AB1130)=0,"",IF($T1130="NO ALLOC","NO ALLOC",ROUND($T1130*AB1130,15)))</f>
        <v>47.021120000000003</v>
      </c>
      <c r="AB1130" s="121">
        <f t="shared" si="471"/>
        <v>47.021120000000003</v>
      </c>
      <c r="AC1130" s="121"/>
      <c r="AD1130" s="121"/>
      <c r="AE1130" s="121"/>
      <c r="AF1130" s="121"/>
      <c r="AG1130" s="121"/>
      <c r="AH1130" s="121"/>
      <c r="AI1130" s="161"/>
      <c r="AJ1130" s="161"/>
      <c r="AK1130" s="161">
        <v>52.862480000000005</v>
      </c>
      <c r="AL1130" s="161">
        <v>50.357770000000002</v>
      </c>
      <c r="AM1130" s="161">
        <v>44.979520000000001</v>
      </c>
      <c r="AN1130" s="161">
        <v>42.303910000000002</v>
      </c>
      <c r="AO1130" s="161">
        <v>47.021120000000003</v>
      </c>
      <c r="AP1130" s="125" t="str">
        <f>CONCATENATE(A1130,M1130)</f>
        <v>Def TaxN</v>
      </c>
      <c r="AQ1130" s="125" t="str">
        <f>CONCATENATE(AP1130,L1130,H1130)</f>
        <v>Def TaxNN10System Benefits Charge</v>
      </c>
      <c r="AS1130" s="125" t="str">
        <f>CONCATENATE(L1130,H1130,J1130)</f>
        <v>N10System Benefits ChargeNCR</v>
      </c>
    </row>
    <row r="1131" spans="1:45" s="125" customFormat="1" ht="25.5" customHeight="1">
      <c r="A1131" s="216" t="s">
        <v>1996</v>
      </c>
      <c r="B1131" s="217" t="str">
        <f t="shared" si="478"/>
        <v>Def Tax190512AROBT010343</v>
      </c>
      <c r="C1131" s="186">
        <v>190512</v>
      </c>
      <c r="D1131" s="201" t="s">
        <v>993</v>
      </c>
      <c r="E1131" s="162" t="s">
        <v>67</v>
      </c>
      <c r="F1131" s="169" t="s">
        <v>347</v>
      </c>
      <c r="G1131" s="117" t="s">
        <v>68</v>
      </c>
      <c r="H1131" s="118" t="s">
        <v>972</v>
      </c>
      <c r="I1131" s="119"/>
      <c r="J1131" s="231"/>
      <c r="K1131" s="120" t="str">
        <f t="shared" si="469"/>
        <v/>
      </c>
      <c r="L1131" s="170" t="s">
        <v>928</v>
      </c>
      <c r="M1131" s="122" t="str">
        <f t="shared" si="479"/>
        <v>N</v>
      </c>
      <c r="N1131" s="116" t="str">
        <f>IF($L1131&lt;&gt;"",VLOOKUP($L1131,Categories!$E:$G,2,FALSE),IF($F1131&lt;&gt;"","NO CAT",""))</f>
        <v>Not in Rate Base</v>
      </c>
      <c r="O1131" s="116" t="str">
        <f>IF($L1131&lt;&gt;"",VLOOKUP($L1131,Categories!$E:$G,3,FALSE),IF($F1131&lt;&gt;"","NO CAT",""))</f>
        <v>Direct Assign Items Not in RB</v>
      </c>
      <c r="P1131" s="170" t="s">
        <v>1186</v>
      </c>
      <c r="Q1131" s="123" t="s">
        <v>1187</v>
      </c>
      <c r="R1131" s="124">
        <v>0</v>
      </c>
      <c r="S1131" s="124">
        <v>0</v>
      </c>
      <c r="T1131" s="124">
        <v>1</v>
      </c>
      <c r="U1131" s="121">
        <f t="shared" si="472"/>
        <v>0</v>
      </c>
      <c r="V1131" s="121">
        <f t="shared" si="473"/>
        <v>0</v>
      </c>
      <c r="W1131" s="121">
        <f t="shared" si="474"/>
        <v>213.07014000000001</v>
      </c>
      <c r="X1131" s="121">
        <f t="shared" si="470"/>
        <v>213.07014000000001</v>
      </c>
      <c r="Y1131" s="121">
        <f t="shared" si="475"/>
        <v>0</v>
      </c>
      <c r="Z1131" s="121">
        <f t="shared" si="476"/>
        <v>0</v>
      </c>
      <c r="AA1131" s="121">
        <f t="shared" si="477"/>
        <v>213.07014000000001</v>
      </c>
      <c r="AB1131" s="121">
        <f t="shared" si="471"/>
        <v>213.07014000000001</v>
      </c>
      <c r="AC1131" s="121">
        <v>213.07014000000001</v>
      </c>
      <c r="AD1131" s="121">
        <v>213.07014000000001</v>
      </c>
      <c r="AE1131" s="121">
        <v>213.07014000000001</v>
      </c>
      <c r="AF1131" s="121">
        <v>213.07014000000001</v>
      </c>
      <c r="AG1131" s="121">
        <v>213.07014000000001</v>
      </c>
      <c r="AH1131" s="121">
        <v>213.07014000000001</v>
      </c>
      <c r="AI1131" s="161">
        <v>213.07014000000001</v>
      </c>
      <c r="AJ1131" s="161">
        <v>213.07014000000001</v>
      </c>
      <c r="AK1131" s="161">
        <v>213.07014000000001</v>
      </c>
      <c r="AL1131" s="161">
        <v>213.07014000000001</v>
      </c>
      <c r="AM1131" s="161">
        <v>213.07014000000001</v>
      </c>
      <c r="AN1131" s="161">
        <v>213.07014000000001</v>
      </c>
      <c r="AO1131" s="161">
        <v>213.07014000000001</v>
      </c>
      <c r="AP1131" s="125" t="str">
        <f>CONCATENATE(A1131,M1131)</f>
        <v>Def TaxN</v>
      </c>
      <c r="AQ1131" s="125" t="str">
        <f>CONCATENATE(AP1131,L1131,H1131)</f>
        <v>Def TaxNN2Asset Retirement Obligation</v>
      </c>
      <c r="AS1131" s="125" t="str">
        <f>CONCATENATE(L1131,H1131,J1131)</f>
        <v>N2Asset Retirement Obligation</v>
      </c>
    </row>
    <row r="1132" spans="1:45" s="125" customFormat="1" ht="25.5" customHeight="1">
      <c r="A1132" s="216" t="s">
        <v>1996</v>
      </c>
      <c r="B1132" s="217" t="str">
        <f t="shared" si="478"/>
        <v>Def Tax1905120-286.01.30BG030147</v>
      </c>
      <c r="C1132" s="186">
        <v>190512</v>
      </c>
      <c r="D1132" s="201" t="s">
        <v>1094</v>
      </c>
      <c r="E1132" s="162" t="s">
        <v>2687</v>
      </c>
      <c r="F1132" s="169" t="s">
        <v>347</v>
      </c>
      <c r="G1132" s="117" t="s">
        <v>2257</v>
      </c>
      <c r="H1132" s="118" t="s">
        <v>102</v>
      </c>
      <c r="I1132" s="119"/>
      <c r="J1132" s="120"/>
      <c r="K1132" s="120" t="str">
        <f t="shared" si="469"/>
        <v/>
      </c>
      <c r="L1132" s="170" t="s">
        <v>928</v>
      </c>
      <c r="M1132" s="122" t="str">
        <f t="shared" si="479"/>
        <v>N</v>
      </c>
      <c r="N1132" s="116" t="str">
        <f>IF($L1132&lt;&gt;"",VLOOKUP($L1132,Categories!$E:$G,2,FALSE),IF($F1132&lt;&gt;"","NO CAT",""))</f>
        <v>Not in Rate Base</v>
      </c>
      <c r="O1132" s="116" t="str">
        <f>IF($L1132&lt;&gt;"",VLOOKUP($L1132,Categories!$E:$G,3,FALSE),IF($F1132&lt;&gt;"","NO CAT",""))</f>
        <v>Direct Assign Items Not in RB</v>
      </c>
      <c r="P1132" s="170" t="s">
        <v>1186</v>
      </c>
      <c r="Q1132" s="123" t="s">
        <v>1187</v>
      </c>
      <c r="R1132" s="124">
        <v>0</v>
      </c>
      <c r="S1132" s="124">
        <v>0</v>
      </c>
      <c r="T1132" s="124">
        <v>1</v>
      </c>
      <c r="U1132" s="121">
        <f t="shared" si="472"/>
        <v>0</v>
      </c>
      <c r="V1132" s="121">
        <f t="shared" si="473"/>
        <v>0</v>
      </c>
      <c r="W1132" s="121">
        <f t="shared" si="474"/>
        <v>-7.6999999999699997E-4</v>
      </c>
      <c r="X1132" s="121">
        <f t="shared" si="470"/>
        <v>-7.6999999999699997E-4</v>
      </c>
      <c r="Y1132" s="121">
        <f t="shared" si="475"/>
        <v>0</v>
      </c>
      <c r="Z1132" s="121">
        <f t="shared" si="476"/>
        <v>0</v>
      </c>
      <c r="AA1132" s="121">
        <f t="shared" si="477"/>
        <v>-7.6999999999699997E-4</v>
      </c>
      <c r="AB1132" s="121">
        <f t="shared" si="471"/>
        <v>-7.6999999999679853E-4</v>
      </c>
      <c r="AC1132" s="121">
        <v>-7.6999999999679853E-4</v>
      </c>
      <c r="AD1132" s="121">
        <v>-7.6999999999679853E-4</v>
      </c>
      <c r="AE1132" s="121">
        <v>-7.6999999999679853E-4</v>
      </c>
      <c r="AF1132" s="121">
        <v>-7.6999999999679853E-4</v>
      </c>
      <c r="AG1132" s="121">
        <v>-7.6999999999679853E-4</v>
      </c>
      <c r="AH1132" s="121">
        <v>-7.6999999999679853E-4</v>
      </c>
      <c r="AI1132" s="161">
        <v>-7.6999999999679853E-4</v>
      </c>
      <c r="AJ1132" s="161">
        <v>-7.6999999999679853E-4</v>
      </c>
      <c r="AK1132" s="161">
        <v>-7.6999999999679853E-4</v>
      </c>
      <c r="AL1132" s="161">
        <v>-7.6999999999679853E-4</v>
      </c>
      <c r="AM1132" s="161">
        <v>-7.6999999999679853E-4</v>
      </c>
      <c r="AN1132" s="161">
        <v>-7.6999999999679853E-4</v>
      </c>
      <c r="AO1132" s="161">
        <v>-7.6999999999679853E-4</v>
      </c>
      <c r="AP1132" s="125" t="str">
        <f>CONCATENATE(A1132,M1132)</f>
        <v>Def TaxN</v>
      </c>
      <c r="AQ1132" s="125" t="str">
        <f>CONCATENATE(AP1132,L1132,H1132)</f>
        <v>Def TaxNN2Deferred Gas Costs</v>
      </c>
      <c r="AS1132" s="125" t="str">
        <f>CONCATENATE(L1132,H1132,J1132)</f>
        <v>N2Deferred Gas Costs</v>
      </c>
    </row>
    <row r="1133" spans="1:45" s="125" customFormat="1" ht="25.5" customHeight="1">
      <c r="A1133" s="216" t="s">
        <v>1996</v>
      </c>
      <c r="B1133" s="217" t="str">
        <f t="shared" si="478"/>
        <v>Def Tax1905120-286.01.32BG030147</v>
      </c>
      <c r="C1133" s="186">
        <v>190512</v>
      </c>
      <c r="D1133" s="201" t="s">
        <v>904</v>
      </c>
      <c r="E1133" s="162" t="s">
        <v>2687</v>
      </c>
      <c r="F1133" s="169" t="s">
        <v>347</v>
      </c>
      <c r="G1133" s="117" t="s">
        <v>872</v>
      </c>
      <c r="H1133" s="118" t="s">
        <v>102</v>
      </c>
      <c r="I1133" s="119"/>
      <c r="J1133" s="231"/>
      <c r="K1133" s="120" t="str">
        <f t="shared" si="469"/>
        <v/>
      </c>
      <c r="L1133" s="170" t="s">
        <v>1895</v>
      </c>
      <c r="M1133" s="122" t="str">
        <f t="shared" si="479"/>
        <v>R</v>
      </c>
      <c r="N1133" s="116" t="str">
        <f>IF($L1133&lt;&gt;"",VLOOKUP($L1133,Categories!$E:$G,2,FALSE),IF($F1133&lt;&gt;"","NO CAT",""))</f>
        <v>Rate Base</v>
      </c>
      <c r="O1133" s="116" t="str">
        <f>IF($L1133&lt;&gt;"",VLOOKUP($L1133,Categories!$E:$G,3,FALSE),IF($F1133&lt;&gt;"","NO CAT",""))</f>
        <v>Deferred Income Taxes</v>
      </c>
      <c r="P1133" s="170" t="s">
        <v>1184</v>
      </c>
      <c r="Q1133" s="123" t="s">
        <v>1178</v>
      </c>
      <c r="R1133" s="124">
        <v>0</v>
      </c>
      <c r="S1133" s="124">
        <v>1</v>
      </c>
      <c r="T1133" s="124">
        <v>0</v>
      </c>
      <c r="U1133" s="121">
        <f t="shared" si="472"/>
        <v>0</v>
      </c>
      <c r="V1133" s="121">
        <f t="shared" si="473"/>
        <v>1.97330416666667</v>
      </c>
      <c r="W1133" s="121">
        <f t="shared" si="474"/>
        <v>0</v>
      </c>
      <c r="X1133" s="121">
        <f t="shared" si="470"/>
        <v>1.97330416666667</v>
      </c>
      <c r="Y1133" s="121">
        <f t="shared" si="475"/>
        <v>0</v>
      </c>
      <c r="Z1133" s="121">
        <f t="shared" si="476"/>
        <v>1.97401</v>
      </c>
      <c r="AA1133" s="121">
        <f t="shared" si="477"/>
        <v>0</v>
      </c>
      <c r="AB1133" s="121">
        <f t="shared" si="471"/>
        <v>1.97401</v>
      </c>
      <c r="AC1133" s="121">
        <v>1.97401</v>
      </c>
      <c r="AD1133" s="121">
        <v>1.9732400000000032</v>
      </c>
      <c r="AE1133" s="121">
        <v>1.9732400000000001</v>
      </c>
      <c r="AF1133" s="121">
        <v>1.9732400000000032</v>
      </c>
      <c r="AG1133" s="121">
        <v>1.9732400000000032</v>
      </c>
      <c r="AH1133" s="121">
        <v>1.9732400000000032</v>
      </c>
      <c r="AI1133" s="121">
        <v>1.9732400000000032</v>
      </c>
      <c r="AJ1133" s="121">
        <v>1.9732400000000032</v>
      </c>
      <c r="AK1133" s="121">
        <v>1.9732400000000032</v>
      </c>
      <c r="AL1133" s="121">
        <v>1.9732400000000032</v>
      </c>
      <c r="AM1133" s="121">
        <v>1.9732400000000032</v>
      </c>
      <c r="AN1133" s="121">
        <v>1.9732400000000032</v>
      </c>
      <c r="AO1133" s="121">
        <v>1.97401</v>
      </c>
      <c r="AP1133" s="125" t="str">
        <f>CONCATENATE(A1133,M1133)</f>
        <v>Def TaxR</v>
      </c>
      <c r="AQ1133" s="125" t="str">
        <f>CONCATENATE(AP1133,L1133,H1133)</f>
        <v>Def TaxRR11Deferred Gas Costs</v>
      </c>
      <c r="AS1133" s="125" t="str">
        <f>CONCATENATE(L1133,H1133,J1133)</f>
        <v>R11Deferred Gas Costs</v>
      </c>
    </row>
    <row r="1134" spans="1:45" s="125" customFormat="1" ht="25.5" customHeight="1">
      <c r="A1134" s="216" t="s">
        <v>1996</v>
      </c>
      <c r="B1134" s="217" t="str">
        <f t="shared" si="478"/>
        <v>Def Tax1905120-286.01.46BG030158</v>
      </c>
      <c r="C1134" s="186">
        <v>190512</v>
      </c>
      <c r="D1134" s="201" t="s">
        <v>1807</v>
      </c>
      <c r="E1134" s="162" t="s">
        <v>1677</v>
      </c>
      <c r="F1134" s="169" t="s">
        <v>347</v>
      </c>
      <c r="G1134" s="117" t="s">
        <v>413</v>
      </c>
      <c r="H1134" s="118" t="s">
        <v>102</v>
      </c>
      <c r="I1134" s="119"/>
      <c r="J1134" s="120"/>
      <c r="K1134" s="120" t="str">
        <f t="shared" si="469"/>
        <v/>
      </c>
      <c r="L1134" s="170" t="s">
        <v>928</v>
      </c>
      <c r="M1134" s="122" t="str">
        <f t="shared" si="479"/>
        <v>N</v>
      </c>
      <c r="N1134" s="116" t="str">
        <f>IF($L1134&lt;&gt;"",VLOOKUP($L1134,Categories!$E:$G,2,FALSE),IF($F1134&lt;&gt;"","NO CAT",""))</f>
        <v>Not in Rate Base</v>
      </c>
      <c r="O1134" s="116" t="str">
        <f>IF($L1134&lt;&gt;"",VLOOKUP($L1134,Categories!$E:$G,3,FALSE),IF($F1134&lt;&gt;"","NO CAT",""))</f>
        <v>Direct Assign Items Not in RB</v>
      </c>
      <c r="P1134" s="170" t="s">
        <v>1186</v>
      </c>
      <c r="Q1134" s="123" t="s">
        <v>1187</v>
      </c>
      <c r="R1134" s="124">
        <v>0</v>
      </c>
      <c r="S1134" s="124">
        <v>0</v>
      </c>
      <c r="T1134" s="124">
        <v>1</v>
      </c>
      <c r="U1134" s="121">
        <f t="shared" si="472"/>
        <v>0</v>
      </c>
      <c r="V1134" s="121">
        <f t="shared" si="473"/>
        <v>0</v>
      </c>
      <c r="W1134" s="121">
        <f t="shared" si="474"/>
        <v>142.15563</v>
      </c>
      <c r="X1134" s="121">
        <f t="shared" si="470"/>
        <v>142.15563</v>
      </c>
      <c r="Y1134" s="121">
        <f t="shared" si="475"/>
        <v>0</v>
      </c>
      <c r="Z1134" s="121">
        <f t="shared" si="476"/>
        <v>0</v>
      </c>
      <c r="AA1134" s="121">
        <f t="shared" si="477"/>
        <v>207.13451000000001</v>
      </c>
      <c r="AB1134" s="121">
        <f t="shared" si="471"/>
        <v>207.13451000000001</v>
      </c>
      <c r="AC1134" s="121">
        <v>246.52094999999991</v>
      </c>
      <c r="AD1134" s="121">
        <v>180.17660999999993</v>
      </c>
      <c r="AE1134" s="121">
        <v>69.624289999999917</v>
      </c>
      <c r="AF1134" s="121">
        <v>256.13190999999989</v>
      </c>
      <c r="AG1134" s="121">
        <v>289.65166999999991</v>
      </c>
      <c r="AH1134" s="121">
        <v>202.45904999999993</v>
      </c>
      <c r="AI1134" s="161">
        <v>240.48227999999995</v>
      </c>
      <c r="AJ1134" s="161">
        <v>112.11911999999994</v>
      </c>
      <c r="AK1134" s="161">
        <v>82.747189999999947</v>
      </c>
      <c r="AL1134" s="161">
        <v>34.27591999999995</v>
      </c>
      <c r="AM1134" s="161">
        <v>-17.715860000000053</v>
      </c>
      <c r="AN1134" s="161">
        <v>29.08764999999995</v>
      </c>
      <c r="AO1134" s="161">
        <v>207.13451000000001</v>
      </c>
      <c r="AP1134" s="125" t="str">
        <f>CONCATENATE(A1134,M1134)</f>
        <v>Def TaxN</v>
      </c>
      <c r="AQ1134" s="125" t="str">
        <f>CONCATENATE(AP1134,L1134,H1134)</f>
        <v>Def TaxNN2Deferred Gas Costs</v>
      </c>
      <c r="AS1134" s="125" t="str">
        <f>CONCATENATE(L1134,H1134,J1134)</f>
        <v>N2Deferred Gas Costs</v>
      </c>
    </row>
    <row r="1135" spans="1:45" s="125" customFormat="1" ht="25.5" customHeight="1">
      <c r="A1135" s="216" t="s">
        <v>1996</v>
      </c>
      <c r="B1135" s="217" t="str">
        <f t="shared" si="478"/>
        <v>Def Tax1905120-186.01.44BT010073</v>
      </c>
      <c r="C1135" s="186">
        <v>190512</v>
      </c>
      <c r="D1135" s="201" t="s">
        <v>1446</v>
      </c>
      <c r="E1135" s="162" t="s">
        <v>2988</v>
      </c>
      <c r="F1135" s="169" t="s">
        <v>347</v>
      </c>
      <c r="G1135" s="117" t="s">
        <v>1375</v>
      </c>
      <c r="H1135" s="118" t="s">
        <v>2369</v>
      </c>
      <c r="I1135" s="119"/>
      <c r="J1135" s="120"/>
      <c r="K1135" s="120" t="str">
        <f t="shared" si="469"/>
        <v/>
      </c>
      <c r="L1135" s="170" t="s">
        <v>928</v>
      </c>
      <c r="M1135" s="122" t="str">
        <f t="shared" si="479"/>
        <v>N</v>
      </c>
      <c r="N1135" s="116" t="str">
        <f>IF($L1135&lt;&gt;"",VLOOKUP($L1135,Categories!$E:$G,2,FALSE),IF($F1135&lt;&gt;"","NO CAT",""))</f>
        <v>Not in Rate Base</v>
      </c>
      <c r="O1135" s="116" t="str">
        <f>IF($L1135&lt;&gt;"",VLOOKUP($L1135,Categories!$E:$G,3,FALSE),IF($F1135&lt;&gt;"","NO CAT",""))</f>
        <v>Direct Assign Items Not in RB</v>
      </c>
      <c r="P1135" s="170" t="s">
        <v>1186</v>
      </c>
      <c r="Q1135" s="123" t="s">
        <v>1187</v>
      </c>
      <c r="R1135" s="124">
        <v>0</v>
      </c>
      <c r="S1135" s="124">
        <v>0</v>
      </c>
      <c r="T1135" s="124">
        <v>1</v>
      </c>
      <c r="U1135" s="121">
        <f t="shared" si="472"/>
        <v>0</v>
      </c>
      <c r="V1135" s="121">
        <f t="shared" si="473"/>
        <v>0</v>
      </c>
      <c r="W1135" s="121">
        <f t="shared" si="474"/>
        <v>118.0234</v>
      </c>
      <c r="X1135" s="121">
        <f t="shared" si="470"/>
        <v>118.0234</v>
      </c>
      <c r="Y1135" s="121">
        <f t="shared" si="475"/>
        <v>0</v>
      </c>
      <c r="Z1135" s="121">
        <f t="shared" si="476"/>
        <v>0</v>
      </c>
      <c r="AA1135" s="121">
        <f t="shared" si="477"/>
        <v>118.0234</v>
      </c>
      <c r="AB1135" s="121">
        <f t="shared" si="471"/>
        <v>118.0234</v>
      </c>
      <c r="AC1135" s="121">
        <v>118.0234</v>
      </c>
      <c r="AD1135" s="121">
        <v>118.0234</v>
      </c>
      <c r="AE1135" s="121">
        <v>118.0234</v>
      </c>
      <c r="AF1135" s="121">
        <v>118.0234</v>
      </c>
      <c r="AG1135" s="121">
        <v>118.0234</v>
      </c>
      <c r="AH1135" s="121">
        <v>118.0234</v>
      </c>
      <c r="AI1135" s="161">
        <v>118.0234</v>
      </c>
      <c r="AJ1135" s="161">
        <v>118.0234</v>
      </c>
      <c r="AK1135" s="161">
        <v>118.0234</v>
      </c>
      <c r="AL1135" s="161">
        <v>118.0234</v>
      </c>
      <c r="AM1135" s="161">
        <v>118.0234</v>
      </c>
      <c r="AN1135" s="161">
        <v>118.0234</v>
      </c>
      <c r="AO1135" s="161">
        <v>118.0234</v>
      </c>
      <c r="AP1135" s="125" t="str">
        <f>CONCATENATE(A1135,M1135)</f>
        <v>Def TaxN</v>
      </c>
      <c r="AQ1135" s="125" t="str">
        <f>CONCATENATE(AP1135,L1135,H1135)</f>
        <v>Def TaxNN2Environmental</v>
      </c>
      <c r="AS1135" s="125" t="str">
        <f>CONCATENATE(L1135,H1135,J1135)</f>
        <v>N2Environmental</v>
      </c>
    </row>
    <row r="1136" spans="1:45" s="125" customFormat="1" ht="25.5" customHeight="1">
      <c r="A1136" s="216" t="s">
        <v>1996</v>
      </c>
      <c r="B1136" s="217" t="str">
        <f t="shared" si="478"/>
        <v>Def Tax190512Multiple: 283.20.43/286.01.23/286.01.24/283.30.67/283.30.63/283.30.64/283.30.53/283.30.54/183.06.00/183.07.00/186.01.03/186.01.04/283.21.95/Loss Re Debt/283.20.42/283.21.96BT010096</v>
      </c>
      <c r="C1136" s="186">
        <v>190512</v>
      </c>
      <c r="D1136" s="201" t="s">
        <v>1367</v>
      </c>
      <c r="E1136" s="162" t="s">
        <v>2990</v>
      </c>
      <c r="F1136" s="169" t="s">
        <v>347</v>
      </c>
      <c r="G1136" s="117" t="s">
        <v>191</v>
      </c>
      <c r="H1136" s="118" t="s">
        <v>45</v>
      </c>
      <c r="I1136" s="119"/>
      <c r="J1136" s="120"/>
      <c r="K1136" s="120" t="str">
        <f>IF(L1136="N3","SFAS-109","")</f>
        <v/>
      </c>
      <c r="L1136" s="170" t="s">
        <v>1895</v>
      </c>
      <c r="M1136" s="122" t="str">
        <f t="shared" si="479"/>
        <v>R</v>
      </c>
      <c r="N1136" s="116" t="str">
        <f>IF($L1136&lt;&gt;"",VLOOKUP($L1136,Categories!$E:$G,2,FALSE),IF($F1136&lt;&gt;"","NO CAT",""))</f>
        <v>Rate Base</v>
      </c>
      <c r="O1136" s="116" t="str">
        <f>IF($L1136&lt;&gt;"",VLOOKUP($L1136,Categories!$E:$G,3,FALSE),IF($F1136&lt;&gt;"","NO CAT",""))</f>
        <v>Deferred Income Taxes</v>
      </c>
      <c r="P1136" s="170" t="s">
        <v>1188</v>
      </c>
      <c r="Q1136" s="123" t="s">
        <v>1843</v>
      </c>
      <c r="R1136" s="124">
        <v>0.76071990262269951</v>
      </c>
      <c r="S1136" s="124">
        <v>0.23928009737730072</v>
      </c>
      <c r="T1136" s="124">
        <v>0</v>
      </c>
      <c r="U1136" s="121">
        <f t="shared" si="472"/>
        <v>451.52310827928301</v>
      </c>
      <c r="V1136" s="121">
        <f t="shared" si="473"/>
        <v>142.024012970716</v>
      </c>
      <c r="W1136" s="121">
        <f t="shared" si="474"/>
        <v>0</v>
      </c>
      <c r="X1136" s="121">
        <f t="shared" si="470"/>
        <v>593.54712124999901</v>
      </c>
      <c r="Y1136" s="121">
        <f t="shared" si="475"/>
        <v>458.45435347073698</v>
      </c>
      <c r="Z1136" s="121">
        <f t="shared" si="476"/>
        <v>144.20419652926299</v>
      </c>
      <c r="AA1136" s="121">
        <f t="shared" si="477"/>
        <v>0</v>
      </c>
      <c r="AB1136" s="121">
        <f>IF(AO1136="",0,+AO1136)</f>
        <v>602.6585499999992</v>
      </c>
      <c r="AC1136" s="121">
        <v>585.87809999999956</v>
      </c>
      <c r="AD1136" s="121">
        <v>587.11619999999948</v>
      </c>
      <c r="AE1136" s="121">
        <v>588.35430999999949</v>
      </c>
      <c r="AF1136" s="121">
        <v>589.5924099999994</v>
      </c>
      <c r="AG1136" s="121">
        <v>590.83050999999944</v>
      </c>
      <c r="AH1136" s="121">
        <v>592.06861999999944</v>
      </c>
      <c r="AI1136" s="161">
        <v>593.30671999999936</v>
      </c>
      <c r="AJ1136" s="161">
        <v>594.54481999999939</v>
      </c>
      <c r="AK1136" s="161">
        <v>595.7829299999994</v>
      </c>
      <c r="AL1136" s="161">
        <v>597.02102999999931</v>
      </c>
      <c r="AM1136" s="161">
        <v>598.25912999999935</v>
      </c>
      <c r="AN1136" s="161">
        <v>601.42044999999928</v>
      </c>
      <c r="AO1136" s="161">
        <v>602.6585499999992</v>
      </c>
      <c r="AP1136" s="125" t="str">
        <f>CONCATENATE(A1136,M1136)</f>
        <v>Def TaxR</v>
      </c>
      <c r="AQ1136" s="125" t="str">
        <f>CONCATENATE(AP1136,L1136,H1136)</f>
        <v>Def TaxRR11Gain / Loss on Reacquired Debt</v>
      </c>
      <c r="AS1136" s="125" t="str">
        <f>CONCATENATE(L1136,H1136,J1136)</f>
        <v>R11Gain / Loss on Reacquired Debt</v>
      </c>
    </row>
    <row r="1137" spans="1:45" s="125" customFormat="1" ht="25.5" customHeight="1">
      <c r="A1137" s="216" t="s">
        <v>1996</v>
      </c>
      <c r="B1137" s="217" t="str">
        <f t="shared" si="478"/>
        <v>Def Tax190512NCR Gas PenBG030167</v>
      </c>
      <c r="C1137" s="186">
        <v>190512</v>
      </c>
      <c r="D1137" s="201" t="s">
        <v>1444</v>
      </c>
      <c r="E1137" s="162" t="s">
        <v>2779</v>
      </c>
      <c r="F1137" s="169" t="s">
        <v>347</v>
      </c>
      <c r="G1137" s="117" t="s">
        <v>1281</v>
      </c>
      <c r="H1137" s="118" t="s">
        <v>1553</v>
      </c>
      <c r="I1137" s="119"/>
      <c r="J1137" s="231" t="s">
        <v>105</v>
      </c>
      <c r="K1137" s="120" t="str">
        <f>IF(L1137="N3","SFAS-109","")</f>
        <v/>
      </c>
      <c r="L1137" s="170" t="s">
        <v>2821</v>
      </c>
      <c r="M1137" s="122" t="str">
        <f t="shared" si="479"/>
        <v>N</v>
      </c>
      <c r="N1137" s="116" t="str">
        <f>IF($L1137&lt;&gt;"",VLOOKUP($L1137,Categories!$E:$G,2,FALSE),IF($F1137&lt;&gt;"","NO CAT",""))</f>
        <v>Not in Rate Base</v>
      </c>
      <c r="O1137" s="116" t="str">
        <f>IF($L1137&lt;&gt;"",VLOOKUP($L1137,Categories!$E:$G,3,FALSE),IF($F1137&lt;&gt;"","NO CAT",""))</f>
        <v>Deferrals Accruing Non-Cash Return   (other than ASGA)</v>
      </c>
      <c r="P1137" s="170" t="s">
        <v>1186</v>
      </c>
      <c r="Q1137" s="123" t="s">
        <v>1187</v>
      </c>
      <c r="R1137" s="124">
        <v>0</v>
      </c>
      <c r="S1137" s="124">
        <v>0</v>
      </c>
      <c r="T1137" s="124">
        <v>1</v>
      </c>
      <c r="U1137" s="121">
        <f t="shared" si="472"/>
        <v>0</v>
      </c>
      <c r="V1137" s="121">
        <f t="shared" si="473"/>
        <v>0</v>
      </c>
      <c r="W1137" s="121">
        <f t="shared" si="474"/>
        <v>-2.9999999999E-5</v>
      </c>
      <c r="X1137" s="121">
        <f t="shared" si="470"/>
        <v>-2.9999999999E-5</v>
      </c>
      <c r="Y1137" s="121">
        <f t="shared" si="475"/>
        <v>0</v>
      </c>
      <c r="Z1137" s="121">
        <f t="shared" si="476"/>
        <v>0</v>
      </c>
      <c r="AA1137" s="121">
        <f t="shared" si="477"/>
        <v>-2.9999999999E-5</v>
      </c>
      <c r="AB1137" s="121">
        <f t="shared" si="471"/>
        <v>-2.9999999998835845E-5</v>
      </c>
      <c r="AC1137" s="121">
        <v>-2.9999999998835845E-5</v>
      </c>
      <c r="AD1137" s="121">
        <v>-2.9999999998835845E-5</v>
      </c>
      <c r="AE1137" s="121">
        <v>-2.9999999998835845E-5</v>
      </c>
      <c r="AF1137" s="121">
        <v>-2.9999999998835845E-5</v>
      </c>
      <c r="AG1137" s="121">
        <v>-2.9999999998835845E-5</v>
      </c>
      <c r="AH1137" s="121">
        <v>-2.9999999998835845E-5</v>
      </c>
      <c r="AI1137" s="161">
        <v>-2.9999999998835845E-5</v>
      </c>
      <c r="AJ1137" s="161">
        <v>-2.9999999998835845E-5</v>
      </c>
      <c r="AK1137" s="161">
        <v>-2.9999999998835845E-5</v>
      </c>
      <c r="AL1137" s="161">
        <v>-2.9999999998835845E-5</v>
      </c>
      <c r="AM1137" s="161">
        <v>-2.9999999998835845E-5</v>
      </c>
      <c r="AN1137" s="161">
        <v>-2.9999999998835845E-5</v>
      </c>
      <c r="AO1137" s="161">
        <v>-2.9999999998835845E-5</v>
      </c>
      <c r="AP1137" s="125" t="str">
        <f>CONCATENATE(A1137,M1137)</f>
        <v>Def TaxN</v>
      </c>
      <c r="AQ1137" s="125" t="str">
        <f>CONCATENATE(AP1137,L1137,H1137)</f>
        <v>Def TaxNN10Pension</v>
      </c>
      <c r="AS1137" s="125" t="str">
        <f>CONCATENATE(L1137,H1137,J1137)</f>
        <v>N10PensionNCR</v>
      </c>
    </row>
    <row r="1138" spans="1:45" s="125" customFormat="1" ht="25.5" customHeight="1">
      <c r="A1138" s="216" t="s">
        <v>1996</v>
      </c>
      <c r="B1138" s="217" t="str">
        <f t="shared" si="478"/>
        <v>Def Tax190512Trans IntegBG030181</v>
      </c>
      <c r="C1138" s="186">
        <v>190512</v>
      </c>
      <c r="D1138" s="201" t="s">
        <v>622</v>
      </c>
      <c r="E1138" s="162" t="s">
        <v>527</v>
      </c>
      <c r="F1138" s="169" t="s">
        <v>347</v>
      </c>
      <c r="G1138" s="117" t="s">
        <v>1018</v>
      </c>
      <c r="H1138" s="118" t="s">
        <v>1107</v>
      </c>
      <c r="I1138" s="119"/>
      <c r="J1138" s="231" t="s">
        <v>105</v>
      </c>
      <c r="K1138" s="120" t="str">
        <f>IF(L1138="N3","SFAS-109","")</f>
        <v/>
      </c>
      <c r="L1138" s="170" t="s">
        <v>2821</v>
      </c>
      <c r="M1138" s="122" t="str">
        <f t="shared" si="479"/>
        <v>N</v>
      </c>
      <c r="N1138" s="116" t="str">
        <f>IF($L1138&lt;&gt;"",VLOOKUP($L1138,Categories!$E:$G,2,FALSE),IF($F1138&lt;&gt;"","NO CAT",""))</f>
        <v>Not in Rate Base</v>
      </c>
      <c r="O1138" s="116" t="str">
        <f>IF($L1138&lt;&gt;"",VLOOKUP($L1138,Categories!$E:$G,3,FALSE),IF($F1138&lt;&gt;"","NO CAT",""))</f>
        <v>Deferrals Accruing Non-Cash Return   (other than ASGA)</v>
      </c>
      <c r="P1138" s="170" t="s">
        <v>1186</v>
      </c>
      <c r="Q1138" s="123" t="s">
        <v>1187</v>
      </c>
      <c r="R1138" s="124">
        <v>0</v>
      </c>
      <c r="S1138" s="124">
        <v>0</v>
      </c>
      <c r="T1138" s="124">
        <v>1</v>
      </c>
      <c r="U1138" s="121">
        <f t="shared" si="472"/>
        <v>0</v>
      </c>
      <c r="V1138" s="121">
        <f t="shared" si="473"/>
        <v>0</v>
      </c>
      <c r="W1138" s="121">
        <f t="shared" si="474"/>
        <v>20.82303375</v>
      </c>
      <c r="X1138" s="121">
        <f t="shared" si="470"/>
        <v>20.82303375</v>
      </c>
      <c r="Y1138" s="121">
        <f t="shared" si="475"/>
        <v>0</v>
      </c>
      <c r="Z1138" s="121">
        <f t="shared" si="476"/>
        <v>0</v>
      </c>
      <c r="AA1138" s="121">
        <f t="shared" si="477"/>
        <v>18.312439999999999</v>
      </c>
      <c r="AB1138" s="121">
        <f t="shared" si="471"/>
        <v>18.312439999999988</v>
      </c>
      <c r="AC1138" s="121">
        <v>15.280669999999999</v>
      </c>
      <c r="AD1138" s="121">
        <v>16.423149999999996</v>
      </c>
      <c r="AE1138" s="121">
        <v>18.802629999999997</v>
      </c>
      <c r="AF1138" s="121">
        <v>20.509549999999997</v>
      </c>
      <c r="AG1138" s="121">
        <v>22.217179999999995</v>
      </c>
      <c r="AH1138" s="121">
        <v>23.594379999999997</v>
      </c>
      <c r="AI1138" s="161">
        <v>23.815249999999995</v>
      </c>
      <c r="AJ1138" s="161">
        <v>25.513389999999994</v>
      </c>
      <c r="AK1138" s="161">
        <v>27.096739999999993</v>
      </c>
      <c r="AL1138" s="161">
        <v>17.715139999999991</v>
      </c>
      <c r="AM1138" s="161">
        <v>18.372419999999991</v>
      </c>
      <c r="AN1138" s="161">
        <v>19.020019999999988</v>
      </c>
      <c r="AO1138" s="161">
        <v>18.312439999999988</v>
      </c>
      <c r="AP1138" s="125" t="str">
        <f>CONCATENATE(A1138,M1138)</f>
        <v>Def TaxN</v>
      </c>
      <c r="AQ1138" s="125" t="str">
        <f>CONCATENATE(AP1138,L1138,H1138)</f>
        <v>Def TaxNN10Gas Pipeline Integrity</v>
      </c>
      <c r="AS1138" s="125" t="str">
        <f>CONCATENATE(L1138,H1138,J1138)</f>
        <v>N10Gas Pipeline IntegrityNCR</v>
      </c>
    </row>
    <row r="1139" spans="1:45" s="125" customFormat="1" ht="25.5" customHeight="1">
      <c r="A1139" s="216" t="s">
        <v>1996</v>
      </c>
      <c r="B1139" s="217" t="str">
        <f t="shared" si="478"/>
        <v>Def Tax1905120-286.01.25BC030163</v>
      </c>
      <c r="C1139" s="186">
        <v>190512</v>
      </c>
      <c r="D1139" s="201" t="s">
        <v>600</v>
      </c>
      <c r="E1139" s="162" t="s">
        <v>1727</v>
      </c>
      <c r="F1139" s="169" t="s">
        <v>347</v>
      </c>
      <c r="G1139" s="117" t="s">
        <v>371</v>
      </c>
      <c r="H1139" s="118" t="s">
        <v>102</v>
      </c>
      <c r="I1139" s="119"/>
      <c r="J1139" s="120"/>
      <c r="K1139" s="120" t="str">
        <f t="shared" ref="K1139:K1200" si="480">IF(L1139="N3","SFAS-109","")</f>
        <v/>
      </c>
      <c r="L1139" s="170" t="s">
        <v>928</v>
      </c>
      <c r="M1139" s="122" t="str">
        <f t="shared" si="479"/>
        <v>N</v>
      </c>
      <c r="N1139" s="116" t="str">
        <f>IF($L1139&lt;&gt;"",VLOOKUP($L1139,Categories!$E:$G,2,FALSE),IF($F1139&lt;&gt;"","NO CAT",""))</f>
        <v>Not in Rate Base</v>
      </c>
      <c r="O1139" s="116" t="str">
        <f>IF($L1139&lt;&gt;"",VLOOKUP($L1139,Categories!$E:$G,3,FALSE),IF($F1139&lt;&gt;"","NO CAT",""))</f>
        <v>Direct Assign Items Not in RB</v>
      </c>
      <c r="P1139" s="170" t="s">
        <v>1186</v>
      </c>
      <c r="Q1139" s="123" t="s">
        <v>1187</v>
      </c>
      <c r="R1139" s="124">
        <v>0</v>
      </c>
      <c r="S1139" s="124">
        <v>0</v>
      </c>
      <c r="T1139" s="124">
        <v>1</v>
      </c>
      <c r="U1139" s="121">
        <f t="shared" si="472"/>
        <v>0</v>
      </c>
      <c r="V1139" s="121">
        <f t="shared" si="473"/>
        <v>0</v>
      </c>
      <c r="W1139" s="121">
        <f t="shared" si="474"/>
        <v>0.41214000000000001</v>
      </c>
      <c r="X1139" s="121">
        <f t="shared" si="470"/>
        <v>0.41214000000000001</v>
      </c>
      <c r="Y1139" s="121">
        <f t="shared" si="475"/>
        <v>0</v>
      </c>
      <c r="Z1139" s="121">
        <f t="shared" si="476"/>
        <v>0</v>
      </c>
      <c r="AA1139" s="121">
        <f t="shared" si="477"/>
        <v>0.41214000000000001</v>
      </c>
      <c r="AB1139" s="121">
        <f t="shared" si="471"/>
        <v>0.4121399999999999</v>
      </c>
      <c r="AC1139" s="121">
        <v>0.4121399999999999</v>
      </c>
      <c r="AD1139" s="121">
        <v>0.4121399999999999</v>
      </c>
      <c r="AE1139" s="121">
        <v>0.4121399999999999</v>
      </c>
      <c r="AF1139" s="121">
        <v>0.4121399999999999</v>
      </c>
      <c r="AG1139" s="121">
        <v>0.4121399999999999</v>
      </c>
      <c r="AH1139" s="121">
        <v>0.4121399999999999</v>
      </c>
      <c r="AI1139" s="161">
        <v>0.4121399999999999</v>
      </c>
      <c r="AJ1139" s="161">
        <v>0.4121399999999999</v>
      </c>
      <c r="AK1139" s="161">
        <v>0.4121399999999999</v>
      </c>
      <c r="AL1139" s="161">
        <v>0.4121399999999999</v>
      </c>
      <c r="AM1139" s="161">
        <v>0.4121399999999999</v>
      </c>
      <c r="AN1139" s="161">
        <v>0.4121399999999999</v>
      </c>
      <c r="AO1139" s="161">
        <v>0.4121399999999999</v>
      </c>
      <c r="AP1139" s="125" t="str">
        <f>CONCATENATE(A1139,M1139)</f>
        <v>Def TaxN</v>
      </c>
      <c r="AQ1139" s="125" t="str">
        <f>CONCATENATE(AP1139,L1139,H1139)</f>
        <v>Def TaxNN2Deferred Gas Costs</v>
      </c>
      <c r="AS1139" s="125" t="str">
        <f>CONCATENATE(L1139,H1139,J1139)</f>
        <v>N2Deferred Gas Costs</v>
      </c>
    </row>
    <row r="1140" spans="1:45" s="125" customFormat="1" ht="25.5" customHeight="1">
      <c r="A1140" s="216" t="s">
        <v>1996</v>
      </c>
      <c r="B1140" s="217" t="str">
        <f t="shared" si="478"/>
        <v>Def Tax190512Incr MaintBG030599</v>
      </c>
      <c r="C1140" s="186">
        <v>190512</v>
      </c>
      <c r="D1140" s="201" t="s">
        <v>1435</v>
      </c>
      <c r="E1140" s="162" t="s">
        <v>744</v>
      </c>
      <c r="F1140" s="169" t="s">
        <v>347</v>
      </c>
      <c r="G1140" s="117" t="s">
        <v>1015</v>
      </c>
      <c r="H1140" s="118" t="s">
        <v>1078</v>
      </c>
      <c r="I1140" s="119"/>
      <c r="J1140" s="231" t="s">
        <v>105</v>
      </c>
      <c r="K1140" s="120" t="str">
        <f t="shared" si="480"/>
        <v/>
      </c>
      <c r="L1140" s="170" t="s">
        <v>2821</v>
      </c>
      <c r="M1140" s="122" t="str">
        <f t="shared" si="479"/>
        <v>N</v>
      </c>
      <c r="N1140" s="116" t="str">
        <f>IF($L1140&lt;&gt;"",VLOOKUP($L1140,Categories!$E:$G,2,FALSE),IF($F1140&lt;&gt;"","NO CAT",""))</f>
        <v>Not in Rate Base</v>
      </c>
      <c r="O1140" s="116" t="str">
        <f>IF($L1140&lt;&gt;"",VLOOKUP($L1140,Categories!$E:$G,3,FALSE),IF($F1140&lt;&gt;"","NO CAT",""))</f>
        <v>Deferrals Accruing Non-Cash Return   (other than ASGA)</v>
      </c>
      <c r="P1140" s="170" t="s">
        <v>1186</v>
      </c>
      <c r="Q1140" s="123" t="s">
        <v>1187</v>
      </c>
      <c r="R1140" s="124">
        <v>0</v>
      </c>
      <c r="S1140" s="124">
        <v>0</v>
      </c>
      <c r="T1140" s="124">
        <v>1</v>
      </c>
      <c r="U1140" s="121">
        <f t="shared" si="472"/>
        <v>0</v>
      </c>
      <c r="V1140" s="121">
        <f t="shared" si="473"/>
        <v>0</v>
      </c>
      <c r="W1140" s="121">
        <f t="shared" si="474"/>
        <v>5.1428545833333299</v>
      </c>
      <c r="X1140" s="121">
        <f t="shared" si="470"/>
        <v>5.1428545833333299</v>
      </c>
      <c r="Y1140" s="121">
        <f t="shared" si="475"/>
        <v>0</v>
      </c>
      <c r="Z1140" s="121">
        <f t="shared" si="476"/>
        <v>0</v>
      </c>
      <c r="AA1140" s="121">
        <f t="shared" si="477"/>
        <v>2.3004799999999901</v>
      </c>
      <c r="AB1140" s="121">
        <f t="shared" si="471"/>
        <v>2.300479999999995</v>
      </c>
      <c r="AC1140" s="121">
        <v>2.2784699999999947</v>
      </c>
      <c r="AD1140" s="121">
        <v>4.2592399999999939</v>
      </c>
      <c r="AE1140" s="121">
        <v>4.5155399999999943</v>
      </c>
      <c r="AF1140" s="121">
        <v>6.6376299999999944</v>
      </c>
      <c r="AG1140" s="121">
        <v>8.2467399999999937</v>
      </c>
      <c r="AH1140" s="121">
        <v>9.0675799999999942</v>
      </c>
      <c r="AI1140" s="161">
        <v>14.192749999999995</v>
      </c>
      <c r="AJ1140" s="161">
        <v>3.2463199999999941</v>
      </c>
      <c r="AK1140" s="161">
        <v>2.3685799999999944</v>
      </c>
      <c r="AL1140" s="161">
        <v>2.2949599999999948</v>
      </c>
      <c r="AM1140" s="161">
        <v>2.2967999999999948</v>
      </c>
      <c r="AN1140" s="161">
        <v>2.2986399999999949</v>
      </c>
      <c r="AO1140" s="161">
        <v>2.300479999999995</v>
      </c>
      <c r="AP1140" s="125" t="str">
        <f>CONCATENATE(A1140,M1140)</f>
        <v>Def TaxN</v>
      </c>
      <c r="AQ1140" s="125" t="str">
        <f>CONCATENATE(AP1140,L1140,H1140)</f>
        <v>Def TaxNN10Incremental Maintenance</v>
      </c>
      <c r="AS1140" s="125" t="str">
        <f>CONCATENATE(L1140,H1140,J1140)</f>
        <v>N10Incremental MaintenanceNCR</v>
      </c>
    </row>
    <row r="1141" spans="1:45" s="125" customFormat="1" ht="25.5" customHeight="1">
      <c r="A1141" s="216" t="s">
        <v>1996</v>
      </c>
      <c r="B1141" s="217" t="str">
        <f>CONCATENATE(A1141,C1141,D1141,E1141)</f>
        <v>Def Tax190512BT010390</v>
      </c>
      <c r="C1141" s="186">
        <v>190512</v>
      </c>
      <c r="D1141" s="201"/>
      <c r="E1141" s="162" t="s">
        <v>2235</v>
      </c>
      <c r="F1141" s="169" t="s">
        <v>347</v>
      </c>
      <c r="G1141" s="117" t="s">
        <v>4498</v>
      </c>
      <c r="H1141" s="118" t="s">
        <v>2675</v>
      </c>
      <c r="I1141" s="119"/>
      <c r="J1141" s="231" t="s">
        <v>105</v>
      </c>
      <c r="K1141" s="120" t="str">
        <f>IF(L1141="N3","SFAS-109","")</f>
        <v/>
      </c>
      <c r="L1141" s="170" t="s">
        <v>2821</v>
      </c>
      <c r="M1141" s="122" t="str">
        <f>LEFT(L1141,1)</f>
        <v>N</v>
      </c>
      <c r="N1141" s="116" t="str">
        <f>IF($L1141&lt;&gt;"",VLOOKUP($L1141,Categories!$E:$G,2,FALSE),IF($F1141&lt;&gt;"","NO CAT",""))</f>
        <v>Not in Rate Base</v>
      </c>
      <c r="O1141" s="116" t="str">
        <f>IF($L1141&lt;&gt;"",VLOOKUP($L1141,Categories!$E:$G,3,FALSE),IF($F1141&lt;&gt;"","NO CAT",""))</f>
        <v>Deferrals Accruing Non-Cash Return   (other than ASGA)</v>
      </c>
      <c r="P1141" s="170" t="s">
        <v>1186</v>
      </c>
      <c r="Q1141" s="123" t="s">
        <v>1187</v>
      </c>
      <c r="R1141" s="124">
        <v>0</v>
      </c>
      <c r="S1141" s="124">
        <v>0</v>
      </c>
      <c r="T1141" s="124">
        <v>1</v>
      </c>
      <c r="U1141" s="121">
        <f>IF(ABS(X1141)=0,"",IF($R1141="NO ALLOC","NO ALLOC",ROUND($R1141*X1141,15)))</f>
        <v>0</v>
      </c>
      <c r="V1141" s="121">
        <f>IF(ABS(X1141)=0,"",IF($S1141="NO ALLOC","NO ALLOC",ROUND($S1141*X1141,15)))</f>
        <v>0</v>
      </c>
      <c r="W1141" s="121">
        <f>IF(ABS(X1141)=0,"",IF($T1141="NO ALLOC","NO ALLOC",ROUND($T1141*X1141,15)))</f>
        <v>260.22425916666703</v>
      </c>
      <c r="X1141" s="121">
        <f t="shared" si="470"/>
        <v>260.22425916666703</v>
      </c>
      <c r="Y1141" s="121">
        <f>IF(ABS(AB1141)=0,"",IF($R1141="NO ALLOC","NO ALLOC",ROUND($R1141*AB1141,15)))</f>
        <v>0</v>
      </c>
      <c r="Z1141" s="121">
        <f>IF(ABS(AB1141)=0,"",IF($S1141="NO ALLOC","NO ALLOC",ROUND($S1141*AB1141,15)))</f>
        <v>0</v>
      </c>
      <c r="AA1141" s="121">
        <f>IF(ABS(AB1141)=0,"",IF($T1141="NO ALLOC","NO ALLOC",ROUND($T1141*AB1141,15)))</f>
        <v>310.60068999999999</v>
      </c>
      <c r="AB1141" s="121">
        <f t="shared" si="471"/>
        <v>310.60068999999999</v>
      </c>
      <c r="AC1141" s="121">
        <v>209.35572999999999</v>
      </c>
      <c r="AD1141" s="121">
        <v>218.12030999999996</v>
      </c>
      <c r="AE1141" s="121">
        <v>226.16236999999995</v>
      </c>
      <c r="AF1141" s="121">
        <v>234.61937999999998</v>
      </c>
      <c r="AG1141" s="121">
        <v>243.11237999999997</v>
      </c>
      <c r="AH1141" s="121">
        <v>251.64156999999997</v>
      </c>
      <c r="AI1141" s="161">
        <v>260.20712999999995</v>
      </c>
      <c r="AJ1141" s="161">
        <v>268.80923999999999</v>
      </c>
      <c r="AK1141" s="161">
        <v>277.44810999999999</v>
      </c>
      <c r="AL1141" s="161">
        <v>285.93398999999999</v>
      </c>
      <c r="AM1141" s="161">
        <v>294.21797999999995</v>
      </c>
      <c r="AN1141" s="161">
        <v>302.44044000000002</v>
      </c>
      <c r="AO1141" s="161">
        <v>310.60068999999999</v>
      </c>
      <c r="AP1141" s="125" t="str">
        <f>CONCATENATE(A1141,M1141)</f>
        <v>Def TaxN</v>
      </c>
      <c r="AQ1141" s="125" t="str">
        <f>CONCATENATE(AP1141,L1141,H1141)</f>
        <v>Def TaxNN10Mixed Use 263(a)</v>
      </c>
      <c r="AS1141" s="125" t="str">
        <f>CONCATENATE(L1141,H1141,J1141)</f>
        <v>N10Mixed Use 263(a)NCR</v>
      </c>
    </row>
    <row r="1142" spans="1:45" s="125" customFormat="1" ht="25.5" customHeight="1">
      <c r="A1142" s="216" t="s">
        <v>1996</v>
      </c>
      <c r="B1142" s="217" t="str">
        <f>CONCATENATE(A1142,C1142,D1142,E1142)</f>
        <v>Def Tax190512BT010154</v>
      </c>
      <c r="C1142" s="186">
        <v>190512</v>
      </c>
      <c r="D1142" s="201"/>
      <c r="E1142" s="162" t="s">
        <v>4508</v>
      </c>
      <c r="F1142" s="169" t="s">
        <v>347</v>
      </c>
      <c r="G1142" s="117" t="s">
        <v>4418</v>
      </c>
      <c r="H1142" s="118" t="s">
        <v>4418</v>
      </c>
      <c r="I1142" s="119"/>
      <c r="J1142" s="120"/>
      <c r="K1142" s="120" t="str">
        <f>IF(L1142="N3","SFAS-109","")</f>
        <v/>
      </c>
      <c r="L1142" s="170" t="s">
        <v>1895</v>
      </c>
      <c r="M1142" s="122" t="str">
        <f>LEFT(L1142,1)</f>
        <v>R</v>
      </c>
      <c r="N1142" s="116" t="str">
        <f>IF($L1142&lt;&gt;"",VLOOKUP($L1142,Categories!$E:$G,2,FALSE),IF($F1142&lt;&gt;"","NO CAT",""))</f>
        <v>Rate Base</v>
      </c>
      <c r="O1142" s="116" t="str">
        <f>IF($L1142&lt;&gt;"",VLOOKUP($L1142,Categories!$E:$G,3,FALSE),IF($F1142&lt;&gt;"","NO CAT",""))</f>
        <v>Deferred Income Taxes</v>
      </c>
      <c r="P1142" s="170" t="s">
        <v>1184</v>
      </c>
      <c r="Q1142" s="123" t="s">
        <v>1178</v>
      </c>
      <c r="R1142" s="124">
        <v>0</v>
      </c>
      <c r="S1142" s="124">
        <v>1</v>
      </c>
      <c r="T1142" s="124">
        <v>0</v>
      </c>
      <c r="U1142" s="121">
        <f>IF(ABS(X1142)=0,"",IF($R1142="NO ALLOC","NO ALLOC",ROUND($R1142*X1142,15)))</f>
        <v>0</v>
      </c>
      <c r="V1142" s="121">
        <f>IF(ABS(X1142)=0,"",IF($S1142="NO ALLOC","NO ALLOC",ROUND($S1142*X1142,15)))</f>
        <v>9.7326554166666703</v>
      </c>
      <c r="W1142" s="121">
        <f>IF(ABS(X1142)=0,"",IF($T1142="NO ALLOC","NO ALLOC",ROUND($T1142*X1142,15)))</f>
        <v>0</v>
      </c>
      <c r="X1142" s="121">
        <f t="shared" si="470"/>
        <v>9.7326554166666703</v>
      </c>
      <c r="Y1142" s="121">
        <f>IF(ABS(AB1142)=0,"",IF($R1142="NO ALLOC","NO ALLOC",ROUND($R1142*AB1142,15)))</f>
        <v>0</v>
      </c>
      <c r="Z1142" s="121">
        <f>IF(ABS(AB1142)=0,"",IF($S1142="NO ALLOC","NO ALLOC",ROUND($S1142*AB1142,15)))</f>
        <v>9.7269900000000007</v>
      </c>
      <c r="AA1142" s="121">
        <f>IF(ABS(AB1142)=0,"",IF($T1142="NO ALLOC","NO ALLOC",ROUND($T1142*AB1142,15)))</f>
        <v>0</v>
      </c>
      <c r="AB1142" s="121">
        <f t="shared" si="471"/>
        <v>9.7269899999999989</v>
      </c>
      <c r="AC1142" s="121">
        <v>9.8629599999999993</v>
      </c>
      <c r="AD1142" s="121">
        <v>9.7269899999999989</v>
      </c>
      <c r="AE1142" s="121">
        <v>9.7269899999999989</v>
      </c>
      <c r="AF1142" s="121">
        <v>9.7269899999999989</v>
      </c>
      <c r="AG1142" s="121">
        <v>9.7269899999999989</v>
      </c>
      <c r="AH1142" s="121">
        <v>9.7269899999999989</v>
      </c>
      <c r="AI1142" s="161">
        <v>9.7269899999999989</v>
      </c>
      <c r="AJ1142" s="161">
        <v>9.7269899999999989</v>
      </c>
      <c r="AK1142" s="161">
        <v>9.7269899999999989</v>
      </c>
      <c r="AL1142" s="161">
        <v>9.7269899999999989</v>
      </c>
      <c r="AM1142" s="161">
        <v>9.7269899999999989</v>
      </c>
      <c r="AN1142" s="161">
        <v>9.7269899999999989</v>
      </c>
      <c r="AO1142" s="161">
        <v>9.7269899999999989</v>
      </c>
      <c r="AP1142" s="125" t="str">
        <f>CONCATENATE(A1142,M1142)</f>
        <v>Def TaxR</v>
      </c>
      <c r="AQ1142" s="125" t="str">
        <f>CONCATENATE(AP1142,L1142,H1142)</f>
        <v>Def TaxRR11Net Plant Reconciliation</v>
      </c>
      <c r="AS1142" s="125" t="str">
        <f>CONCATENATE(L1142,H1142,J1142)</f>
        <v>R11Net Plant Reconciliation</v>
      </c>
    </row>
    <row r="1143" spans="1:45" s="125" customFormat="1" ht="25.5" customHeight="1">
      <c r="A1143" s="216" t="s">
        <v>1996</v>
      </c>
      <c r="B1143" s="217" t="str">
        <f t="shared" si="478"/>
        <v>Def Tax190512Mgt AuditBG030596</v>
      </c>
      <c r="C1143" s="186">
        <v>190512</v>
      </c>
      <c r="D1143" s="201" t="s">
        <v>1433</v>
      </c>
      <c r="E1143" s="162" t="s">
        <v>742</v>
      </c>
      <c r="F1143" s="169" t="s">
        <v>347</v>
      </c>
      <c r="G1143" s="117" t="s">
        <v>1013</v>
      </c>
      <c r="H1143" s="118" t="s">
        <v>1076</v>
      </c>
      <c r="I1143" s="119"/>
      <c r="J1143" s="231" t="s">
        <v>105</v>
      </c>
      <c r="K1143" s="120" t="str">
        <f t="shared" si="480"/>
        <v/>
      </c>
      <c r="L1143" s="170" t="s">
        <v>2821</v>
      </c>
      <c r="M1143" s="122" t="str">
        <f t="shared" si="479"/>
        <v>N</v>
      </c>
      <c r="N1143" s="116" t="str">
        <f>IF($L1143&lt;&gt;"",VLOOKUP($L1143,Categories!$E:$G,2,FALSE),IF($F1143&lt;&gt;"","NO CAT",""))</f>
        <v>Not in Rate Base</v>
      </c>
      <c r="O1143" s="116" t="str">
        <f>IF($L1143&lt;&gt;"",VLOOKUP($L1143,Categories!$E:$G,3,FALSE),IF($F1143&lt;&gt;"","NO CAT",""))</f>
        <v>Deferrals Accruing Non-Cash Return   (other than ASGA)</v>
      </c>
      <c r="P1143" s="170" t="s">
        <v>1186</v>
      </c>
      <c r="Q1143" s="123" t="s">
        <v>1187</v>
      </c>
      <c r="R1143" s="124">
        <v>0</v>
      </c>
      <c r="S1143" s="124">
        <v>0</v>
      </c>
      <c r="T1143" s="124">
        <v>1</v>
      </c>
      <c r="U1143" s="121">
        <f t="shared" si="472"/>
        <v>0</v>
      </c>
      <c r="V1143" s="121">
        <f t="shared" si="473"/>
        <v>0</v>
      </c>
      <c r="W1143" s="121">
        <f t="shared" si="474"/>
        <v>6.3488108333333297</v>
      </c>
      <c r="X1143" s="121">
        <f t="shared" si="470"/>
        <v>6.3488108333333297</v>
      </c>
      <c r="Y1143" s="121">
        <f t="shared" si="475"/>
        <v>0</v>
      </c>
      <c r="Z1143" s="121">
        <f t="shared" si="476"/>
        <v>0</v>
      </c>
      <c r="AA1143" s="121">
        <f t="shared" si="477"/>
        <v>8.26769</v>
      </c>
      <c r="AB1143" s="121">
        <f t="shared" si="471"/>
        <v>8.26769</v>
      </c>
      <c r="AC1143" s="121">
        <v>4.4328700000000003</v>
      </c>
      <c r="AD1143" s="121">
        <v>4.7517699999999996</v>
      </c>
      <c r="AE1143" s="121">
        <v>5.0707800000000001</v>
      </c>
      <c r="AF1143" s="121">
        <v>5.38992</v>
      </c>
      <c r="AG1143" s="121">
        <v>5.7091799999999999</v>
      </c>
      <c r="AH1143" s="121">
        <v>6.0285600000000006</v>
      </c>
      <c r="AI1143" s="161">
        <v>6.3480600000000003</v>
      </c>
      <c r="AJ1143" s="161">
        <v>6.6676900000000003</v>
      </c>
      <c r="AK1143" s="161">
        <v>6.9874400000000003</v>
      </c>
      <c r="AL1143" s="161">
        <v>7.3073100000000002</v>
      </c>
      <c r="AM1143" s="161">
        <v>7.6273100000000005</v>
      </c>
      <c r="AN1143" s="161">
        <v>7.9474300000000007</v>
      </c>
      <c r="AO1143" s="161">
        <v>8.26769</v>
      </c>
      <c r="AP1143" s="125" t="str">
        <f>CONCATENATE(A1143,M1143)</f>
        <v>Def TaxN</v>
      </c>
      <c r="AQ1143" s="125" t="str">
        <f>CONCATENATE(AP1143,L1143,H1143)</f>
        <v>Def TaxNN10Management Audit</v>
      </c>
      <c r="AS1143" s="125" t="str">
        <f>CONCATENATE(L1143,H1143,J1143)</f>
        <v>N10Management AuditNCR</v>
      </c>
    </row>
    <row r="1144" spans="1:45" s="125" customFormat="1" ht="25.5" customHeight="1">
      <c r="A1144" s="216" t="s">
        <v>1996</v>
      </c>
      <c r="B1144" s="217" t="str">
        <f t="shared" si="478"/>
        <v>Def Tax1905120-286.01.47BG030302</v>
      </c>
      <c r="C1144" s="186">
        <v>190512</v>
      </c>
      <c r="D1144" s="201" t="s">
        <v>1808</v>
      </c>
      <c r="E1144" s="162" t="s">
        <v>2684</v>
      </c>
      <c r="F1144" s="169" t="s">
        <v>347</v>
      </c>
      <c r="G1144" s="117" t="s">
        <v>374</v>
      </c>
      <c r="H1144" s="118" t="s">
        <v>2714</v>
      </c>
      <c r="I1144" s="119"/>
      <c r="J1144" s="120"/>
      <c r="K1144" s="120" t="str">
        <f t="shared" si="480"/>
        <v/>
      </c>
      <c r="L1144" s="170" t="s">
        <v>1895</v>
      </c>
      <c r="M1144" s="122" t="str">
        <f t="shared" si="479"/>
        <v>R</v>
      </c>
      <c r="N1144" s="116" t="str">
        <f>IF($L1144&lt;&gt;"",VLOOKUP($L1144,Categories!$E:$G,2,FALSE),IF($F1144&lt;&gt;"","NO CAT",""))</f>
        <v>Rate Base</v>
      </c>
      <c r="O1144" s="116" t="str">
        <f>IF($L1144&lt;&gt;"",VLOOKUP($L1144,Categories!$E:$G,3,FALSE),IF($F1144&lt;&gt;"","NO CAT",""))</f>
        <v>Deferred Income Taxes</v>
      </c>
      <c r="P1144" s="170" t="s">
        <v>1184</v>
      </c>
      <c r="Q1144" s="123" t="s">
        <v>1178</v>
      </c>
      <c r="R1144" s="124">
        <v>0</v>
      </c>
      <c r="S1144" s="124">
        <v>1</v>
      </c>
      <c r="T1144" s="124">
        <v>0</v>
      </c>
      <c r="U1144" s="121">
        <f t="shared" si="472"/>
        <v>0</v>
      </c>
      <c r="V1144" s="121">
        <f t="shared" si="473"/>
        <v>-32.110500000000002</v>
      </c>
      <c r="W1144" s="121">
        <f t="shared" si="474"/>
        <v>0</v>
      </c>
      <c r="X1144" s="121">
        <f t="shared" si="470"/>
        <v>-32.110500000000002</v>
      </c>
      <c r="Y1144" s="121">
        <f t="shared" si="475"/>
        <v>0</v>
      </c>
      <c r="Z1144" s="121">
        <f t="shared" si="476"/>
        <v>-32.110500000000002</v>
      </c>
      <c r="AA1144" s="121">
        <f t="shared" si="477"/>
        <v>0</v>
      </c>
      <c r="AB1144" s="121">
        <f t="shared" si="471"/>
        <v>-32.110500000000002</v>
      </c>
      <c r="AC1144" s="121">
        <v>-32.110500000000002</v>
      </c>
      <c r="AD1144" s="121">
        <v>-32.110500000000002</v>
      </c>
      <c r="AE1144" s="121">
        <v>-32.110500000000002</v>
      </c>
      <c r="AF1144" s="121">
        <v>-32.110500000000002</v>
      </c>
      <c r="AG1144" s="121">
        <v>-32.110500000000002</v>
      </c>
      <c r="AH1144" s="121">
        <v>-32.110500000000002</v>
      </c>
      <c r="AI1144" s="161">
        <v>-32.110500000000002</v>
      </c>
      <c r="AJ1144" s="161">
        <v>-32.110500000000002</v>
      </c>
      <c r="AK1144" s="161">
        <v>-32.110500000000002</v>
      </c>
      <c r="AL1144" s="161">
        <v>-32.110500000000002</v>
      </c>
      <c r="AM1144" s="161">
        <v>-32.110500000000002</v>
      </c>
      <c r="AN1144" s="161">
        <v>-32.110500000000002</v>
      </c>
      <c r="AO1144" s="161">
        <v>-32.110500000000002</v>
      </c>
      <c r="AP1144" s="125" t="str">
        <f>CONCATENATE(A1144,M1144)</f>
        <v>Def TaxR</v>
      </c>
      <c r="AQ1144" s="125" t="str">
        <f>CONCATENATE(AP1144,L1144,H1144)</f>
        <v>Def TaxRR11Seneca Storage</v>
      </c>
      <c r="AS1144" s="125" t="str">
        <f>CONCATENATE(L1144,H1144,J1144)</f>
        <v>R11Seneca Storage</v>
      </c>
    </row>
    <row r="1145" spans="1:45" s="125" customFormat="1" ht="25.5" customHeight="1">
      <c r="A1145" s="216" t="s">
        <v>1996</v>
      </c>
      <c r="B1145" s="217" t="str">
        <f t="shared" si="478"/>
        <v>Def Tax190512PBABT010287</v>
      </c>
      <c r="C1145" s="186">
        <v>190512</v>
      </c>
      <c r="D1145" s="201" t="s">
        <v>1800</v>
      </c>
      <c r="E1145" s="162" t="s">
        <v>391</v>
      </c>
      <c r="F1145" s="169" t="s">
        <v>347</v>
      </c>
      <c r="G1145" s="117" t="s">
        <v>193</v>
      </c>
      <c r="H1145" s="118" t="s">
        <v>763</v>
      </c>
      <c r="I1145" s="119"/>
      <c r="J1145" s="120"/>
      <c r="K1145" s="120" t="str">
        <f t="shared" si="480"/>
        <v/>
      </c>
      <c r="L1145" s="170" t="s">
        <v>1895</v>
      </c>
      <c r="M1145" s="122" t="str">
        <f t="shared" si="479"/>
        <v>R</v>
      </c>
      <c r="N1145" s="116" t="str">
        <f>IF($L1145&lt;&gt;"",VLOOKUP($L1145,Categories!$E:$G,2,FALSE),IF($F1145&lt;&gt;"","NO CAT",""))</f>
        <v>Rate Base</v>
      </c>
      <c r="O1145" s="116" t="str">
        <f>IF($L1145&lt;&gt;"",VLOOKUP($L1145,Categories!$E:$G,3,FALSE),IF($F1145&lt;&gt;"","NO CAT",""))</f>
        <v>Deferred Income Taxes</v>
      </c>
      <c r="P1145" s="170" t="s">
        <v>1184</v>
      </c>
      <c r="Q1145" s="123" t="s">
        <v>1178</v>
      </c>
      <c r="R1145" s="124">
        <v>0</v>
      </c>
      <c r="S1145" s="124">
        <v>1</v>
      </c>
      <c r="T1145" s="124">
        <v>0</v>
      </c>
      <c r="U1145" s="121">
        <f t="shared" si="472"/>
        <v>0</v>
      </c>
      <c r="V1145" s="121">
        <f t="shared" si="473"/>
        <v>-16.435650000000699</v>
      </c>
      <c r="W1145" s="121">
        <f t="shared" si="474"/>
        <v>0</v>
      </c>
      <c r="X1145" s="121">
        <f t="shared" si="470"/>
        <v>-16.435650000000699</v>
      </c>
      <c r="Y1145" s="121">
        <f t="shared" si="475"/>
        <v>0</v>
      </c>
      <c r="Z1145" s="121">
        <f t="shared" si="476"/>
        <v>-16.435650000000699</v>
      </c>
      <c r="AA1145" s="121">
        <f t="shared" si="477"/>
        <v>0</v>
      </c>
      <c r="AB1145" s="121">
        <f t="shared" si="471"/>
        <v>-16.435650000000706</v>
      </c>
      <c r="AC1145" s="121">
        <v>-16.435650000000706</v>
      </c>
      <c r="AD1145" s="121">
        <v>-16.435650000000706</v>
      </c>
      <c r="AE1145" s="121">
        <v>-16.435650000000706</v>
      </c>
      <c r="AF1145" s="121">
        <v>-16.435650000000706</v>
      </c>
      <c r="AG1145" s="121">
        <v>-16.435650000000706</v>
      </c>
      <c r="AH1145" s="121">
        <v>-16.435650000000706</v>
      </c>
      <c r="AI1145" s="161">
        <v>-16.435650000000706</v>
      </c>
      <c r="AJ1145" s="161">
        <v>-16.435650000000706</v>
      </c>
      <c r="AK1145" s="161">
        <v>-16.435650000000706</v>
      </c>
      <c r="AL1145" s="161">
        <v>-16.435650000000706</v>
      </c>
      <c r="AM1145" s="161">
        <v>-16.435650000000706</v>
      </c>
      <c r="AN1145" s="161">
        <v>-16.435650000000706</v>
      </c>
      <c r="AO1145" s="161">
        <v>-16.435650000000706</v>
      </c>
      <c r="AP1145" s="125" t="str">
        <f>CONCATENATE(A1145,M1145)</f>
        <v>Def TaxR</v>
      </c>
      <c r="AQ1145" s="125" t="str">
        <f>CONCATENATE(AP1145,L1145,H1145)</f>
        <v>Def TaxRR11Positive Benefit Adjustment</v>
      </c>
      <c r="AS1145" s="125" t="str">
        <f>CONCATENATE(L1145,H1145,J1145)</f>
        <v>R11Positive Benefit Adjustment</v>
      </c>
    </row>
    <row r="1146" spans="1:45" s="125" customFormat="1" ht="25.5" customHeight="1">
      <c r="A1146" s="216" t="s">
        <v>1996</v>
      </c>
      <c r="B1146" s="217" t="str">
        <f t="shared" si="478"/>
        <v>Def Tax190512Trans MeterBG030182</v>
      </c>
      <c r="C1146" s="186">
        <v>190512</v>
      </c>
      <c r="D1146" s="201" t="s">
        <v>1753</v>
      </c>
      <c r="E1146" s="162" t="s">
        <v>743</v>
      </c>
      <c r="F1146" s="169" t="s">
        <v>347</v>
      </c>
      <c r="G1146" s="117" t="s">
        <v>1019</v>
      </c>
      <c r="H1146" s="118" t="s">
        <v>1805</v>
      </c>
      <c r="I1146" s="119"/>
      <c r="J1146" s="231"/>
      <c r="K1146" s="120" t="str">
        <f t="shared" si="480"/>
        <v/>
      </c>
      <c r="L1146" s="170" t="s">
        <v>1895</v>
      </c>
      <c r="M1146" s="122" t="str">
        <f t="shared" si="479"/>
        <v>R</v>
      </c>
      <c r="N1146" s="116" t="str">
        <f>IF($L1146&lt;&gt;"",VLOOKUP($L1146,Categories!$E:$G,2,FALSE),IF($F1146&lt;&gt;"","NO CAT",""))</f>
        <v>Rate Base</v>
      </c>
      <c r="O1146" s="116" t="str">
        <f>IF($L1146&lt;&gt;"",VLOOKUP($L1146,Categories!$E:$G,3,FALSE),IF($F1146&lt;&gt;"","NO CAT",""))</f>
        <v>Deferred Income Taxes</v>
      </c>
      <c r="P1146" s="170" t="s">
        <v>1183</v>
      </c>
      <c r="Q1146" s="123" t="s">
        <v>1177</v>
      </c>
      <c r="R1146" s="124">
        <v>1</v>
      </c>
      <c r="S1146" s="124">
        <v>0</v>
      </c>
      <c r="T1146" s="124">
        <v>0</v>
      </c>
      <c r="U1146" s="121">
        <f t="shared" si="472"/>
        <v>-1.0000000004E-5</v>
      </c>
      <c r="V1146" s="121">
        <f t="shared" si="473"/>
        <v>0</v>
      </c>
      <c r="W1146" s="121">
        <f t="shared" si="474"/>
        <v>0</v>
      </c>
      <c r="X1146" s="121">
        <f t="shared" ref="X1146:X1204" si="481">IF(ISERROR(ROUND((SUM(AC1146:AO1146)-((AC1146+AO1146))/2)/12,15)),"",ROUND((SUM(AC1146:AO1146)-((AC1146+AO1146))/2)/12,15))</f>
        <v>-1.0000000004E-5</v>
      </c>
      <c r="Y1146" s="121">
        <f t="shared" si="475"/>
        <v>-1.0000000004E-5</v>
      </c>
      <c r="Z1146" s="121">
        <f t="shared" si="476"/>
        <v>0</v>
      </c>
      <c r="AA1146" s="121">
        <f t="shared" si="477"/>
        <v>0</v>
      </c>
      <c r="AB1146" s="121">
        <f t="shared" ref="AB1146:AB1204" si="482">IF(AO1146="",0,+AO1146)</f>
        <v>-1.0000000004083631E-5</v>
      </c>
      <c r="AC1146" s="121">
        <v>-1.0000000004083631E-5</v>
      </c>
      <c r="AD1146" s="121">
        <v>-1.0000000004083631E-5</v>
      </c>
      <c r="AE1146" s="121">
        <v>-1.0000000004083631E-5</v>
      </c>
      <c r="AF1146" s="121">
        <v>-1.0000000004083631E-5</v>
      </c>
      <c r="AG1146" s="121">
        <v>-1.0000000004083631E-5</v>
      </c>
      <c r="AH1146" s="121">
        <v>-1.0000000004083631E-5</v>
      </c>
      <c r="AI1146" s="161">
        <v>-1.0000000004083631E-5</v>
      </c>
      <c r="AJ1146" s="161">
        <v>-1.0000000004083631E-5</v>
      </c>
      <c r="AK1146" s="161">
        <v>-1.0000000004083631E-5</v>
      </c>
      <c r="AL1146" s="161">
        <v>-1.0000000004083631E-5</v>
      </c>
      <c r="AM1146" s="161">
        <v>-1.0000000004083631E-5</v>
      </c>
      <c r="AN1146" s="161">
        <v>-1.0000000004083631E-5</v>
      </c>
      <c r="AO1146" s="161">
        <v>-1.0000000004083631E-5</v>
      </c>
      <c r="AP1146" s="125" t="str">
        <f>CONCATENATE(A1146,M1146)</f>
        <v>Def TaxR</v>
      </c>
      <c r="AQ1146" s="125" t="str">
        <f>CONCATENATE(AP1146,L1146,H1146)</f>
        <v>Def TaxRR11Capitalized Installation Costs</v>
      </c>
      <c r="AS1146" s="125" t="str">
        <f>CONCATENATE(L1146,H1146,J1146)</f>
        <v>R11Capitalized Installation Costs</v>
      </c>
    </row>
    <row r="1147" spans="1:45" s="125" customFormat="1" ht="25.5" customHeight="1">
      <c r="A1147" s="216" t="s">
        <v>1996</v>
      </c>
      <c r="B1147" s="217" t="str">
        <f t="shared" si="478"/>
        <v>Def Tax190512PSC AssessmentBT010353</v>
      </c>
      <c r="C1147" s="186">
        <v>190512</v>
      </c>
      <c r="D1147" s="201" t="s">
        <v>1844</v>
      </c>
      <c r="E1147" s="162" t="s">
        <v>1054</v>
      </c>
      <c r="F1147" s="169" t="s">
        <v>347</v>
      </c>
      <c r="G1147" s="117" t="s">
        <v>1053</v>
      </c>
      <c r="H1147" s="118" t="s">
        <v>1844</v>
      </c>
      <c r="I1147" s="119"/>
      <c r="J1147" s="231" t="s">
        <v>105</v>
      </c>
      <c r="K1147" s="120" t="str">
        <f t="shared" si="480"/>
        <v/>
      </c>
      <c r="L1147" s="170" t="s">
        <v>2821</v>
      </c>
      <c r="M1147" s="122" t="str">
        <f t="shared" si="479"/>
        <v>N</v>
      </c>
      <c r="N1147" s="116" t="str">
        <f>IF($L1147&lt;&gt;"",VLOOKUP($L1147,Categories!$E:$G,2,FALSE),IF($F1147&lt;&gt;"","NO CAT",""))</f>
        <v>Not in Rate Base</v>
      </c>
      <c r="O1147" s="116" t="str">
        <f>IF($L1147&lt;&gt;"",VLOOKUP($L1147,Categories!$E:$G,3,FALSE),IF($F1147&lt;&gt;"","NO CAT",""))</f>
        <v>Deferrals Accruing Non-Cash Return   (other than ASGA)</v>
      </c>
      <c r="P1147" s="170" t="s">
        <v>1186</v>
      </c>
      <c r="Q1147" s="123" t="s">
        <v>1187</v>
      </c>
      <c r="R1147" s="124">
        <v>0</v>
      </c>
      <c r="S1147" s="124">
        <v>0</v>
      </c>
      <c r="T1147" s="124">
        <v>1</v>
      </c>
      <c r="U1147" s="121">
        <f t="shared" si="472"/>
        <v>0</v>
      </c>
      <c r="V1147" s="121">
        <f t="shared" si="473"/>
        <v>0</v>
      </c>
      <c r="W1147" s="121">
        <f t="shared" si="474"/>
        <v>-70.377721666666702</v>
      </c>
      <c r="X1147" s="121">
        <f t="shared" si="481"/>
        <v>-70.377721666666702</v>
      </c>
      <c r="Y1147" s="121">
        <f t="shared" si="475"/>
        <v>0</v>
      </c>
      <c r="Z1147" s="121">
        <f t="shared" si="476"/>
        <v>0</v>
      </c>
      <c r="AA1147" s="121">
        <f t="shared" si="477"/>
        <v>-132.9599</v>
      </c>
      <c r="AB1147" s="121">
        <f t="shared" si="482"/>
        <v>-132.9599</v>
      </c>
      <c r="AC1147" s="121">
        <v>1.9999999989522621E-5</v>
      </c>
      <c r="AD1147" s="121">
        <v>9.9999999947613104E-6</v>
      </c>
      <c r="AE1147" s="121">
        <v>1.9999999989522621E-5</v>
      </c>
      <c r="AF1147" s="121">
        <v>9.9999999947613104E-6</v>
      </c>
      <c r="AG1147" s="121">
        <v>9.9999999947613104E-6</v>
      </c>
      <c r="AH1147" s="121">
        <v>9.9999999947613104E-6</v>
      </c>
      <c r="AI1147" s="161">
        <v>9.9999999947613104E-6</v>
      </c>
      <c r="AJ1147" s="161">
        <v>-143.21768</v>
      </c>
      <c r="AK1147" s="161">
        <v>-175.68691999999999</v>
      </c>
      <c r="AL1147" s="161">
        <v>-146.20375999999999</v>
      </c>
      <c r="AM1147" s="161">
        <v>-161.57962000000001</v>
      </c>
      <c r="AN1147" s="161">
        <v>-151.36481000000001</v>
      </c>
      <c r="AO1147" s="161">
        <v>-132.9599</v>
      </c>
      <c r="AP1147" s="125" t="str">
        <f>CONCATENATE(A1147,M1147)</f>
        <v>Def TaxN</v>
      </c>
      <c r="AQ1147" s="125" t="str">
        <f>CONCATENATE(AP1147,L1147,H1147)</f>
        <v>Def TaxNN10PSC Assessment</v>
      </c>
      <c r="AS1147" s="125" t="str">
        <f>CONCATENATE(L1147,H1147,J1147)</f>
        <v>N10PSC AssessmentNCR</v>
      </c>
    </row>
    <row r="1148" spans="1:45" s="125" customFormat="1" ht="25.5" customHeight="1">
      <c r="A1148" s="216" t="s">
        <v>1996</v>
      </c>
      <c r="B1148" s="217" t="str">
        <f t="shared" si="478"/>
        <v>Def Tax190512R&amp;D DefBT010177</v>
      </c>
      <c r="C1148" s="186">
        <v>190512</v>
      </c>
      <c r="D1148" s="201" t="s">
        <v>281</v>
      </c>
      <c r="E1148" s="162" t="s">
        <v>398</v>
      </c>
      <c r="F1148" s="169" t="s">
        <v>347</v>
      </c>
      <c r="G1148" s="117" t="s">
        <v>282</v>
      </c>
      <c r="H1148" s="118" t="s">
        <v>2219</v>
      </c>
      <c r="I1148" s="119"/>
      <c r="J1148" s="231" t="s">
        <v>105</v>
      </c>
      <c r="K1148" s="120" t="str">
        <f t="shared" si="480"/>
        <v/>
      </c>
      <c r="L1148" s="170" t="s">
        <v>2821</v>
      </c>
      <c r="M1148" s="122" t="str">
        <f t="shared" si="479"/>
        <v>N</v>
      </c>
      <c r="N1148" s="116" t="str">
        <f>IF($L1148&lt;&gt;"",VLOOKUP($L1148,Categories!$E:$G,2,FALSE),IF($F1148&lt;&gt;"","NO CAT",""))</f>
        <v>Not in Rate Base</v>
      </c>
      <c r="O1148" s="116" t="str">
        <f>IF($L1148&lt;&gt;"",VLOOKUP($L1148,Categories!$E:$G,3,FALSE),IF($F1148&lt;&gt;"","NO CAT",""))</f>
        <v>Deferrals Accruing Non-Cash Return   (other than ASGA)</v>
      </c>
      <c r="P1148" s="170" t="s">
        <v>1186</v>
      </c>
      <c r="Q1148" s="123" t="s">
        <v>1187</v>
      </c>
      <c r="R1148" s="124">
        <v>0</v>
      </c>
      <c r="S1148" s="124">
        <v>0</v>
      </c>
      <c r="T1148" s="124">
        <v>1</v>
      </c>
      <c r="U1148" s="121">
        <f t="shared" si="472"/>
        <v>0</v>
      </c>
      <c r="V1148" s="121">
        <f t="shared" si="473"/>
        <v>0</v>
      </c>
      <c r="W1148" s="121">
        <f t="shared" si="474"/>
        <v>184.549845</v>
      </c>
      <c r="X1148" s="121">
        <f t="shared" si="481"/>
        <v>184.549845</v>
      </c>
      <c r="Y1148" s="121">
        <f t="shared" si="475"/>
        <v>0</v>
      </c>
      <c r="Z1148" s="121">
        <f t="shared" si="476"/>
        <v>0</v>
      </c>
      <c r="AA1148" s="121">
        <f t="shared" si="477"/>
        <v>144.70651000000001</v>
      </c>
      <c r="AB1148" s="121">
        <f t="shared" si="482"/>
        <v>144.70651000000001</v>
      </c>
      <c r="AC1148" s="121">
        <v>160.71863000000005</v>
      </c>
      <c r="AD1148" s="121">
        <v>170.41206000000003</v>
      </c>
      <c r="AE1148" s="121">
        <v>180.10984000000002</v>
      </c>
      <c r="AF1148" s="121">
        <v>181.34202000000002</v>
      </c>
      <c r="AG1148" s="121">
        <v>191.04855000000001</v>
      </c>
      <c r="AH1148" s="121">
        <v>200.75949000000003</v>
      </c>
      <c r="AI1148" s="161">
        <v>183.77664000000001</v>
      </c>
      <c r="AJ1148" s="161">
        <v>193.4965</v>
      </c>
      <c r="AK1148" s="161">
        <v>203.22084000000001</v>
      </c>
      <c r="AL1148" s="161">
        <v>175.58214999999998</v>
      </c>
      <c r="AM1148" s="161">
        <v>186.19977</v>
      </c>
      <c r="AN1148" s="161">
        <v>195.93770999999998</v>
      </c>
      <c r="AO1148" s="161">
        <v>144.70651000000001</v>
      </c>
      <c r="AP1148" s="125" t="str">
        <f>CONCATENATE(A1148,M1148)</f>
        <v>Def TaxN</v>
      </c>
      <c r="AQ1148" s="125" t="str">
        <f>CONCATENATE(AP1148,L1148,H1148)</f>
        <v>Def TaxNN10Research &amp; Development</v>
      </c>
      <c r="AS1148" s="125" t="str">
        <f>CONCATENATE(L1148,H1148,J1148)</f>
        <v>N10Research &amp; DevelopmentNCR</v>
      </c>
    </row>
    <row r="1149" spans="1:45" s="125" customFormat="1" ht="25.5" customHeight="1">
      <c r="A1149" s="216" t="s">
        <v>1996</v>
      </c>
      <c r="B1149" s="217" t="str">
        <f t="shared" si="478"/>
        <v>Def Tax190512SQPMBT010209</v>
      </c>
      <c r="C1149" s="186">
        <v>190512</v>
      </c>
      <c r="D1149" s="201" t="s">
        <v>2895</v>
      </c>
      <c r="E1149" s="162" t="s">
        <v>394</v>
      </c>
      <c r="F1149" s="169" t="s">
        <v>347</v>
      </c>
      <c r="G1149" s="117" t="s">
        <v>2894</v>
      </c>
      <c r="H1149" s="118" t="s">
        <v>1943</v>
      </c>
      <c r="I1149" s="119"/>
      <c r="J1149" s="120"/>
      <c r="K1149" s="120" t="str">
        <f t="shared" si="480"/>
        <v/>
      </c>
      <c r="L1149" s="170" t="s">
        <v>1895</v>
      </c>
      <c r="M1149" s="122" t="str">
        <f t="shared" si="479"/>
        <v>R</v>
      </c>
      <c r="N1149" s="116" t="str">
        <f>IF($L1149&lt;&gt;"",VLOOKUP($L1149,Categories!$E:$G,2,FALSE),IF($F1149&lt;&gt;"","NO CAT",""))</f>
        <v>Rate Base</v>
      </c>
      <c r="O1149" s="116" t="str">
        <f>IF($L1149&lt;&gt;"",VLOOKUP($L1149,Categories!$E:$G,3,FALSE),IF($F1149&lt;&gt;"","NO CAT",""))</f>
        <v>Deferred Income Taxes</v>
      </c>
      <c r="P1149" s="170" t="s">
        <v>1184</v>
      </c>
      <c r="Q1149" s="123" t="s">
        <v>1178</v>
      </c>
      <c r="R1149" s="124">
        <v>0</v>
      </c>
      <c r="S1149" s="124">
        <v>1</v>
      </c>
      <c r="T1149" s="124">
        <v>0</v>
      </c>
      <c r="U1149" s="121">
        <f t="shared" si="472"/>
        <v>0</v>
      </c>
      <c r="V1149" s="121">
        <f t="shared" si="473"/>
        <v>3.9999999994000001E-5</v>
      </c>
      <c r="W1149" s="121">
        <f t="shared" si="474"/>
        <v>0</v>
      </c>
      <c r="X1149" s="121">
        <f t="shared" si="481"/>
        <v>3.9999999994000001E-5</v>
      </c>
      <c r="Y1149" s="121">
        <f t="shared" si="475"/>
        <v>0</v>
      </c>
      <c r="Z1149" s="121">
        <f t="shared" si="476"/>
        <v>3.9999999994000001E-5</v>
      </c>
      <c r="AA1149" s="121">
        <f t="shared" si="477"/>
        <v>0</v>
      </c>
      <c r="AB1149" s="121">
        <f t="shared" si="482"/>
        <v>3.9999999994279278E-5</v>
      </c>
      <c r="AC1149" s="121">
        <v>3.9999999994279278E-5</v>
      </c>
      <c r="AD1149" s="121">
        <v>3.9999999994279278E-5</v>
      </c>
      <c r="AE1149" s="121">
        <v>3.9999999994279278E-5</v>
      </c>
      <c r="AF1149" s="121">
        <v>3.9999999994279278E-5</v>
      </c>
      <c r="AG1149" s="121">
        <v>3.9999999994279278E-5</v>
      </c>
      <c r="AH1149" s="121">
        <v>3.9999999994279278E-5</v>
      </c>
      <c r="AI1149" s="161">
        <v>3.9999999994279278E-5</v>
      </c>
      <c r="AJ1149" s="161">
        <v>3.9999999994279278E-5</v>
      </c>
      <c r="AK1149" s="161">
        <v>3.9999999994279278E-5</v>
      </c>
      <c r="AL1149" s="161">
        <v>3.9999999994279278E-5</v>
      </c>
      <c r="AM1149" s="161">
        <v>3.9999999994279278E-5</v>
      </c>
      <c r="AN1149" s="161">
        <v>3.9999999994279278E-5</v>
      </c>
      <c r="AO1149" s="161">
        <v>3.9999999994279278E-5</v>
      </c>
      <c r="AP1149" s="125" t="str">
        <f>CONCATENATE(A1149,M1149)</f>
        <v>Def TaxR</v>
      </c>
      <c r="AQ1149" s="125" t="str">
        <f>CONCATENATE(AP1149,L1149,H1149)</f>
        <v>Def TaxRR11Service Quality Performance Program</v>
      </c>
      <c r="AS1149" s="125" t="str">
        <f>CONCATENATE(L1149,H1149,J1149)</f>
        <v>R11Service Quality Performance Program</v>
      </c>
    </row>
    <row r="1150" spans="1:45" s="125" customFormat="1" ht="25.5" customHeight="1">
      <c r="A1150" s="216" t="s">
        <v>1996</v>
      </c>
      <c r="B1150" s="217" t="str">
        <f t="shared" si="478"/>
        <v>Def Tax1905120-186.01.42BT010224</v>
      </c>
      <c r="C1150" s="186">
        <v>190512</v>
      </c>
      <c r="D1150" s="201" t="s">
        <v>2488</v>
      </c>
      <c r="E1150" s="162" t="s">
        <v>395</v>
      </c>
      <c r="F1150" s="169" t="s">
        <v>347</v>
      </c>
      <c r="G1150" s="117" t="s">
        <v>2489</v>
      </c>
      <c r="H1150" s="118" t="s">
        <v>2369</v>
      </c>
      <c r="I1150" s="119"/>
      <c r="J1150" s="120"/>
      <c r="K1150" s="120" t="str">
        <f t="shared" si="480"/>
        <v/>
      </c>
      <c r="L1150" s="170" t="s">
        <v>928</v>
      </c>
      <c r="M1150" s="122" t="str">
        <f t="shared" si="479"/>
        <v>N</v>
      </c>
      <c r="N1150" s="116" t="str">
        <f>IF($L1150&lt;&gt;"",VLOOKUP($L1150,Categories!$E:$G,2,FALSE),IF($F1150&lt;&gt;"","NO CAT",""))</f>
        <v>Not in Rate Base</v>
      </c>
      <c r="O1150" s="116" t="str">
        <f>IF($L1150&lt;&gt;"",VLOOKUP($L1150,Categories!$E:$G,3,FALSE),IF($F1150&lt;&gt;"","NO CAT",""))</f>
        <v>Direct Assign Items Not in RB</v>
      </c>
      <c r="P1150" s="170" t="s">
        <v>1186</v>
      </c>
      <c r="Q1150" s="123" t="s">
        <v>1187</v>
      </c>
      <c r="R1150" s="124">
        <v>0</v>
      </c>
      <c r="S1150" s="124">
        <v>0</v>
      </c>
      <c r="T1150" s="124">
        <v>1</v>
      </c>
      <c r="U1150" s="121">
        <f t="shared" si="472"/>
        <v>0</v>
      </c>
      <c r="V1150" s="121">
        <f t="shared" si="473"/>
        <v>0</v>
      </c>
      <c r="W1150" s="121">
        <f t="shared" si="474"/>
        <v>41.756999999999998</v>
      </c>
      <c r="X1150" s="121">
        <f t="shared" si="481"/>
        <v>41.756999999999998</v>
      </c>
      <c r="Y1150" s="121">
        <f t="shared" si="475"/>
        <v>0</v>
      </c>
      <c r="Z1150" s="121">
        <f t="shared" si="476"/>
        <v>0</v>
      </c>
      <c r="AA1150" s="121">
        <f t="shared" si="477"/>
        <v>41.756999999999998</v>
      </c>
      <c r="AB1150" s="121">
        <f t="shared" si="482"/>
        <v>41.756999999999998</v>
      </c>
      <c r="AC1150" s="121">
        <v>41.756999999999998</v>
      </c>
      <c r="AD1150" s="121">
        <v>41.756999999999998</v>
      </c>
      <c r="AE1150" s="121">
        <v>41.756999999999998</v>
      </c>
      <c r="AF1150" s="121">
        <v>41.756999999999998</v>
      </c>
      <c r="AG1150" s="121">
        <v>41.756999999999998</v>
      </c>
      <c r="AH1150" s="121">
        <v>41.756999999999998</v>
      </c>
      <c r="AI1150" s="161">
        <v>41.756999999999998</v>
      </c>
      <c r="AJ1150" s="161">
        <v>41.756999999999998</v>
      </c>
      <c r="AK1150" s="161">
        <v>41.756999999999998</v>
      </c>
      <c r="AL1150" s="161">
        <v>41.756999999999998</v>
      </c>
      <c r="AM1150" s="161">
        <v>41.756999999999998</v>
      </c>
      <c r="AN1150" s="161">
        <v>41.756999999999998</v>
      </c>
      <c r="AO1150" s="161">
        <v>41.756999999999998</v>
      </c>
      <c r="AP1150" s="125" t="str">
        <f>CONCATENATE(A1150,M1150)</f>
        <v>Def TaxN</v>
      </c>
      <c r="AQ1150" s="125" t="str">
        <f>CONCATENATE(AP1150,L1150,H1150)</f>
        <v>Def TaxNN2Environmental</v>
      </c>
      <c r="AS1150" s="125" t="str">
        <f>CONCATENATE(L1150,H1150,J1150)</f>
        <v>N2Environmental</v>
      </c>
    </row>
    <row r="1151" spans="1:45" s="125" customFormat="1" ht="25.5" customHeight="1">
      <c r="A1151" s="216" t="s">
        <v>1996</v>
      </c>
      <c r="B1151" s="217" t="str">
        <f t="shared" si="478"/>
        <v>Def Tax190512GSC RefundBG030586</v>
      </c>
      <c r="C1151" s="186">
        <v>190512</v>
      </c>
      <c r="D1151" s="201" t="s">
        <v>2704</v>
      </c>
      <c r="E1151" s="162" t="s">
        <v>2705</v>
      </c>
      <c r="F1151" s="169" t="s">
        <v>347</v>
      </c>
      <c r="G1151" s="117" t="s">
        <v>2703</v>
      </c>
      <c r="H1151" s="118" t="s">
        <v>2704</v>
      </c>
      <c r="I1151" s="119"/>
      <c r="J1151" s="231"/>
      <c r="K1151" s="120" t="str">
        <f t="shared" si="480"/>
        <v/>
      </c>
      <c r="L1151" s="170" t="s">
        <v>928</v>
      </c>
      <c r="M1151" s="122" t="str">
        <f t="shared" si="479"/>
        <v>N</v>
      </c>
      <c r="N1151" s="116" t="str">
        <f>IF($L1151&lt;&gt;"",VLOOKUP($L1151,Categories!$E:$G,2,FALSE),IF($F1151&lt;&gt;"","NO CAT",""))</f>
        <v>Not in Rate Base</v>
      </c>
      <c r="O1151" s="116" t="str">
        <f>IF($L1151&lt;&gt;"",VLOOKUP($L1151,Categories!$E:$G,3,FALSE),IF($F1151&lt;&gt;"","NO CAT",""))</f>
        <v>Direct Assign Items Not in RB</v>
      </c>
      <c r="P1151" s="170" t="s">
        <v>1186</v>
      </c>
      <c r="Q1151" s="123" t="s">
        <v>1187</v>
      </c>
      <c r="R1151" s="124">
        <v>0</v>
      </c>
      <c r="S1151" s="124">
        <v>0</v>
      </c>
      <c r="T1151" s="124">
        <v>1</v>
      </c>
      <c r="U1151" s="121">
        <f t="shared" si="472"/>
        <v>0</v>
      </c>
      <c r="V1151" s="121">
        <f t="shared" si="473"/>
        <v>0</v>
      </c>
      <c r="W1151" s="121">
        <f t="shared" si="474"/>
        <v>31.421750833333402</v>
      </c>
      <c r="X1151" s="121">
        <f t="shared" si="481"/>
        <v>31.421750833333402</v>
      </c>
      <c r="Y1151" s="121">
        <f t="shared" si="475"/>
        <v>0</v>
      </c>
      <c r="Z1151" s="121">
        <f t="shared" si="476"/>
        <v>0</v>
      </c>
      <c r="AA1151" s="121">
        <f t="shared" si="477"/>
        <v>23.879960000000001</v>
      </c>
      <c r="AB1151" s="121">
        <f t="shared" si="482"/>
        <v>23.879960000000018</v>
      </c>
      <c r="AC1151" s="121">
        <v>83.121680000000026</v>
      </c>
      <c r="AD1151" s="121">
        <v>68.954110000000014</v>
      </c>
      <c r="AE1151" s="121">
        <v>53.274680000000018</v>
      </c>
      <c r="AF1151" s="121">
        <v>39.308550000000018</v>
      </c>
      <c r="AG1151" s="121">
        <v>29.561460000000018</v>
      </c>
      <c r="AH1151" s="121">
        <v>24.465170000000015</v>
      </c>
      <c r="AI1151" s="161">
        <v>21.686990000000016</v>
      </c>
      <c r="AJ1151" s="161">
        <v>19.714190000000016</v>
      </c>
      <c r="AK1151" s="161">
        <v>18.167870000000018</v>
      </c>
      <c r="AL1151" s="161">
        <v>16.142390000000017</v>
      </c>
      <c r="AM1151" s="161">
        <v>16.142390000000017</v>
      </c>
      <c r="AN1151" s="161">
        <v>16.142390000000017</v>
      </c>
      <c r="AO1151" s="161">
        <v>23.879960000000018</v>
      </c>
      <c r="AP1151" s="125" t="str">
        <f>CONCATENATE(A1151,M1151)</f>
        <v>Def TaxN</v>
      </c>
      <c r="AQ1151" s="125" t="str">
        <f>CONCATENATE(AP1151,L1151,H1151)</f>
        <v>Def TaxNN2GSC Refund</v>
      </c>
      <c r="AS1151" s="125" t="str">
        <f>CONCATENATE(L1151,H1151,J1151)</f>
        <v>N2GSC Refund</v>
      </c>
    </row>
    <row r="1152" spans="1:45" s="125" customFormat="1" ht="25.5" customHeight="1">
      <c r="A1152" s="216" t="s">
        <v>1996</v>
      </c>
      <c r="B1152" s="217" t="str">
        <f t="shared" si="478"/>
        <v>Def Tax190512VRDBG030598</v>
      </c>
      <c r="C1152" s="186">
        <v>190512</v>
      </c>
      <c r="D1152" s="201" t="s">
        <v>1434</v>
      </c>
      <c r="E1152" s="162" t="s">
        <v>741</v>
      </c>
      <c r="F1152" s="169" t="s">
        <v>347</v>
      </c>
      <c r="G1152" s="117" t="s">
        <v>1014</v>
      </c>
      <c r="H1152" s="118" t="s">
        <v>1075</v>
      </c>
      <c r="I1152" s="119"/>
      <c r="J1152" s="120" t="s">
        <v>105</v>
      </c>
      <c r="K1152" s="120" t="str">
        <f t="shared" si="480"/>
        <v/>
      </c>
      <c r="L1152" s="170" t="s">
        <v>2821</v>
      </c>
      <c r="M1152" s="122" t="str">
        <f t="shared" si="479"/>
        <v>N</v>
      </c>
      <c r="N1152" s="116" t="str">
        <f>IF($L1152&lt;&gt;"",VLOOKUP($L1152,Categories!$E:$G,2,FALSE),IF($F1152&lt;&gt;"","NO CAT",""))</f>
        <v>Not in Rate Base</v>
      </c>
      <c r="O1152" s="116" t="str">
        <f>IF($L1152&lt;&gt;"",VLOOKUP($L1152,Categories!$E:$G,3,FALSE),IF($F1152&lt;&gt;"","NO CAT",""))</f>
        <v>Deferrals Accruing Non-Cash Return   (other than ASGA)</v>
      </c>
      <c r="P1152" s="170" t="s">
        <v>1186</v>
      </c>
      <c r="Q1152" s="123" t="s">
        <v>1187</v>
      </c>
      <c r="R1152" s="124">
        <v>0</v>
      </c>
      <c r="S1152" s="124">
        <v>0</v>
      </c>
      <c r="T1152" s="124">
        <v>1</v>
      </c>
      <c r="U1152" s="121">
        <f t="shared" si="472"/>
        <v>0</v>
      </c>
      <c r="V1152" s="121">
        <f t="shared" si="473"/>
        <v>0</v>
      </c>
      <c r="W1152" s="121">
        <f t="shared" si="474"/>
        <v>165.85752791666701</v>
      </c>
      <c r="X1152" s="121">
        <f t="shared" si="481"/>
        <v>165.85752791666701</v>
      </c>
      <c r="Y1152" s="121">
        <f t="shared" si="475"/>
        <v>0</v>
      </c>
      <c r="Z1152" s="121">
        <f t="shared" si="476"/>
        <v>0</v>
      </c>
      <c r="AA1152" s="121">
        <f t="shared" si="477"/>
        <v>209.24839</v>
      </c>
      <c r="AB1152" s="121">
        <f t="shared" si="482"/>
        <v>209.24838999999994</v>
      </c>
      <c r="AC1152" s="121">
        <v>102.90221999999997</v>
      </c>
      <c r="AD1152" s="121">
        <v>133.02368999999996</v>
      </c>
      <c r="AE1152" s="121">
        <v>140.19130999999996</v>
      </c>
      <c r="AF1152" s="121">
        <v>144.59600999999998</v>
      </c>
      <c r="AG1152" s="121">
        <v>151.72190000000001</v>
      </c>
      <c r="AH1152" s="121">
        <v>158.96131</v>
      </c>
      <c r="AI1152" s="161">
        <v>166.22977</v>
      </c>
      <c r="AJ1152" s="161">
        <v>173.49803999999997</v>
      </c>
      <c r="AK1152" s="161">
        <v>180.72071999999997</v>
      </c>
      <c r="AL1152" s="161">
        <v>187.87477999999996</v>
      </c>
      <c r="AM1152" s="161">
        <v>195.07731999999999</v>
      </c>
      <c r="AN1152" s="161">
        <v>202.32017999999997</v>
      </c>
      <c r="AO1152" s="161">
        <v>209.24838999999994</v>
      </c>
      <c r="AP1152" s="125" t="str">
        <f>CONCATENATE(A1152,M1152)</f>
        <v>Def TaxN</v>
      </c>
      <c r="AQ1152" s="125" t="str">
        <f>CONCATENATE(AP1152,L1152,H1152)</f>
        <v>Def TaxNN10Variable Rate Debt</v>
      </c>
      <c r="AS1152" s="125" t="str">
        <f>CONCATENATE(L1152,H1152,J1152)</f>
        <v>N10Variable Rate DebtNCR</v>
      </c>
    </row>
    <row r="1153" spans="1:45" s="125" customFormat="1" ht="25.5" customHeight="1">
      <c r="A1153" s="216" t="s">
        <v>1996</v>
      </c>
      <c r="B1153" s="217" t="str">
        <f t="shared" si="478"/>
        <v>Def Tax190512NCR/Non NCR-a0</v>
      </c>
      <c r="C1153" s="186">
        <v>190512</v>
      </c>
      <c r="D1153" s="201" t="s">
        <v>2354</v>
      </c>
      <c r="E1153" s="162">
        <v>0</v>
      </c>
      <c r="F1153" s="169" t="s">
        <v>347</v>
      </c>
      <c r="G1153" s="117" t="s">
        <v>1118</v>
      </c>
      <c r="H1153" s="118" t="s">
        <v>967</v>
      </c>
      <c r="I1153" s="119"/>
      <c r="J1153" s="120"/>
      <c r="K1153" s="120" t="str">
        <f t="shared" si="480"/>
        <v/>
      </c>
      <c r="L1153" s="170" t="s">
        <v>1895</v>
      </c>
      <c r="M1153" s="122" t="str">
        <f t="shared" si="479"/>
        <v>R</v>
      </c>
      <c r="N1153" s="116" t="str">
        <f>IF($L1153&lt;&gt;"",VLOOKUP($L1153,Categories!$E:$G,2,FALSE),IF($F1153&lt;&gt;"","NO CAT",""))</f>
        <v>Rate Base</v>
      </c>
      <c r="O1153" s="116" t="str">
        <f>IF($L1153&lt;&gt;"",VLOOKUP($L1153,Categories!$E:$G,3,FALSE),IF($F1153&lt;&gt;"","NO CAT",""))</f>
        <v>Deferred Income Taxes</v>
      </c>
      <c r="P1153" s="170" t="s">
        <v>1184</v>
      </c>
      <c r="Q1153" s="123" t="s">
        <v>1178</v>
      </c>
      <c r="R1153" s="124">
        <v>0</v>
      </c>
      <c r="S1153" s="124">
        <v>1</v>
      </c>
      <c r="T1153" s="124">
        <v>0</v>
      </c>
      <c r="U1153" s="121">
        <f t="shared" si="472"/>
        <v>0</v>
      </c>
      <c r="V1153" s="121">
        <f t="shared" si="473"/>
        <v>-42.182250000000003</v>
      </c>
      <c r="W1153" s="121">
        <f t="shared" si="474"/>
        <v>0</v>
      </c>
      <c r="X1153" s="121">
        <f t="shared" si="481"/>
        <v>-42.182250000000003</v>
      </c>
      <c r="Y1153" s="121">
        <f t="shared" si="475"/>
        <v>0</v>
      </c>
      <c r="Z1153" s="121">
        <f t="shared" si="476"/>
        <v>-42.182250000000003</v>
      </c>
      <c r="AA1153" s="121">
        <f t="shared" si="477"/>
        <v>0</v>
      </c>
      <c r="AB1153" s="121">
        <f t="shared" si="482"/>
        <v>-42.182249999999975</v>
      </c>
      <c r="AC1153" s="121">
        <v>-42.182249999999975</v>
      </c>
      <c r="AD1153" s="121">
        <v>-42.182249999999975</v>
      </c>
      <c r="AE1153" s="121">
        <v>-42.182249999999975</v>
      </c>
      <c r="AF1153" s="121">
        <v>-42.182249999999975</v>
      </c>
      <c r="AG1153" s="121">
        <v>-42.182249999999975</v>
      </c>
      <c r="AH1153" s="121">
        <v>-42.182249999999975</v>
      </c>
      <c r="AI1153" s="161">
        <v>-42.182249999999975</v>
      </c>
      <c r="AJ1153" s="161">
        <v>-42.182249999999975</v>
      </c>
      <c r="AK1153" s="161">
        <v>-42.182249999999975</v>
      </c>
      <c r="AL1153" s="161">
        <v>-42.182249999999975</v>
      </c>
      <c r="AM1153" s="161">
        <v>-42.182249999999975</v>
      </c>
      <c r="AN1153" s="161">
        <v>-42.182249999999975</v>
      </c>
      <c r="AO1153" s="161">
        <v>-42.182249999999975</v>
      </c>
      <c r="AP1153" s="125" t="str">
        <f>CONCATENATE(A1153,M1153)</f>
        <v>Def TaxR</v>
      </c>
      <c r="AQ1153" s="125" t="str">
        <f>CONCATENATE(AP1153,L1153,H1153)</f>
        <v>Def TaxRR11Excess DIT &gt; 7.1% (NYS)</v>
      </c>
      <c r="AS1153" s="125" t="str">
        <f>CONCATENATE(L1153,H1153,J1153)</f>
        <v>R11Excess DIT &gt; 7.1% (NYS)</v>
      </c>
    </row>
    <row r="1154" spans="1:45" s="125" customFormat="1" ht="25.5" customHeight="1">
      <c r="A1154" s="216" t="s">
        <v>1996</v>
      </c>
      <c r="B1154" s="217" t="str">
        <f t="shared" si="478"/>
        <v>Def Tax190512NCR/Non NCR-b0</v>
      </c>
      <c r="C1154" s="186">
        <v>190512</v>
      </c>
      <c r="D1154" s="201" t="s">
        <v>2355</v>
      </c>
      <c r="E1154" s="162">
        <v>0</v>
      </c>
      <c r="F1154" s="169" t="s">
        <v>347</v>
      </c>
      <c r="G1154" s="117" t="s">
        <v>1376</v>
      </c>
      <c r="H1154" s="118" t="s">
        <v>967</v>
      </c>
      <c r="I1154" s="119"/>
      <c r="J1154" s="120"/>
      <c r="K1154" s="120" t="str">
        <f t="shared" si="480"/>
        <v/>
      </c>
      <c r="L1154" s="170" t="s">
        <v>1895</v>
      </c>
      <c r="M1154" s="122" t="str">
        <f t="shared" si="479"/>
        <v>R</v>
      </c>
      <c r="N1154" s="116" t="str">
        <f>IF($L1154&lt;&gt;"",VLOOKUP($L1154,Categories!$E:$G,2,FALSE),IF($F1154&lt;&gt;"","NO CAT",""))</f>
        <v>Rate Base</v>
      </c>
      <c r="O1154" s="116" t="str">
        <f>IF($L1154&lt;&gt;"",VLOOKUP($L1154,Categories!$E:$G,3,FALSE),IF($F1154&lt;&gt;"","NO CAT",""))</f>
        <v>Deferred Income Taxes</v>
      </c>
      <c r="P1154" s="170" t="s">
        <v>1184</v>
      </c>
      <c r="Q1154" s="123" t="s">
        <v>1178</v>
      </c>
      <c r="R1154" s="124">
        <v>0</v>
      </c>
      <c r="S1154" s="124">
        <v>1</v>
      </c>
      <c r="T1154" s="124">
        <v>0</v>
      </c>
      <c r="U1154" s="121">
        <f t="shared" si="472"/>
        <v>0</v>
      </c>
      <c r="V1154" s="121">
        <f t="shared" si="473"/>
        <v>-9.7395300000000002</v>
      </c>
      <c r="W1154" s="121">
        <f t="shared" si="474"/>
        <v>0</v>
      </c>
      <c r="X1154" s="121">
        <f t="shared" si="481"/>
        <v>-9.7395300000000002</v>
      </c>
      <c r="Y1154" s="121">
        <f t="shared" si="475"/>
        <v>0</v>
      </c>
      <c r="Z1154" s="121">
        <f t="shared" si="476"/>
        <v>-9.7395300000000002</v>
      </c>
      <c r="AA1154" s="121">
        <f t="shared" si="477"/>
        <v>0</v>
      </c>
      <c r="AB1154" s="121">
        <f t="shared" si="482"/>
        <v>-9.7395299999999985</v>
      </c>
      <c r="AC1154" s="121">
        <v>-9.7395299999999985</v>
      </c>
      <c r="AD1154" s="121">
        <v>-9.7395299999999985</v>
      </c>
      <c r="AE1154" s="121">
        <v>-9.7395299999999985</v>
      </c>
      <c r="AF1154" s="121">
        <v>-9.7395299999999985</v>
      </c>
      <c r="AG1154" s="121">
        <v>-9.7395299999999985</v>
      </c>
      <c r="AH1154" s="121">
        <v>-9.7395299999999985</v>
      </c>
      <c r="AI1154" s="121">
        <v>-9.7395299999999985</v>
      </c>
      <c r="AJ1154" s="121">
        <v>-9.7395299999999985</v>
      </c>
      <c r="AK1154" s="121">
        <v>-9.7395299999999985</v>
      </c>
      <c r="AL1154" s="121">
        <v>-9.7395299999999985</v>
      </c>
      <c r="AM1154" s="121">
        <v>-9.7395299999999985</v>
      </c>
      <c r="AN1154" s="121">
        <v>-9.7395299999999985</v>
      </c>
      <c r="AO1154" s="121">
        <v>-9.7395299999999985</v>
      </c>
      <c r="AP1154" s="125" t="str">
        <f>CONCATENATE(A1154,M1154)</f>
        <v>Def TaxR</v>
      </c>
      <c r="AQ1154" s="125" t="str">
        <f>CONCATENATE(AP1154,L1154,H1154)</f>
        <v>Def TaxRR11Excess DIT &gt; 7.1% (NYS)</v>
      </c>
      <c r="AS1154" s="125" t="str">
        <f>CONCATENATE(L1154,H1154,J1154)</f>
        <v>R11Excess DIT &gt; 7.1% (NYS)</v>
      </c>
    </row>
    <row r="1155" spans="1:45" s="125" customFormat="1" ht="25.5" customHeight="1">
      <c r="A1155" s="216" t="s">
        <v>1996</v>
      </c>
      <c r="B1155" s="217" t="str">
        <f t="shared" si="478"/>
        <v>Def Tax190512NCR/Non NCR-c0</v>
      </c>
      <c r="C1155" s="186">
        <v>190512</v>
      </c>
      <c r="D1155" s="201" t="s">
        <v>2356</v>
      </c>
      <c r="E1155" s="162">
        <v>0</v>
      </c>
      <c r="F1155" s="169" t="s">
        <v>347</v>
      </c>
      <c r="G1155" s="117" t="s">
        <v>2255</v>
      </c>
      <c r="H1155" s="118" t="s">
        <v>967</v>
      </c>
      <c r="I1155" s="119"/>
      <c r="J1155" s="120"/>
      <c r="K1155" s="120" t="str">
        <f t="shared" si="480"/>
        <v/>
      </c>
      <c r="L1155" s="170" t="s">
        <v>1895</v>
      </c>
      <c r="M1155" s="122" t="str">
        <f t="shared" si="479"/>
        <v>R</v>
      </c>
      <c r="N1155" s="116" t="str">
        <f>IF($L1155&lt;&gt;"",VLOOKUP($L1155,Categories!$E:$G,2,FALSE),IF($F1155&lt;&gt;"","NO CAT",""))</f>
        <v>Rate Base</v>
      </c>
      <c r="O1155" s="116" t="str">
        <f>IF($L1155&lt;&gt;"",VLOOKUP($L1155,Categories!$E:$G,3,FALSE),IF($F1155&lt;&gt;"","NO CAT",""))</f>
        <v>Deferred Income Taxes</v>
      </c>
      <c r="P1155" s="170" t="s">
        <v>1184</v>
      </c>
      <c r="Q1155" s="123" t="s">
        <v>1178</v>
      </c>
      <c r="R1155" s="124">
        <v>0</v>
      </c>
      <c r="S1155" s="124">
        <v>1</v>
      </c>
      <c r="T1155" s="124">
        <v>0</v>
      </c>
      <c r="U1155" s="121">
        <f t="shared" si="472"/>
        <v>0</v>
      </c>
      <c r="V1155" s="121">
        <f t="shared" si="473"/>
        <v>-1.035E-2</v>
      </c>
      <c r="W1155" s="121">
        <f t="shared" si="474"/>
        <v>0</v>
      </c>
      <c r="X1155" s="121">
        <f t="shared" si="481"/>
        <v>-1.035E-2</v>
      </c>
      <c r="Y1155" s="121">
        <f t="shared" si="475"/>
        <v>0</v>
      </c>
      <c r="Z1155" s="121">
        <f t="shared" si="476"/>
        <v>-1.035E-2</v>
      </c>
      <c r="AA1155" s="121">
        <f t="shared" si="477"/>
        <v>0</v>
      </c>
      <c r="AB1155" s="121">
        <f t="shared" si="482"/>
        <v>-1.035E-2</v>
      </c>
      <c r="AC1155" s="121">
        <v>-1.035E-2</v>
      </c>
      <c r="AD1155" s="121">
        <v>-1.035E-2</v>
      </c>
      <c r="AE1155" s="121">
        <v>-1.035E-2</v>
      </c>
      <c r="AF1155" s="121">
        <v>-1.035E-2</v>
      </c>
      <c r="AG1155" s="121">
        <v>-1.035E-2</v>
      </c>
      <c r="AH1155" s="121">
        <v>-1.035E-2</v>
      </c>
      <c r="AI1155" s="121">
        <v>-1.035E-2</v>
      </c>
      <c r="AJ1155" s="121">
        <v>-1.035E-2</v>
      </c>
      <c r="AK1155" s="121">
        <v>-1.035E-2</v>
      </c>
      <c r="AL1155" s="121">
        <v>-1.035E-2</v>
      </c>
      <c r="AM1155" s="121">
        <v>-1.035E-2</v>
      </c>
      <c r="AN1155" s="121">
        <v>-1.035E-2</v>
      </c>
      <c r="AO1155" s="121">
        <v>-1.035E-2</v>
      </c>
      <c r="AP1155" s="125" t="str">
        <f>CONCATENATE(A1155,M1155)</f>
        <v>Def TaxR</v>
      </c>
      <c r="AQ1155" s="125" t="str">
        <f>CONCATENATE(AP1155,L1155,H1155)</f>
        <v>Def TaxRR11Excess DIT &gt; 7.1% (NYS)</v>
      </c>
      <c r="AS1155" s="125" t="str">
        <f>CONCATENATE(L1155,H1155,J1155)</f>
        <v>R11Excess DIT &gt; 7.1% (NYS)</v>
      </c>
    </row>
    <row r="1156" spans="1:45" s="125" customFormat="1" ht="25.5" customHeight="1">
      <c r="A1156" s="216" t="s">
        <v>1996</v>
      </c>
      <c r="B1156" s="217" t="str">
        <f t="shared" si="478"/>
        <v>Def Tax190512NCR/Non NCR-d0</v>
      </c>
      <c r="C1156" s="186">
        <v>190512</v>
      </c>
      <c r="D1156" s="201" t="s">
        <v>2357</v>
      </c>
      <c r="E1156" s="162">
        <v>0</v>
      </c>
      <c r="F1156" s="169" t="s">
        <v>347</v>
      </c>
      <c r="G1156" s="117" t="s">
        <v>1377</v>
      </c>
      <c r="H1156" s="118" t="s">
        <v>967</v>
      </c>
      <c r="I1156" s="119"/>
      <c r="J1156" s="120"/>
      <c r="K1156" s="120" t="str">
        <f t="shared" si="480"/>
        <v/>
      </c>
      <c r="L1156" s="170" t="s">
        <v>1895</v>
      </c>
      <c r="M1156" s="122" t="str">
        <f t="shared" si="479"/>
        <v>R</v>
      </c>
      <c r="N1156" s="116" t="str">
        <f>IF($L1156&lt;&gt;"",VLOOKUP($L1156,Categories!$E:$G,2,FALSE),IF($F1156&lt;&gt;"","NO CAT",""))</f>
        <v>Rate Base</v>
      </c>
      <c r="O1156" s="116" t="str">
        <f>IF($L1156&lt;&gt;"",VLOOKUP($L1156,Categories!$E:$G,3,FALSE),IF($F1156&lt;&gt;"","NO CAT",""))</f>
        <v>Deferred Income Taxes</v>
      </c>
      <c r="P1156" s="170" t="s">
        <v>1184</v>
      </c>
      <c r="Q1156" s="123" t="s">
        <v>1178</v>
      </c>
      <c r="R1156" s="124">
        <v>0</v>
      </c>
      <c r="S1156" s="124">
        <v>1</v>
      </c>
      <c r="T1156" s="124">
        <v>0</v>
      </c>
      <c r="U1156" s="121">
        <f t="shared" si="472"/>
        <v>0</v>
      </c>
      <c r="V1156" s="121">
        <f t="shared" si="473"/>
        <v>23.01924</v>
      </c>
      <c r="W1156" s="121">
        <f t="shared" si="474"/>
        <v>0</v>
      </c>
      <c r="X1156" s="121">
        <f t="shared" si="481"/>
        <v>23.01924</v>
      </c>
      <c r="Y1156" s="121">
        <f t="shared" si="475"/>
        <v>0</v>
      </c>
      <c r="Z1156" s="121">
        <f t="shared" si="476"/>
        <v>23.01924</v>
      </c>
      <c r="AA1156" s="121">
        <f t="shared" si="477"/>
        <v>0</v>
      </c>
      <c r="AB1156" s="121">
        <f t="shared" si="482"/>
        <v>23.01924</v>
      </c>
      <c r="AC1156" s="121">
        <v>23.01924</v>
      </c>
      <c r="AD1156" s="121">
        <v>23.01924</v>
      </c>
      <c r="AE1156" s="121">
        <v>23.01924</v>
      </c>
      <c r="AF1156" s="121">
        <v>23.01924</v>
      </c>
      <c r="AG1156" s="121">
        <v>23.01924</v>
      </c>
      <c r="AH1156" s="121">
        <v>23.01924</v>
      </c>
      <c r="AI1156" s="121">
        <v>23.01924</v>
      </c>
      <c r="AJ1156" s="121">
        <v>23.01924</v>
      </c>
      <c r="AK1156" s="121">
        <v>23.01924</v>
      </c>
      <c r="AL1156" s="121">
        <v>23.01924</v>
      </c>
      <c r="AM1156" s="121">
        <v>23.01924</v>
      </c>
      <c r="AN1156" s="121">
        <v>23.01924</v>
      </c>
      <c r="AO1156" s="121">
        <v>23.01924</v>
      </c>
      <c r="AP1156" s="125" t="str">
        <f>CONCATENATE(A1156,M1156)</f>
        <v>Def TaxR</v>
      </c>
      <c r="AQ1156" s="125" t="str">
        <f>CONCATENATE(AP1156,L1156,H1156)</f>
        <v>Def TaxRR11Excess DIT &gt; 7.1% (NYS)</v>
      </c>
      <c r="AS1156" s="125" t="str">
        <f>CONCATENATE(L1156,H1156,J1156)</f>
        <v>R11Excess DIT &gt; 7.1% (NYS)</v>
      </c>
    </row>
    <row r="1157" spans="1:45" s="125" customFormat="1" ht="25.5" customHeight="1">
      <c r="A1157" s="216" t="s">
        <v>1996</v>
      </c>
      <c r="B1157" s="217" t="str">
        <f t="shared" si="478"/>
        <v>Def Tax190512NCR/Non NCR-e0</v>
      </c>
      <c r="C1157" s="186">
        <v>190512</v>
      </c>
      <c r="D1157" s="201" t="s">
        <v>2358</v>
      </c>
      <c r="E1157" s="162">
        <v>0</v>
      </c>
      <c r="F1157" s="169" t="s">
        <v>347</v>
      </c>
      <c r="G1157" s="117" t="s">
        <v>2989</v>
      </c>
      <c r="H1157" s="118" t="s">
        <v>967</v>
      </c>
      <c r="I1157" s="119"/>
      <c r="J1157" s="120"/>
      <c r="K1157" s="120" t="str">
        <f t="shared" si="480"/>
        <v/>
      </c>
      <c r="L1157" s="170" t="s">
        <v>1895</v>
      </c>
      <c r="M1157" s="122" t="str">
        <f t="shared" si="479"/>
        <v>R</v>
      </c>
      <c r="N1157" s="116" t="str">
        <f>IF($L1157&lt;&gt;"",VLOOKUP($L1157,Categories!$E:$G,2,FALSE),IF($F1157&lt;&gt;"","NO CAT",""))</f>
        <v>Rate Base</v>
      </c>
      <c r="O1157" s="116" t="str">
        <f>IF($L1157&lt;&gt;"",VLOOKUP($L1157,Categories!$E:$G,3,FALSE),IF($F1157&lt;&gt;"","NO CAT",""))</f>
        <v>Deferred Income Taxes</v>
      </c>
      <c r="P1157" s="170" t="s">
        <v>1184</v>
      </c>
      <c r="Q1157" s="123" t="s">
        <v>1178</v>
      </c>
      <c r="R1157" s="124">
        <v>0</v>
      </c>
      <c r="S1157" s="124">
        <v>1</v>
      </c>
      <c r="T1157" s="124">
        <v>0</v>
      </c>
      <c r="U1157" s="121">
        <f t="shared" si="472"/>
        <v>0</v>
      </c>
      <c r="V1157" s="121">
        <f t="shared" si="473"/>
        <v>11.42937</v>
      </c>
      <c r="W1157" s="121">
        <f t="shared" si="474"/>
        <v>0</v>
      </c>
      <c r="X1157" s="121">
        <f t="shared" si="481"/>
        <v>11.42937</v>
      </c>
      <c r="Y1157" s="121">
        <f t="shared" si="475"/>
        <v>0</v>
      </c>
      <c r="Z1157" s="121">
        <f t="shared" si="476"/>
        <v>11.42937</v>
      </c>
      <c r="AA1157" s="121">
        <f t="shared" si="477"/>
        <v>0</v>
      </c>
      <c r="AB1157" s="121">
        <f t="shared" si="482"/>
        <v>11.42937</v>
      </c>
      <c r="AC1157" s="121">
        <v>11.42937</v>
      </c>
      <c r="AD1157" s="121">
        <v>11.42937</v>
      </c>
      <c r="AE1157" s="121">
        <v>11.42937</v>
      </c>
      <c r="AF1157" s="121">
        <v>11.42937</v>
      </c>
      <c r="AG1157" s="121">
        <v>11.42937</v>
      </c>
      <c r="AH1157" s="121">
        <v>11.42937</v>
      </c>
      <c r="AI1157" s="121">
        <v>11.42937</v>
      </c>
      <c r="AJ1157" s="121">
        <v>11.42937</v>
      </c>
      <c r="AK1157" s="121">
        <v>11.42937</v>
      </c>
      <c r="AL1157" s="121">
        <v>11.42937</v>
      </c>
      <c r="AM1157" s="121">
        <v>11.42937</v>
      </c>
      <c r="AN1157" s="121">
        <v>11.42937</v>
      </c>
      <c r="AO1157" s="121">
        <v>11.42937</v>
      </c>
      <c r="AP1157" s="125" t="str">
        <f>CONCATENATE(A1157,M1157)</f>
        <v>Def TaxR</v>
      </c>
      <c r="AQ1157" s="125" t="str">
        <f>CONCATENATE(AP1157,L1157,H1157)</f>
        <v>Def TaxRR11Excess DIT &gt; 7.1% (NYS)</v>
      </c>
      <c r="AS1157" s="125" t="str">
        <f>CONCATENATE(L1157,H1157,J1157)</f>
        <v>R11Excess DIT &gt; 7.1% (NYS)</v>
      </c>
    </row>
    <row r="1158" spans="1:45" s="125" customFormat="1" ht="25.5" customHeight="1">
      <c r="A1158" s="216" t="s">
        <v>1996</v>
      </c>
      <c r="B1158" s="217" t="str">
        <f t="shared" si="478"/>
        <v>Def Tax190512NCR/Non NCR-f0</v>
      </c>
      <c r="C1158" s="186">
        <v>190512</v>
      </c>
      <c r="D1158" s="201" t="s">
        <v>2359</v>
      </c>
      <c r="E1158" s="162">
        <v>0</v>
      </c>
      <c r="F1158" s="169" t="s">
        <v>347</v>
      </c>
      <c r="G1158" s="117" t="s">
        <v>1378</v>
      </c>
      <c r="H1158" s="118" t="s">
        <v>967</v>
      </c>
      <c r="I1158" s="119"/>
      <c r="J1158" s="120"/>
      <c r="K1158" s="120" t="str">
        <f t="shared" si="480"/>
        <v/>
      </c>
      <c r="L1158" s="170" t="s">
        <v>1895</v>
      </c>
      <c r="M1158" s="122" t="str">
        <f t="shared" si="479"/>
        <v>R</v>
      </c>
      <c r="N1158" s="116" t="str">
        <f>IF($L1158&lt;&gt;"",VLOOKUP($L1158,Categories!$E:$G,2,FALSE),IF($F1158&lt;&gt;"","NO CAT",""))</f>
        <v>Rate Base</v>
      </c>
      <c r="O1158" s="116" t="str">
        <f>IF($L1158&lt;&gt;"",VLOOKUP($L1158,Categories!$E:$G,3,FALSE),IF($F1158&lt;&gt;"","NO CAT",""))</f>
        <v>Deferred Income Taxes</v>
      </c>
      <c r="P1158" s="170" t="s">
        <v>1184</v>
      </c>
      <c r="Q1158" s="123" t="s">
        <v>1178</v>
      </c>
      <c r="R1158" s="124">
        <v>0</v>
      </c>
      <c r="S1158" s="124">
        <v>1</v>
      </c>
      <c r="T1158" s="124">
        <v>0</v>
      </c>
      <c r="U1158" s="121">
        <f t="shared" si="472"/>
        <v>0</v>
      </c>
      <c r="V1158" s="121">
        <f t="shared" si="473"/>
        <v>3.16581</v>
      </c>
      <c r="W1158" s="121">
        <f t="shared" si="474"/>
        <v>0</v>
      </c>
      <c r="X1158" s="121">
        <f t="shared" si="481"/>
        <v>3.16581</v>
      </c>
      <c r="Y1158" s="121">
        <f t="shared" si="475"/>
        <v>0</v>
      </c>
      <c r="Z1158" s="121">
        <f t="shared" si="476"/>
        <v>3.16581</v>
      </c>
      <c r="AA1158" s="121">
        <f t="shared" si="477"/>
        <v>0</v>
      </c>
      <c r="AB1158" s="121">
        <f t="shared" si="482"/>
        <v>3.16581</v>
      </c>
      <c r="AC1158" s="121">
        <v>3.16581</v>
      </c>
      <c r="AD1158" s="121">
        <v>3.16581</v>
      </c>
      <c r="AE1158" s="121">
        <v>3.16581</v>
      </c>
      <c r="AF1158" s="121">
        <v>3.16581</v>
      </c>
      <c r="AG1158" s="121">
        <v>3.16581</v>
      </c>
      <c r="AH1158" s="121">
        <v>3.16581</v>
      </c>
      <c r="AI1158" s="121">
        <v>3.16581</v>
      </c>
      <c r="AJ1158" s="121">
        <v>3.16581</v>
      </c>
      <c r="AK1158" s="121">
        <v>3.16581</v>
      </c>
      <c r="AL1158" s="121">
        <v>3.16581</v>
      </c>
      <c r="AM1158" s="121">
        <v>3.16581</v>
      </c>
      <c r="AN1158" s="121">
        <v>3.16581</v>
      </c>
      <c r="AO1158" s="121">
        <v>3.16581</v>
      </c>
      <c r="AP1158" s="125" t="str">
        <f>CONCATENATE(A1158,M1158)</f>
        <v>Def TaxR</v>
      </c>
      <c r="AQ1158" s="125" t="str">
        <f>CONCATENATE(AP1158,L1158,H1158)</f>
        <v>Def TaxRR11Excess DIT &gt; 7.1% (NYS)</v>
      </c>
      <c r="AS1158" s="125" t="str">
        <f>CONCATENATE(L1158,H1158,J1158)</f>
        <v>R11Excess DIT &gt; 7.1% (NYS)</v>
      </c>
    </row>
    <row r="1159" spans="1:45" s="125" customFormat="1" ht="25.5" customHeight="1">
      <c r="A1159" s="216" t="s">
        <v>1996</v>
      </c>
      <c r="B1159" s="217" t="str">
        <f t="shared" si="478"/>
        <v>Def Tax190512NCR/Non NCR-g0</v>
      </c>
      <c r="C1159" s="186">
        <v>190512</v>
      </c>
      <c r="D1159" s="201" t="s">
        <v>2360</v>
      </c>
      <c r="E1159" s="162">
        <v>0</v>
      </c>
      <c r="F1159" s="169" t="s">
        <v>347</v>
      </c>
      <c r="G1159" s="117" t="s">
        <v>369</v>
      </c>
      <c r="H1159" s="118" t="s">
        <v>967</v>
      </c>
      <c r="I1159" s="119"/>
      <c r="J1159" s="120"/>
      <c r="K1159" s="120" t="str">
        <f t="shared" si="480"/>
        <v/>
      </c>
      <c r="L1159" s="170" t="s">
        <v>1895</v>
      </c>
      <c r="M1159" s="122" t="str">
        <f t="shared" si="479"/>
        <v>R</v>
      </c>
      <c r="N1159" s="116" t="str">
        <f>IF($L1159&lt;&gt;"",VLOOKUP($L1159,Categories!$E:$G,2,FALSE),IF($F1159&lt;&gt;"","NO CAT",""))</f>
        <v>Rate Base</v>
      </c>
      <c r="O1159" s="116" t="str">
        <f>IF($L1159&lt;&gt;"",VLOOKUP($L1159,Categories!$E:$G,3,FALSE),IF($F1159&lt;&gt;"","NO CAT",""))</f>
        <v>Deferred Income Taxes</v>
      </c>
      <c r="P1159" s="170" t="s">
        <v>1184</v>
      </c>
      <c r="Q1159" s="123" t="s">
        <v>1178</v>
      </c>
      <c r="R1159" s="124">
        <v>0</v>
      </c>
      <c r="S1159" s="124">
        <v>1</v>
      </c>
      <c r="T1159" s="124">
        <v>0</v>
      </c>
      <c r="U1159" s="121">
        <f t="shared" si="472"/>
        <v>0</v>
      </c>
      <c r="V1159" s="121">
        <f t="shared" si="473"/>
        <v>16.707370000000001</v>
      </c>
      <c r="W1159" s="121">
        <f t="shared" si="474"/>
        <v>0</v>
      </c>
      <c r="X1159" s="121">
        <f t="shared" si="481"/>
        <v>16.707370000000001</v>
      </c>
      <c r="Y1159" s="121">
        <f t="shared" si="475"/>
        <v>0</v>
      </c>
      <c r="Z1159" s="121">
        <f t="shared" si="476"/>
        <v>16.707370000000001</v>
      </c>
      <c r="AA1159" s="121">
        <f t="shared" si="477"/>
        <v>0</v>
      </c>
      <c r="AB1159" s="121">
        <f t="shared" si="482"/>
        <v>16.707369999999997</v>
      </c>
      <c r="AC1159" s="121">
        <v>16.707369999999997</v>
      </c>
      <c r="AD1159" s="121">
        <v>16.707369999999997</v>
      </c>
      <c r="AE1159" s="121">
        <v>16.707369999999997</v>
      </c>
      <c r="AF1159" s="121">
        <v>16.707369999999997</v>
      </c>
      <c r="AG1159" s="121">
        <v>16.707369999999997</v>
      </c>
      <c r="AH1159" s="121">
        <v>16.707369999999997</v>
      </c>
      <c r="AI1159" s="121">
        <v>16.707369999999997</v>
      </c>
      <c r="AJ1159" s="121">
        <v>16.707369999999997</v>
      </c>
      <c r="AK1159" s="121">
        <v>16.707369999999997</v>
      </c>
      <c r="AL1159" s="121">
        <v>16.707369999999997</v>
      </c>
      <c r="AM1159" s="121">
        <v>16.707369999999997</v>
      </c>
      <c r="AN1159" s="121">
        <v>16.707369999999997</v>
      </c>
      <c r="AO1159" s="121">
        <v>16.707369999999997</v>
      </c>
      <c r="AP1159" s="125" t="str">
        <f>CONCATENATE(A1159,M1159)</f>
        <v>Def TaxR</v>
      </c>
      <c r="AQ1159" s="125" t="str">
        <f>CONCATENATE(AP1159,L1159,H1159)</f>
        <v>Def TaxRR11Excess DIT &gt; 7.1% (NYS)</v>
      </c>
      <c r="AS1159" s="125" t="str">
        <f>CONCATENATE(L1159,H1159,J1159)</f>
        <v>R11Excess DIT &gt; 7.1% (NYS)</v>
      </c>
    </row>
    <row r="1160" spans="1:45" s="125" customFormat="1" ht="25.5" customHeight="1">
      <c r="A1160" s="216" t="s">
        <v>1996</v>
      </c>
      <c r="B1160" s="217" t="str">
        <f t="shared" si="478"/>
        <v>Def Tax190512NCR/Non NCR-h0</v>
      </c>
      <c r="C1160" s="186">
        <v>190512</v>
      </c>
      <c r="D1160" s="201" t="s">
        <v>2361</v>
      </c>
      <c r="E1160" s="162">
        <v>0</v>
      </c>
      <c r="F1160" s="169" t="s">
        <v>347</v>
      </c>
      <c r="G1160" s="117" t="s">
        <v>370</v>
      </c>
      <c r="H1160" s="118" t="s">
        <v>967</v>
      </c>
      <c r="I1160" s="119"/>
      <c r="J1160" s="120"/>
      <c r="K1160" s="120" t="str">
        <f t="shared" si="480"/>
        <v/>
      </c>
      <c r="L1160" s="170" t="s">
        <v>1895</v>
      </c>
      <c r="M1160" s="122" t="str">
        <f t="shared" si="479"/>
        <v>R</v>
      </c>
      <c r="N1160" s="116" t="str">
        <f>IF($L1160&lt;&gt;"",VLOOKUP($L1160,Categories!$E:$G,2,FALSE),IF($F1160&lt;&gt;"","NO CAT",""))</f>
        <v>Rate Base</v>
      </c>
      <c r="O1160" s="116" t="str">
        <f>IF($L1160&lt;&gt;"",VLOOKUP($L1160,Categories!$E:$G,3,FALSE),IF($F1160&lt;&gt;"","NO CAT",""))</f>
        <v>Deferred Income Taxes</v>
      </c>
      <c r="P1160" s="170" t="s">
        <v>1184</v>
      </c>
      <c r="Q1160" s="123" t="s">
        <v>1178</v>
      </c>
      <c r="R1160" s="124">
        <v>0</v>
      </c>
      <c r="S1160" s="124">
        <v>1</v>
      </c>
      <c r="T1160" s="124">
        <v>0</v>
      </c>
      <c r="U1160" s="121">
        <f t="shared" si="472"/>
        <v>0</v>
      </c>
      <c r="V1160" s="121">
        <f t="shared" si="473"/>
        <v>-1.5869999999999999E-2</v>
      </c>
      <c r="W1160" s="121">
        <f t="shared" si="474"/>
        <v>0</v>
      </c>
      <c r="X1160" s="121">
        <f t="shared" si="481"/>
        <v>-1.5869999999999999E-2</v>
      </c>
      <c r="Y1160" s="121">
        <f t="shared" si="475"/>
        <v>0</v>
      </c>
      <c r="Z1160" s="121">
        <f t="shared" si="476"/>
        <v>-1.5869999999999999E-2</v>
      </c>
      <c r="AA1160" s="121">
        <f t="shared" si="477"/>
        <v>0</v>
      </c>
      <c r="AB1160" s="121">
        <f t="shared" si="482"/>
        <v>-1.5869999999999999E-2</v>
      </c>
      <c r="AC1160" s="121">
        <v>-1.5869999999999999E-2</v>
      </c>
      <c r="AD1160" s="121">
        <v>-1.5869999999999999E-2</v>
      </c>
      <c r="AE1160" s="121">
        <v>-1.5869999999999999E-2</v>
      </c>
      <c r="AF1160" s="121">
        <v>-1.5869999999999999E-2</v>
      </c>
      <c r="AG1160" s="121">
        <v>-1.5869999999999999E-2</v>
      </c>
      <c r="AH1160" s="121">
        <v>-1.5869999999999999E-2</v>
      </c>
      <c r="AI1160" s="121">
        <v>-1.5869999999999999E-2</v>
      </c>
      <c r="AJ1160" s="121">
        <v>-1.5869999999999999E-2</v>
      </c>
      <c r="AK1160" s="121">
        <v>-1.5869999999999999E-2</v>
      </c>
      <c r="AL1160" s="121">
        <v>-1.5869999999999999E-2</v>
      </c>
      <c r="AM1160" s="121">
        <v>-1.5869999999999999E-2</v>
      </c>
      <c r="AN1160" s="121">
        <v>-1.5869999999999999E-2</v>
      </c>
      <c r="AO1160" s="121">
        <v>-1.5869999999999999E-2</v>
      </c>
      <c r="AP1160" s="125" t="str">
        <f>CONCATENATE(A1160,M1160)</f>
        <v>Def TaxR</v>
      </c>
      <c r="AQ1160" s="125" t="str">
        <f>CONCATENATE(AP1160,L1160,H1160)</f>
        <v>Def TaxRR11Excess DIT &gt; 7.1% (NYS)</v>
      </c>
      <c r="AS1160" s="125" t="str">
        <f>CONCATENATE(L1160,H1160,J1160)</f>
        <v>R11Excess DIT &gt; 7.1% (NYS)</v>
      </c>
    </row>
    <row r="1161" spans="1:45" s="125" customFormat="1" ht="25.5" customHeight="1">
      <c r="A1161" s="216" t="s">
        <v>1996</v>
      </c>
      <c r="B1161" s="217" t="str">
        <f t="shared" si="478"/>
        <v>Def Tax190512NCR/Non NCR-i0</v>
      </c>
      <c r="C1161" s="186">
        <v>190512</v>
      </c>
      <c r="D1161" s="201" t="s">
        <v>2362</v>
      </c>
      <c r="E1161" s="162">
        <v>0</v>
      </c>
      <c r="F1161" s="169" t="s">
        <v>347</v>
      </c>
      <c r="G1161" s="117" t="s">
        <v>1379</v>
      </c>
      <c r="H1161" s="118" t="s">
        <v>967</v>
      </c>
      <c r="I1161" s="119"/>
      <c r="J1161" s="120"/>
      <c r="K1161" s="120" t="str">
        <f t="shared" si="480"/>
        <v/>
      </c>
      <c r="L1161" s="170" t="s">
        <v>1895</v>
      </c>
      <c r="M1161" s="122" t="str">
        <f t="shared" si="479"/>
        <v>R</v>
      </c>
      <c r="N1161" s="116" t="str">
        <f>IF($L1161&lt;&gt;"",VLOOKUP($L1161,Categories!$E:$G,2,FALSE),IF($F1161&lt;&gt;"","NO CAT",""))</f>
        <v>Rate Base</v>
      </c>
      <c r="O1161" s="116" t="str">
        <f>IF($L1161&lt;&gt;"",VLOOKUP($L1161,Categories!$E:$G,3,FALSE),IF($F1161&lt;&gt;"","NO CAT",""))</f>
        <v>Deferred Income Taxes</v>
      </c>
      <c r="P1161" s="170" t="s">
        <v>1184</v>
      </c>
      <c r="Q1161" s="123" t="s">
        <v>1178</v>
      </c>
      <c r="R1161" s="124">
        <v>0</v>
      </c>
      <c r="S1161" s="124">
        <v>1</v>
      </c>
      <c r="T1161" s="124">
        <v>0</v>
      </c>
      <c r="U1161" s="121">
        <f t="shared" ref="U1161:U1267" si="483">IF(ABS(X1161)=0,"",IF($R1161="NO ALLOC","NO ALLOC",ROUND($R1161*X1161,15)))</f>
        <v>0</v>
      </c>
      <c r="V1161" s="121">
        <f t="shared" ref="V1161:V1267" si="484">IF(ABS(X1161)=0,"",IF($S1161="NO ALLOC","NO ALLOC",ROUND($S1161*X1161,15)))</f>
        <v>-2.3742700000000001</v>
      </c>
      <c r="W1161" s="121">
        <f t="shared" ref="W1161:W1267" si="485">IF(ABS(X1161)=0,"",IF($T1161="NO ALLOC","NO ALLOC",ROUND($T1161*X1161,15)))</f>
        <v>0</v>
      </c>
      <c r="X1161" s="121">
        <f t="shared" si="481"/>
        <v>-2.3742700000000001</v>
      </c>
      <c r="Y1161" s="121">
        <f t="shared" ref="Y1161:Y1267" si="486">IF(ABS(AB1161)=0,"",IF($R1161="NO ALLOC","NO ALLOC",ROUND($R1161*AB1161,15)))</f>
        <v>0</v>
      </c>
      <c r="Z1161" s="121">
        <f t="shared" ref="Z1161:Z1267" si="487">IF(ABS(AB1161)=0,"",IF($S1161="NO ALLOC","NO ALLOC",ROUND($S1161*AB1161,15)))</f>
        <v>-2.3742700000000001</v>
      </c>
      <c r="AA1161" s="121">
        <f t="shared" ref="AA1161:AA1267" si="488">IF(ABS(AB1161)=0,"",IF($T1161="NO ALLOC","NO ALLOC",ROUND($T1161*AB1161,15)))</f>
        <v>0</v>
      </c>
      <c r="AB1161" s="121">
        <f t="shared" si="482"/>
        <v>-2.3742700000000001</v>
      </c>
      <c r="AC1161" s="121">
        <v>-2.3742700000000001</v>
      </c>
      <c r="AD1161" s="121">
        <v>-2.3742700000000001</v>
      </c>
      <c r="AE1161" s="121">
        <v>-2.3742700000000001</v>
      </c>
      <c r="AF1161" s="121">
        <v>-2.3742700000000001</v>
      </c>
      <c r="AG1161" s="121">
        <v>-2.3742700000000001</v>
      </c>
      <c r="AH1161" s="121">
        <v>-2.3742700000000001</v>
      </c>
      <c r="AI1161" s="121">
        <v>-2.3742700000000001</v>
      </c>
      <c r="AJ1161" s="121">
        <v>-2.3742700000000001</v>
      </c>
      <c r="AK1161" s="121">
        <v>-2.3742700000000001</v>
      </c>
      <c r="AL1161" s="121">
        <v>-2.3742700000000001</v>
      </c>
      <c r="AM1161" s="121">
        <v>-2.3742700000000001</v>
      </c>
      <c r="AN1161" s="121">
        <v>-2.3742700000000001</v>
      </c>
      <c r="AO1161" s="121">
        <v>-2.3742700000000001</v>
      </c>
      <c r="AP1161" s="125" t="str">
        <f>CONCATENATE(A1161,M1161)</f>
        <v>Def TaxR</v>
      </c>
      <c r="AQ1161" s="125" t="str">
        <f>CONCATENATE(AP1161,L1161,H1161)</f>
        <v>Def TaxRR11Excess DIT &gt; 7.1% (NYS)</v>
      </c>
      <c r="AS1161" s="125" t="str">
        <f>CONCATENATE(L1161,H1161,J1161)</f>
        <v>R11Excess DIT &gt; 7.1% (NYS)</v>
      </c>
    </row>
    <row r="1162" spans="1:45" s="125" customFormat="1" ht="25.5" customHeight="1">
      <c r="A1162" s="216" t="s">
        <v>1996</v>
      </c>
      <c r="B1162" s="217" t="str">
        <f t="shared" si="478"/>
        <v>Def Tax190512Veg MgtBG030595</v>
      </c>
      <c r="C1162" s="186">
        <v>190512</v>
      </c>
      <c r="D1162" s="201" t="s">
        <v>2720</v>
      </c>
      <c r="E1162" s="162" t="s">
        <v>2520</v>
      </c>
      <c r="F1162" s="169" t="s">
        <v>347</v>
      </c>
      <c r="G1162" s="117" t="s">
        <v>2485</v>
      </c>
      <c r="H1162" s="118" t="s">
        <v>892</v>
      </c>
      <c r="I1162" s="119"/>
      <c r="J1162" s="231" t="s">
        <v>105</v>
      </c>
      <c r="K1162" s="120" t="str">
        <f t="shared" si="480"/>
        <v/>
      </c>
      <c r="L1162" s="170" t="s">
        <v>2821</v>
      </c>
      <c r="M1162" s="122" t="str">
        <f t="shared" si="479"/>
        <v>N</v>
      </c>
      <c r="N1162" s="116" t="str">
        <f>IF($L1162&lt;&gt;"",VLOOKUP($L1162,Categories!$E:$G,2,FALSE),IF($F1162&lt;&gt;"","NO CAT",""))</f>
        <v>Not in Rate Base</v>
      </c>
      <c r="O1162" s="116" t="str">
        <f>IF($L1162&lt;&gt;"",VLOOKUP($L1162,Categories!$E:$G,3,FALSE),IF($F1162&lt;&gt;"","NO CAT",""))</f>
        <v>Deferrals Accruing Non-Cash Return   (other than ASGA)</v>
      </c>
      <c r="P1162" s="170" t="s">
        <v>1186</v>
      </c>
      <c r="Q1162" s="123" t="s">
        <v>1187</v>
      </c>
      <c r="R1162" s="124">
        <v>0</v>
      </c>
      <c r="S1162" s="124">
        <v>0</v>
      </c>
      <c r="T1162" s="124">
        <v>1</v>
      </c>
      <c r="U1162" s="121">
        <f t="shared" si="483"/>
        <v>0</v>
      </c>
      <c r="V1162" s="121">
        <f t="shared" si="484"/>
        <v>0</v>
      </c>
      <c r="W1162" s="121">
        <f t="shared" si="485"/>
        <v>12.8932741666667</v>
      </c>
      <c r="X1162" s="121">
        <f t="shared" si="481"/>
        <v>12.8932741666667</v>
      </c>
      <c r="Y1162" s="121">
        <f t="shared" si="486"/>
        <v>0</v>
      </c>
      <c r="Z1162" s="121">
        <f t="shared" si="487"/>
        <v>0</v>
      </c>
      <c r="AA1162" s="121">
        <f t="shared" si="488"/>
        <v>6.8541600000000003</v>
      </c>
      <c r="AB1162" s="121">
        <f t="shared" si="482"/>
        <v>6.8541599999999985</v>
      </c>
      <c r="AC1162" s="121">
        <v>3.9219999999999993</v>
      </c>
      <c r="AD1162" s="121">
        <v>4.6760699999999984</v>
      </c>
      <c r="AE1162" s="121">
        <v>6.8076699999999981</v>
      </c>
      <c r="AF1162" s="121">
        <v>8.1395399999999984</v>
      </c>
      <c r="AG1162" s="121">
        <v>9.6394299999999991</v>
      </c>
      <c r="AH1162" s="121">
        <v>13.178719999999997</v>
      </c>
      <c r="AI1162" s="161">
        <v>14.678829999999998</v>
      </c>
      <c r="AJ1162" s="161">
        <v>16.179039999999997</v>
      </c>
      <c r="AK1162" s="161">
        <v>17.679369999999995</v>
      </c>
      <c r="AL1162" s="161">
        <v>18.924199999999995</v>
      </c>
      <c r="AM1162" s="161">
        <v>19.671439999999997</v>
      </c>
      <c r="AN1162" s="161">
        <v>19.756899999999998</v>
      </c>
      <c r="AO1162" s="161">
        <v>6.8541599999999985</v>
      </c>
      <c r="AP1162" s="125" t="str">
        <f>CONCATENATE(A1162,M1162)</f>
        <v>Def TaxN</v>
      </c>
      <c r="AQ1162" s="125" t="str">
        <f>CONCATENATE(AP1162,L1162,H1162)</f>
        <v>Def TaxNN10Vegetation Management</v>
      </c>
      <c r="AS1162" s="125" t="str">
        <f>CONCATENATE(L1162,H1162,J1162)</f>
        <v>N10Vegetation ManagementNCR</v>
      </c>
    </row>
    <row r="1163" spans="1:45" s="125" customFormat="1" ht="25.5" customHeight="1">
      <c r="A1163" s="216" t="s">
        <v>1996</v>
      </c>
      <c r="B1163" s="217" t="str">
        <f t="shared" si="478"/>
        <v>Def Tax190512Low IncomeBG030594</v>
      </c>
      <c r="C1163" s="186">
        <v>190512</v>
      </c>
      <c r="D1163" s="201" t="s">
        <v>2833</v>
      </c>
      <c r="E1163" s="162" t="s">
        <v>1880</v>
      </c>
      <c r="F1163" s="169" t="s">
        <v>347</v>
      </c>
      <c r="G1163" s="117" t="s">
        <v>1121</v>
      </c>
      <c r="H1163" s="118" t="s">
        <v>2833</v>
      </c>
      <c r="I1163" s="119"/>
      <c r="J1163" s="231" t="s">
        <v>105</v>
      </c>
      <c r="K1163" s="120" t="str">
        <f t="shared" si="480"/>
        <v/>
      </c>
      <c r="L1163" s="170" t="s">
        <v>2821</v>
      </c>
      <c r="M1163" s="122" t="str">
        <f t="shared" si="479"/>
        <v>N</v>
      </c>
      <c r="N1163" s="116" t="str">
        <f>IF($L1163&lt;&gt;"",VLOOKUP($L1163,Categories!$E:$G,2,FALSE),IF($F1163&lt;&gt;"","NO CAT",""))</f>
        <v>Not in Rate Base</v>
      </c>
      <c r="O1163" s="116" t="str">
        <f>IF($L1163&lt;&gt;"",VLOOKUP($L1163,Categories!$E:$G,3,FALSE),IF($F1163&lt;&gt;"","NO CAT",""))</f>
        <v>Deferrals Accruing Non-Cash Return   (other than ASGA)</v>
      </c>
      <c r="P1163" s="170" t="s">
        <v>1186</v>
      </c>
      <c r="Q1163" s="123" t="s">
        <v>1187</v>
      </c>
      <c r="R1163" s="124">
        <v>0</v>
      </c>
      <c r="S1163" s="124">
        <v>0</v>
      </c>
      <c r="T1163" s="124">
        <v>1</v>
      </c>
      <c r="U1163" s="121">
        <f t="shared" si="483"/>
        <v>0</v>
      </c>
      <c r="V1163" s="121">
        <f t="shared" si="484"/>
        <v>0</v>
      </c>
      <c r="W1163" s="121">
        <f t="shared" si="485"/>
        <v>-836.86042833333397</v>
      </c>
      <c r="X1163" s="121">
        <f t="shared" si="481"/>
        <v>-836.86042833333397</v>
      </c>
      <c r="Y1163" s="121">
        <f t="shared" si="486"/>
        <v>0</v>
      </c>
      <c r="Z1163" s="121">
        <f t="shared" si="487"/>
        <v>0</v>
      </c>
      <c r="AA1163" s="121">
        <f t="shared" si="488"/>
        <v>-971.85847999999999</v>
      </c>
      <c r="AB1163" s="121">
        <f t="shared" si="482"/>
        <v>-971.8584800000001</v>
      </c>
      <c r="AC1163" s="121">
        <v>-691.22562000000016</v>
      </c>
      <c r="AD1163" s="121">
        <v>-715.31119000000001</v>
      </c>
      <c r="AE1163" s="121">
        <v>-739.47886000000005</v>
      </c>
      <c r="AF1163" s="121">
        <v>-765.11928000000012</v>
      </c>
      <c r="AG1163" s="121">
        <v>-790.75812000000008</v>
      </c>
      <c r="AH1163" s="121">
        <v>-816.13341000000014</v>
      </c>
      <c r="AI1163" s="161">
        <v>-840.61665000000016</v>
      </c>
      <c r="AJ1163" s="161">
        <v>-864.47938000000011</v>
      </c>
      <c r="AK1163" s="161">
        <v>-887.09816000000012</v>
      </c>
      <c r="AL1163" s="161">
        <v>-909.30676000000017</v>
      </c>
      <c r="AM1163" s="161">
        <v>-930.8959000000001</v>
      </c>
      <c r="AN1163" s="161">
        <v>-951.5853800000001</v>
      </c>
      <c r="AO1163" s="161">
        <v>-971.8584800000001</v>
      </c>
      <c r="AP1163" s="125" t="str">
        <f>CONCATENATE(A1163,M1163)</f>
        <v>Def TaxN</v>
      </c>
      <c r="AQ1163" s="125" t="str">
        <f>CONCATENATE(AP1163,L1163,H1163)</f>
        <v>Def TaxNN10Low Income</v>
      </c>
      <c r="AS1163" s="125" t="str">
        <f>CONCATENATE(L1163,H1163,J1163)</f>
        <v>N10Low IncomeNCR</v>
      </c>
    </row>
    <row r="1164" spans="1:45" s="125" customFormat="1" ht="25.5" customHeight="1">
      <c r="A1164" s="216" t="s">
        <v>1996</v>
      </c>
      <c r="B1164" s="217" t="str">
        <f>CONCATENATE(A1164,C1164,D1164,E1164)</f>
        <v>Def Tax190512BT010391</v>
      </c>
      <c r="C1164" s="186">
        <v>190512</v>
      </c>
      <c r="D1164" s="201"/>
      <c r="E1164" s="162" t="s">
        <v>4732</v>
      </c>
      <c r="F1164" s="169" t="s">
        <v>347</v>
      </c>
      <c r="G1164" s="117" t="s">
        <v>4731</v>
      </c>
      <c r="H1164" s="118" t="s">
        <v>4673</v>
      </c>
      <c r="I1164" s="119"/>
      <c r="J1164" s="231"/>
      <c r="K1164" s="120" t="str">
        <f>IF(L1164="N3","SFAS-109","")</f>
        <v/>
      </c>
      <c r="L1164" s="170" t="s">
        <v>1895</v>
      </c>
      <c r="M1164" s="122" t="str">
        <f>LEFT(L1164,1)</f>
        <v>R</v>
      </c>
      <c r="N1164" s="116" t="str">
        <f>IF($L1164&lt;&gt;"",VLOOKUP($L1164,Categories!$E:$G,2,FALSE),IF($F1164&lt;&gt;"","NO CAT",""))</f>
        <v>Rate Base</v>
      </c>
      <c r="O1164" s="116" t="str">
        <f>IF($L1164&lt;&gt;"",VLOOKUP($L1164,Categories!$E:$G,3,FALSE),IF($F1164&lt;&gt;"","NO CAT",""))</f>
        <v>Deferred Income Taxes</v>
      </c>
      <c r="P1164" s="170" t="s">
        <v>1184</v>
      </c>
      <c r="Q1164" s="123" t="s">
        <v>1178</v>
      </c>
      <c r="R1164" s="124">
        <v>0</v>
      </c>
      <c r="S1164" s="124">
        <v>1</v>
      </c>
      <c r="T1164" s="124">
        <v>0</v>
      </c>
      <c r="U1164" s="121">
        <f>IF(ABS(X1164)=0,"",IF($R1164="NO ALLOC","NO ALLOC",ROUND($R1164*X1164,15)))</f>
        <v>0</v>
      </c>
      <c r="V1164" s="121">
        <f>IF(ABS(X1164)=0,"",IF($S1164="NO ALLOC","NO ALLOC",ROUND($S1164*X1164,15)))</f>
        <v>53.63064</v>
      </c>
      <c r="W1164" s="121">
        <f>IF(ABS(X1164)=0,"",IF($T1164="NO ALLOC","NO ALLOC",ROUND($T1164*X1164,15)))</f>
        <v>0</v>
      </c>
      <c r="X1164" s="121">
        <f t="shared" si="481"/>
        <v>53.63064</v>
      </c>
      <c r="Y1164" s="121">
        <f>IF(ABS(AB1164)=0,"",IF($R1164="NO ALLOC","NO ALLOC",ROUND($R1164*AB1164,15)))</f>
        <v>0</v>
      </c>
      <c r="Z1164" s="121">
        <f>IF(ABS(AB1164)=0,"",IF($S1164="NO ALLOC","NO ALLOC",ROUND($S1164*AB1164,15)))</f>
        <v>108.77200000000001</v>
      </c>
      <c r="AA1164" s="121">
        <f>IF(ABS(AB1164)=0,"",IF($T1164="NO ALLOC","NO ALLOC",ROUND($T1164*AB1164,15)))</f>
        <v>0</v>
      </c>
      <c r="AB1164" s="121">
        <f t="shared" si="482"/>
        <v>108.77200000000001</v>
      </c>
      <c r="AC1164" s="121"/>
      <c r="AD1164" s="121"/>
      <c r="AE1164" s="121">
        <v>18.12867</v>
      </c>
      <c r="AF1164" s="121">
        <v>27.193000000000001</v>
      </c>
      <c r="AG1164" s="121">
        <v>36.257330000000003</v>
      </c>
      <c r="AH1164" s="121">
        <v>45.321669999999997</v>
      </c>
      <c r="AI1164" s="161">
        <v>54.386000000000003</v>
      </c>
      <c r="AJ1164" s="161">
        <v>63.450330000000001</v>
      </c>
      <c r="AK1164" s="161">
        <v>72.514669999999995</v>
      </c>
      <c r="AL1164" s="161">
        <v>81.578999999999994</v>
      </c>
      <c r="AM1164" s="161">
        <v>90.643339999999995</v>
      </c>
      <c r="AN1164" s="161">
        <v>99.707669999999993</v>
      </c>
      <c r="AO1164" s="161">
        <v>108.77200000000001</v>
      </c>
      <c r="AP1164" s="125" t="str">
        <f>CONCATENATE(A1164,M1164)</f>
        <v>Def TaxR</v>
      </c>
      <c r="AQ1164" s="125" t="str">
        <f>CONCATENATE(AP1164,L1164,H1164)</f>
        <v>Def TaxRR11Continuation of Current Amorts Until New Rates Reset</v>
      </c>
      <c r="AS1164" s="125" t="str">
        <f>CONCATENATE(L1164,H1164,J1164)</f>
        <v>R11Continuation of Current Amorts Until New Rates Reset</v>
      </c>
    </row>
    <row r="1165" spans="1:45" s="125" customFormat="1" ht="25.5" customHeight="1">
      <c r="A1165" s="216" t="s">
        <v>1996</v>
      </c>
      <c r="B1165" s="217" t="str">
        <f t="shared" si="478"/>
        <v>Def Tax190512SenecaBT010389</v>
      </c>
      <c r="C1165" s="186">
        <v>190512</v>
      </c>
      <c r="D1165" s="201" t="s">
        <v>795</v>
      </c>
      <c r="E1165" s="162" t="s">
        <v>1666</v>
      </c>
      <c r="F1165" s="169" t="s">
        <v>347</v>
      </c>
      <c r="G1165" s="117" t="s">
        <v>1667</v>
      </c>
      <c r="H1165" s="118" t="s">
        <v>792</v>
      </c>
      <c r="I1165" s="119"/>
      <c r="J1165" s="231" t="s">
        <v>105</v>
      </c>
      <c r="K1165" s="120" t="str">
        <f t="shared" si="480"/>
        <v/>
      </c>
      <c r="L1165" s="170" t="s">
        <v>2821</v>
      </c>
      <c r="M1165" s="122" t="str">
        <f t="shared" si="479"/>
        <v>N</v>
      </c>
      <c r="N1165" s="116" t="str">
        <f>IF($L1165&lt;&gt;"",VLOOKUP($L1165,Categories!$E:$G,2,FALSE),IF($F1165&lt;&gt;"","NO CAT",""))</f>
        <v>Not in Rate Base</v>
      </c>
      <c r="O1165" s="116" t="str">
        <f>IF($L1165&lt;&gt;"",VLOOKUP($L1165,Categories!$E:$G,3,FALSE),IF($F1165&lt;&gt;"","NO CAT",""))</f>
        <v>Deferrals Accruing Non-Cash Return   (other than ASGA)</v>
      </c>
      <c r="P1165" s="170" t="s">
        <v>1186</v>
      </c>
      <c r="Q1165" s="123" t="s">
        <v>1187</v>
      </c>
      <c r="R1165" s="124">
        <v>0</v>
      </c>
      <c r="S1165" s="124">
        <v>0</v>
      </c>
      <c r="T1165" s="124">
        <v>1</v>
      </c>
      <c r="U1165" s="121">
        <f t="shared" si="483"/>
        <v>0</v>
      </c>
      <c r="V1165" s="121">
        <f t="shared" si="484"/>
        <v>0</v>
      </c>
      <c r="W1165" s="121">
        <f t="shared" si="485"/>
        <v>337.99555833333301</v>
      </c>
      <c r="X1165" s="121">
        <f t="shared" si="481"/>
        <v>337.99555833333301</v>
      </c>
      <c r="Y1165" s="121">
        <f t="shared" si="486"/>
        <v>0</v>
      </c>
      <c r="Z1165" s="121">
        <f t="shared" si="487"/>
        <v>0</v>
      </c>
      <c r="AA1165" s="121">
        <f t="shared" si="488"/>
        <v>120.86163999999999</v>
      </c>
      <c r="AB1165" s="121">
        <f t="shared" si="482"/>
        <v>120.86164000000005</v>
      </c>
      <c r="AC1165" s="121">
        <v>608.67842000000007</v>
      </c>
      <c r="AD1165" s="121">
        <v>524.91704000000004</v>
      </c>
      <c r="AE1165" s="121">
        <v>451.28616000000005</v>
      </c>
      <c r="AF1165" s="121">
        <v>384.20245</v>
      </c>
      <c r="AG1165" s="121">
        <v>375.95135000000005</v>
      </c>
      <c r="AH1165" s="121">
        <v>329.17342000000002</v>
      </c>
      <c r="AI1165" s="161">
        <v>316.70136000000002</v>
      </c>
      <c r="AJ1165" s="161">
        <v>306.04788000000008</v>
      </c>
      <c r="AK1165" s="161">
        <v>288.10134000000011</v>
      </c>
      <c r="AL1165" s="161">
        <v>271.99401000000006</v>
      </c>
      <c r="AM1165" s="161">
        <v>249.59123000000008</v>
      </c>
      <c r="AN1165" s="161">
        <v>193.21043000000006</v>
      </c>
      <c r="AO1165" s="161">
        <v>120.86164000000005</v>
      </c>
      <c r="AP1165" s="125" t="str">
        <f>CONCATENATE(A1165,M1165)</f>
        <v>Def TaxN</v>
      </c>
      <c r="AQ1165" s="125" t="str">
        <f>CONCATENATE(AP1165,L1165,H1165)</f>
        <v>Def TaxNN10Seneca Sale Gain</v>
      </c>
      <c r="AS1165" s="125" t="str">
        <f>CONCATENATE(L1165,H1165,J1165)</f>
        <v>N10Seneca Sale GainNCR</v>
      </c>
    </row>
    <row r="1166" spans="1:45" s="125" customFormat="1" ht="25.5" customHeight="1">
      <c r="A1166" s="216" t="s">
        <v>1996</v>
      </c>
      <c r="B1166" s="217" t="str">
        <f>CONCATENATE(A1166,C1166,D1166,E1166)</f>
        <v>Def Tax190512BT010392</v>
      </c>
      <c r="C1166" s="186">
        <v>190512</v>
      </c>
      <c r="D1166" s="201"/>
      <c r="E1166" s="162" t="s">
        <v>4765</v>
      </c>
      <c r="F1166" s="169" t="s">
        <v>347</v>
      </c>
      <c r="G1166" s="117" t="s">
        <v>4766</v>
      </c>
      <c r="H1166" s="118" t="s">
        <v>4761</v>
      </c>
      <c r="I1166" s="119"/>
      <c r="J1166" s="120"/>
      <c r="K1166" s="120" t="str">
        <f>IF(L1166="N3","SFAS-109","")</f>
        <v/>
      </c>
      <c r="L1166" s="170" t="s">
        <v>1895</v>
      </c>
      <c r="M1166" s="122" t="str">
        <f>LEFT(L1166,1)</f>
        <v>R</v>
      </c>
      <c r="N1166" s="116" t="str">
        <f>IF($L1166&lt;&gt;"",VLOOKUP($L1166,Categories!$E:$G,2,FALSE),IF($F1166&lt;&gt;"","NO CAT",""))</f>
        <v>Rate Base</v>
      </c>
      <c r="O1166" s="116" t="str">
        <f>IF($L1166&lt;&gt;"",VLOOKUP($L1166,Categories!$E:$G,3,FALSE),IF($F1166&lt;&gt;"","NO CAT",""))</f>
        <v>Deferred Income Taxes</v>
      </c>
      <c r="P1166" s="170" t="s">
        <v>1184</v>
      </c>
      <c r="Q1166" s="123" t="s">
        <v>1178</v>
      </c>
      <c r="R1166" s="124">
        <v>0</v>
      </c>
      <c r="S1166" s="124">
        <v>1</v>
      </c>
      <c r="T1166" s="124">
        <v>0</v>
      </c>
      <c r="U1166" s="121">
        <f>IF(ABS(X1166)=0,"",IF($R1166="NO ALLOC","NO ALLOC",ROUND($R1166*X1166,15)))</f>
        <v>0</v>
      </c>
      <c r="V1166" s="121">
        <f>IF(ABS(X1166)=0,"",IF($S1166="NO ALLOC","NO ALLOC",ROUND($S1166*X1166,15)))</f>
        <v>92.589916666666696</v>
      </c>
      <c r="W1166" s="121">
        <f>IF(ABS(X1166)=0,"",IF($T1166="NO ALLOC","NO ALLOC",ROUND($T1166*X1166,15)))</f>
        <v>0</v>
      </c>
      <c r="X1166" s="121">
        <f t="shared" si="481"/>
        <v>92.589916666666696</v>
      </c>
      <c r="Y1166" s="121">
        <f>IF(ABS(AB1166)=0,"",IF($R1166="NO ALLOC","NO ALLOC",ROUND($R1166*AB1166,15)))</f>
        <v>0</v>
      </c>
      <c r="Z1166" s="121">
        <f>IF(ABS(AB1166)=0,"",IF($S1166="NO ALLOC","NO ALLOC",ROUND($S1166*AB1166,15)))</f>
        <v>188.57599999999999</v>
      </c>
      <c r="AA1166" s="121">
        <f>IF(ABS(AB1166)=0,"",IF($T1166="NO ALLOC","NO ALLOC",ROUND($T1166*AB1166,15)))</f>
        <v>0</v>
      </c>
      <c r="AB1166" s="121">
        <f t="shared" si="482"/>
        <v>188.57599999999999</v>
      </c>
      <c r="AC1166" s="121"/>
      <c r="AD1166" s="121"/>
      <c r="AE1166" s="121"/>
      <c r="AF1166" s="121"/>
      <c r="AG1166" s="121"/>
      <c r="AH1166" s="121"/>
      <c r="AI1166" s="161">
        <v>165.643</v>
      </c>
      <c r="AJ1166" s="161">
        <v>165.643</v>
      </c>
      <c r="AK1166" s="161">
        <v>165.643</v>
      </c>
      <c r="AL1166" s="161">
        <v>165.643</v>
      </c>
      <c r="AM1166" s="161">
        <v>165.643</v>
      </c>
      <c r="AN1166" s="161">
        <v>188.57599999999999</v>
      </c>
      <c r="AO1166" s="161">
        <v>188.57599999999999</v>
      </c>
      <c r="AP1166" s="125" t="str">
        <f>CONCATENATE(A1166,M1166)</f>
        <v>Def TaxR</v>
      </c>
      <c r="AQ1166" s="125" t="str">
        <f>CONCATENATE(AP1166,L1166,H1166)</f>
        <v>Def TaxRR11Excess DIT - New York State Tax Rate change</v>
      </c>
      <c r="AS1166" s="125" t="str">
        <f>CONCATENATE(L1166,H1166,J1166)</f>
        <v>R11Excess DIT - New York State Tax Rate change</v>
      </c>
    </row>
    <row r="1167" spans="1:45" s="125" customFormat="1" ht="25.5" customHeight="1">
      <c r="A1167" s="216" t="s">
        <v>1996</v>
      </c>
      <c r="B1167" s="217" t="str">
        <f>CONCATENATE(A1167,C1167,D1167,E1167)</f>
        <v>Def Tax190512BT010299</v>
      </c>
      <c r="C1167" s="186">
        <v>190512</v>
      </c>
      <c r="D1167" s="201"/>
      <c r="E1167" s="162" t="s">
        <v>4814</v>
      </c>
      <c r="F1167" s="169" t="s">
        <v>347</v>
      </c>
      <c r="G1167" s="117" t="s">
        <v>4816</v>
      </c>
      <c r="H1167" s="118" t="s">
        <v>1718</v>
      </c>
      <c r="I1167" s="119"/>
      <c r="J1167" s="120" t="s">
        <v>105</v>
      </c>
      <c r="K1167" s="120" t="str">
        <f>IF(L1167="N3","SFAS-109","")</f>
        <v/>
      </c>
      <c r="L1167" s="170" t="s">
        <v>2821</v>
      </c>
      <c r="M1167" s="122" t="str">
        <f>LEFT(L1167,1)</f>
        <v>N</v>
      </c>
      <c r="N1167" s="116" t="str">
        <f>IF($L1167&lt;&gt;"",VLOOKUP($L1167,Categories!$E:$G,2,FALSE),IF($F1167&lt;&gt;"","NO CAT",""))</f>
        <v>Not in Rate Base</v>
      </c>
      <c r="O1167" s="116" t="str">
        <f>IF($L1167&lt;&gt;"",VLOOKUP($L1167,Categories!$E:$G,3,FALSE),IF($F1167&lt;&gt;"","NO CAT",""))</f>
        <v>Deferrals Accruing Non-Cash Return   (other than ASGA)</v>
      </c>
      <c r="P1167" s="170" t="s">
        <v>1186</v>
      </c>
      <c r="Q1167" s="123" t="s">
        <v>1187</v>
      </c>
      <c r="R1167" s="124">
        <v>0</v>
      </c>
      <c r="S1167" s="124">
        <v>0</v>
      </c>
      <c r="T1167" s="124">
        <v>1</v>
      </c>
      <c r="U1167" s="121">
        <f>IF(ABS(X1167)=0,"",IF($R1167="NO ALLOC","NO ALLOC",ROUND($R1167*X1167,15)))</f>
        <v>0</v>
      </c>
      <c r="V1167" s="121">
        <f>IF(ABS(X1167)=0,"",IF($S1167="NO ALLOC","NO ALLOC",ROUND($S1167*X1167,15)))</f>
        <v>0</v>
      </c>
      <c r="W1167" s="121">
        <f>IF(ABS(X1167)=0,"",IF($T1167="NO ALLOC","NO ALLOC",ROUND($T1167*X1167,15)))</f>
        <v>-13.384271249999999</v>
      </c>
      <c r="X1167" s="121">
        <f t="shared" si="481"/>
        <v>-13.384271249999999</v>
      </c>
      <c r="Y1167" s="121">
        <f>IF(ABS(AB1167)=0,"",IF($R1167="NO ALLOC","NO ALLOC",ROUND($R1167*AB1167,15)))</f>
        <v>0</v>
      </c>
      <c r="Z1167" s="121">
        <f>IF(ABS(AB1167)=0,"",IF($S1167="NO ALLOC","NO ALLOC",ROUND($S1167*AB1167,15)))</f>
        <v>0</v>
      </c>
      <c r="AA1167" s="121">
        <f>IF(ABS(AB1167)=0,"",IF($T1167="NO ALLOC","NO ALLOC",ROUND($T1167*AB1167,15)))</f>
        <v>-21.725449999999999</v>
      </c>
      <c r="AB1167" s="121">
        <f t="shared" si="482"/>
        <v>-21.725450000000006</v>
      </c>
      <c r="AC1167" s="121"/>
      <c r="AD1167" s="121"/>
      <c r="AE1167" s="121"/>
      <c r="AF1167" s="121"/>
      <c r="AG1167" s="121"/>
      <c r="AH1167" s="121"/>
      <c r="AI1167" s="161"/>
      <c r="AJ1167" s="161"/>
      <c r="AK1167" s="161">
        <v>-19.93393</v>
      </c>
      <c r="AL1167" s="161">
        <v>-40.180240000000005</v>
      </c>
      <c r="AM1167" s="161">
        <v>-50.404490000000003</v>
      </c>
      <c r="AN1167" s="161">
        <v>-39.229870000000005</v>
      </c>
      <c r="AO1167" s="161">
        <v>-21.725450000000006</v>
      </c>
      <c r="AP1167" s="125" t="str">
        <f>CONCATENATE(A1167,M1167)</f>
        <v>Def TaxN</v>
      </c>
      <c r="AQ1167" s="125" t="str">
        <f>CONCATENATE(AP1167,L1167,H1167)</f>
        <v>Def TaxNN10Energy Efficiency Portfolio Standard</v>
      </c>
      <c r="AS1167" s="125" t="str">
        <f>CONCATENATE(L1167,H1167,J1167)</f>
        <v>N10Energy Efficiency Portfolio StandardNCR</v>
      </c>
    </row>
    <row r="1168" spans="1:45" s="125" customFormat="1" ht="25.5" customHeight="1">
      <c r="A1168" s="216" t="s">
        <v>1996</v>
      </c>
      <c r="B1168" s="217" t="str">
        <f t="shared" si="478"/>
        <v>Def Tax1905311BDEFAULT</v>
      </c>
      <c r="C1168" s="186">
        <v>190531</v>
      </c>
      <c r="D1168" s="201">
        <v>1</v>
      </c>
      <c r="E1168" s="162" t="s">
        <v>1569</v>
      </c>
      <c r="F1168" s="169" t="s">
        <v>3154</v>
      </c>
      <c r="G1168" s="117" t="s">
        <v>1088</v>
      </c>
      <c r="H1168" s="118" t="s">
        <v>1002</v>
      </c>
      <c r="I1168" s="119"/>
      <c r="J1168" s="120"/>
      <c r="K1168" s="120" t="str">
        <f t="shared" si="480"/>
        <v/>
      </c>
      <c r="L1168" s="170" t="s">
        <v>1895</v>
      </c>
      <c r="M1168" s="122" t="str">
        <f t="shared" si="479"/>
        <v>R</v>
      </c>
      <c r="N1168" s="116" t="str">
        <f>IF($L1168&lt;&gt;"",VLOOKUP($L1168,Categories!$E:$G,2,FALSE),IF($F1168&lt;&gt;"","NO CAT",""))</f>
        <v>Rate Base</v>
      </c>
      <c r="O1168" s="116" t="str">
        <f>IF($L1168&lt;&gt;"",VLOOKUP($L1168,Categories!$E:$G,3,FALSE),IF($F1168&lt;&gt;"","NO CAT",""))</f>
        <v>Deferred Income Taxes</v>
      </c>
      <c r="P1168" s="170" t="s">
        <v>1553</v>
      </c>
      <c r="Q1168" s="123" t="s">
        <v>2587</v>
      </c>
      <c r="R1168" s="124">
        <v>0.81899999999999995</v>
      </c>
      <c r="S1168" s="124">
        <v>0.18099999999999999</v>
      </c>
      <c r="T1168" s="124">
        <v>0</v>
      </c>
      <c r="U1168" s="121">
        <f t="shared" si="483"/>
        <v>-90251.316273300297</v>
      </c>
      <c r="V1168" s="121">
        <f t="shared" si="484"/>
        <v>-19945.651093366701</v>
      </c>
      <c r="W1168" s="121">
        <f t="shared" si="485"/>
        <v>0</v>
      </c>
      <c r="X1168" s="121">
        <f t="shared" si="481"/>
        <v>-110196.967366667</v>
      </c>
      <c r="Y1168" s="121">
        <f t="shared" si="486"/>
        <v>-137127.51252836999</v>
      </c>
      <c r="Z1168" s="121">
        <f t="shared" si="487"/>
        <v>-30305.347701629998</v>
      </c>
      <c r="AA1168" s="121">
        <f t="shared" si="488"/>
        <v>0</v>
      </c>
      <c r="AB1168" s="121">
        <f t="shared" si="482"/>
        <v>-167432.86022999996</v>
      </c>
      <c r="AC1168" s="121">
        <v>-116052.97546999993</v>
      </c>
      <c r="AD1168" s="121">
        <v>-114599.00516999995</v>
      </c>
      <c r="AE1168" s="121">
        <v>-113145.03486999994</v>
      </c>
      <c r="AF1168" s="121">
        <v>-111691.06457999993</v>
      </c>
      <c r="AG1168" s="121">
        <v>-110237.09427999995</v>
      </c>
      <c r="AH1168" s="121">
        <v>-108783.12397999995</v>
      </c>
      <c r="AI1168" s="161">
        <v>-107329.15368999993</v>
      </c>
      <c r="AJ1168" s="161">
        <v>-105875.18338999995</v>
      </c>
      <c r="AK1168" s="161">
        <v>-104421.21308999995</v>
      </c>
      <c r="AL1168" s="161">
        <v>-102967.24279999993</v>
      </c>
      <c r="AM1168" s="161">
        <v>-101513.27249999993</v>
      </c>
      <c r="AN1168" s="161">
        <v>-100059.30219999995</v>
      </c>
      <c r="AO1168" s="161">
        <v>-167432.86022999996</v>
      </c>
      <c r="AP1168" s="125" t="str">
        <f>CONCATENATE(A1168,M1168)</f>
        <v>Def TaxR</v>
      </c>
      <c r="AQ1168" s="125" t="str">
        <f>CONCATENATE(AP1168,L1168,H1168)</f>
        <v>Def TaxRR11Accrued Pension</v>
      </c>
      <c r="AS1168" s="125" t="str">
        <f>CONCATENATE(L1168,H1168,J1168)</f>
        <v>R11Accrued Pension</v>
      </c>
    </row>
    <row r="1169" spans="1:45" s="125" customFormat="1" ht="25.5" customHeight="1">
      <c r="A1169" s="216" t="s">
        <v>1996</v>
      </c>
      <c r="B1169" s="217" t="str">
        <f t="shared" si="478"/>
        <v>Def Tax1905312BT010091</v>
      </c>
      <c r="C1169" s="186">
        <v>190531</v>
      </c>
      <c r="D1169" s="201">
        <v>2</v>
      </c>
      <c r="E1169" s="162" t="s">
        <v>1012</v>
      </c>
      <c r="F1169" s="169" t="s">
        <v>3154</v>
      </c>
      <c r="G1169" s="117" t="s">
        <v>1011</v>
      </c>
      <c r="H1169" s="118" t="s">
        <v>170</v>
      </c>
      <c r="I1169" s="119"/>
      <c r="J1169" s="231" t="s">
        <v>105</v>
      </c>
      <c r="K1169" s="120" t="str">
        <f t="shared" si="480"/>
        <v/>
      </c>
      <c r="L1169" s="170" t="s">
        <v>2821</v>
      </c>
      <c r="M1169" s="122" t="str">
        <f t="shared" si="479"/>
        <v>N</v>
      </c>
      <c r="N1169" s="116" t="str">
        <f>IF($L1169&lt;&gt;"",VLOOKUP($L1169,Categories!$E:$G,2,FALSE),IF($F1169&lt;&gt;"","NO CAT",""))</f>
        <v>Not in Rate Base</v>
      </c>
      <c r="O1169" s="116" t="str">
        <f>IF($L1169&lt;&gt;"",VLOOKUP($L1169,Categories!$E:$G,3,FALSE),IF($F1169&lt;&gt;"","NO CAT",""))</f>
        <v>Deferrals Accruing Non-Cash Return   (other than ASGA)</v>
      </c>
      <c r="P1169" s="170" t="s">
        <v>1186</v>
      </c>
      <c r="Q1169" s="123" t="s">
        <v>1187</v>
      </c>
      <c r="R1169" s="124">
        <v>0</v>
      </c>
      <c r="S1169" s="124">
        <v>0</v>
      </c>
      <c r="T1169" s="124">
        <v>1</v>
      </c>
      <c r="U1169" s="121">
        <f t="shared" si="483"/>
        <v>0</v>
      </c>
      <c r="V1169" s="121">
        <f t="shared" si="484"/>
        <v>0</v>
      </c>
      <c r="W1169" s="121">
        <f t="shared" si="485"/>
        <v>9416.9594329166594</v>
      </c>
      <c r="X1169" s="121">
        <f t="shared" si="481"/>
        <v>9416.9594329166594</v>
      </c>
      <c r="Y1169" s="121">
        <f t="shared" si="486"/>
        <v>0</v>
      </c>
      <c r="Z1169" s="121">
        <f t="shared" si="487"/>
        <v>0</v>
      </c>
      <c r="AA1169" s="121">
        <f t="shared" si="488"/>
        <v>12015.82208</v>
      </c>
      <c r="AB1169" s="121">
        <f t="shared" si="482"/>
        <v>12015.822079999998</v>
      </c>
      <c r="AC1169" s="121">
        <v>6765.6104100000002</v>
      </c>
      <c r="AD1169" s="121">
        <v>7212.7073200000004</v>
      </c>
      <c r="AE1169" s="121">
        <v>7684.5149499999998</v>
      </c>
      <c r="AF1169" s="121">
        <v>8121.0650800000003</v>
      </c>
      <c r="AG1169" s="121">
        <v>8560.1220199999989</v>
      </c>
      <c r="AH1169" s="121">
        <v>8999.2980299999999</v>
      </c>
      <c r="AI1169" s="161">
        <v>9413.5407799999994</v>
      </c>
      <c r="AJ1169" s="161">
        <v>9880.1823999999979</v>
      </c>
      <c r="AK1169" s="161">
        <v>10288.439199999999</v>
      </c>
      <c r="AL1169" s="161">
        <v>10719.949059999999</v>
      </c>
      <c r="AM1169" s="161">
        <v>11150.704409999998</v>
      </c>
      <c r="AN1169" s="161">
        <v>11582.273699999998</v>
      </c>
      <c r="AO1169" s="161">
        <v>12015.822079999998</v>
      </c>
      <c r="AP1169" s="125" t="str">
        <f>CONCATENATE(A1169,M1169)</f>
        <v>Def TaxN</v>
      </c>
      <c r="AQ1169" s="125" t="str">
        <f>CONCATENATE(AP1169,L1169,H1169)</f>
        <v>Def TaxNN10OPEBs</v>
      </c>
      <c r="AS1169" s="125" t="str">
        <f>CONCATENATE(L1169,H1169,J1169)</f>
        <v>N10OPEBsNCR</v>
      </c>
    </row>
    <row r="1170" spans="1:45" s="125" customFormat="1" ht="25.5" customHeight="1">
      <c r="A1170" s="216" t="s">
        <v>1996</v>
      </c>
      <c r="B1170" s="217" t="str">
        <f t="shared" si="478"/>
        <v>Def Tax1905313BT010124</v>
      </c>
      <c r="C1170" s="186">
        <v>190531</v>
      </c>
      <c r="D1170" s="201">
        <v>3</v>
      </c>
      <c r="E1170" s="162" t="s">
        <v>1010</v>
      </c>
      <c r="F1170" s="169" t="s">
        <v>3154</v>
      </c>
      <c r="G1170" s="117" t="s">
        <v>109</v>
      </c>
      <c r="H1170" s="118" t="s">
        <v>914</v>
      </c>
      <c r="I1170" s="119"/>
      <c r="J1170" s="120"/>
      <c r="K1170" s="120" t="str">
        <f t="shared" si="480"/>
        <v/>
      </c>
      <c r="L1170" s="170" t="s">
        <v>2821</v>
      </c>
      <c r="M1170" s="122" t="str">
        <f t="shared" si="479"/>
        <v>N</v>
      </c>
      <c r="N1170" s="116" t="str">
        <f>IF($L1170&lt;&gt;"",VLOOKUP($L1170,Categories!$E:$G,2,FALSE),IF($F1170&lt;&gt;"","NO CAT",""))</f>
        <v>Not in Rate Base</v>
      </c>
      <c r="O1170" s="116" t="str">
        <f>IF($L1170&lt;&gt;"",VLOOKUP($L1170,Categories!$E:$G,3,FALSE),IF($F1170&lt;&gt;"","NO CAT",""))</f>
        <v>Deferrals Accruing Non-Cash Return   (other than ASGA)</v>
      </c>
      <c r="P1170" s="170" t="s">
        <v>1186</v>
      </c>
      <c r="Q1170" s="123" t="s">
        <v>1187</v>
      </c>
      <c r="R1170" s="124">
        <v>0</v>
      </c>
      <c r="S1170" s="124">
        <v>0</v>
      </c>
      <c r="T1170" s="124">
        <v>1</v>
      </c>
      <c r="U1170" s="121">
        <f t="shared" si="483"/>
        <v>0</v>
      </c>
      <c r="V1170" s="121">
        <f t="shared" si="484"/>
        <v>0</v>
      </c>
      <c r="W1170" s="121">
        <f t="shared" si="485"/>
        <v>875.46352208333303</v>
      </c>
      <c r="X1170" s="121">
        <f t="shared" si="481"/>
        <v>875.46352208333303</v>
      </c>
      <c r="Y1170" s="121">
        <f t="shared" si="486"/>
        <v>0</v>
      </c>
      <c r="Z1170" s="121">
        <f t="shared" si="487"/>
        <v>0</v>
      </c>
      <c r="AA1170" s="121">
        <f t="shared" si="488"/>
        <v>1005.0686899999999</v>
      </c>
      <c r="AB1170" s="121">
        <f t="shared" si="482"/>
        <v>1005.0686899999998</v>
      </c>
      <c r="AC1170" s="121">
        <v>748.50241999999992</v>
      </c>
      <c r="AD1170" s="121">
        <v>769.27802999999994</v>
      </c>
      <c r="AE1170" s="121">
        <v>790.16171999999983</v>
      </c>
      <c r="AF1170" s="121">
        <v>811.15405999999984</v>
      </c>
      <c r="AG1170" s="121">
        <v>832.25561999999991</v>
      </c>
      <c r="AH1170" s="121">
        <v>853.46696999999983</v>
      </c>
      <c r="AI1170" s="161">
        <v>874.7886699999998</v>
      </c>
      <c r="AJ1170" s="161">
        <v>896.22129999999981</v>
      </c>
      <c r="AK1170" s="161">
        <v>917.76542999999981</v>
      </c>
      <c r="AL1170" s="161">
        <v>939.42165999999975</v>
      </c>
      <c r="AM1170" s="161">
        <v>961.1905499999998</v>
      </c>
      <c r="AN1170" s="161">
        <v>983.07269999999983</v>
      </c>
      <c r="AO1170" s="161">
        <v>1005.0686899999998</v>
      </c>
      <c r="AP1170" s="125" t="str">
        <f>CONCATENATE(A1170,M1170)</f>
        <v>Def TaxN</v>
      </c>
      <c r="AQ1170" s="125" t="str">
        <f>CONCATENATE(AP1170,L1170,H1170)</f>
        <v>Def TaxNN10Medicare Subsidy</v>
      </c>
      <c r="AS1170" s="125" t="str">
        <f>CONCATENATE(L1170,H1170,J1170)</f>
        <v>N10Medicare Subsidy</v>
      </c>
    </row>
    <row r="1171" spans="1:45" s="125" customFormat="1" ht="25.5" customHeight="1">
      <c r="A1171" s="216" t="s">
        <v>1996</v>
      </c>
      <c r="B1171" s="217" t="str">
        <f t="shared" ref="B1171:B1244" si="489">CONCATENATE(A1171,C1171,D1171,E1171)</f>
        <v>Def Tax1905314BT010166</v>
      </c>
      <c r="C1171" s="186">
        <v>190531</v>
      </c>
      <c r="D1171" s="201">
        <v>4</v>
      </c>
      <c r="E1171" s="162" t="s">
        <v>1017</v>
      </c>
      <c r="F1171" s="169" t="s">
        <v>3154</v>
      </c>
      <c r="G1171" s="117" t="s">
        <v>3155</v>
      </c>
      <c r="H1171" s="118" t="s">
        <v>1553</v>
      </c>
      <c r="I1171" s="119"/>
      <c r="J1171" s="120" t="s">
        <v>105</v>
      </c>
      <c r="K1171" s="120" t="str">
        <f t="shared" si="480"/>
        <v/>
      </c>
      <c r="L1171" s="170" t="s">
        <v>2821</v>
      </c>
      <c r="M1171" s="122" t="str">
        <f t="shared" si="479"/>
        <v>N</v>
      </c>
      <c r="N1171" s="116" t="str">
        <f>IF($L1171&lt;&gt;"",VLOOKUP($L1171,Categories!$E:$G,2,FALSE),IF($F1171&lt;&gt;"","NO CAT",""))</f>
        <v>Not in Rate Base</v>
      </c>
      <c r="O1171" s="116" t="str">
        <f>IF($L1171&lt;&gt;"",VLOOKUP($L1171,Categories!$E:$G,3,FALSE),IF($F1171&lt;&gt;"","NO CAT",""))</f>
        <v>Deferrals Accruing Non-Cash Return   (other than ASGA)</v>
      </c>
      <c r="P1171" s="170" t="s">
        <v>1186</v>
      </c>
      <c r="Q1171" s="123" t="s">
        <v>1187</v>
      </c>
      <c r="R1171" s="124">
        <v>0</v>
      </c>
      <c r="S1171" s="124">
        <v>0</v>
      </c>
      <c r="T1171" s="124">
        <v>1</v>
      </c>
      <c r="U1171" s="121">
        <f t="shared" si="483"/>
        <v>0</v>
      </c>
      <c r="V1171" s="121">
        <f t="shared" si="484"/>
        <v>0</v>
      </c>
      <c r="W1171" s="121">
        <f t="shared" si="485"/>
        <v>-19687.086453749998</v>
      </c>
      <c r="X1171" s="121">
        <f t="shared" si="481"/>
        <v>-19687.086453749998</v>
      </c>
      <c r="Y1171" s="121">
        <f t="shared" si="486"/>
        <v>0</v>
      </c>
      <c r="Z1171" s="121">
        <f t="shared" si="487"/>
        <v>0</v>
      </c>
      <c r="AA1171" s="121">
        <f t="shared" si="488"/>
        <v>-20560.078959999999</v>
      </c>
      <c r="AB1171" s="121">
        <f t="shared" si="482"/>
        <v>-20560.078960000006</v>
      </c>
      <c r="AC1171" s="121">
        <v>-17413.818370000001</v>
      </c>
      <c r="AD1171" s="121">
        <v>-18194.521380000002</v>
      </c>
      <c r="AE1171" s="121">
        <v>-18716.607160000003</v>
      </c>
      <c r="AF1171" s="121">
        <v>-19218.219090000002</v>
      </c>
      <c r="AG1171" s="121">
        <v>-19787.018660000005</v>
      </c>
      <c r="AH1171" s="121">
        <v>-20366.568670000004</v>
      </c>
      <c r="AI1171" s="161">
        <v>-20838.485190000007</v>
      </c>
      <c r="AJ1171" s="161">
        <v>-20478.705970000006</v>
      </c>
      <c r="AK1171" s="161">
        <v>-21026.338640000009</v>
      </c>
      <c r="AL1171" s="161">
        <v>-19119.854360000008</v>
      </c>
      <c r="AM1171" s="161">
        <v>-19517.915380000006</v>
      </c>
      <c r="AN1171" s="161">
        <v>-19993.854280000003</v>
      </c>
      <c r="AO1171" s="161">
        <v>-20560.078960000006</v>
      </c>
      <c r="AP1171" s="125" t="str">
        <f>CONCATENATE(A1171,M1171)</f>
        <v>Def TaxN</v>
      </c>
      <c r="AQ1171" s="125" t="str">
        <f>CONCATENATE(AP1171,L1171,H1171)</f>
        <v>Def TaxNN10Pension</v>
      </c>
      <c r="AS1171" s="125" t="str">
        <f>CONCATENATE(L1171,H1171,J1171)</f>
        <v>N10PensionNCR</v>
      </c>
    </row>
    <row r="1172" spans="1:45" s="125" customFormat="1" ht="25.5" customHeight="1">
      <c r="A1172" s="216" t="s">
        <v>1996</v>
      </c>
      <c r="B1172" s="217" t="str">
        <f t="shared" si="489"/>
        <v>Def Tax1905316BT030562</v>
      </c>
      <c r="C1172" s="186">
        <v>190531</v>
      </c>
      <c r="D1172" s="201">
        <v>6</v>
      </c>
      <c r="E1172" s="162" t="s">
        <v>1548</v>
      </c>
      <c r="F1172" s="169" t="s">
        <v>3154</v>
      </c>
      <c r="G1172" s="117" t="s">
        <v>942</v>
      </c>
      <c r="H1172" s="118" t="s">
        <v>170</v>
      </c>
      <c r="I1172" s="119"/>
      <c r="J1172" s="231"/>
      <c r="K1172" s="120" t="str">
        <f t="shared" si="480"/>
        <v/>
      </c>
      <c r="L1172" s="170" t="s">
        <v>1895</v>
      </c>
      <c r="M1172" s="122" t="str">
        <f t="shared" si="479"/>
        <v>R</v>
      </c>
      <c r="N1172" s="116" t="str">
        <f>IF($L1172&lt;&gt;"",VLOOKUP($L1172,Categories!$E:$G,2,FALSE),IF($F1172&lt;&gt;"","NO CAT",""))</f>
        <v>Rate Base</v>
      </c>
      <c r="O1172" s="116" t="str">
        <f>IF($L1172&lt;&gt;"",VLOOKUP($L1172,Categories!$E:$G,3,FALSE),IF($F1172&lt;&gt;"","NO CAT",""))</f>
        <v>Deferred Income Taxes</v>
      </c>
      <c r="P1172" s="170" t="s">
        <v>1553</v>
      </c>
      <c r="Q1172" s="123" t="s">
        <v>2587</v>
      </c>
      <c r="R1172" s="124">
        <v>0.81899999999999995</v>
      </c>
      <c r="S1172" s="124">
        <v>0.18099999999999999</v>
      </c>
      <c r="T1172" s="124">
        <v>0</v>
      </c>
      <c r="U1172" s="121">
        <f t="shared" si="483"/>
        <v>8571.6910273312806</v>
      </c>
      <c r="V1172" s="121">
        <f t="shared" si="484"/>
        <v>1894.3541830854199</v>
      </c>
      <c r="W1172" s="121">
        <f t="shared" si="485"/>
        <v>0</v>
      </c>
      <c r="X1172" s="121">
        <f t="shared" si="481"/>
        <v>10466.0452104167</v>
      </c>
      <c r="Y1172" s="121">
        <f t="shared" si="486"/>
        <v>850.66168823999897</v>
      </c>
      <c r="Z1172" s="121">
        <f t="shared" si="487"/>
        <v>187.99727175999999</v>
      </c>
      <c r="AA1172" s="121">
        <f t="shared" si="488"/>
        <v>0</v>
      </c>
      <c r="AB1172" s="121">
        <f t="shared" si="482"/>
        <v>1038.6589599999991</v>
      </c>
      <c r="AC1172" s="121">
        <v>11679.858890000001</v>
      </c>
      <c r="AD1172" s="121">
        <v>11539.780640000001</v>
      </c>
      <c r="AE1172" s="121">
        <v>11399.7024</v>
      </c>
      <c r="AF1172" s="121">
        <v>11259.62415</v>
      </c>
      <c r="AG1172" s="121">
        <v>11119.545910000001</v>
      </c>
      <c r="AH1172" s="121">
        <v>10979.46766</v>
      </c>
      <c r="AI1172" s="161">
        <v>10839.38942</v>
      </c>
      <c r="AJ1172" s="161">
        <v>10699.311180000001</v>
      </c>
      <c r="AK1172" s="161">
        <v>10559.23293</v>
      </c>
      <c r="AL1172" s="161">
        <v>10419.15468</v>
      </c>
      <c r="AM1172" s="161">
        <v>10279.076439999999</v>
      </c>
      <c r="AN1172" s="161">
        <v>10138.99819</v>
      </c>
      <c r="AO1172" s="161">
        <v>1038.6589599999991</v>
      </c>
      <c r="AP1172" s="125" t="str">
        <f>CONCATENATE(A1172,M1172)</f>
        <v>Def TaxR</v>
      </c>
      <c r="AQ1172" s="125" t="str">
        <f>CONCATENATE(AP1172,L1172,H1172)</f>
        <v>Def TaxRR11OPEBs</v>
      </c>
      <c r="AS1172" s="125" t="str">
        <f>CONCATENATE(L1172,H1172,J1172)</f>
        <v>R11OPEBs</v>
      </c>
    </row>
    <row r="1173" spans="1:45" s="125" customFormat="1" ht="25.5" customHeight="1">
      <c r="A1173" s="216" t="s">
        <v>1996</v>
      </c>
      <c r="B1173" s="217" t="str">
        <f t="shared" si="489"/>
        <v>Def Tax1905321BDEFAULT</v>
      </c>
      <c r="C1173" s="186">
        <v>190532</v>
      </c>
      <c r="D1173" s="201">
        <v>1</v>
      </c>
      <c r="E1173" s="162" t="s">
        <v>1569</v>
      </c>
      <c r="F1173" s="169" t="s">
        <v>3156</v>
      </c>
      <c r="G1173" s="117" t="s">
        <v>1088</v>
      </c>
      <c r="H1173" s="118" t="s">
        <v>1002</v>
      </c>
      <c r="I1173" s="119"/>
      <c r="J1173" s="120"/>
      <c r="K1173" s="120" t="str">
        <f t="shared" si="480"/>
        <v/>
      </c>
      <c r="L1173" s="170" t="s">
        <v>1895</v>
      </c>
      <c r="M1173" s="122" t="str">
        <f t="shared" ref="M1173:M1246" si="490">LEFT(L1173,1)</f>
        <v>R</v>
      </c>
      <c r="N1173" s="116" t="str">
        <f>IF($L1173&lt;&gt;"",VLOOKUP($L1173,Categories!$E:$G,2,FALSE),IF($F1173&lt;&gt;"","NO CAT",""))</f>
        <v>Rate Base</v>
      </c>
      <c r="O1173" s="116" t="str">
        <f>IF($L1173&lt;&gt;"",VLOOKUP($L1173,Categories!$E:$G,3,FALSE),IF($F1173&lt;&gt;"","NO CAT",""))</f>
        <v>Deferred Income Taxes</v>
      </c>
      <c r="P1173" s="170" t="s">
        <v>1553</v>
      </c>
      <c r="Q1173" s="123" t="s">
        <v>2587</v>
      </c>
      <c r="R1173" s="124">
        <v>0.81899999999999995</v>
      </c>
      <c r="S1173" s="124">
        <v>0.18099999999999999</v>
      </c>
      <c r="T1173" s="124">
        <v>0</v>
      </c>
      <c r="U1173" s="121">
        <f t="shared" si="483"/>
        <v>-23105.805806947501</v>
      </c>
      <c r="V1173" s="121">
        <f t="shared" si="484"/>
        <v>-5106.4112955524997</v>
      </c>
      <c r="W1173" s="121">
        <f t="shared" si="485"/>
        <v>0</v>
      </c>
      <c r="X1173" s="121">
        <f t="shared" si="481"/>
        <v>-28212.217102499999</v>
      </c>
      <c r="Y1173" s="121">
        <f t="shared" si="486"/>
        <v>-36404.444275289999</v>
      </c>
      <c r="Z1173" s="121">
        <f t="shared" si="487"/>
        <v>-8045.4266347100001</v>
      </c>
      <c r="AA1173" s="121">
        <f t="shared" si="488"/>
        <v>0</v>
      </c>
      <c r="AB1173" s="121">
        <f t="shared" si="482"/>
        <v>-44449.870909999998</v>
      </c>
      <c r="AC1173" s="121">
        <v>-29873.549309999977</v>
      </c>
      <c r="AD1173" s="121">
        <v>-29461.062229999978</v>
      </c>
      <c r="AE1173" s="121">
        <v>-29048.575149999979</v>
      </c>
      <c r="AF1173" s="121">
        <v>-28636.088069999983</v>
      </c>
      <c r="AG1173" s="121">
        <v>-28223.600989999984</v>
      </c>
      <c r="AH1173" s="121">
        <v>-27811.113909999985</v>
      </c>
      <c r="AI1173" s="161">
        <v>-27398.626829999987</v>
      </c>
      <c r="AJ1173" s="161">
        <v>-26986.139749999988</v>
      </c>
      <c r="AK1173" s="161">
        <v>-26573.652669999992</v>
      </c>
      <c r="AL1173" s="161">
        <v>-26161.165589999993</v>
      </c>
      <c r="AM1173" s="161">
        <v>-25748.678499999991</v>
      </c>
      <c r="AN1173" s="161">
        <v>-25336.191429999992</v>
      </c>
      <c r="AO1173" s="161">
        <v>-44449.870909999998</v>
      </c>
      <c r="AP1173" s="125" t="str">
        <f>CONCATENATE(A1173,M1173)</f>
        <v>Def TaxR</v>
      </c>
      <c r="AQ1173" s="125" t="str">
        <f>CONCATENATE(AP1173,L1173,H1173)</f>
        <v>Def TaxRR11Accrued Pension</v>
      </c>
      <c r="AS1173" s="125" t="str">
        <f>CONCATENATE(L1173,H1173,J1173)</f>
        <v>R11Accrued Pension</v>
      </c>
    </row>
    <row r="1174" spans="1:45" s="125" customFormat="1" ht="25.5" customHeight="1">
      <c r="A1174" s="216" t="s">
        <v>1996</v>
      </c>
      <c r="B1174" s="217" t="str">
        <f t="shared" si="489"/>
        <v>Def Tax1905322BG030167</v>
      </c>
      <c r="C1174" s="186">
        <v>190532</v>
      </c>
      <c r="D1174" s="201">
        <v>2</v>
      </c>
      <c r="E1174" s="162" t="s">
        <v>2779</v>
      </c>
      <c r="F1174" s="169" t="s">
        <v>3156</v>
      </c>
      <c r="G1174" s="117" t="s">
        <v>3157</v>
      </c>
      <c r="H1174" s="118" t="s">
        <v>1553</v>
      </c>
      <c r="I1174" s="119"/>
      <c r="J1174" s="231" t="s">
        <v>105</v>
      </c>
      <c r="K1174" s="120" t="str">
        <f t="shared" si="480"/>
        <v/>
      </c>
      <c r="L1174" s="170" t="s">
        <v>2821</v>
      </c>
      <c r="M1174" s="122" t="str">
        <f t="shared" si="490"/>
        <v>N</v>
      </c>
      <c r="N1174" s="116" t="str">
        <f>IF($L1174&lt;&gt;"",VLOOKUP($L1174,Categories!$E:$G,2,FALSE),IF($F1174&lt;&gt;"","NO CAT",""))</f>
        <v>Not in Rate Base</v>
      </c>
      <c r="O1174" s="116" t="str">
        <f>IF($L1174&lt;&gt;"",VLOOKUP($L1174,Categories!$E:$G,3,FALSE),IF($F1174&lt;&gt;"","NO CAT",""))</f>
        <v>Deferrals Accruing Non-Cash Return   (other than ASGA)</v>
      </c>
      <c r="P1174" s="170" t="s">
        <v>1186</v>
      </c>
      <c r="Q1174" s="123" t="s">
        <v>1187</v>
      </c>
      <c r="R1174" s="124">
        <v>0</v>
      </c>
      <c r="S1174" s="124">
        <v>0</v>
      </c>
      <c r="T1174" s="124">
        <v>1</v>
      </c>
      <c r="U1174" s="121">
        <f t="shared" si="483"/>
        <v>0</v>
      </c>
      <c r="V1174" s="121">
        <f t="shared" si="484"/>
        <v>0</v>
      </c>
      <c r="W1174" s="121">
        <f t="shared" si="485"/>
        <v>-7961.5576308333302</v>
      </c>
      <c r="X1174" s="121">
        <f t="shared" si="481"/>
        <v>-7961.5576308333302</v>
      </c>
      <c r="Y1174" s="121">
        <f t="shared" si="486"/>
        <v>0</v>
      </c>
      <c r="Z1174" s="121">
        <f t="shared" si="487"/>
        <v>0</v>
      </c>
      <c r="AA1174" s="121">
        <f t="shared" si="488"/>
        <v>-6742.1493700000001</v>
      </c>
      <c r="AB1174" s="121">
        <f t="shared" si="482"/>
        <v>-6742.149370000001</v>
      </c>
      <c r="AC1174" s="121">
        <v>-9547.0199100000009</v>
      </c>
      <c r="AD1174" s="121">
        <v>-8971.0310800000007</v>
      </c>
      <c r="AE1174" s="121">
        <v>-8470.5901300000005</v>
      </c>
      <c r="AF1174" s="121">
        <v>-8217.344070000001</v>
      </c>
      <c r="AG1174" s="121">
        <v>-8105.9781100000009</v>
      </c>
      <c r="AH1174" s="121">
        <v>-7886.2907800000012</v>
      </c>
      <c r="AI1174" s="161">
        <v>-7842.821750000001</v>
      </c>
      <c r="AJ1174" s="161">
        <v>-7814.2032600000011</v>
      </c>
      <c r="AK1174" s="161">
        <v>-7726.3787700000003</v>
      </c>
      <c r="AL1174" s="161">
        <v>-7660.1023600000008</v>
      </c>
      <c r="AM1174" s="161">
        <v>-7529.6059800000003</v>
      </c>
      <c r="AN1174" s="161">
        <v>-7169.7606400000004</v>
      </c>
      <c r="AO1174" s="161">
        <v>-6742.149370000001</v>
      </c>
      <c r="AP1174" s="125" t="str">
        <f>CONCATENATE(A1174,M1174)</f>
        <v>Def TaxN</v>
      </c>
      <c r="AQ1174" s="125" t="str">
        <f>CONCATENATE(AP1174,L1174,H1174)</f>
        <v>Def TaxNN10Pension</v>
      </c>
      <c r="AS1174" s="125" t="str">
        <f>CONCATENATE(L1174,H1174,J1174)</f>
        <v>N10PensionNCR</v>
      </c>
    </row>
    <row r="1175" spans="1:45" s="125" customFormat="1" ht="25.5" customHeight="1">
      <c r="A1175" s="216" t="s">
        <v>1996</v>
      </c>
      <c r="B1175" s="217" t="str">
        <f t="shared" si="489"/>
        <v>Def Tax1905323BT010091</v>
      </c>
      <c r="C1175" s="186">
        <v>190532</v>
      </c>
      <c r="D1175" s="201">
        <v>3</v>
      </c>
      <c r="E1175" s="162" t="s">
        <v>1012</v>
      </c>
      <c r="F1175" s="169" t="s">
        <v>3156</v>
      </c>
      <c r="G1175" s="117" t="s">
        <v>1011</v>
      </c>
      <c r="H1175" s="118" t="s">
        <v>170</v>
      </c>
      <c r="I1175" s="119"/>
      <c r="J1175" s="231" t="s">
        <v>105</v>
      </c>
      <c r="K1175" s="120" t="str">
        <f t="shared" si="480"/>
        <v/>
      </c>
      <c r="L1175" s="170" t="s">
        <v>2821</v>
      </c>
      <c r="M1175" s="122" t="str">
        <f t="shared" si="490"/>
        <v>N</v>
      </c>
      <c r="N1175" s="116" t="str">
        <f>IF($L1175&lt;&gt;"",VLOOKUP($L1175,Categories!$E:$G,2,FALSE),IF($F1175&lt;&gt;"","NO CAT",""))</f>
        <v>Not in Rate Base</v>
      </c>
      <c r="O1175" s="116" t="str">
        <f>IF($L1175&lt;&gt;"",VLOOKUP($L1175,Categories!$E:$G,3,FALSE),IF($F1175&lt;&gt;"","NO CAT",""))</f>
        <v>Deferrals Accruing Non-Cash Return   (other than ASGA)</v>
      </c>
      <c r="P1175" s="170" t="s">
        <v>1186</v>
      </c>
      <c r="Q1175" s="123" t="s">
        <v>1187</v>
      </c>
      <c r="R1175" s="124">
        <v>0</v>
      </c>
      <c r="S1175" s="124">
        <v>0</v>
      </c>
      <c r="T1175" s="124">
        <v>1</v>
      </c>
      <c r="U1175" s="121">
        <f t="shared" si="483"/>
        <v>0</v>
      </c>
      <c r="V1175" s="121">
        <f t="shared" si="484"/>
        <v>0</v>
      </c>
      <c r="W1175" s="121">
        <f t="shared" si="485"/>
        <v>1757.96132416667</v>
      </c>
      <c r="X1175" s="121">
        <f t="shared" si="481"/>
        <v>1757.96132416667</v>
      </c>
      <c r="Y1175" s="121">
        <f t="shared" si="486"/>
        <v>0</v>
      </c>
      <c r="Z1175" s="121">
        <f t="shared" si="487"/>
        <v>0</v>
      </c>
      <c r="AA1175" s="121">
        <f t="shared" si="488"/>
        <v>2306.6114499999999</v>
      </c>
      <c r="AB1175" s="121">
        <f t="shared" si="482"/>
        <v>2306.6114500000003</v>
      </c>
      <c r="AC1175" s="121">
        <v>1223.1621699999998</v>
      </c>
      <c r="AD1175" s="121">
        <v>1318.56936</v>
      </c>
      <c r="AE1175" s="121">
        <v>1383.1300999999999</v>
      </c>
      <c r="AF1175" s="121">
        <v>1477.51467</v>
      </c>
      <c r="AG1175" s="121">
        <v>1571.9700499999999</v>
      </c>
      <c r="AH1175" s="121">
        <v>1666.3700399999998</v>
      </c>
      <c r="AI1175" s="161">
        <v>1753.4935799999998</v>
      </c>
      <c r="AJ1175" s="161">
        <v>1853.1095699999998</v>
      </c>
      <c r="AK1175" s="161">
        <v>1938.5303699999999</v>
      </c>
      <c r="AL1175" s="161">
        <v>2030.71495</v>
      </c>
      <c r="AM1175" s="161">
        <v>2122.70345</v>
      </c>
      <c r="AN1175" s="161">
        <v>2214.5429400000003</v>
      </c>
      <c r="AO1175" s="161">
        <v>2306.6114500000003</v>
      </c>
      <c r="AP1175" s="125" t="str">
        <f>CONCATENATE(A1175,M1175)</f>
        <v>Def TaxN</v>
      </c>
      <c r="AQ1175" s="125" t="str">
        <f>CONCATENATE(AP1175,L1175,H1175)</f>
        <v>Def TaxNN10OPEBs</v>
      </c>
      <c r="AS1175" s="125" t="str">
        <f>CONCATENATE(L1175,H1175,J1175)</f>
        <v>N10OPEBsNCR</v>
      </c>
    </row>
    <row r="1176" spans="1:45" s="125" customFormat="1" ht="25.5" customHeight="1">
      <c r="A1176" s="216" t="s">
        <v>1996</v>
      </c>
      <c r="B1176" s="217" t="str">
        <f t="shared" si="489"/>
        <v>Def Tax1905324BT010124</v>
      </c>
      <c r="C1176" s="186">
        <v>190532</v>
      </c>
      <c r="D1176" s="201">
        <v>4</v>
      </c>
      <c r="E1176" s="162" t="s">
        <v>1010</v>
      </c>
      <c r="F1176" s="169" t="s">
        <v>3156</v>
      </c>
      <c r="G1176" s="117" t="s">
        <v>109</v>
      </c>
      <c r="H1176" s="118" t="s">
        <v>914</v>
      </c>
      <c r="I1176" s="119"/>
      <c r="J1176" s="120"/>
      <c r="K1176" s="120" t="str">
        <f t="shared" si="480"/>
        <v/>
      </c>
      <c r="L1176" s="170" t="s">
        <v>2821</v>
      </c>
      <c r="M1176" s="122" t="str">
        <f t="shared" si="490"/>
        <v>N</v>
      </c>
      <c r="N1176" s="116" t="str">
        <f>IF($L1176&lt;&gt;"",VLOOKUP($L1176,Categories!$E:$G,2,FALSE),IF($F1176&lt;&gt;"","NO CAT",""))</f>
        <v>Not in Rate Base</v>
      </c>
      <c r="O1176" s="116" t="str">
        <f>IF($L1176&lt;&gt;"",VLOOKUP($L1176,Categories!$E:$G,3,FALSE),IF($F1176&lt;&gt;"","NO CAT",""))</f>
        <v>Deferrals Accruing Non-Cash Return   (other than ASGA)</v>
      </c>
      <c r="P1176" s="170" t="s">
        <v>1186</v>
      </c>
      <c r="Q1176" s="123" t="s">
        <v>1187</v>
      </c>
      <c r="R1176" s="124">
        <v>0</v>
      </c>
      <c r="S1176" s="124">
        <v>0</v>
      </c>
      <c r="T1176" s="124">
        <v>1</v>
      </c>
      <c r="U1176" s="121">
        <f t="shared" si="483"/>
        <v>0</v>
      </c>
      <c r="V1176" s="121">
        <f t="shared" si="484"/>
        <v>0</v>
      </c>
      <c r="W1176" s="121">
        <f t="shared" si="485"/>
        <v>508.48361791666701</v>
      </c>
      <c r="X1176" s="121">
        <f t="shared" si="481"/>
        <v>508.48361791666701</v>
      </c>
      <c r="Y1176" s="121">
        <f t="shared" si="486"/>
        <v>0</v>
      </c>
      <c r="Z1176" s="121">
        <f t="shared" si="487"/>
        <v>0</v>
      </c>
      <c r="AA1176" s="121">
        <f t="shared" si="488"/>
        <v>583.76043000000004</v>
      </c>
      <c r="AB1176" s="121">
        <f t="shared" si="482"/>
        <v>583.76042999999993</v>
      </c>
      <c r="AC1176" s="121">
        <v>434.74251999999996</v>
      </c>
      <c r="AD1176" s="121">
        <v>446.80932999999993</v>
      </c>
      <c r="AE1176" s="121">
        <v>458.93892999999991</v>
      </c>
      <c r="AF1176" s="121">
        <v>471.13162999999997</v>
      </c>
      <c r="AG1176" s="121">
        <v>483.38775999999996</v>
      </c>
      <c r="AH1176" s="121">
        <v>495.70765999999998</v>
      </c>
      <c r="AI1176" s="161">
        <v>508.09164999999996</v>
      </c>
      <c r="AJ1176" s="161">
        <v>520.5400699999999</v>
      </c>
      <c r="AK1176" s="161">
        <v>533.05325999999991</v>
      </c>
      <c r="AL1176" s="161">
        <v>545.63155999999992</v>
      </c>
      <c r="AM1176" s="161">
        <v>558.27528999999993</v>
      </c>
      <c r="AN1176" s="161">
        <v>570.98479999999995</v>
      </c>
      <c r="AO1176" s="161">
        <v>583.76042999999993</v>
      </c>
      <c r="AP1176" s="125" t="str">
        <f>CONCATENATE(A1176,M1176)</f>
        <v>Def TaxN</v>
      </c>
      <c r="AQ1176" s="125" t="str">
        <f>CONCATENATE(AP1176,L1176,H1176)</f>
        <v>Def TaxNN10Medicare Subsidy</v>
      </c>
      <c r="AS1176" s="125" t="str">
        <f>CONCATENATE(L1176,H1176,J1176)</f>
        <v>N10Medicare Subsidy</v>
      </c>
    </row>
    <row r="1177" spans="1:45" s="125" customFormat="1" ht="25.5" customHeight="1">
      <c r="A1177" s="216" t="s">
        <v>1996</v>
      </c>
      <c r="B1177" s="217" t="str">
        <f t="shared" si="489"/>
        <v>Def Tax1905325BT010166</v>
      </c>
      <c r="C1177" s="186">
        <v>190532</v>
      </c>
      <c r="D1177" s="201">
        <v>5</v>
      </c>
      <c r="E1177" s="162" t="s">
        <v>1017</v>
      </c>
      <c r="F1177" s="169" t="s">
        <v>3156</v>
      </c>
      <c r="G1177" s="117" t="s">
        <v>3155</v>
      </c>
      <c r="H1177" s="118" t="s">
        <v>1553</v>
      </c>
      <c r="I1177" s="119"/>
      <c r="J1177" s="120" t="s">
        <v>105</v>
      </c>
      <c r="K1177" s="120" t="str">
        <f t="shared" si="480"/>
        <v/>
      </c>
      <c r="L1177" s="170" t="s">
        <v>2821</v>
      </c>
      <c r="M1177" s="122" t="str">
        <f t="shared" si="490"/>
        <v>N</v>
      </c>
      <c r="N1177" s="116" t="str">
        <f>IF($L1177&lt;&gt;"",VLOOKUP($L1177,Categories!$E:$G,2,FALSE),IF($F1177&lt;&gt;"","NO CAT",""))</f>
        <v>Not in Rate Base</v>
      </c>
      <c r="O1177" s="116" t="str">
        <f>IF($L1177&lt;&gt;"",VLOOKUP($L1177,Categories!$E:$G,3,FALSE),IF($F1177&lt;&gt;"","NO CAT",""))</f>
        <v>Deferrals Accruing Non-Cash Return   (other than ASGA)</v>
      </c>
      <c r="P1177" s="170" t="s">
        <v>1186</v>
      </c>
      <c r="Q1177" s="123" t="s">
        <v>1187</v>
      </c>
      <c r="R1177" s="124">
        <v>0</v>
      </c>
      <c r="S1177" s="124">
        <v>0</v>
      </c>
      <c r="T1177" s="124">
        <v>1</v>
      </c>
      <c r="U1177" s="121">
        <f t="shared" si="483"/>
        <v>0</v>
      </c>
      <c r="V1177" s="121">
        <f t="shared" si="484"/>
        <v>0</v>
      </c>
      <c r="W1177" s="121">
        <f t="shared" si="485"/>
        <v>-3120.9189249999999</v>
      </c>
      <c r="X1177" s="121">
        <f t="shared" si="481"/>
        <v>-3120.9189249999999</v>
      </c>
      <c r="Y1177" s="121">
        <f t="shared" si="486"/>
        <v>0</v>
      </c>
      <c r="Z1177" s="121">
        <f t="shared" si="487"/>
        <v>0</v>
      </c>
      <c r="AA1177" s="121">
        <f t="shared" si="488"/>
        <v>-5849.57654</v>
      </c>
      <c r="AB1177" s="121">
        <f t="shared" si="482"/>
        <v>-5849.57654</v>
      </c>
      <c r="AC1177" s="121">
        <v>-1820.9638799999998</v>
      </c>
      <c r="AD1177" s="121">
        <v>-1820.9638799999998</v>
      </c>
      <c r="AE1177" s="121">
        <v>-1820.9638799999998</v>
      </c>
      <c r="AF1177" s="121">
        <v>-1820.9638799999998</v>
      </c>
      <c r="AG1177" s="121">
        <v>-1820.9638799999998</v>
      </c>
      <c r="AH1177" s="121">
        <v>-1820.9638799999998</v>
      </c>
      <c r="AI1177" s="161">
        <v>-1820.9638799999998</v>
      </c>
      <c r="AJ1177" s="161">
        <v>-2867.5855099999999</v>
      </c>
      <c r="AK1177" s="161">
        <v>-3030.1892399999997</v>
      </c>
      <c r="AL1177" s="161">
        <v>-5464.7533699999994</v>
      </c>
      <c r="AM1177" s="161">
        <v>-5600.9577299999992</v>
      </c>
      <c r="AN1177" s="161">
        <v>-5726.48776</v>
      </c>
      <c r="AO1177" s="161">
        <v>-5849.57654</v>
      </c>
      <c r="AP1177" s="125" t="str">
        <f>CONCATENATE(A1177,M1177)</f>
        <v>Def TaxN</v>
      </c>
      <c r="AQ1177" s="125" t="str">
        <f>CONCATENATE(AP1177,L1177,H1177)</f>
        <v>Def TaxNN10Pension</v>
      </c>
      <c r="AS1177" s="125" t="str">
        <f>CONCATENATE(L1177,H1177,J1177)</f>
        <v>N10PensionNCR</v>
      </c>
    </row>
    <row r="1178" spans="1:45" s="125" customFormat="1" ht="25.5" customHeight="1">
      <c r="A1178" s="216" t="s">
        <v>1996</v>
      </c>
      <c r="B1178" s="217" t="str">
        <f t="shared" si="489"/>
        <v>Def Tax1905326BT030562</v>
      </c>
      <c r="C1178" s="186">
        <v>190532</v>
      </c>
      <c r="D1178" s="201">
        <v>6</v>
      </c>
      <c r="E1178" s="162" t="s">
        <v>1548</v>
      </c>
      <c r="F1178" s="169" t="s">
        <v>3156</v>
      </c>
      <c r="G1178" s="117" t="s">
        <v>942</v>
      </c>
      <c r="H1178" s="118" t="s">
        <v>170</v>
      </c>
      <c r="I1178" s="119"/>
      <c r="J1178" s="231"/>
      <c r="K1178" s="120" t="str">
        <f t="shared" si="480"/>
        <v/>
      </c>
      <c r="L1178" s="170" t="s">
        <v>1895</v>
      </c>
      <c r="M1178" s="122" t="str">
        <f t="shared" si="490"/>
        <v>R</v>
      </c>
      <c r="N1178" s="116" t="str">
        <f>IF($L1178&lt;&gt;"",VLOOKUP($L1178,Categories!$E:$G,2,FALSE),IF($F1178&lt;&gt;"","NO CAT",""))</f>
        <v>Rate Base</v>
      </c>
      <c r="O1178" s="116" t="str">
        <f>IF($L1178&lt;&gt;"",VLOOKUP($L1178,Categories!$E:$G,3,FALSE),IF($F1178&lt;&gt;"","NO CAT",""))</f>
        <v>Deferred Income Taxes</v>
      </c>
      <c r="P1178" s="170" t="s">
        <v>1553</v>
      </c>
      <c r="Q1178" s="123" t="s">
        <v>2587</v>
      </c>
      <c r="R1178" s="124">
        <v>0.81899999999999995</v>
      </c>
      <c r="S1178" s="124">
        <v>0.18099999999999999</v>
      </c>
      <c r="T1178" s="124">
        <v>0</v>
      </c>
      <c r="U1178" s="121">
        <f t="shared" si="483"/>
        <v>2884.54663497</v>
      </c>
      <c r="V1178" s="121">
        <f t="shared" si="484"/>
        <v>637.48832836333304</v>
      </c>
      <c r="W1178" s="121">
        <f t="shared" si="485"/>
        <v>0</v>
      </c>
      <c r="X1178" s="121">
        <f t="shared" si="481"/>
        <v>3522.0349633333299</v>
      </c>
      <c r="Y1178" s="121">
        <f t="shared" si="486"/>
        <v>694.11340908</v>
      </c>
      <c r="Z1178" s="121">
        <f t="shared" si="487"/>
        <v>153.39991092</v>
      </c>
      <c r="AA1178" s="121">
        <f t="shared" si="488"/>
        <v>0</v>
      </c>
      <c r="AB1178" s="121">
        <f t="shared" si="482"/>
        <v>847.51332000000025</v>
      </c>
      <c r="AC1178" s="121">
        <v>3866.3903199999995</v>
      </c>
      <c r="AD1178" s="121">
        <v>3826.6505399999996</v>
      </c>
      <c r="AE1178" s="121">
        <v>3786.9107499999996</v>
      </c>
      <c r="AF1178" s="121">
        <v>3747.1709699999997</v>
      </c>
      <c r="AG1178" s="121">
        <v>3707.4311799999996</v>
      </c>
      <c r="AH1178" s="121">
        <v>3667.6913999999997</v>
      </c>
      <c r="AI1178" s="161">
        <v>3627.9516100000001</v>
      </c>
      <c r="AJ1178" s="161">
        <v>3588.2118300000002</v>
      </c>
      <c r="AK1178" s="161">
        <v>3548.4720400000001</v>
      </c>
      <c r="AL1178" s="161">
        <v>3508.7322600000002</v>
      </c>
      <c r="AM1178" s="161">
        <v>3468.9924700000001</v>
      </c>
      <c r="AN1178" s="161">
        <v>3429.2526900000003</v>
      </c>
      <c r="AO1178" s="161">
        <v>847.51332000000025</v>
      </c>
      <c r="AP1178" s="125" t="str">
        <f>CONCATENATE(A1178,M1178)</f>
        <v>Def TaxR</v>
      </c>
      <c r="AQ1178" s="125" t="str">
        <f>CONCATENATE(AP1178,L1178,H1178)</f>
        <v>Def TaxRR11OPEBs</v>
      </c>
      <c r="AS1178" s="125" t="str">
        <f>CONCATENATE(L1178,H1178,J1178)</f>
        <v>R11OPEBs</v>
      </c>
    </row>
    <row r="1179" spans="1:45" s="125" customFormat="1" ht="25.5" customHeight="1">
      <c r="A1179" s="216" t="s">
        <v>1996</v>
      </c>
      <c r="B1179" s="217" t="str">
        <f t="shared" si="489"/>
        <v>Def Tax1905411BDEFAULT</v>
      </c>
      <c r="C1179" s="186">
        <v>190541</v>
      </c>
      <c r="D1179" s="201">
        <v>1</v>
      </c>
      <c r="E1179" s="162" t="s">
        <v>1569</v>
      </c>
      <c r="F1179" s="169" t="s">
        <v>3158</v>
      </c>
      <c r="G1179" s="117" t="s">
        <v>1088</v>
      </c>
      <c r="H1179" s="118" t="s">
        <v>1002</v>
      </c>
      <c r="I1179" s="119"/>
      <c r="J1179" s="120"/>
      <c r="K1179" s="120" t="str">
        <f t="shared" si="480"/>
        <v/>
      </c>
      <c r="L1179" s="170" t="s">
        <v>1895</v>
      </c>
      <c r="M1179" s="122" t="str">
        <f t="shared" si="490"/>
        <v>R</v>
      </c>
      <c r="N1179" s="116" t="str">
        <f>IF($L1179&lt;&gt;"",VLOOKUP($L1179,Categories!$E:$G,2,FALSE),IF($F1179&lt;&gt;"","NO CAT",""))</f>
        <v>Rate Base</v>
      </c>
      <c r="O1179" s="116" t="str">
        <f>IF($L1179&lt;&gt;"",VLOOKUP($L1179,Categories!$E:$G,3,FALSE),IF($F1179&lt;&gt;"","NO CAT",""))</f>
        <v>Deferred Income Taxes</v>
      </c>
      <c r="P1179" s="170" t="s">
        <v>1553</v>
      </c>
      <c r="Q1179" s="123" t="s">
        <v>2587</v>
      </c>
      <c r="R1179" s="124">
        <v>0.81899999999999995</v>
      </c>
      <c r="S1179" s="124">
        <v>0.18099999999999999</v>
      </c>
      <c r="T1179" s="124">
        <v>0</v>
      </c>
      <c r="U1179" s="121">
        <f t="shared" si="483"/>
        <v>-19979.707334291201</v>
      </c>
      <c r="V1179" s="121">
        <f t="shared" si="484"/>
        <v>-4415.5397161254004</v>
      </c>
      <c r="W1179" s="121">
        <f t="shared" si="485"/>
        <v>0</v>
      </c>
      <c r="X1179" s="121">
        <f t="shared" si="481"/>
        <v>-24395.247050416601</v>
      </c>
      <c r="Y1179" s="121">
        <f t="shared" si="486"/>
        <v>-30215.62901448</v>
      </c>
      <c r="Z1179" s="121">
        <f t="shared" si="487"/>
        <v>-6677.6909055200003</v>
      </c>
      <c r="AA1179" s="121">
        <f t="shared" si="488"/>
        <v>0</v>
      </c>
      <c r="AB1179" s="121">
        <f t="shared" si="482"/>
        <v>-36893.319920000002</v>
      </c>
      <c r="AC1179" s="121">
        <v>-25673.969409999998</v>
      </c>
      <c r="AD1179" s="121">
        <v>-25356.479359999994</v>
      </c>
      <c r="AE1179" s="121">
        <v>-25038.989299999997</v>
      </c>
      <c r="AF1179" s="121">
        <v>-24721.499249999997</v>
      </c>
      <c r="AG1179" s="121">
        <v>-24404.009189999997</v>
      </c>
      <c r="AH1179" s="121">
        <v>-24086.519139999997</v>
      </c>
      <c r="AI1179" s="161">
        <v>-23769.029089999996</v>
      </c>
      <c r="AJ1179" s="161">
        <v>-23451.539029999996</v>
      </c>
      <c r="AK1179" s="161">
        <v>-23134.048979999996</v>
      </c>
      <c r="AL1179" s="161">
        <v>-22816.558919999999</v>
      </c>
      <c r="AM1179" s="161">
        <v>-22499.068869999996</v>
      </c>
      <c r="AN1179" s="161">
        <v>-22181.578809999999</v>
      </c>
      <c r="AO1179" s="161">
        <v>-36893.319920000002</v>
      </c>
      <c r="AP1179" s="125" t="str">
        <f>CONCATENATE(A1179,M1179)</f>
        <v>Def TaxR</v>
      </c>
      <c r="AQ1179" s="125" t="str">
        <f>CONCATENATE(AP1179,L1179,H1179)</f>
        <v>Def TaxRR11Accrued Pension</v>
      </c>
      <c r="AS1179" s="125" t="str">
        <f>CONCATENATE(L1179,H1179,J1179)</f>
        <v>R11Accrued Pension</v>
      </c>
    </row>
    <row r="1180" spans="1:45" s="125" customFormat="1" ht="25.5" customHeight="1">
      <c r="A1180" s="216" t="s">
        <v>1996</v>
      </c>
      <c r="B1180" s="217" t="str">
        <f t="shared" si="489"/>
        <v>Def Tax1905412BT010091</v>
      </c>
      <c r="C1180" s="186">
        <v>190541</v>
      </c>
      <c r="D1180" s="201">
        <v>2</v>
      </c>
      <c r="E1180" s="162" t="s">
        <v>1012</v>
      </c>
      <c r="F1180" s="169" t="s">
        <v>3158</v>
      </c>
      <c r="G1180" s="117" t="s">
        <v>1011</v>
      </c>
      <c r="H1180" s="118" t="s">
        <v>170</v>
      </c>
      <c r="I1180" s="119"/>
      <c r="J1180" s="231" t="s">
        <v>105</v>
      </c>
      <c r="K1180" s="120" t="str">
        <f t="shared" si="480"/>
        <v/>
      </c>
      <c r="L1180" s="170" t="s">
        <v>2821</v>
      </c>
      <c r="M1180" s="122" t="str">
        <f t="shared" si="490"/>
        <v>N</v>
      </c>
      <c r="N1180" s="116" t="str">
        <f>IF($L1180&lt;&gt;"",VLOOKUP($L1180,Categories!$E:$G,2,FALSE),IF($F1180&lt;&gt;"","NO CAT",""))</f>
        <v>Not in Rate Base</v>
      </c>
      <c r="O1180" s="116" t="str">
        <f>IF($L1180&lt;&gt;"",VLOOKUP($L1180,Categories!$E:$G,3,FALSE),IF($F1180&lt;&gt;"","NO CAT",""))</f>
        <v>Deferrals Accruing Non-Cash Return   (other than ASGA)</v>
      </c>
      <c r="P1180" s="170" t="s">
        <v>1186</v>
      </c>
      <c r="Q1180" s="123" t="s">
        <v>1187</v>
      </c>
      <c r="R1180" s="124">
        <v>0</v>
      </c>
      <c r="S1180" s="124">
        <v>0</v>
      </c>
      <c r="T1180" s="124">
        <v>1</v>
      </c>
      <c r="U1180" s="121">
        <f t="shared" si="483"/>
        <v>0</v>
      </c>
      <c r="V1180" s="121">
        <f t="shared" si="484"/>
        <v>0</v>
      </c>
      <c r="W1180" s="121">
        <f t="shared" si="485"/>
        <v>2056.2943887500001</v>
      </c>
      <c r="X1180" s="121">
        <f t="shared" si="481"/>
        <v>2056.2943887500001</v>
      </c>
      <c r="Y1180" s="121">
        <f t="shared" si="486"/>
        <v>0</v>
      </c>
      <c r="Z1180" s="121">
        <f t="shared" si="487"/>
        <v>0</v>
      </c>
      <c r="AA1180" s="121">
        <f t="shared" si="488"/>
        <v>2623.7840000000001</v>
      </c>
      <c r="AB1180" s="121">
        <f t="shared" si="482"/>
        <v>2623.7840000000001</v>
      </c>
      <c r="AC1180" s="121">
        <v>1477.3438100000003</v>
      </c>
      <c r="AD1180" s="121">
        <v>1574.9722300000003</v>
      </c>
      <c r="AE1180" s="121">
        <v>1677.9965000000002</v>
      </c>
      <c r="AF1180" s="121">
        <v>1773.3219200000001</v>
      </c>
      <c r="AG1180" s="121">
        <v>1869.1947200000002</v>
      </c>
      <c r="AH1180" s="121">
        <v>1965.0935300000003</v>
      </c>
      <c r="AI1180" s="161">
        <v>2055.5478900000003</v>
      </c>
      <c r="AJ1180" s="161">
        <v>2157.4441100000004</v>
      </c>
      <c r="AK1180" s="161">
        <v>2246.5913700000001</v>
      </c>
      <c r="AL1180" s="161">
        <v>2340.81619</v>
      </c>
      <c r="AM1180" s="161">
        <v>2434.8762499999998</v>
      </c>
      <c r="AN1180" s="161">
        <v>2529.1140499999997</v>
      </c>
      <c r="AO1180" s="161">
        <v>2623.7840000000001</v>
      </c>
      <c r="AP1180" s="125" t="str">
        <f>CONCATENATE(A1180,M1180)</f>
        <v>Def TaxN</v>
      </c>
      <c r="AQ1180" s="125" t="str">
        <f>CONCATENATE(AP1180,L1180,H1180)</f>
        <v>Def TaxNN10OPEBs</v>
      </c>
      <c r="AS1180" s="125" t="str">
        <f>CONCATENATE(L1180,H1180,J1180)</f>
        <v>N10OPEBsNCR</v>
      </c>
    </row>
    <row r="1181" spans="1:45" s="125" customFormat="1" ht="25.5" customHeight="1">
      <c r="A1181" s="216" t="s">
        <v>1996</v>
      </c>
      <c r="B1181" s="217" t="str">
        <f t="shared" si="489"/>
        <v>Def Tax1905413BT010124</v>
      </c>
      <c r="C1181" s="186">
        <v>190541</v>
      </c>
      <c r="D1181" s="201">
        <v>3</v>
      </c>
      <c r="E1181" s="162" t="s">
        <v>1010</v>
      </c>
      <c r="F1181" s="169" t="s">
        <v>3158</v>
      </c>
      <c r="G1181" s="117" t="s">
        <v>109</v>
      </c>
      <c r="H1181" s="118" t="s">
        <v>914</v>
      </c>
      <c r="I1181" s="119"/>
      <c r="J1181" s="120"/>
      <c r="K1181" s="120" t="str">
        <f t="shared" si="480"/>
        <v/>
      </c>
      <c r="L1181" s="170" t="s">
        <v>2821</v>
      </c>
      <c r="M1181" s="122" t="str">
        <f t="shared" si="490"/>
        <v>N</v>
      </c>
      <c r="N1181" s="116" t="str">
        <f>IF($L1181&lt;&gt;"",VLOOKUP($L1181,Categories!$E:$G,2,FALSE),IF($F1181&lt;&gt;"","NO CAT",""))</f>
        <v>Not in Rate Base</v>
      </c>
      <c r="O1181" s="116" t="str">
        <f>IF($L1181&lt;&gt;"",VLOOKUP($L1181,Categories!$E:$G,3,FALSE),IF($F1181&lt;&gt;"","NO CAT",""))</f>
        <v>Deferrals Accruing Non-Cash Return   (other than ASGA)</v>
      </c>
      <c r="P1181" s="170" t="s">
        <v>1186</v>
      </c>
      <c r="Q1181" s="123" t="s">
        <v>1187</v>
      </c>
      <c r="R1181" s="124">
        <v>0</v>
      </c>
      <c r="S1181" s="124">
        <v>0</v>
      </c>
      <c r="T1181" s="124">
        <v>1</v>
      </c>
      <c r="U1181" s="121">
        <f t="shared" si="483"/>
        <v>0</v>
      </c>
      <c r="V1181" s="121">
        <f t="shared" si="484"/>
        <v>0</v>
      </c>
      <c r="W1181" s="121">
        <f t="shared" si="485"/>
        <v>191.16688250000001</v>
      </c>
      <c r="X1181" s="121">
        <f t="shared" si="481"/>
        <v>191.16688250000001</v>
      </c>
      <c r="Y1181" s="121">
        <f t="shared" si="486"/>
        <v>0</v>
      </c>
      <c r="Z1181" s="121">
        <f t="shared" si="487"/>
        <v>0</v>
      </c>
      <c r="AA1181" s="121">
        <f t="shared" si="488"/>
        <v>219.46755999999999</v>
      </c>
      <c r="AB1181" s="121">
        <f t="shared" si="482"/>
        <v>219.46756000000002</v>
      </c>
      <c r="AC1181" s="121">
        <v>163.44356000000002</v>
      </c>
      <c r="AD1181" s="121">
        <v>167.98014000000001</v>
      </c>
      <c r="AE1181" s="121">
        <v>172.54032000000001</v>
      </c>
      <c r="AF1181" s="121">
        <v>177.12422000000001</v>
      </c>
      <c r="AG1181" s="121">
        <v>181.73196999999999</v>
      </c>
      <c r="AH1181" s="121">
        <v>186.36370000000002</v>
      </c>
      <c r="AI1181" s="161">
        <v>191.01952000000003</v>
      </c>
      <c r="AJ1181" s="161">
        <v>195.69956999999999</v>
      </c>
      <c r="AK1181" s="161">
        <v>200.40396000000001</v>
      </c>
      <c r="AL1181" s="161">
        <v>205.13283000000001</v>
      </c>
      <c r="AM1181" s="161">
        <v>209.88630000000001</v>
      </c>
      <c r="AN1181" s="161">
        <v>214.66450000000003</v>
      </c>
      <c r="AO1181" s="161">
        <v>219.46756000000002</v>
      </c>
      <c r="AP1181" s="125" t="str">
        <f>CONCATENATE(A1181,M1181)</f>
        <v>Def TaxN</v>
      </c>
      <c r="AQ1181" s="125" t="str">
        <f>CONCATENATE(AP1181,L1181,H1181)</f>
        <v>Def TaxNN10Medicare Subsidy</v>
      </c>
      <c r="AS1181" s="125" t="str">
        <f>CONCATENATE(L1181,H1181,J1181)</f>
        <v>N10Medicare Subsidy</v>
      </c>
    </row>
    <row r="1182" spans="1:45" s="125" customFormat="1" ht="25.5" customHeight="1">
      <c r="A1182" s="216" t="s">
        <v>1996</v>
      </c>
      <c r="B1182" s="217" t="str">
        <f t="shared" si="489"/>
        <v>Def Tax1905414BT010166</v>
      </c>
      <c r="C1182" s="186">
        <v>190541</v>
      </c>
      <c r="D1182" s="201">
        <v>4</v>
      </c>
      <c r="E1182" s="162" t="s">
        <v>1017</v>
      </c>
      <c r="F1182" s="169" t="s">
        <v>3158</v>
      </c>
      <c r="G1182" s="117" t="s">
        <v>3155</v>
      </c>
      <c r="H1182" s="118" t="s">
        <v>1553</v>
      </c>
      <c r="I1182" s="119"/>
      <c r="J1182" s="120" t="s">
        <v>105</v>
      </c>
      <c r="K1182" s="120" t="str">
        <f t="shared" si="480"/>
        <v/>
      </c>
      <c r="L1182" s="170" t="s">
        <v>2821</v>
      </c>
      <c r="M1182" s="122" t="str">
        <f t="shared" si="490"/>
        <v>N</v>
      </c>
      <c r="N1182" s="116" t="str">
        <f>IF($L1182&lt;&gt;"",VLOOKUP($L1182,Categories!$E:$G,2,FALSE),IF($F1182&lt;&gt;"","NO CAT",""))</f>
        <v>Not in Rate Base</v>
      </c>
      <c r="O1182" s="116" t="str">
        <f>IF($L1182&lt;&gt;"",VLOOKUP($L1182,Categories!$E:$G,3,FALSE),IF($F1182&lt;&gt;"","NO CAT",""))</f>
        <v>Deferrals Accruing Non-Cash Return   (other than ASGA)</v>
      </c>
      <c r="P1182" s="170" t="s">
        <v>1186</v>
      </c>
      <c r="Q1182" s="123" t="s">
        <v>1187</v>
      </c>
      <c r="R1182" s="124">
        <v>0</v>
      </c>
      <c r="S1182" s="124">
        <v>0</v>
      </c>
      <c r="T1182" s="124">
        <v>1</v>
      </c>
      <c r="U1182" s="121">
        <f t="shared" si="483"/>
        <v>0</v>
      </c>
      <c r="V1182" s="121">
        <f t="shared" si="484"/>
        <v>0</v>
      </c>
      <c r="W1182" s="121">
        <f t="shared" si="485"/>
        <v>-4298.8870900000002</v>
      </c>
      <c r="X1182" s="121">
        <f t="shared" si="481"/>
        <v>-4298.8870900000002</v>
      </c>
      <c r="Y1182" s="121">
        <f t="shared" si="486"/>
        <v>0</v>
      </c>
      <c r="Z1182" s="121">
        <f t="shared" si="487"/>
        <v>0</v>
      </c>
      <c r="AA1182" s="121">
        <f t="shared" si="488"/>
        <v>-4489.5143900000003</v>
      </c>
      <c r="AB1182" s="121">
        <f t="shared" si="482"/>
        <v>-4489.5143900000003</v>
      </c>
      <c r="AC1182" s="121">
        <v>-3802.4945500000003</v>
      </c>
      <c r="AD1182" s="121">
        <v>-3972.9694500000001</v>
      </c>
      <c r="AE1182" s="121">
        <v>-4086.9724999999999</v>
      </c>
      <c r="AF1182" s="121">
        <v>-4196.50486</v>
      </c>
      <c r="AG1182" s="121">
        <v>-4320.7083600000005</v>
      </c>
      <c r="AH1182" s="121">
        <v>-4447.2593400000005</v>
      </c>
      <c r="AI1182" s="161">
        <v>-4550.3073900000009</v>
      </c>
      <c r="AJ1182" s="161">
        <v>-4471.7457300000005</v>
      </c>
      <c r="AK1182" s="161">
        <v>-4591.3272100000013</v>
      </c>
      <c r="AL1182" s="161">
        <v>-4175.0258600000006</v>
      </c>
      <c r="AM1182" s="161">
        <v>-4261.9467700000005</v>
      </c>
      <c r="AN1182" s="161">
        <v>-4365.8731400000006</v>
      </c>
      <c r="AO1182" s="161">
        <v>-4489.5143900000003</v>
      </c>
      <c r="AP1182" s="125" t="str">
        <f>CONCATENATE(A1182,M1182)</f>
        <v>Def TaxN</v>
      </c>
      <c r="AQ1182" s="125" t="str">
        <f>CONCATENATE(AP1182,L1182,H1182)</f>
        <v>Def TaxNN10Pension</v>
      </c>
      <c r="AS1182" s="125" t="str">
        <f>CONCATENATE(L1182,H1182,J1182)</f>
        <v>N10PensionNCR</v>
      </c>
    </row>
    <row r="1183" spans="1:45" s="125" customFormat="1" ht="25.5" customHeight="1">
      <c r="A1183" s="216" t="s">
        <v>1996</v>
      </c>
      <c r="B1183" s="217" t="str">
        <f t="shared" si="489"/>
        <v>Def Tax1905415BT030562</v>
      </c>
      <c r="C1183" s="186">
        <v>190541</v>
      </c>
      <c r="D1183" s="201">
        <v>5</v>
      </c>
      <c r="E1183" s="162" t="s">
        <v>1548</v>
      </c>
      <c r="F1183" s="169" t="s">
        <v>3158</v>
      </c>
      <c r="G1183" s="117" t="s">
        <v>942</v>
      </c>
      <c r="H1183" s="118" t="s">
        <v>170</v>
      </c>
      <c r="I1183" s="119"/>
      <c r="J1183" s="231"/>
      <c r="K1183" s="120" t="str">
        <f t="shared" si="480"/>
        <v/>
      </c>
      <c r="L1183" s="170" t="s">
        <v>1895</v>
      </c>
      <c r="M1183" s="122" t="str">
        <f t="shared" si="490"/>
        <v>R</v>
      </c>
      <c r="N1183" s="116" t="str">
        <f>IF($L1183&lt;&gt;"",VLOOKUP($L1183,Categories!$E:$G,2,FALSE),IF($F1183&lt;&gt;"","NO CAT",""))</f>
        <v>Rate Base</v>
      </c>
      <c r="O1183" s="116" t="str">
        <f>IF($L1183&lt;&gt;"",VLOOKUP($L1183,Categories!$E:$G,3,FALSE),IF($F1183&lt;&gt;"","NO CAT",""))</f>
        <v>Deferred Income Taxes</v>
      </c>
      <c r="P1183" s="170" t="s">
        <v>1553</v>
      </c>
      <c r="Q1183" s="123" t="s">
        <v>2587</v>
      </c>
      <c r="R1183" s="124">
        <v>0.81899999999999995</v>
      </c>
      <c r="S1183" s="124">
        <v>0.18099999999999999</v>
      </c>
      <c r="T1183" s="124">
        <v>0</v>
      </c>
      <c r="U1183" s="121">
        <f t="shared" si="483"/>
        <v>1871.7222290812499</v>
      </c>
      <c r="V1183" s="121">
        <f t="shared" si="484"/>
        <v>413.65289800208302</v>
      </c>
      <c r="W1183" s="121">
        <f t="shared" si="485"/>
        <v>0</v>
      </c>
      <c r="X1183" s="121">
        <f t="shared" si="481"/>
        <v>2285.37512708333</v>
      </c>
      <c r="Y1183" s="121">
        <f t="shared" si="486"/>
        <v>185.75241867000099</v>
      </c>
      <c r="Z1183" s="121">
        <f t="shared" si="487"/>
        <v>41.051511330000103</v>
      </c>
      <c r="AA1183" s="121">
        <f t="shared" si="488"/>
        <v>0</v>
      </c>
      <c r="AB1183" s="121">
        <f t="shared" si="482"/>
        <v>226.80393000000063</v>
      </c>
      <c r="AC1183" s="121">
        <v>2550.4243999999994</v>
      </c>
      <c r="AD1183" s="121">
        <v>2519.8368099999998</v>
      </c>
      <c r="AE1183" s="121">
        <v>2489.2492199999997</v>
      </c>
      <c r="AF1183" s="121">
        <v>2458.6616300000001</v>
      </c>
      <c r="AG1183" s="121">
        <v>2428.0740299999998</v>
      </c>
      <c r="AH1183" s="121">
        <v>2397.4864400000001</v>
      </c>
      <c r="AI1183" s="161">
        <v>2366.89885</v>
      </c>
      <c r="AJ1183" s="161">
        <v>2336.3112600000004</v>
      </c>
      <c r="AK1183" s="161">
        <v>2305.7236700000003</v>
      </c>
      <c r="AL1183" s="161">
        <v>2275.1360800000007</v>
      </c>
      <c r="AM1183" s="161">
        <v>2244.5484800000004</v>
      </c>
      <c r="AN1183" s="161">
        <v>2213.9608900000007</v>
      </c>
      <c r="AO1183" s="161">
        <v>226.80393000000063</v>
      </c>
      <c r="AP1183" s="125" t="str">
        <f>CONCATENATE(A1183,M1183)</f>
        <v>Def TaxR</v>
      </c>
      <c r="AQ1183" s="125" t="str">
        <f>CONCATENATE(AP1183,L1183,H1183)</f>
        <v>Def TaxRR11OPEBs</v>
      </c>
      <c r="AS1183" s="125" t="str">
        <f>CONCATENATE(L1183,H1183,J1183)</f>
        <v>R11OPEBs</v>
      </c>
    </row>
    <row r="1184" spans="1:45" s="125" customFormat="1" ht="25.5" customHeight="1">
      <c r="A1184" s="216" t="s">
        <v>1996</v>
      </c>
      <c r="B1184" s="217" t="str">
        <f t="shared" si="489"/>
        <v>Def Tax1905421BDEFAULT</v>
      </c>
      <c r="C1184" s="186">
        <v>190542</v>
      </c>
      <c r="D1184" s="201">
        <v>1</v>
      </c>
      <c r="E1184" s="162" t="s">
        <v>1569</v>
      </c>
      <c r="F1184" s="169" t="s">
        <v>3159</v>
      </c>
      <c r="G1184" s="117" t="s">
        <v>1088</v>
      </c>
      <c r="H1184" s="118" t="s">
        <v>1002</v>
      </c>
      <c r="I1184" s="119"/>
      <c r="J1184" s="120"/>
      <c r="K1184" s="120" t="str">
        <f t="shared" si="480"/>
        <v/>
      </c>
      <c r="L1184" s="170" t="s">
        <v>1895</v>
      </c>
      <c r="M1184" s="122" t="str">
        <f t="shared" si="490"/>
        <v>R</v>
      </c>
      <c r="N1184" s="116" t="str">
        <f>IF($L1184&lt;&gt;"",VLOOKUP($L1184,Categories!$E:$G,2,FALSE),IF($F1184&lt;&gt;"","NO CAT",""))</f>
        <v>Rate Base</v>
      </c>
      <c r="O1184" s="116" t="str">
        <f>IF($L1184&lt;&gt;"",VLOOKUP($L1184,Categories!$E:$G,3,FALSE),IF($F1184&lt;&gt;"","NO CAT",""))</f>
        <v>Deferred Income Taxes</v>
      </c>
      <c r="P1184" s="170" t="s">
        <v>1553</v>
      </c>
      <c r="Q1184" s="123" t="s">
        <v>2587</v>
      </c>
      <c r="R1184" s="124">
        <v>0.81899999999999995</v>
      </c>
      <c r="S1184" s="124">
        <v>0.18099999999999999</v>
      </c>
      <c r="T1184" s="124">
        <v>0</v>
      </c>
      <c r="U1184" s="121">
        <f t="shared" si="483"/>
        <v>-5122.6702680562603</v>
      </c>
      <c r="V1184" s="121">
        <f t="shared" si="484"/>
        <v>-1132.1163840270799</v>
      </c>
      <c r="W1184" s="121">
        <f t="shared" si="485"/>
        <v>0</v>
      </c>
      <c r="X1184" s="121">
        <f t="shared" si="481"/>
        <v>-6254.7866520833404</v>
      </c>
      <c r="Y1184" s="121">
        <f t="shared" si="486"/>
        <v>-8026.57102338</v>
      </c>
      <c r="Z1184" s="121">
        <f t="shared" si="487"/>
        <v>-1773.8819966200001</v>
      </c>
      <c r="AA1184" s="121">
        <f t="shared" si="488"/>
        <v>0</v>
      </c>
      <c r="AB1184" s="121">
        <f t="shared" si="482"/>
        <v>-9800.4530200000063</v>
      </c>
      <c r="AC1184" s="121">
        <v>-6617.5564100000083</v>
      </c>
      <c r="AD1184" s="121">
        <v>-6527.4854200000082</v>
      </c>
      <c r="AE1184" s="121">
        <v>-6437.414430000008</v>
      </c>
      <c r="AF1184" s="121">
        <v>-6347.3434400000078</v>
      </c>
      <c r="AG1184" s="121">
        <v>-6257.2724500000077</v>
      </c>
      <c r="AH1184" s="121">
        <v>-6167.2014600000075</v>
      </c>
      <c r="AI1184" s="161">
        <v>-6077.1304600000076</v>
      </c>
      <c r="AJ1184" s="161">
        <v>-5987.0594700000074</v>
      </c>
      <c r="AK1184" s="161">
        <v>-5896.9884800000073</v>
      </c>
      <c r="AL1184" s="161">
        <v>-5806.9174900000071</v>
      </c>
      <c r="AM1184" s="161">
        <v>-5716.8465000000069</v>
      </c>
      <c r="AN1184" s="161">
        <v>-5626.7755100000059</v>
      </c>
      <c r="AO1184" s="161">
        <v>-9800.4530200000063</v>
      </c>
      <c r="AP1184" s="125" t="str">
        <f>CONCATENATE(A1184,M1184)</f>
        <v>Def TaxR</v>
      </c>
      <c r="AQ1184" s="125" t="str">
        <f>CONCATENATE(AP1184,L1184,H1184)</f>
        <v>Def TaxRR11Accrued Pension</v>
      </c>
      <c r="AS1184" s="125" t="str">
        <f>CONCATENATE(L1184,H1184,J1184)</f>
        <v>R11Accrued Pension</v>
      </c>
    </row>
    <row r="1185" spans="1:45" s="125" customFormat="1" ht="25.5" customHeight="1">
      <c r="A1185" s="216" t="s">
        <v>1996</v>
      </c>
      <c r="B1185" s="217" t="str">
        <f t="shared" si="489"/>
        <v>Def Tax1905422BG030167</v>
      </c>
      <c r="C1185" s="186">
        <v>190542</v>
      </c>
      <c r="D1185" s="201">
        <v>2</v>
      </c>
      <c r="E1185" s="162" t="s">
        <v>2779</v>
      </c>
      <c r="F1185" s="169" t="s">
        <v>3159</v>
      </c>
      <c r="G1185" s="117" t="s">
        <v>3157</v>
      </c>
      <c r="H1185" s="118" t="s">
        <v>1553</v>
      </c>
      <c r="I1185" s="119"/>
      <c r="J1185" s="231" t="s">
        <v>105</v>
      </c>
      <c r="K1185" s="120" t="str">
        <f t="shared" si="480"/>
        <v/>
      </c>
      <c r="L1185" s="170" t="s">
        <v>2821</v>
      </c>
      <c r="M1185" s="122" t="str">
        <f t="shared" si="490"/>
        <v>N</v>
      </c>
      <c r="N1185" s="116" t="str">
        <f>IF($L1185&lt;&gt;"",VLOOKUP($L1185,Categories!$E:$G,2,FALSE),IF($F1185&lt;&gt;"","NO CAT",""))</f>
        <v>Not in Rate Base</v>
      </c>
      <c r="O1185" s="116" t="str">
        <f>IF($L1185&lt;&gt;"",VLOOKUP($L1185,Categories!$E:$G,3,FALSE),IF($F1185&lt;&gt;"","NO CAT",""))</f>
        <v>Deferrals Accruing Non-Cash Return   (other than ASGA)</v>
      </c>
      <c r="P1185" s="170" t="s">
        <v>1186</v>
      </c>
      <c r="Q1185" s="123" t="s">
        <v>1187</v>
      </c>
      <c r="R1185" s="124">
        <v>0</v>
      </c>
      <c r="S1185" s="124">
        <v>0</v>
      </c>
      <c r="T1185" s="124">
        <v>1</v>
      </c>
      <c r="U1185" s="121">
        <f t="shared" si="483"/>
        <v>0</v>
      </c>
      <c r="V1185" s="121">
        <f t="shared" si="484"/>
        <v>0</v>
      </c>
      <c r="W1185" s="121">
        <f t="shared" si="485"/>
        <v>-1738.49182791667</v>
      </c>
      <c r="X1185" s="121">
        <f t="shared" si="481"/>
        <v>-1738.49182791667</v>
      </c>
      <c r="Y1185" s="121">
        <f t="shared" si="486"/>
        <v>0</v>
      </c>
      <c r="Z1185" s="121">
        <f t="shared" si="487"/>
        <v>0</v>
      </c>
      <c r="AA1185" s="121">
        <f t="shared" si="488"/>
        <v>-1472.22092</v>
      </c>
      <c r="AB1185" s="121">
        <f t="shared" si="482"/>
        <v>-1472.2209200000004</v>
      </c>
      <c r="AC1185" s="121">
        <v>-2084.6945700000001</v>
      </c>
      <c r="AD1185" s="121">
        <v>-1958.9212100000002</v>
      </c>
      <c r="AE1185" s="121">
        <v>-1849.6445500000002</v>
      </c>
      <c r="AF1185" s="121">
        <v>-1794.3455500000002</v>
      </c>
      <c r="AG1185" s="121">
        <v>-1770.0275900000004</v>
      </c>
      <c r="AH1185" s="121">
        <v>-1722.0565000000001</v>
      </c>
      <c r="AI1185" s="161">
        <v>-1712.5645700000002</v>
      </c>
      <c r="AJ1185" s="161">
        <v>-1706.3154200000004</v>
      </c>
      <c r="AK1185" s="161">
        <v>-1687.1379900000004</v>
      </c>
      <c r="AL1185" s="161">
        <v>-1672.6658300000006</v>
      </c>
      <c r="AM1185" s="161">
        <v>-1644.1705400000005</v>
      </c>
      <c r="AN1185" s="161">
        <v>-1565.5944400000003</v>
      </c>
      <c r="AO1185" s="161">
        <v>-1472.2209200000004</v>
      </c>
      <c r="AP1185" s="125" t="str">
        <f>CONCATENATE(A1185,M1185)</f>
        <v>Def TaxN</v>
      </c>
      <c r="AQ1185" s="125" t="str">
        <f>CONCATENATE(AP1185,L1185,H1185)</f>
        <v>Def TaxNN10Pension</v>
      </c>
      <c r="AS1185" s="125" t="str">
        <f>CONCATENATE(L1185,H1185,J1185)</f>
        <v>N10PensionNCR</v>
      </c>
    </row>
    <row r="1186" spans="1:45" s="125" customFormat="1" ht="25.5" customHeight="1">
      <c r="A1186" s="216" t="s">
        <v>1996</v>
      </c>
      <c r="B1186" s="217" t="str">
        <f t="shared" si="489"/>
        <v>Def Tax1905423BT010091</v>
      </c>
      <c r="C1186" s="186">
        <v>190542</v>
      </c>
      <c r="D1186" s="201">
        <v>3</v>
      </c>
      <c r="E1186" s="162" t="s">
        <v>1012</v>
      </c>
      <c r="F1186" s="169" t="s">
        <v>3159</v>
      </c>
      <c r="G1186" s="117" t="s">
        <v>1011</v>
      </c>
      <c r="H1186" s="118" t="s">
        <v>170</v>
      </c>
      <c r="I1186" s="119"/>
      <c r="J1186" s="231" t="s">
        <v>105</v>
      </c>
      <c r="K1186" s="120" t="str">
        <f t="shared" si="480"/>
        <v/>
      </c>
      <c r="L1186" s="170" t="s">
        <v>2821</v>
      </c>
      <c r="M1186" s="122" t="str">
        <f t="shared" si="490"/>
        <v>N</v>
      </c>
      <c r="N1186" s="116" t="str">
        <f>IF($L1186&lt;&gt;"",VLOOKUP($L1186,Categories!$E:$G,2,FALSE),IF($F1186&lt;&gt;"","NO CAT",""))</f>
        <v>Not in Rate Base</v>
      </c>
      <c r="O1186" s="116" t="str">
        <f>IF($L1186&lt;&gt;"",VLOOKUP($L1186,Categories!$E:$G,3,FALSE),IF($F1186&lt;&gt;"","NO CAT",""))</f>
        <v>Deferrals Accruing Non-Cash Return   (other than ASGA)</v>
      </c>
      <c r="P1186" s="170" t="s">
        <v>1186</v>
      </c>
      <c r="Q1186" s="123" t="s">
        <v>1187</v>
      </c>
      <c r="R1186" s="124">
        <v>0</v>
      </c>
      <c r="S1186" s="124">
        <v>0</v>
      </c>
      <c r="T1186" s="124">
        <v>1</v>
      </c>
      <c r="U1186" s="121">
        <f t="shared" si="483"/>
        <v>0</v>
      </c>
      <c r="V1186" s="121">
        <f t="shared" si="484"/>
        <v>0</v>
      </c>
      <c r="W1186" s="121">
        <f t="shared" si="485"/>
        <v>383.86976916666703</v>
      </c>
      <c r="X1186" s="121">
        <f t="shared" si="481"/>
        <v>383.86976916666703</v>
      </c>
      <c r="Y1186" s="121">
        <f t="shared" si="486"/>
        <v>0</v>
      </c>
      <c r="Z1186" s="121">
        <f t="shared" si="487"/>
        <v>0</v>
      </c>
      <c r="AA1186" s="121">
        <f t="shared" si="488"/>
        <v>503.67342000000002</v>
      </c>
      <c r="AB1186" s="121">
        <f t="shared" si="482"/>
        <v>503.67342000000002</v>
      </c>
      <c r="AC1186" s="121">
        <v>267.09062</v>
      </c>
      <c r="AD1186" s="121">
        <v>287.92381</v>
      </c>
      <c r="AE1186" s="121">
        <v>302.02134000000001</v>
      </c>
      <c r="AF1186" s="121">
        <v>322.63122000000004</v>
      </c>
      <c r="AG1186" s="121">
        <v>343.25657000000001</v>
      </c>
      <c r="AH1186" s="121">
        <v>363.86983000000004</v>
      </c>
      <c r="AI1186" s="161">
        <v>382.89418999999998</v>
      </c>
      <c r="AJ1186" s="161">
        <v>404.64641000000006</v>
      </c>
      <c r="AK1186" s="161">
        <v>423.29896000000002</v>
      </c>
      <c r="AL1186" s="161">
        <v>443.42846000000003</v>
      </c>
      <c r="AM1186" s="161">
        <v>463.51514000000003</v>
      </c>
      <c r="AN1186" s="161">
        <v>483.56928000000005</v>
      </c>
      <c r="AO1186" s="161">
        <v>503.67342000000002</v>
      </c>
      <c r="AP1186" s="125" t="str">
        <f>CONCATENATE(A1186,M1186)</f>
        <v>Def TaxN</v>
      </c>
      <c r="AQ1186" s="125" t="str">
        <f>CONCATENATE(AP1186,L1186,H1186)</f>
        <v>Def TaxNN10OPEBs</v>
      </c>
      <c r="AS1186" s="125" t="str">
        <f>CONCATENATE(L1186,H1186,J1186)</f>
        <v>N10OPEBsNCR</v>
      </c>
    </row>
    <row r="1187" spans="1:45" s="125" customFormat="1" ht="25.5" customHeight="1">
      <c r="A1187" s="216" t="s">
        <v>1996</v>
      </c>
      <c r="B1187" s="217" t="str">
        <f t="shared" si="489"/>
        <v>Def Tax1905424BT010124</v>
      </c>
      <c r="C1187" s="186">
        <v>190542</v>
      </c>
      <c r="D1187" s="201">
        <v>4</v>
      </c>
      <c r="E1187" s="162" t="s">
        <v>1010</v>
      </c>
      <c r="F1187" s="169" t="s">
        <v>3159</v>
      </c>
      <c r="G1187" s="117" t="s">
        <v>109</v>
      </c>
      <c r="H1187" s="118" t="s">
        <v>914</v>
      </c>
      <c r="I1187" s="119"/>
      <c r="J1187" s="120"/>
      <c r="K1187" s="120" t="str">
        <f t="shared" si="480"/>
        <v/>
      </c>
      <c r="L1187" s="170" t="s">
        <v>2821</v>
      </c>
      <c r="M1187" s="122" t="str">
        <f t="shared" si="490"/>
        <v>N</v>
      </c>
      <c r="N1187" s="116" t="str">
        <f>IF($L1187&lt;&gt;"",VLOOKUP($L1187,Categories!$E:$G,2,FALSE),IF($F1187&lt;&gt;"","NO CAT",""))</f>
        <v>Not in Rate Base</v>
      </c>
      <c r="O1187" s="116" t="str">
        <f>IF($L1187&lt;&gt;"",VLOOKUP($L1187,Categories!$E:$G,3,FALSE),IF($F1187&lt;&gt;"","NO CAT",""))</f>
        <v>Deferrals Accruing Non-Cash Return   (other than ASGA)</v>
      </c>
      <c r="P1187" s="170" t="s">
        <v>1186</v>
      </c>
      <c r="Q1187" s="123" t="s">
        <v>1187</v>
      </c>
      <c r="R1187" s="124">
        <v>0</v>
      </c>
      <c r="S1187" s="124">
        <v>0</v>
      </c>
      <c r="T1187" s="124">
        <v>1</v>
      </c>
      <c r="U1187" s="121">
        <f t="shared" si="483"/>
        <v>0</v>
      </c>
      <c r="V1187" s="121">
        <f t="shared" si="484"/>
        <v>0</v>
      </c>
      <c r="W1187" s="121">
        <f t="shared" si="485"/>
        <v>111.032861666667</v>
      </c>
      <c r="X1187" s="121">
        <f t="shared" si="481"/>
        <v>111.032861666667</v>
      </c>
      <c r="Y1187" s="121">
        <f t="shared" si="486"/>
        <v>0</v>
      </c>
      <c r="Z1187" s="121">
        <f t="shared" si="487"/>
        <v>0</v>
      </c>
      <c r="AA1187" s="121">
        <f t="shared" si="488"/>
        <v>127.47036</v>
      </c>
      <c r="AB1187" s="121">
        <f t="shared" si="482"/>
        <v>127.47035999999994</v>
      </c>
      <c r="AC1187" s="121">
        <v>94.930699999999973</v>
      </c>
      <c r="AD1187" s="121">
        <v>97.565619999999967</v>
      </c>
      <c r="AE1187" s="121">
        <v>100.21424999999996</v>
      </c>
      <c r="AF1187" s="121">
        <v>102.87664999999997</v>
      </c>
      <c r="AG1187" s="121">
        <v>105.55290999999995</v>
      </c>
      <c r="AH1187" s="121">
        <v>108.24308999999995</v>
      </c>
      <c r="AI1187" s="161">
        <v>110.94726999999995</v>
      </c>
      <c r="AJ1187" s="161">
        <v>113.66551999999994</v>
      </c>
      <c r="AK1187" s="161">
        <v>116.39790999999994</v>
      </c>
      <c r="AL1187" s="161">
        <v>119.14450999999995</v>
      </c>
      <c r="AM1187" s="161">
        <v>121.90540999999995</v>
      </c>
      <c r="AN1187" s="161">
        <v>124.68066999999994</v>
      </c>
      <c r="AO1187" s="161">
        <v>127.47035999999994</v>
      </c>
      <c r="AP1187" s="125" t="str">
        <f>CONCATENATE(A1187,M1187)</f>
        <v>Def TaxN</v>
      </c>
      <c r="AQ1187" s="125" t="str">
        <f>CONCATENATE(AP1187,L1187,H1187)</f>
        <v>Def TaxNN10Medicare Subsidy</v>
      </c>
      <c r="AS1187" s="125" t="str">
        <f>CONCATENATE(L1187,H1187,J1187)</f>
        <v>N10Medicare Subsidy</v>
      </c>
    </row>
    <row r="1188" spans="1:45" s="125" customFormat="1" ht="25.5" customHeight="1">
      <c r="A1188" s="216" t="s">
        <v>1996</v>
      </c>
      <c r="B1188" s="217" t="str">
        <f t="shared" si="489"/>
        <v>Def Tax1905425BT010166</v>
      </c>
      <c r="C1188" s="186">
        <v>190542</v>
      </c>
      <c r="D1188" s="201">
        <v>5</v>
      </c>
      <c r="E1188" s="162" t="s">
        <v>1017</v>
      </c>
      <c r="F1188" s="169" t="s">
        <v>3159</v>
      </c>
      <c r="G1188" s="117" t="s">
        <v>3155</v>
      </c>
      <c r="H1188" s="118" t="s">
        <v>1553</v>
      </c>
      <c r="I1188" s="119"/>
      <c r="J1188" s="120" t="s">
        <v>105</v>
      </c>
      <c r="K1188" s="120" t="str">
        <f t="shared" si="480"/>
        <v/>
      </c>
      <c r="L1188" s="170" t="s">
        <v>2821</v>
      </c>
      <c r="M1188" s="122" t="str">
        <f t="shared" si="490"/>
        <v>N</v>
      </c>
      <c r="N1188" s="116" t="str">
        <f>IF($L1188&lt;&gt;"",VLOOKUP($L1188,Categories!$E:$G,2,FALSE),IF($F1188&lt;&gt;"","NO CAT",""))</f>
        <v>Not in Rate Base</v>
      </c>
      <c r="O1188" s="116" t="str">
        <f>IF($L1188&lt;&gt;"",VLOOKUP($L1188,Categories!$E:$G,3,FALSE),IF($F1188&lt;&gt;"","NO CAT",""))</f>
        <v>Deferrals Accruing Non-Cash Return   (other than ASGA)</v>
      </c>
      <c r="P1188" s="170" t="s">
        <v>1186</v>
      </c>
      <c r="Q1188" s="123" t="s">
        <v>1187</v>
      </c>
      <c r="R1188" s="124">
        <v>0</v>
      </c>
      <c r="S1188" s="124">
        <v>0</v>
      </c>
      <c r="T1188" s="124">
        <v>1</v>
      </c>
      <c r="U1188" s="121">
        <f t="shared" si="483"/>
        <v>0</v>
      </c>
      <c r="V1188" s="121">
        <f t="shared" si="484"/>
        <v>0</v>
      </c>
      <c r="W1188" s="121">
        <f t="shared" si="485"/>
        <v>-681.48621708333303</v>
      </c>
      <c r="X1188" s="121">
        <f t="shared" si="481"/>
        <v>-681.48621708333303</v>
      </c>
      <c r="Y1188" s="121">
        <f t="shared" si="486"/>
        <v>0</v>
      </c>
      <c r="Z1188" s="121">
        <f t="shared" si="487"/>
        <v>0</v>
      </c>
      <c r="AA1188" s="121">
        <f t="shared" si="488"/>
        <v>-1277.3179600000001</v>
      </c>
      <c r="AB1188" s="121">
        <f t="shared" si="482"/>
        <v>-1277.3179600000001</v>
      </c>
      <c r="AC1188" s="121">
        <v>-397.62705</v>
      </c>
      <c r="AD1188" s="121">
        <v>-397.62705</v>
      </c>
      <c r="AE1188" s="121">
        <v>-397.62705</v>
      </c>
      <c r="AF1188" s="121">
        <v>-397.62705</v>
      </c>
      <c r="AG1188" s="121">
        <v>-397.62705</v>
      </c>
      <c r="AH1188" s="121">
        <v>-397.62705</v>
      </c>
      <c r="AI1188" s="161">
        <v>-397.62705</v>
      </c>
      <c r="AJ1188" s="161">
        <v>-626.16813999999999</v>
      </c>
      <c r="AK1188" s="161">
        <v>-661.67441000000008</v>
      </c>
      <c r="AL1188" s="161">
        <v>-1193.2876800000001</v>
      </c>
      <c r="AM1188" s="161">
        <v>-1223.0293700000002</v>
      </c>
      <c r="AN1188" s="161">
        <v>-1250.4402000000002</v>
      </c>
      <c r="AO1188" s="161">
        <v>-1277.3179600000001</v>
      </c>
      <c r="AP1188" s="125" t="str">
        <f>CONCATENATE(A1188,M1188)</f>
        <v>Def TaxN</v>
      </c>
      <c r="AQ1188" s="125" t="str">
        <f>CONCATENATE(AP1188,L1188,H1188)</f>
        <v>Def TaxNN10Pension</v>
      </c>
      <c r="AS1188" s="125" t="str">
        <f>CONCATENATE(L1188,H1188,J1188)</f>
        <v>N10PensionNCR</v>
      </c>
    </row>
    <row r="1189" spans="1:45" s="125" customFormat="1" ht="25.5" customHeight="1">
      <c r="A1189" s="216" t="s">
        <v>1996</v>
      </c>
      <c r="B1189" s="217" t="str">
        <f t="shared" si="489"/>
        <v>Def Tax1905426BT030562</v>
      </c>
      <c r="C1189" s="186">
        <v>190542</v>
      </c>
      <c r="D1189" s="201">
        <v>6</v>
      </c>
      <c r="E1189" s="162" t="s">
        <v>1548</v>
      </c>
      <c r="F1189" s="169" t="s">
        <v>3159</v>
      </c>
      <c r="G1189" s="117" t="s">
        <v>942</v>
      </c>
      <c r="H1189" s="118" t="s">
        <v>170</v>
      </c>
      <c r="I1189" s="119"/>
      <c r="J1189" s="231"/>
      <c r="K1189" s="120" t="str">
        <f t="shared" si="480"/>
        <v/>
      </c>
      <c r="L1189" s="170" t="s">
        <v>1895</v>
      </c>
      <c r="M1189" s="122" t="str">
        <f t="shared" si="490"/>
        <v>R</v>
      </c>
      <c r="N1189" s="116" t="str">
        <f>IF($L1189&lt;&gt;"",VLOOKUP($L1189,Categories!$E:$G,2,FALSE),IF($F1189&lt;&gt;"","NO CAT",""))</f>
        <v>Rate Base</v>
      </c>
      <c r="O1189" s="116" t="str">
        <f>IF($L1189&lt;&gt;"",VLOOKUP($L1189,Categories!$E:$G,3,FALSE),IF($F1189&lt;&gt;"","NO CAT",""))</f>
        <v>Deferred Income Taxes</v>
      </c>
      <c r="P1189" s="170" t="s">
        <v>1553</v>
      </c>
      <c r="Q1189" s="123" t="s">
        <v>2587</v>
      </c>
      <c r="R1189" s="124">
        <v>0.81899999999999995</v>
      </c>
      <c r="S1189" s="124">
        <v>0.18099999999999999</v>
      </c>
      <c r="T1189" s="124">
        <v>0</v>
      </c>
      <c r="U1189" s="121">
        <f t="shared" si="483"/>
        <v>629.87178037875003</v>
      </c>
      <c r="V1189" s="121">
        <f t="shared" si="484"/>
        <v>139.20243253791699</v>
      </c>
      <c r="W1189" s="121">
        <f t="shared" si="485"/>
        <v>0</v>
      </c>
      <c r="X1189" s="121">
        <f t="shared" si="481"/>
        <v>769.07421291666697</v>
      </c>
      <c r="Y1189" s="121">
        <f t="shared" si="486"/>
        <v>151.56712116</v>
      </c>
      <c r="Z1189" s="121">
        <f t="shared" si="487"/>
        <v>33.49651884</v>
      </c>
      <c r="AA1189" s="121">
        <f t="shared" si="488"/>
        <v>0</v>
      </c>
      <c r="AB1189" s="121">
        <f t="shared" si="482"/>
        <v>185.06364000000013</v>
      </c>
      <c r="AC1189" s="121">
        <v>844.26790999999992</v>
      </c>
      <c r="AD1189" s="121">
        <v>835.59029999999996</v>
      </c>
      <c r="AE1189" s="121">
        <v>826.91269</v>
      </c>
      <c r="AF1189" s="121">
        <v>818.23507999999993</v>
      </c>
      <c r="AG1189" s="121">
        <v>809.55746999999997</v>
      </c>
      <c r="AH1189" s="121">
        <v>800.87986000000001</v>
      </c>
      <c r="AI1189" s="161">
        <v>792.20225000000005</v>
      </c>
      <c r="AJ1189" s="161">
        <v>783.52463999999998</v>
      </c>
      <c r="AK1189" s="161">
        <v>774.84703000000002</v>
      </c>
      <c r="AL1189" s="161">
        <v>766.16943000000003</v>
      </c>
      <c r="AM1189" s="161">
        <v>757.49182000000008</v>
      </c>
      <c r="AN1189" s="161">
        <v>748.81421000000012</v>
      </c>
      <c r="AO1189" s="161">
        <v>185.06364000000013</v>
      </c>
      <c r="AP1189" s="125" t="str">
        <f>CONCATENATE(A1189,M1189)</f>
        <v>Def TaxR</v>
      </c>
      <c r="AQ1189" s="125" t="str">
        <f>CONCATENATE(AP1189,L1189,H1189)</f>
        <v>Def TaxRR11OPEBs</v>
      </c>
      <c r="AS1189" s="125" t="str">
        <f>CONCATENATE(L1189,H1189,J1189)</f>
        <v>R11OPEBs</v>
      </c>
    </row>
    <row r="1190" spans="1:45" s="125" customFormat="1" ht="25.5" customHeight="1">
      <c r="A1190" s="216" t="s">
        <v>1996</v>
      </c>
      <c r="B1190" s="217" t="str">
        <f t="shared" si="489"/>
        <v>Def Tax190990A&amp;S Reserve</v>
      </c>
      <c r="C1190" s="186">
        <v>190990</v>
      </c>
      <c r="D1190" s="201" t="s">
        <v>920</v>
      </c>
      <c r="E1190" s="162"/>
      <c r="F1190" s="169" t="s">
        <v>1801</v>
      </c>
      <c r="G1190" s="117" t="s">
        <v>920</v>
      </c>
      <c r="H1190" s="118" t="s">
        <v>1405</v>
      </c>
      <c r="I1190" s="119"/>
      <c r="J1190" s="120"/>
      <c r="K1190" s="120" t="str">
        <f t="shared" si="480"/>
        <v/>
      </c>
      <c r="L1190" s="170" t="s">
        <v>1895</v>
      </c>
      <c r="M1190" s="122" t="str">
        <f t="shared" si="490"/>
        <v>R</v>
      </c>
      <c r="N1190" s="116" t="str">
        <f>IF($L1190&lt;&gt;"",VLOOKUP($L1190,Categories!$E:$G,2,FALSE),IF($F1190&lt;&gt;"","NO CAT",""))</f>
        <v>Rate Base</v>
      </c>
      <c r="O1190" s="116" t="str">
        <f>IF($L1190&lt;&gt;"",VLOOKUP($L1190,Categories!$E:$G,3,FALSE),IF($F1190&lt;&gt;"","NO CAT",""))</f>
        <v>Deferred Income Taxes</v>
      </c>
      <c r="P1190" s="170" t="s">
        <v>1188</v>
      </c>
      <c r="Q1190" s="123" t="s">
        <v>1843</v>
      </c>
      <c r="R1190" s="124">
        <v>0.76071990262269951</v>
      </c>
      <c r="S1190" s="124">
        <v>0.23928009737730072</v>
      </c>
      <c r="T1190" s="124">
        <v>0</v>
      </c>
      <c r="U1190" s="121" t="str">
        <f t="shared" si="483"/>
        <v/>
      </c>
      <c r="V1190" s="121" t="str">
        <f t="shared" si="484"/>
        <v/>
      </c>
      <c r="W1190" s="121" t="str">
        <f t="shared" si="485"/>
        <v/>
      </c>
      <c r="X1190" s="121">
        <f t="shared" si="481"/>
        <v>0</v>
      </c>
      <c r="Y1190" s="121" t="str">
        <f t="shared" si="486"/>
        <v/>
      </c>
      <c r="Z1190" s="121" t="str">
        <f t="shared" si="487"/>
        <v/>
      </c>
      <c r="AA1190" s="121" t="str">
        <f t="shared" si="488"/>
        <v/>
      </c>
      <c r="AB1190" s="121">
        <f t="shared" si="482"/>
        <v>0</v>
      </c>
      <c r="AC1190" s="121">
        <v>0</v>
      </c>
      <c r="AD1190" s="121">
        <v>0</v>
      </c>
      <c r="AE1190" s="121">
        <v>0</v>
      </c>
      <c r="AF1190" s="121">
        <v>0</v>
      </c>
      <c r="AG1190" s="121">
        <v>0</v>
      </c>
      <c r="AH1190" s="121">
        <v>0</v>
      </c>
      <c r="AI1190" s="161">
        <v>0</v>
      </c>
      <c r="AJ1190" s="161">
        <f>IF(AI1190=0,0,0)</f>
        <v>0</v>
      </c>
      <c r="AK1190" s="161">
        <v>0</v>
      </c>
      <c r="AL1190" s="161">
        <v>0</v>
      </c>
      <c r="AM1190" s="161">
        <v>0</v>
      </c>
      <c r="AN1190" s="161">
        <v>0</v>
      </c>
      <c r="AO1190" s="161">
        <v>0</v>
      </c>
      <c r="AP1190" s="125" t="str">
        <f>CONCATENATE(A1190,M1190)</f>
        <v>Def TaxR</v>
      </c>
      <c r="AQ1190" s="125" t="str">
        <f>CONCATENATE(AP1190,L1190,H1190)</f>
        <v>Def TaxRR11A&amp;S CHIP</v>
      </c>
      <c r="AS1190" s="125" t="str">
        <f>CONCATENATE(L1190,H1190,J1190)</f>
        <v>R11A&amp;S CHIP</v>
      </c>
    </row>
    <row r="1191" spans="1:45" s="125" customFormat="1" ht="25.5" customHeight="1">
      <c r="A1191" s="216" t="s">
        <v>1996</v>
      </c>
      <c r="B1191" s="217" t="str">
        <f t="shared" si="489"/>
        <v xml:space="preserve">Def Tax190990Bad Debt </v>
      </c>
      <c r="C1191" s="186">
        <v>190990</v>
      </c>
      <c r="D1191" s="201" t="s">
        <v>921</v>
      </c>
      <c r="E1191" s="162"/>
      <c r="F1191" s="169" t="s">
        <v>1801</v>
      </c>
      <c r="G1191" s="117" t="s">
        <v>921</v>
      </c>
      <c r="H1191" s="118" t="s">
        <v>2221</v>
      </c>
      <c r="I1191" s="119"/>
      <c r="J1191" s="120"/>
      <c r="K1191" s="120" t="str">
        <f t="shared" si="480"/>
        <v/>
      </c>
      <c r="L1191" s="170" t="s">
        <v>1419</v>
      </c>
      <c r="M1191" s="122" t="str">
        <f t="shared" si="490"/>
        <v>A</v>
      </c>
      <c r="N1191" s="116" t="str">
        <f>IF($L1191&lt;&gt;"",VLOOKUP($L1191,Categories!$E:$G,2,FALSE),IF($F1191&lt;&gt;"","NO CAT",""))</f>
        <v>All Other</v>
      </c>
      <c r="O1191" s="116" t="str">
        <f>IF($L1191&lt;&gt;"",VLOOKUP($L1191,Categories!$E:$G,3,FALSE),IF($F1191&lt;&gt;"","NO CAT",""))</f>
        <v>EB-Cap</v>
      </c>
      <c r="P1191" s="170" t="s">
        <v>1557</v>
      </c>
      <c r="Q1191" s="123" t="s">
        <v>1891</v>
      </c>
      <c r="R1191" s="124">
        <v>0.77544352505021785</v>
      </c>
      <c r="S1191" s="124">
        <v>0.22455647494978223</v>
      </c>
      <c r="T1191" s="124">
        <v>0</v>
      </c>
      <c r="U1191" s="121" t="str">
        <f t="shared" si="483"/>
        <v/>
      </c>
      <c r="V1191" s="121" t="str">
        <f t="shared" si="484"/>
        <v/>
      </c>
      <c r="W1191" s="121" t="str">
        <f t="shared" si="485"/>
        <v/>
      </c>
      <c r="X1191" s="121">
        <f t="shared" si="481"/>
        <v>0</v>
      </c>
      <c r="Y1191" s="121" t="str">
        <f t="shared" si="486"/>
        <v/>
      </c>
      <c r="Z1191" s="121" t="str">
        <f t="shared" si="487"/>
        <v/>
      </c>
      <c r="AA1191" s="121" t="str">
        <f t="shared" si="488"/>
        <v/>
      </c>
      <c r="AB1191" s="121">
        <f t="shared" si="482"/>
        <v>0</v>
      </c>
      <c r="AC1191" s="121">
        <v>0</v>
      </c>
      <c r="AD1191" s="121">
        <v>0</v>
      </c>
      <c r="AE1191" s="121">
        <v>0</v>
      </c>
      <c r="AF1191" s="121">
        <v>0</v>
      </c>
      <c r="AG1191" s="121">
        <v>0</v>
      </c>
      <c r="AH1191" s="121">
        <v>0</v>
      </c>
      <c r="AI1191" s="161">
        <v>0</v>
      </c>
      <c r="AJ1191" s="161">
        <f>IF(AI1191=0,0,0)</f>
        <v>0</v>
      </c>
      <c r="AK1191" s="161">
        <v>0</v>
      </c>
      <c r="AL1191" s="161">
        <v>0</v>
      </c>
      <c r="AM1191" s="161">
        <v>0</v>
      </c>
      <c r="AN1191" s="161">
        <v>0</v>
      </c>
      <c r="AO1191" s="161">
        <v>0</v>
      </c>
      <c r="AP1191" s="125" t="str">
        <f>CONCATENATE(A1191,M1191)</f>
        <v>Def TaxA</v>
      </c>
      <c r="AQ1191" s="125" t="str">
        <f>CONCATENATE(AP1191,L1191,H1191)</f>
        <v>Def TaxAA2Bad Debts</v>
      </c>
      <c r="AS1191" s="125" t="str">
        <f>CONCATENATE(L1191,H1191,J1191)</f>
        <v>A2Bad Debts</v>
      </c>
    </row>
    <row r="1192" spans="1:45" s="125" customFormat="1" ht="25.5" customHeight="1">
      <c r="A1192" s="216" t="s">
        <v>1996</v>
      </c>
      <c r="B1192" s="217" t="str">
        <f t="shared" si="489"/>
        <v>Def Tax190990Customer Deposits</v>
      </c>
      <c r="C1192" s="186">
        <v>190990</v>
      </c>
      <c r="D1192" s="201" t="s">
        <v>1059</v>
      </c>
      <c r="E1192" s="162"/>
      <c r="F1192" s="169" t="s">
        <v>1801</v>
      </c>
      <c r="G1192" s="117" t="s">
        <v>1059</v>
      </c>
      <c r="H1192" s="118" t="s">
        <v>1149</v>
      </c>
      <c r="I1192" s="119"/>
      <c r="J1192" s="120"/>
      <c r="K1192" s="120" t="str">
        <f t="shared" si="480"/>
        <v>SFAS-109</v>
      </c>
      <c r="L1192" s="170" t="s">
        <v>930</v>
      </c>
      <c r="M1192" s="122" t="str">
        <f t="shared" si="490"/>
        <v>N</v>
      </c>
      <c r="N1192" s="116" t="str">
        <f>IF($L1192&lt;&gt;"",VLOOKUP($L1192,Categories!$E:$G,2,FALSE),IF($F1192&lt;&gt;"","NO CAT",""))</f>
        <v>Not in Rate Base</v>
      </c>
      <c r="O1192" s="116" t="str">
        <f>IF($L1192&lt;&gt;"",VLOOKUP($L1192,Categories!$E:$G,3,FALSE),IF($F1192&lt;&gt;"","NO CAT",""))</f>
        <v>SFAS-109   (offsetting)</v>
      </c>
      <c r="P1192" s="170" t="s">
        <v>1186</v>
      </c>
      <c r="Q1192" s="123" t="s">
        <v>1187</v>
      </c>
      <c r="R1192" s="124">
        <v>0</v>
      </c>
      <c r="S1192" s="124">
        <v>0</v>
      </c>
      <c r="T1192" s="124">
        <v>1</v>
      </c>
      <c r="U1192" s="121" t="str">
        <f t="shared" si="483"/>
        <v/>
      </c>
      <c r="V1192" s="121" t="str">
        <f t="shared" si="484"/>
        <v/>
      </c>
      <c r="W1192" s="121" t="str">
        <f t="shared" si="485"/>
        <v/>
      </c>
      <c r="X1192" s="121">
        <f t="shared" si="481"/>
        <v>0</v>
      </c>
      <c r="Y1192" s="121" t="str">
        <f t="shared" si="486"/>
        <v/>
      </c>
      <c r="Z1192" s="121" t="str">
        <f t="shared" si="487"/>
        <v/>
      </c>
      <c r="AA1192" s="121" t="str">
        <f t="shared" si="488"/>
        <v/>
      </c>
      <c r="AB1192" s="121">
        <f t="shared" si="482"/>
        <v>0</v>
      </c>
      <c r="AC1192" s="121">
        <v>0</v>
      </c>
      <c r="AD1192" s="121">
        <v>0</v>
      </c>
      <c r="AE1192" s="121">
        <v>0</v>
      </c>
      <c r="AF1192" s="121">
        <v>0</v>
      </c>
      <c r="AG1192" s="121">
        <v>0</v>
      </c>
      <c r="AH1192" s="121">
        <v>0</v>
      </c>
      <c r="AI1192" s="161">
        <v>0</v>
      </c>
      <c r="AJ1192" s="161">
        <f>IF(AI1192=0,0,0)</f>
        <v>0</v>
      </c>
      <c r="AK1192" s="161">
        <v>0</v>
      </c>
      <c r="AL1192" s="161">
        <v>0</v>
      </c>
      <c r="AM1192" s="161">
        <v>0</v>
      </c>
      <c r="AN1192" s="161">
        <v>0</v>
      </c>
      <c r="AO1192" s="161">
        <v>0</v>
      </c>
      <c r="AP1192" s="125" t="str">
        <f>CONCATENATE(A1192,M1192)</f>
        <v>Def TaxN</v>
      </c>
      <c r="AQ1192" s="125" t="str">
        <f>CONCATENATE(AP1192,L1192,H1192)</f>
        <v>Def TaxNN3SFAS-109</v>
      </c>
      <c r="AS1192" s="125" t="str">
        <f>CONCATENATE(L1192,H1192,J1192)</f>
        <v>N3SFAS-109</v>
      </c>
    </row>
    <row r="1193" spans="1:45" s="125" customFormat="1" ht="25.5" customHeight="1">
      <c r="A1193" s="216" t="s">
        <v>1996</v>
      </c>
      <c r="B1193" s="217" t="str">
        <f t="shared" si="489"/>
        <v>Def Tax1909900BT010057</v>
      </c>
      <c r="C1193" s="186">
        <v>190990</v>
      </c>
      <c r="D1193" s="201">
        <v>0</v>
      </c>
      <c r="E1193" s="162" t="s">
        <v>498</v>
      </c>
      <c r="F1193" s="169" t="s">
        <v>1801</v>
      </c>
      <c r="G1193" s="117" t="s">
        <v>2371</v>
      </c>
      <c r="H1193" s="118" t="s">
        <v>1149</v>
      </c>
      <c r="I1193" s="119"/>
      <c r="J1193" s="120"/>
      <c r="K1193" s="120" t="str">
        <f t="shared" si="480"/>
        <v>SFAS-109</v>
      </c>
      <c r="L1193" s="170" t="s">
        <v>930</v>
      </c>
      <c r="M1193" s="122" t="str">
        <f t="shared" si="490"/>
        <v>N</v>
      </c>
      <c r="N1193" s="116" t="str">
        <f>IF($L1193&lt;&gt;"",VLOOKUP($L1193,Categories!$E:$G,2,FALSE),IF($F1193&lt;&gt;"","NO CAT",""))</f>
        <v>Not in Rate Base</v>
      </c>
      <c r="O1193" s="116" t="str">
        <f>IF($L1193&lt;&gt;"",VLOOKUP($L1193,Categories!$E:$G,3,FALSE),IF($F1193&lt;&gt;"","NO CAT",""))</f>
        <v>SFAS-109   (offsetting)</v>
      </c>
      <c r="P1193" s="170" t="s">
        <v>1186</v>
      </c>
      <c r="Q1193" s="123" t="s">
        <v>1187</v>
      </c>
      <c r="R1193" s="124">
        <v>0</v>
      </c>
      <c r="S1193" s="124">
        <v>0</v>
      </c>
      <c r="T1193" s="124">
        <v>1</v>
      </c>
      <c r="U1193" s="121">
        <f t="shared" si="483"/>
        <v>0</v>
      </c>
      <c r="V1193" s="121">
        <f t="shared" si="484"/>
        <v>0</v>
      </c>
      <c r="W1193" s="121">
        <f t="shared" si="485"/>
        <v>-118197.11520833299</v>
      </c>
      <c r="X1193" s="121">
        <f t="shared" si="481"/>
        <v>-118197.11520833299</v>
      </c>
      <c r="Y1193" s="121">
        <f t="shared" si="486"/>
        <v>0</v>
      </c>
      <c r="Z1193" s="121">
        <f t="shared" si="487"/>
        <v>0</v>
      </c>
      <c r="AA1193" s="121">
        <f t="shared" si="488"/>
        <v>-130188.497</v>
      </c>
      <c r="AB1193" s="121">
        <f t="shared" si="482"/>
        <v>-130188.497</v>
      </c>
      <c r="AC1193" s="121">
        <v>-113127.946</v>
      </c>
      <c r="AD1193" s="121">
        <v>-113127.946</v>
      </c>
      <c r="AE1193" s="121">
        <v>-113127.946</v>
      </c>
      <c r="AF1193" s="121">
        <v>-114876.186</v>
      </c>
      <c r="AG1193" s="121">
        <v>-114876.186</v>
      </c>
      <c r="AH1193" s="121">
        <v>-115977.22900000001</v>
      </c>
      <c r="AI1193" s="161">
        <v>-117576.89</v>
      </c>
      <c r="AJ1193" s="161">
        <v>-121146.84</v>
      </c>
      <c r="AK1193" s="161">
        <v>-121146.84</v>
      </c>
      <c r="AL1193" s="161">
        <v>-121146.84</v>
      </c>
      <c r="AM1193" s="161">
        <v>-121852.129</v>
      </c>
      <c r="AN1193" s="161">
        <v>-121852.129</v>
      </c>
      <c r="AO1193" s="161">
        <v>-130188.497</v>
      </c>
      <c r="AP1193" s="125" t="str">
        <f>CONCATENATE(A1193,M1193)</f>
        <v>Def TaxN</v>
      </c>
      <c r="AQ1193" s="125" t="str">
        <f>CONCATENATE(AP1193,L1193,H1193)</f>
        <v>Def TaxNN3SFAS-109</v>
      </c>
      <c r="AS1193" s="125" t="str">
        <f>CONCATENATE(L1193,H1193,J1193)</f>
        <v>N3SFAS-109</v>
      </c>
    </row>
    <row r="1194" spans="1:45" s="125" customFormat="1" ht="25.5" customHeight="1">
      <c r="A1194" s="216" t="s">
        <v>1996</v>
      </c>
      <c r="B1194" s="217" t="str">
        <f t="shared" si="489"/>
        <v>Def Tax190990Restructuring</v>
      </c>
      <c r="C1194" s="186">
        <v>190990</v>
      </c>
      <c r="D1194" s="201" t="s">
        <v>922</v>
      </c>
      <c r="E1194" s="162"/>
      <c r="F1194" s="169" t="s">
        <v>1801</v>
      </c>
      <c r="G1194" s="117" t="s">
        <v>922</v>
      </c>
      <c r="H1194" s="118" t="s">
        <v>1149</v>
      </c>
      <c r="I1194" s="119"/>
      <c r="J1194" s="120"/>
      <c r="K1194" s="120" t="str">
        <f t="shared" si="480"/>
        <v>SFAS-109</v>
      </c>
      <c r="L1194" s="170" t="s">
        <v>930</v>
      </c>
      <c r="M1194" s="122" t="str">
        <f t="shared" si="490"/>
        <v>N</v>
      </c>
      <c r="N1194" s="116" t="str">
        <f>IF($L1194&lt;&gt;"",VLOOKUP($L1194,Categories!$E:$G,2,FALSE),IF($F1194&lt;&gt;"","NO CAT",""))</f>
        <v>Not in Rate Base</v>
      </c>
      <c r="O1194" s="116" t="str">
        <f>IF($L1194&lt;&gt;"",VLOOKUP($L1194,Categories!$E:$G,3,FALSE),IF($F1194&lt;&gt;"","NO CAT",""))</f>
        <v>SFAS-109   (offsetting)</v>
      </c>
      <c r="P1194" s="170" t="s">
        <v>1186</v>
      </c>
      <c r="Q1194" s="123" t="s">
        <v>1187</v>
      </c>
      <c r="R1194" s="124">
        <v>0</v>
      </c>
      <c r="S1194" s="124">
        <v>0</v>
      </c>
      <c r="T1194" s="124">
        <v>1</v>
      </c>
      <c r="U1194" s="121" t="str">
        <f t="shared" si="483"/>
        <v/>
      </c>
      <c r="V1194" s="121" t="str">
        <f t="shared" si="484"/>
        <v/>
      </c>
      <c r="W1194" s="121" t="str">
        <f t="shared" si="485"/>
        <v/>
      </c>
      <c r="X1194" s="121">
        <f t="shared" si="481"/>
        <v>0</v>
      </c>
      <c r="Y1194" s="121" t="str">
        <f t="shared" si="486"/>
        <v/>
      </c>
      <c r="Z1194" s="121" t="str">
        <f t="shared" si="487"/>
        <v/>
      </c>
      <c r="AA1194" s="121" t="str">
        <f t="shared" si="488"/>
        <v/>
      </c>
      <c r="AB1194" s="121">
        <f t="shared" si="482"/>
        <v>0</v>
      </c>
      <c r="AC1194" s="121">
        <v>0</v>
      </c>
      <c r="AD1194" s="121">
        <v>0</v>
      </c>
      <c r="AE1194" s="121">
        <v>0</v>
      </c>
      <c r="AF1194" s="121">
        <v>0</v>
      </c>
      <c r="AG1194" s="121">
        <v>0</v>
      </c>
      <c r="AH1194" s="121">
        <v>0</v>
      </c>
      <c r="AI1194" s="161">
        <v>0</v>
      </c>
      <c r="AJ1194" s="161">
        <f>IF(AI1194=0,0,0)</f>
        <v>0</v>
      </c>
      <c r="AK1194" s="161">
        <v>0</v>
      </c>
      <c r="AL1194" s="161">
        <v>0</v>
      </c>
      <c r="AM1194" s="161">
        <v>0</v>
      </c>
      <c r="AN1194" s="161">
        <v>0</v>
      </c>
      <c r="AO1194" s="161">
        <v>0</v>
      </c>
      <c r="AP1194" s="125" t="str">
        <f>CONCATENATE(A1194,M1194)</f>
        <v>Def TaxN</v>
      </c>
      <c r="AQ1194" s="125" t="str">
        <f>CONCATENATE(AP1194,L1194,H1194)</f>
        <v>Def TaxNN3SFAS-109</v>
      </c>
      <c r="AS1194" s="125" t="str">
        <f>CONCATENATE(L1194,H1194,J1194)</f>
        <v>N3SFAS-109</v>
      </c>
    </row>
    <row r="1195" spans="1:45" s="125" customFormat="1" ht="25.5" customHeight="1">
      <c r="A1195" s="216" t="s">
        <v>1996</v>
      </c>
      <c r="B1195" s="217" t="str">
        <f t="shared" si="489"/>
        <v>Def Tax190990Unbilled Revenue</v>
      </c>
      <c r="C1195" s="186">
        <v>190990</v>
      </c>
      <c r="D1195" s="201" t="s">
        <v>451</v>
      </c>
      <c r="E1195" s="162"/>
      <c r="F1195" s="169" t="s">
        <v>1801</v>
      </c>
      <c r="G1195" s="117" t="s">
        <v>451</v>
      </c>
      <c r="H1195" s="118" t="s">
        <v>1149</v>
      </c>
      <c r="I1195" s="119"/>
      <c r="J1195" s="120"/>
      <c r="K1195" s="120" t="str">
        <f t="shared" si="480"/>
        <v>SFAS-109</v>
      </c>
      <c r="L1195" s="170" t="s">
        <v>930</v>
      </c>
      <c r="M1195" s="122" t="str">
        <f t="shared" si="490"/>
        <v>N</v>
      </c>
      <c r="N1195" s="116" t="str">
        <f>IF($L1195&lt;&gt;"",VLOOKUP($L1195,Categories!$E:$G,2,FALSE),IF($F1195&lt;&gt;"","NO CAT",""))</f>
        <v>Not in Rate Base</v>
      </c>
      <c r="O1195" s="116" t="str">
        <f>IF($L1195&lt;&gt;"",VLOOKUP($L1195,Categories!$E:$G,3,FALSE),IF($F1195&lt;&gt;"","NO CAT",""))</f>
        <v>SFAS-109   (offsetting)</v>
      </c>
      <c r="P1195" s="170" t="s">
        <v>1186</v>
      </c>
      <c r="Q1195" s="123" t="s">
        <v>1187</v>
      </c>
      <c r="R1195" s="124">
        <v>0</v>
      </c>
      <c r="S1195" s="124">
        <v>0</v>
      </c>
      <c r="T1195" s="124">
        <v>1</v>
      </c>
      <c r="U1195" s="121" t="str">
        <f t="shared" si="483"/>
        <v/>
      </c>
      <c r="V1195" s="121" t="str">
        <f t="shared" si="484"/>
        <v/>
      </c>
      <c r="W1195" s="121" t="str">
        <f t="shared" si="485"/>
        <v/>
      </c>
      <c r="X1195" s="121">
        <f t="shared" si="481"/>
        <v>0</v>
      </c>
      <c r="Y1195" s="121" t="str">
        <f t="shared" si="486"/>
        <v/>
      </c>
      <c r="Z1195" s="121" t="str">
        <f t="shared" si="487"/>
        <v/>
      </c>
      <c r="AA1195" s="121" t="str">
        <f t="shared" si="488"/>
        <v/>
      </c>
      <c r="AB1195" s="121">
        <f t="shared" si="482"/>
        <v>0</v>
      </c>
      <c r="AC1195" s="121">
        <v>0</v>
      </c>
      <c r="AD1195" s="121">
        <v>0</v>
      </c>
      <c r="AE1195" s="121">
        <v>0</v>
      </c>
      <c r="AF1195" s="121">
        <v>0</v>
      </c>
      <c r="AG1195" s="121">
        <v>0</v>
      </c>
      <c r="AH1195" s="121">
        <v>0</v>
      </c>
      <c r="AI1195" s="161">
        <v>0</v>
      </c>
      <c r="AJ1195" s="161">
        <f>IF(AI1195=0,0,0)</f>
        <v>0</v>
      </c>
      <c r="AK1195" s="161">
        <v>0</v>
      </c>
      <c r="AL1195" s="161">
        <v>0</v>
      </c>
      <c r="AM1195" s="161">
        <v>0</v>
      </c>
      <c r="AN1195" s="161">
        <v>0</v>
      </c>
      <c r="AO1195" s="161">
        <v>0</v>
      </c>
      <c r="AP1195" s="125" t="str">
        <f>CONCATENATE(A1195,M1195)</f>
        <v>Def TaxN</v>
      </c>
      <c r="AQ1195" s="125" t="str">
        <f>CONCATENATE(AP1195,L1195,H1195)</f>
        <v>Def TaxNN3SFAS-109</v>
      </c>
      <c r="AS1195" s="125" t="str">
        <f>CONCATENATE(L1195,H1195,J1195)</f>
        <v>N3SFAS-109</v>
      </c>
    </row>
    <row r="1196" spans="1:45" s="125" customFormat="1" ht="25.5" customHeight="1">
      <c r="A1196" s="216" t="s">
        <v>1996</v>
      </c>
      <c r="B1196" s="217" t="str">
        <f t="shared" si="489"/>
        <v>Def Tax190990Vacation Accrual</v>
      </c>
      <c r="C1196" s="186">
        <v>190990</v>
      </c>
      <c r="D1196" s="201" t="s">
        <v>987</v>
      </c>
      <c r="E1196" s="162"/>
      <c r="F1196" s="169" t="s">
        <v>1801</v>
      </c>
      <c r="G1196" s="117" t="s">
        <v>987</v>
      </c>
      <c r="H1196" s="118" t="s">
        <v>220</v>
      </c>
      <c r="I1196" s="119"/>
      <c r="J1196" s="120"/>
      <c r="K1196" s="120" t="str">
        <f t="shared" si="480"/>
        <v/>
      </c>
      <c r="L1196" s="170" t="s">
        <v>1419</v>
      </c>
      <c r="M1196" s="122" t="str">
        <f t="shared" si="490"/>
        <v>A</v>
      </c>
      <c r="N1196" s="116" t="str">
        <f>IF($L1196&lt;&gt;"",VLOOKUP($L1196,Categories!$E:$G,2,FALSE),IF($F1196&lt;&gt;"","NO CAT",""))</f>
        <v>All Other</v>
      </c>
      <c r="O1196" s="116" t="str">
        <f>IF($L1196&lt;&gt;"",VLOOKUP($L1196,Categories!$E:$G,3,FALSE),IF($F1196&lt;&gt;"","NO CAT",""))</f>
        <v>EB-Cap</v>
      </c>
      <c r="P1196" s="170" t="s">
        <v>1557</v>
      </c>
      <c r="Q1196" s="123" t="s">
        <v>1891</v>
      </c>
      <c r="R1196" s="124">
        <v>0.77544352505021785</v>
      </c>
      <c r="S1196" s="124">
        <v>0.22455647494978223</v>
      </c>
      <c r="T1196" s="124">
        <v>0</v>
      </c>
      <c r="U1196" s="121" t="str">
        <f t="shared" si="483"/>
        <v/>
      </c>
      <c r="V1196" s="121" t="str">
        <f t="shared" si="484"/>
        <v/>
      </c>
      <c r="W1196" s="121" t="str">
        <f t="shared" si="485"/>
        <v/>
      </c>
      <c r="X1196" s="121">
        <f t="shared" si="481"/>
        <v>0</v>
      </c>
      <c r="Y1196" s="121" t="str">
        <f t="shared" si="486"/>
        <v/>
      </c>
      <c r="Z1196" s="121" t="str">
        <f t="shared" si="487"/>
        <v/>
      </c>
      <c r="AA1196" s="121" t="str">
        <f t="shared" si="488"/>
        <v/>
      </c>
      <c r="AB1196" s="121">
        <f t="shared" si="482"/>
        <v>0</v>
      </c>
      <c r="AC1196" s="121">
        <v>0</v>
      </c>
      <c r="AD1196" s="121">
        <v>0</v>
      </c>
      <c r="AE1196" s="121">
        <v>0</v>
      </c>
      <c r="AF1196" s="121">
        <v>0</v>
      </c>
      <c r="AG1196" s="121">
        <v>0</v>
      </c>
      <c r="AH1196" s="121">
        <v>0</v>
      </c>
      <c r="AI1196" s="161">
        <v>0</v>
      </c>
      <c r="AJ1196" s="161">
        <f>IF(AI1196=0,0,0)</f>
        <v>0</v>
      </c>
      <c r="AK1196" s="161">
        <v>0</v>
      </c>
      <c r="AL1196" s="161">
        <v>0</v>
      </c>
      <c r="AM1196" s="161">
        <v>0</v>
      </c>
      <c r="AN1196" s="161">
        <v>0</v>
      </c>
      <c r="AO1196" s="161">
        <v>0</v>
      </c>
      <c r="AP1196" s="125" t="str">
        <f>CONCATENATE(A1196,M1196)</f>
        <v>Def TaxA</v>
      </c>
      <c r="AQ1196" s="125" t="str">
        <f>CONCATENATE(AP1196,L1196,H1196)</f>
        <v>Def TaxAA2Payroll-Related Costs</v>
      </c>
      <c r="AS1196" s="125" t="str">
        <f>CONCATENATE(L1196,H1196,J1196)</f>
        <v>A2Payroll-Related Costs</v>
      </c>
    </row>
    <row r="1197" spans="1:45" s="125" customFormat="1" ht="25.5" customHeight="1">
      <c r="A1197" s="216" t="s">
        <v>1996</v>
      </c>
      <c r="B1197" s="217" t="str">
        <f t="shared" si="489"/>
        <v>Def Tax1909910BT010057</v>
      </c>
      <c r="C1197" s="186">
        <v>190991</v>
      </c>
      <c r="D1197" s="201">
        <v>0</v>
      </c>
      <c r="E1197" s="162" t="s">
        <v>498</v>
      </c>
      <c r="F1197" s="169" t="s">
        <v>1802</v>
      </c>
      <c r="G1197" s="117" t="s">
        <v>2371</v>
      </c>
      <c r="H1197" s="118" t="s">
        <v>1149</v>
      </c>
      <c r="I1197" s="119"/>
      <c r="J1197" s="120"/>
      <c r="K1197" s="120" t="str">
        <f t="shared" si="480"/>
        <v>SFAS-109</v>
      </c>
      <c r="L1197" s="170" t="s">
        <v>930</v>
      </c>
      <c r="M1197" s="122" t="str">
        <f t="shared" si="490"/>
        <v>N</v>
      </c>
      <c r="N1197" s="116" t="str">
        <f>IF($L1197&lt;&gt;"",VLOOKUP($L1197,Categories!$E:$G,2,FALSE),IF($F1197&lt;&gt;"","NO CAT",""))</f>
        <v>Not in Rate Base</v>
      </c>
      <c r="O1197" s="116" t="str">
        <f>IF($L1197&lt;&gt;"",VLOOKUP($L1197,Categories!$E:$G,3,FALSE),IF($F1197&lt;&gt;"","NO CAT",""))</f>
        <v>SFAS-109   (offsetting)</v>
      </c>
      <c r="P1197" s="170" t="s">
        <v>1186</v>
      </c>
      <c r="Q1197" s="123" t="s">
        <v>1187</v>
      </c>
      <c r="R1197" s="124">
        <v>0</v>
      </c>
      <c r="S1197" s="124">
        <v>0</v>
      </c>
      <c r="T1197" s="124">
        <v>1</v>
      </c>
      <c r="U1197" s="121">
        <f t="shared" si="483"/>
        <v>0</v>
      </c>
      <c r="V1197" s="121">
        <f t="shared" si="484"/>
        <v>0</v>
      </c>
      <c r="W1197" s="121">
        <f t="shared" si="485"/>
        <v>-26670.092708333301</v>
      </c>
      <c r="X1197" s="121">
        <f t="shared" si="481"/>
        <v>-26670.092708333301</v>
      </c>
      <c r="Y1197" s="121">
        <f t="shared" si="486"/>
        <v>0</v>
      </c>
      <c r="Z1197" s="121">
        <f t="shared" si="487"/>
        <v>0</v>
      </c>
      <c r="AA1197" s="121">
        <f t="shared" si="488"/>
        <v>-29288.54</v>
      </c>
      <c r="AB1197" s="121">
        <f t="shared" si="482"/>
        <v>-29288.539999999997</v>
      </c>
      <c r="AC1197" s="121">
        <v>-25563.185000000001</v>
      </c>
      <c r="AD1197" s="121">
        <v>-25563.185000000001</v>
      </c>
      <c r="AE1197" s="121">
        <v>-25563.185000000001</v>
      </c>
      <c r="AF1197" s="121">
        <v>-25944.931999999997</v>
      </c>
      <c r="AG1197" s="121">
        <v>-25944.931999999997</v>
      </c>
      <c r="AH1197" s="121">
        <v>-26185.357</v>
      </c>
      <c r="AI1197" s="161">
        <v>-26534.66</v>
      </c>
      <c r="AJ1197" s="161">
        <v>-27314.197</v>
      </c>
      <c r="AK1197" s="161">
        <v>-27314.197</v>
      </c>
      <c r="AL1197" s="161">
        <v>-27314.197</v>
      </c>
      <c r="AM1197" s="161">
        <v>-27468.203999999998</v>
      </c>
      <c r="AN1197" s="161">
        <v>-27468.203999999998</v>
      </c>
      <c r="AO1197" s="161">
        <v>-29288.539999999997</v>
      </c>
      <c r="AP1197" s="125" t="str">
        <f>CONCATENATE(A1197,M1197)</f>
        <v>Def TaxN</v>
      </c>
      <c r="AQ1197" s="125" t="str">
        <f>CONCATENATE(AP1197,L1197,H1197)</f>
        <v>Def TaxNN3SFAS-109</v>
      </c>
      <c r="AS1197" s="125" t="str">
        <f>CONCATENATE(L1197,H1197,J1197)</f>
        <v>N3SFAS-109</v>
      </c>
    </row>
    <row r="1198" spans="1:45" s="125" customFormat="1" ht="25.5" customHeight="1">
      <c r="A1198" s="216" t="s">
        <v>1996</v>
      </c>
      <c r="B1198" s="217" t="str">
        <f t="shared" si="489"/>
        <v>Def Tax190992A&amp;S Reserve</v>
      </c>
      <c r="C1198" s="186">
        <v>190992</v>
      </c>
      <c r="D1198" s="201" t="s">
        <v>920</v>
      </c>
      <c r="E1198" s="162"/>
      <c r="F1198" s="169" t="s">
        <v>1803</v>
      </c>
      <c r="G1198" s="117" t="s">
        <v>920</v>
      </c>
      <c r="H1198" s="118" t="s">
        <v>1405</v>
      </c>
      <c r="I1198" s="119"/>
      <c r="J1198" s="120"/>
      <c r="K1198" s="120" t="str">
        <f t="shared" si="480"/>
        <v/>
      </c>
      <c r="L1198" s="170" t="s">
        <v>1895</v>
      </c>
      <c r="M1198" s="122" t="str">
        <f t="shared" si="490"/>
        <v>R</v>
      </c>
      <c r="N1198" s="116" t="str">
        <f>IF($L1198&lt;&gt;"",VLOOKUP($L1198,Categories!$E:$G,2,FALSE),IF($F1198&lt;&gt;"","NO CAT",""))</f>
        <v>Rate Base</v>
      </c>
      <c r="O1198" s="116" t="str">
        <f>IF($L1198&lt;&gt;"",VLOOKUP($L1198,Categories!$E:$G,3,FALSE),IF($F1198&lt;&gt;"","NO CAT",""))</f>
        <v>Deferred Income Taxes</v>
      </c>
      <c r="P1198" s="170" t="s">
        <v>1188</v>
      </c>
      <c r="Q1198" s="123" t="s">
        <v>1843</v>
      </c>
      <c r="R1198" s="124">
        <v>0.76071990262269951</v>
      </c>
      <c r="S1198" s="124">
        <v>0.23928009737730072</v>
      </c>
      <c r="T1198" s="124">
        <v>0</v>
      </c>
      <c r="U1198" s="121" t="str">
        <f t="shared" si="483"/>
        <v/>
      </c>
      <c r="V1198" s="121" t="str">
        <f t="shared" si="484"/>
        <v/>
      </c>
      <c r="W1198" s="121" t="str">
        <f t="shared" si="485"/>
        <v/>
      </c>
      <c r="X1198" s="121">
        <f t="shared" si="481"/>
        <v>0</v>
      </c>
      <c r="Y1198" s="121" t="str">
        <f t="shared" si="486"/>
        <v/>
      </c>
      <c r="Z1198" s="121" t="str">
        <f t="shared" si="487"/>
        <v/>
      </c>
      <c r="AA1198" s="121" t="str">
        <f t="shared" si="488"/>
        <v/>
      </c>
      <c r="AB1198" s="121">
        <f t="shared" si="482"/>
        <v>0</v>
      </c>
      <c r="AC1198" s="121">
        <v>0</v>
      </c>
      <c r="AD1198" s="121">
        <v>0</v>
      </c>
      <c r="AE1198" s="121">
        <v>0</v>
      </c>
      <c r="AF1198" s="121">
        <v>0</v>
      </c>
      <c r="AG1198" s="121">
        <v>0</v>
      </c>
      <c r="AH1198" s="121">
        <v>0</v>
      </c>
      <c r="AI1198" s="161">
        <v>0</v>
      </c>
      <c r="AJ1198" s="161">
        <f>IF(AI1198=0,0,0)</f>
        <v>0</v>
      </c>
      <c r="AK1198" s="161">
        <v>0</v>
      </c>
      <c r="AL1198" s="161">
        <v>0</v>
      </c>
      <c r="AM1198" s="161">
        <v>0</v>
      </c>
      <c r="AN1198" s="161">
        <v>0</v>
      </c>
      <c r="AO1198" s="161">
        <v>0</v>
      </c>
      <c r="AP1198" s="125" t="str">
        <f>CONCATENATE(A1198,M1198)</f>
        <v>Def TaxR</v>
      </c>
      <c r="AQ1198" s="125" t="str">
        <f>CONCATENATE(AP1198,L1198,H1198)</f>
        <v>Def TaxRR11A&amp;S CHIP</v>
      </c>
      <c r="AS1198" s="125" t="str">
        <f>CONCATENATE(L1198,H1198,J1198)</f>
        <v>R11A&amp;S CHIP</v>
      </c>
    </row>
    <row r="1199" spans="1:45" s="125" customFormat="1" ht="25.5" customHeight="1">
      <c r="A1199" s="216" t="s">
        <v>1996</v>
      </c>
      <c r="B1199" s="217" t="str">
        <f t="shared" si="489"/>
        <v xml:space="preserve">Def Tax190992Bad Debt </v>
      </c>
      <c r="C1199" s="186">
        <v>190992</v>
      </c>
      <c r="D1199" s="201" t="s">
        <v>921</v>
      </c>
      <c r="E1199" s="162"/>
      <c r="F1199" s="169" t="s">
        <v>1803</v>
      </c>
      <c r="G1199" s="117" t="s">
        <v>921</v>
      </c>
      <c r="H1199" s="118" t="s">
        <v>2221</v>
      </c>
      <c r="I1199" s="119"/>
      <c r="J1199" s="120"/>
      <c r="K1199" s="120" t="str">
        <f t="shared" si="480"/>
        <v/>
      </c>
      <c r="L1199" s="170" t="s">
        <v>1419</v>
      </c>
      <c r="M1199" s="122" t="str">
        <f t="shared" si="490"/>
        <v>A</v>
      </c>
      <c r="N1199" s="116" t="str">
        <f>IF($L1199&lt;&gt;"",VLOOKUP($L1199,Categories!$E:$G,2,FALSE),IF($F1199&lt;&gt;"","NO CAT",""))</f>
        <v>All Other</v>
      </c>
      <c r="O1199" s="116" t="str">
        <f>IF($L1199&lt;&gt;"",VLOOKUP($L1199,Categories!$E:$G,3,FALSE),IF($F1199&lt;&gt;"","NO CAT",""))</f>
        <v>EB-Cap</v>
      </c>
      <c r="P1199" s="170" t="s">
        <v>1557</v>
      </c>
      <c r="Q1199" s="123" t="s">
        <v>1891</v>
      </c>
      <c r="R1199" s="124">
        <v>0.77544352505021785</v>
      </c>
      <c r="S1199" s="124">
        <v>0.22455647494978223</v>
      </c>
      <c r="T1199" s="124">
        <v>0</v>
      </c>
      <c r="U1199" s="121" t="str">
        <f t="shared" si="483"/>
        <v/>
      </c>
      <c r="V1199" s="121" t="str">
        <f t="shared" si="484"/>
        <v/>
      </c>
      <c r="W1199" s="121" t="str">
        <f t="shared" si="485"/>
        <v/>
      </c>
      <c r="X1199" s="121">
        <f t="shared" si="481"/>
        <v>0</v>
      </c>
      <c r="Y1199" s="121" t="str">
        <f t="shared" si="486"/>
        <v/>
      </c>
      <c r="Z1199" s="121" t="str">
        <f t="shared" si="487"/>
        <v/>
      </c>
      <c r="AA1199" s="121" t="str">
        <f t="shared" si="488"/>
        <v/>
      </c>
      <c r="AB1199" s="121">
        <f t="shared" si="482"/>
        <v>0</v>
      </c>
      <c r="AC1199" s="121">
        <v>0</v>
      </c>
      <c r="AD1199" s="121">
        <v>0</v>
      </c>
      <c r="AE1199" s="121">
        <v>0</v>
      </c>
      <c r="AF1199" s="121">
        <v>0</v>
      </c>
      <c r="AG1199" s="121">
        <v>0</v>
      </c>
      <c r="AH1199" s="121">
        <v>0</v>
      </c>
      <c r="AI1199" s="161">
        <v>0</v>
      </c>
      <c r="AJ1199" s="161">
        <f>IF(AI1199=0,0,0)</f>
        <v>0</v>
      </c>
      <c r="AK1199" s="161">
        <v>0</v>
      </c>
      <c r="AL1199" s="161">
        <v>0</v>
      </c>
      <c r="AM1199" s="161">
        <v>0</v>
      </c>
      <c r="AN1199" s="161">
        <v>0</v>
      </c>
      <c r="AO1199" s="161">
        <v>0</v>
      </c>
      <c r="AP1199" s="125" t="str">
        <f>CONCATENATE(A1199,M1199)</f>
        <v>Def TaxA</v>
      </c>
      <c r="AQ1199" s="125" t="str">
        <f>CONCATENATE(AP1199,L1199,H1199)</f>
        <v>Def TaxAA2Bad Debts</v>
      </c>
      <c r="AS1199" s="125" t="str">
        <f>CONCATENATE(L1199,H1199,J1199)</f>
        <v>A2Bad Debts</v>
      </c>
    </row>
    <row r="1200" spans="1:45" s="125" customFormat="1" ht="25.5" customHeight="1">
      <c r="A1200" s="216" t="s">
        <v>1996</v>
      </c>
      <c r="B1200" s="217" t="str">
        <f t="shared" si="489"/>
        <v>Def Tax190992Customer Deposits</v>
      </c>
      <c r="C1200" s="186">
        <v>190992</v>
      </c>
      <c r="D1200" s="201" t="s">
        <v>1059</v>
      </c>
      <c r="E1200" s="162"/>
      <c r="F1200" s="169" t="s">
        <v>1803</v>
      </c>
      <c r="G1200" s="117" t="s">
        <v>1059</v>
      </c>
      <c r="H1200" s="118" t="s">
        <v>1149</v>
      </c>
      <c r="I1200" s="119"/>
      <c r="J1200" s="120"/>
      <c r="K1200" s="120" t="str">
        <f t="shared" si="480"/>
        <v>SFAS-109</v>
      </c>
      <c r="L1200" s="170" t="s">
        <v>930</v>
      </c>
      <c r="M1200" s="122" t="str">
        <f t="shared" si="490"/>
        <v>N</v>
      </c>
      <c r="N1200" s="116" t="str">
        <f>IF($L1200&lt;&gt;"",VLOOKUP($L1200,Categories!$E:$G,2,FALSE),IF($F1200&lt;&gt;"","NO CAT",""))</f>
        <v>Not in Rate Base</v>
      </c>
      <c r="O1200" s="116" t="str">
        <f>IF($L1200&lt;&gt;"",VLOOKUP($L1200,Categories!$E:$G,3,FALSE),IF($F1200&lt;&gt;"","NO CAT",""))</f>
        <v>SFAS-109   (offsetting)</v>
      </c>
      <c r="P1200" s="170" t="s">
        <v>1186</v>
      </c>
      <c r="Q1200" s="123" t="s">
        <v>1187</v>
      </c>
      <c r="R1200" s="124">
        <v>0</v>
      </c>
      <c r="S1200" s="124">
        <v>0</v>
      </c>
      <c r="T1200" s="124">
        <v>1</v>
      </c>
      <c r="U1200" s="121">
        <f t="shared" si="483"/>
        <v>0</v>
      </c>
      <c r="V1200" s="121">
        <f t="shared" si="484"/>
        <v>0</v>
      </c>
      <c r="W1200" s="121">
        <f t="shared" si="485"/>
        <v>21.302416666666701</v>
      </c>
      <c r="X1200" s="121">
        <f t="shared" si="481"/>
        <v>21.302416666666701</v>
      </c>
      <c r="Y1200" s="121" t="str">
        <f t="shared" si="486"/>
        <v/>
      </c>
      <c r="Z1200" s="121" t="str">
        <f t="shared" si="487"/>
        <v/>
      </c>
      <c r="AA1200" s="121" t="str">
        <f t="shared" si="488"/>
        <v/>
      </c>
      <c r="AB1200" s="121">
        <f t="shared" si="482"/>
        <v>0</v>
      </c>
      <c r="AC1200" s="121">
        <v>511.25799999999998</v>
      </c>
      <c r="AD1200" s="121">
        <v>0</v>
      </c>
      <c r="AE1200" s="121">
        <v>0</v>
      </c>
      <c r="AF1200" s="121">
        <v>0</v>
      </c>
      <c r="AG1200" s="121">
        <v>0</v>
      </c>
      <c r="AH1200" s="121">
        <v>0</v>
      </c>
      <c r="AI1200" s="161">
        <v>0</v>
      </c>
      <c r="AJ1200" s="161">
        <f>IF(AI1200=0,0,0)</f>
        <v>0</v>
      </c>
      <c r="AK1200" s="161">
        <v>0</v>
      </c>
      <c r="AL1200" s="161">
        <v>0</v>
      </c>
      <c r="AM1200" s="161">
        <v>0</v>
      </c>
      <c r="AN1200" s="161">
        <v>0</v>
      </c>
      <c r="AO1200" s="161">
        <v>0</v>
      </c>
      <c r="AP1200" s="125" t="str">
        <f>CONCATENATE(A1200,M1200)</f>
        <v>Def TaxN</v>
      </c>
      <c r="AQ1200" s="125" t="str">
        <f>CONCATENATE(AP1200,L1200,H1200)</f>
        <v>Def TaxNN3SFAS-109</v>
      </c>
      <c r="AS1200" s="125" t="str">
        <f>CONCATENATE(L1200,H1200,J1200)</f>
        <v>N3SFAS-109</v>
      </c>
    </row>
    <row r="1201" spans="1:45" s="125" customFormat="1" ht="25.5" customHeight="1">
      <c r="A1201" s="216" t="s">
        <v>1996</v>
      </c>
      <c r="B1201" s="217" t="str">
        <f t="shared" si="489"/>
        <v>Def Tax1909920BT010057</v>
      </c>
      <c r="C1201" s="186">
        <v>190992</v>
      </c>
      <c r="D1201" s="201">
        <v>0</v>
      </c>
      <c r="E1201" s="162" t="s">
        <v>498</v>
      </c>
      <c r="F1201" s="169" t="s">
        <v>1803</v>
      </c>
      <c r="G1201" s="117" t="s">
        <v>2371</v>
      </c>
      <c r="H1201" s="118" t="s">
        <v>1149</v>
      </c>
      <c r="I1201" s="119"/>
      <c r="J1201" s="120"/>
      <c r="K1201" s="120" t="str">
        <f t="shared" ref="K1201:K1219" si="491">IF(L1201="N3","SFAS-109","")</f>
        <v>SFAS-109</v>
      </c>
      <c r="L1201" s="170" t="s">
        <v>930</v>
      </c>
      <c r="M1201" s="122" t="str">
        <f t="shared" si="490"/>
        <v>N</v>
      </c>
      <c r="N1201" s="116" t="str">
        <f>IF($L1201&lt;&gt;"",VLOOKUP($L1201,Categories!$E:$G,2,FALSE),IF($F1201&lt;&gt;"","NO CAT",""))</f>
        <v>Not in Rate Base</v>
      </c>
      <c r="O1201" s="116" t="str">
        <f>IF($L1201&lt;&gt;"",VLOOKUP($L1201,Categories!$E:$G,3,FALSE),IF($F1201&lt;&gt;"","NO CAT",""))</f>
        <v>SFAS-109   (offsetting)</v>
      </c>
      <c r="P1201" s="170" t="s">
        <v>1186</v>
      </c>
      <c r="Q1201" s="123" t="s">
        <v>1187</v>
      </c>
      <c r="R1201" s="124">
        <v>0</v>
      </c>
      <c r="S1201" s="124">
        <v>0</v>
      </c>
      <c r="T1201" s="124">
        <v>1</v>
      </c>
      <c r="U1201" s="121">
        <f t="shared" si="483"/>
        <v>0</v>
      </c>
      <c r="V1201" s="121">
        <f t="shared" si="484"/>
        <v>0</v>
      </c>
      <c r="W1201" s="121">
        <f t="shared" si="485"/>
        <v>-71173.154958333296</v>
      </c>
      <c r="X1201" s="121">
        <f t="shared" si="481"/>
        <v>-71173.154958333296</v>
      </c>
      <c r="Y1201" s="121">
        <f t="shared" si="486"/>
        <v>0</v>
      </c>
      <c r="Z1201" s="121">
        <f t="shared" si="487"/>
        <v>0</v>
      </c>
      <c r="AA1201" s="121">
        <f t="shared" si="488"/>
        <v>-74920.941999999995</v>
      </c>
      <c r="AB1201" s="121">
        <f t="shared" si="482"/>
        <v>-74920.941999999995</v>
      </c>
      <c r="AC1201" s="121">
        <v>-69757.236999999994</v>
      </c>
      <c r="AD1201" s="121">
        <v>-69757.236999999994</v>
      </c>
      <c r="AE1201" s="121">
        <v>-69757.236999999994</v>
      </c>
      <c r="AF1201" s="121">
        <v>-70194.297000000006</v>
      </c>
      <c r="AG1201" s="121">
        <v>-70194.297000000006</v>
      </c>
      <c r="AH1201" s="121">
        <v>-70469.558000000005</v>
      </c>
      <c r="AI1201" s="161">
        <v>-70869.472999999998</v>
      </c>
      <c r="AJ1201" s="161">
        <v>-71956.361000000004</v>
      </c>
      <c r="AK1201" s="161">
        <v>-71956.361000000004</v>
      </c>
      <c r="AL1201" s="161">
        <v>-71956.361000000004</v>
      </c>
      <c r="AM1201" s="161">
        <v>-72313.793999999994</v>
      </c>
      <c r="AN1201" s="161">
        <v>-72313.793999999994</v>
      </c>
      <c r="AO1201" s="161">
        <v>-74920.941999999995</v>
      </c>
      <c r="AP1201" s="125" t="str">
        <f>CONCATENATE(A1201,M1201)</f>
        <v>Def TaxN</v>
      </c>
      <c r="AQ1201" s="125" t="str">
        <f>CONCATENATE(AP1201,L1201,H1201)</f>
        <v>Def TaxNN3SFAS-109</v>
      </c>
      <c r="AS1201" s="125" t="str">
        <f>CONCATENATE(L1201,H1201,J1201)</f>
        <v>N3SFAS-109</v>
      </c>
    </row>
    <row r="1202" spans="1:45" s="125" customFormat="1" ht="25.5" customHeight="1">
      <c r="A1202" s="216" t="s">
        <v>1996</v>
      </c>
      <c r="B1202" s="217" t="str">
        <f t="shared" si="489"/>
        <v>Def Tax190992Restructuring</v>
      </c>
      <c r="C1202" s="186">
        <v>190992</v>
      </c>
      <c r="D1202" s="201" t="s">
        <v>922</v>
      </c>
      <c r="E1202" s="162"/>
      <c r="F1202" s="169" t="s">
        <v>1803</v>
      </c>
      <c r="G1202" s="117" t="s">
        <v>922</v>
      </c>
      <c r="H1202" s="118" t="s">
        <v>1149</v>
      </c>
      <c r="I1202" s="119"/>
      <c r="J1202" s="120"/>
      <c r="K1202" s="120" t="str">
        <f t="shared" si="491"/>
        <v>SFAS-109</v>
      </c>
      <c r="L1202" s="170" t="s">
        <v>930</v>
      </c>
      <c r="M1202" s="122" t="str">
        <f t="shared" si="490"/>
        <v>N</v>
      </c>
      <c r="N1202" s="116" t="str">
        <f>IF($L1202&lt;&gt;"",VLOOKUP($L1202,Categories!$E:$G,2,FALSE),IF($F1202&lt;&gt;"","NO CAT",""))</f>
        <v>Not in Rate Base</v>
      </c>
      <c r="O1202" s="116" t="str">
        <f>IF($L1202&lt;&gt;"",VLOOKUP($L1202,Categories!$E:$G,3,FALSE),IF($F1202&lt;&gt;"","NO CAT",""))</f>
        <v>SFAS-109   (offsetting)</v>
      </c>
      <c r="P1202" s="170" t="s">
        <v>1186</v>
      </c>
      <c r="Q1202" s="123" t="s">
        <v>1187</v>
      </c>
      <c r="R1202" s="124">
        <v>0</v>
      </c>
      <c r="S1202" s="124">
        <v>0</v>
      </c>
      <c r="T1202" s="124">
        <v>1</v>
      </c>
      <c r="U1202" s="121" t="str">
        <f t="shared" si="483"/>
        <v/>
      </c>
      <c r="V1202" s="121" t="str">
        <f t="shared" si="484"/>
        <v/>
      </c>
      <c r="W1202" s="121" t="str">
        <f t="shared" si="485"/>
        <v/>
      </c>
      <c r="X1202" s="121">
        <f t="shared" si="481"/>
        <v>0</v>
      </c>
      <c r="Y1202" s="121" t="str">
        <f t="shared" si="486"/>
        <v/>
      </c>
      <c r="Z1202" s="121" t="str">
        <f t="shared" si="487"/>
        <v/>
      </c>
      <c r="AA1202" s="121" t="str">
        <f t="shared" si="488"/>
        <v/>
      </c>
      <c r="AB1202" s="121">
        <f t="shared" si="482"/>
        <v>0</v>
      </c>
      <c r="AC1202" s="121">
        <v>0</v>
      </c>
      <c r="AD1202" s="121">
        <v>0</v>
      </c>
      <c r="AE1202" s="121">
        <v>0</v>
      </c>
      <c r="AF1202" s="121">
        <v>0</v>
      </c>
      <c r="AG1202" s="121">
        <v>0</v>
      </c>
      <c r="AH1202" s="121">
        <v>0</v>
      </c>
      <c r="AI1202" s="161">
        <v>0</v>
      </c>
      <c r="AJ1202" s="161">
        <f>IF(AI1202=0,0,0)</f>
        <v>0</v>
      </c>
      <c r="AK1202" s="161">
        <v>0</v>
      </c>
      <c r="AL1202" s="161">
        <v>0</v>
      </c>
      <c r="AM1202" s="161">
        <v>0</v>
      </c>
      <c r="AN1202" s="161">
        <v>0</v>
      </c>
      <c r="AO1202" s="161">
        <v>0</v>
      </c>
      <c r="AP1202" s="125" t="str">
        <f>CONCATENATE(A1202,M1202)</f>
        <v>Def TaxN</v>
      </c>
      <c r="AQ1202" s="125" t="str">
        <f>CONCATENATE(AP1202,L1202,H1202)</f>
        <v>Def TaxNN3SFAS-109</v>
      </c>
      <c r="AS1202" s="125" t="str">
        <f>CONCATENATE(L1202,H1202,J1202)</f>
        <v>N3SFAS-109</v>
      </c>
    </row>
    <row r="1203" spans="1:45" s="125" customFormat="1" ht="25.5" customHeight="1">
      <c r="A1203" s="216" t="s">
        <v>1996</v>
      </c>
      <c r="B1203" s="217" t="str">
        <f t="shared" si="489"/>
        <v>Def Tax190992Unbilled Revenue</v>
      </c>
      <c r="C1203" s="186">
        <v>190992</v>
      </c>
      <c r="D1203" s="201" t="s">
        <v>451</v>
      </c>
      <c r="E1203" s="162"/>
      <c r="F1203" s="169" t="s">
        <v>1803</v>
      </c>
      <c r="G1203" s="117" t="s">
        <v>451</v>
      </c>
      <c r="H1203" s="118" t="s">
        <v>1149</v>
      </c>
      <c r="I1203" s="119"/>
      <c r="J1203" s="120"/>
      <c r="K1203" s="120" t="str">
        <f t="shared" si="491"/>
        <v>SFAS-109</v>
      </c>
      <c r="L1203" s="170" t="s">
        <v>930</v>
      </c>
      <c r="M1203" s="122" t="str">
        <f t="shared" si="490"/>
        <v>N</v>
      </c>
      <c r="N1203" s="116" t="str">
        <f>IF($L1203&lt;&gt;"",VLOOKUP($L1203,Categories!$E:$G,2,FALSE),IF($F1203&lt;&gt;"","NO CAT",""))</f>
        <v>Not in Rate Base</v>
      </c>
      <c r="O1203" s="116" t="str">
        <f>IF($L1203&lt;&gt;"",VLOOKUP($L1203,Categories!$E:$G,3,FALSE),IF($F1203&lt;&gt;"","NO CAT",""))</f>
        <v>SFAS-109   (offsetting)</v>
      </c>
      <c r="P1203" s="170" t="s">
        <v>1186</v>
      </c>
      <c r="Q1203" s="123" t="s">
        <v>1187</v>
      </c>
      <c r="R1203" s="124">
        <v>0</v>
      </c>
      <c r="S1203" s="124">
        <v>0</v>
      </c>
      <c r="T1203" s="124">
        <v>1</v>
      </c>
      <c r="U1203" s="121">
        <f t="shared" si="483"/>
        <v>0</v>
      </c>
      <c r="V1203" s="121">
        <f t="shared" si="484"/>
        <v>0</v>
      </c>
      <c r="W1203" s="121">
        <f t="shared" si="485"/>
        <v>-21.302416666666701</v>
      </c>
      <c r="X1203" s="121">
        <f t="shared" si="481"/>
        <v>-21.302416666666701</v>
      </c>
      <c r="Y1203" s="121" t="str">
        <f t="shared" si="486"/>
        <v/>
      </c>
      <c r="Z1203" s="121" t="str">
        <f t="shared" si="487"/>
        <v/>
      </c>
      <c r="AA1203" s="121" t="str">
        <f t="shared" si="488"/>
        <v/>
      </c>
      <c r="AB1203" s="121">
        <f t="shared" si="482"/>
        <v>0</v>
      </c>
      <c r="AC1203" s="121">
        <v>-511.25799999999998</v>
      </c>
      <c r="AD1203" s="121">
        <v>0</v>
      </c>
      <c r="AE1203" s="121">
        <v>0</v>
      </c>
      <c r="AF1203" s="121">
        <v>0</v>
      </c>
      <c r="AG1203" s="121">
        <v>0</v>
      </c>
      <c r="AH1203" s="121">
        <v>0</v>
      </c>
      <c r="AI1203" s="161">
        <v>0</v>
      </c>
      <c r="AJ1203" s="161">
        <f>IF(AI1203=0,0,0)</f>
        <v>0</v>
      </c>
      <c r="AK1203" s="161">
        <v>0</v>
      </c>
      <c r="AL1203" s="161">
        <v>0</v>
      </c>
      <c r="AM1203" s="161">
        <v>0</v>
      </c>
      <c r="AN1203" s="161">
        <v>0</v>
      </c>
      <c r="AO1203" s="161">
        <v>0</v>
      </c>
      <c r="AP1203" s="125" t="str">
        <f>CONCATENATE(A1203,M1203)</f>
        <v>Def TaxN</v>
      </c>
      <c r="AQ1203" s="125" t="str">
        <f>CONCATENATE(AP1203,L1203,H1203)</f>
        <v>Def TaxNN3SFAS-109</v>
      </c>
      <c r="AS1203" s="125" t="str">
        <f>CONCATENATE(L1203,H1203,J1203)</f>
        <v>N3SFAS-109</v>
      </c>
    </row>
    <row r="1204" spans="1:45" s="125" customFormat="1" ht="25.5" customHeight="1">
      <c r="A1204" s="216" t="s">
        <v>1996</v>
      </c>
      <c r="B1204" s="217" t="str">
        <f t="shared" si="489"/>
        <v>Def Tax190992Vacation Accrual</v>
      </c>
      <c r="C1204" s="186">
        <v>190992</v>
      </c>
      <c r="D1204" s="201" t="s">
        <v>987</v>
      </c>
      <c r="E1204" s="162"/>
      <c r="F1204" s="169" t="s">
        <v>1803</v>
      </c>
      <c r="G1204" s="117" t="s">
        <v>987</v>
      </c>
      <c r="H1204" s="118" t="s">
        <v>220</v>
      </c>
      <c r="I1204" s="119"/>
      <c r="J1204" s="120"/>
      <c r="K1204" s="120" t="str">
        <f t="shared" si="491"/>
        <v/>
      </c>
      <c r="L1204" s="170" t="s">
        <v>1419</v>
      </c>
      <c r="M1204" s="122" t="str">
        <f t="shared" si="490"/>
        <v>A</v>
      </c>
      <c r="N1204" s="116" t="str">
        <f>IF($L1204&lt;&gt;"",VLOOKUP($L1204,Categories!$E:$G,2,FALSE),IF($F1204&lt;&gt;"","NO CAT",""))</f>
        <v>All Other</v>
      </c>
      <c r="O1204" s="116" t="str">
        <f>IF($L1204&lt;&gt;"",VLOOKUP($L1204,Categories!$E:$G,3,FALSE),IF($F1204&lt;&gt;"","NO CAT",""))</f>
        <v>EB-Cap</v>
      </c>
      <c r="P1204" s="170" t="s">
        <v>1557</v>
      </c>
      <c r="Q1204" s="123" t="s">
        <v>1891</v>
      </c>
      <c r="R1204" s="124">
        <v>0.77544352505021785</v>
      </c>
      <c r="S1204" s="124">
        <v>0.22455647494978223</v>
      </c>
      <c r="T1204" s="124">
        <v>0</v>
      </c>
      <c r="U1204" s="121" t="str">
        <f t="shared" si="483"/>
        <v/>
      </c>
      <c r="V1204" s="121" t="str">
        <f t="shared" si="484"/>
        <v/>
      </c>
      <c r="W1204" s="121" t="str">
        <f t="shared" si="485"/>
        <v/>
      </c>
      <c r="X1204" s="121">
        <f t="shared" si="481"/>
        <v>0</v>
      </c>
      <c r="Y1204" s="121" t="str">
        <f t="shared" si="486"/>
        <v/>
      </c>
      <c r="Z1204" s="121" t="str">
        <f t="shared" si="487"/>
        <v/>
      </c>
      <c r="AA1204" s="121" t="str">
        <f t="shared" si="488"/>
        <v/>
      </c>
      <c r="AB1204" s="121">
        <f t="shared" si="482"/>
        <v>0</v>
      </c>
      <c r="AC1204" s="121">
        <v>0</v>
      </c>
      <c r="AD1204" s="121">
        <v>0</v>
      </c>
      <c r="AE1204" s="121">
        <v>0</v>
      </c>
      <c r="AF1204" s="121">
        <v>0</v>
      </c>
      <c r="AG1204" s="121">
        <v>0</v>
      </c>
      <c r="AH1204" s="121">
        <v>0</v>
      </c>
      <c r="AI1204" s="161">
        <v>0</v>
      </c>
      <c r="AJ1204" s="161">
        <f>IF(AI1204=0,0,0)</f>
        <v>0</v>
      </c>
      <c r="AK1204" s="161">
        <v>0</v>
      </c>
      <c r="AL1204" s="161">
        <v>0</v>
      </c>
      <c r="AM1204" s="161">
        <v>0</v>
      </c>
      <c r="AN1204" s="161">
        <v>0</v>
      </c>
      <c r="AO1204" s="161">
        <v>0</v>
      </c>
      <c r="AP1204" s="125" t="str">
        <f>CONCATENATE(A1204,M1204)</f>
        <v>Def TaxA</v>
      </c>
      <c r="AQ1204" s="125" t="str">
        <f>CONCATENATE(AP1204,L1204,H1204)</f>
        <v>Def TaxAA2Payroll-Related Costs</v>
      </c>
      <c r="AS1204" s="125" t="str">
        <f>CONCATENATE(L1204,H1204,J1204)</f>
        <v>A2Payroll-Related Costs</v>
      </c>
    </row>
    <row r="1205" spans="1:45" s="125" customFormat="1" ht="25.5" customHeight="1">
      <c r="A1205" s="216" t="s">
        <v>1996</v>
      </c>
      <c r="B1205" s="217" t="str">
        <f t="shared" si="489"/>
        <v>Def Tax1909930BT010057</v>
      </c>
      <c r="C1205" s="186">
        <v>190993</v>
      </c>
      <c r="D1205" s="201">
        <v>0</v>
      </c>
      <c r="E1205" s="162" t="s">
        <v>498</v>
      </c>
      <c r="F1205" s="169" t="s">
        <v>1804</v>
      </c>
      <c r="G1205" s="117" t="s">
        <v>2371</v>
      </c>
      <c r="H1205" s="118" t="s">
        <v>1149</v>
      </c>
      <c r="I1205" s="119"/>
      <c r="J1205" s="120"/>
      <c r="K1205" s="120" t="str">
        <f t="shared" si="491"/>
        <v>SFAS-109</v>
      </c>
      <c r="L1205" s="170" t="s">
        <v>930</v>
      </c>
      <c r="M1205" s="122" t="str">
        <f t="shared" si="490"/>
        <v>N</v>
      </c>
      <c r="N1205" s="116" t="str">
        <f>IF($L1205&lt;&gt;"",VLOOKUP($L1205,Categories!$E:$G,2,FALSE),IF($F1205&lt;&gt;"","NO CAT",""))</f>
        <v>Not in Rate Base</v>
      </c>
      <c r="O1205" s="116" t="str">
        <f>IF($L1205&lt;&gt;"",VLOOKUP($L1205,Categories!$E:$G,3,FALSE),IF($F1205&lt;&gt;"","NO CAT",""))</f>
        <v>SFAS-109   (offsetting)</v>
      </c>
      <c r="P1205" s="170" t="s">
        <v>1186</v>
      </c>
      <c r="Q1205" s="123" t="s">
        <v>1187</v>
      </c>
      <c r="R1205" s="124">
        <v>0</v>
      </c>
      <c r="S1205" s="124">
        <v>0</v>
      </c>
      <c r="T1205" s="124">
        <v>1</v>
      </c>
      <c r="U1205" s="121">
        <f t="shared" si="483"/>
        <v>0</v>
      </c>
      <c r="V1205" s="121">
        <f t="shared" si="484"/>
        <v>0</v>
      </c>
      <c r="W1205" s="121">
        <f t="shared" si="485"/>
        <v>-15768.7484166667</v>
      </c>
      <c r="X1205" s="121">
        <f t="shared" ref="X1205:X1267" si="492">IF(ISERROR(ROUND((SUM(AC1205:AO1205)-((AC1205+AO1205))/2)/12,15)),"",ROUND((SUM(AC1205:AO1205)-((AC1205+AO1205))/2)/12,15))</f>
        <v>-15768.7484166667</v>
      </c>
      <c r="Y1205" s="121">
        <f t="shared" si="486"/>
        <v>0</v>
      </c>
      <c r="Z1205" s="121">
        <f t="shared" si="487"/>
        <v>0</v>
      </c>
      <c r="AA1205" s="121">
        <f t="shared" si="488"/>
        <v>-16587.118999999999</v>
      </c>
      <c r="AB1205" s="121">
        <f t="shared" ref="AB1205:AB1267" si="493">IF(AO1205="",0,+AO1205)</f>
        <v>-16587.118999999999</v>
      </c>
      <c r="AC1205" s="121">
        <v>-15459.566999999999</v>
      </c>
      <c r="AD1205" s="121">
        <v>-15459.566999999999</v>
      </c>
      <c r="AE1205" s="121">
        <v>-15459.566999999999</v>
      </c>
      <c r="AF1205" s="121">
        <v>-15555.004000000001</v>
      </c>
      <c r="AG1205" s="121">
        <v>-15555.004000000001</v>
      </c>
      <c r="AH1205" s="121">
        <v>-15615.11</v>
      </c>
      <c r="AI1205" s="161">
        <v>-15702.436</v>
      </c>
      <c r="AJ1205" s="161">
        <v>-15939.77</v>
      </c>
      <c r="AK1205" s="161">
        <v>-15939.77</v>
      </c>
      <c r="AL1205" s="161">
        <v>-15939.77</v>
      </c>
      <c r="AM1205" s="161">
        <v>-16017.82</v>
      </c>
      <c r="AN1205" s="161">
        <v>-16017.82</v>
      </c>
      <c r="AO1205" s="161">
        <v>-16587.118999999999</v>
      </c>
      <c r="AP1205" s="125" t="str">
        <f>CONCATENATE(A1205,M1205)</f>
        <v>Def TaxN</v>
      </c>
      <c r="AQ1205" s="125" t="str">
        <f>CONCATENATE(AP1205,L1205,H1205)</f>
        <v>Def TaxNN3SFAS-109</v>
      </c>
      <c r="AS1205" s="125" t="str">
        <f>CONCATENATE(L1205,H1205,J1205)</f>
        <v>N3SFAS-109</v>
      </c>
    </row>
    <row r="1206" spans="1:45" s="125" customFormat="1" ht="25.5" customHeight="1">
      <c r="A1206" s="216" t="s">
        <v>1996</v>
      </c>
      <c r="B1206" s="217" t="str">
        <f t="shared" si="489"/>
        <v>Def Tax2551000-283.40.01BT010109</v>
      </c>
      <c r="C1206" s="186">
        <v>255100</v>
      </c>
      <c r="D1206" s="201" t="s">
        <v>2782</v>
      </c>
      <c r="E1206" s="162" t="s">
        <v>399</v>
      </c>
      <c r="F1206" s="169" t="s">
        <v>1887</v>
      </c>
      <c r="G1206" s="117" t="s">
        <v>2268</v>
      </c>
      <c r="H1206" s="118" t="s">
        <v>2269</v>
      </c>
      <c r="I1206" s="119"/>
      <c r="J1206" s="120"/>
      <c r="K1206" s="120" t="str">
        <f t="shared" si="491"/>
        <v/>
      </c>
      <c r="L1206" s="170" t="s">
        <v>454</v>
      </c>
      <c r="M1206" s="122" t="str">
        <f t="shared" si="490"/>
        <v>R</v>
      </c>
      <c r="N1206" s="116" t="str">
        <f>IF($L1206&lt;&gt;"",VLOOKUP($L1206,Categories!$E:$G,2,FALSE),IF($F1206&lt;&gt;"","NO CAT",""))</f>
        <v>Rate Base</v>
      </c>
      <c r="O1206" s="116" t="str">
        <f>IF($L1206&lt;&gt;"",VLOOKUP($L1206,Categories!$E:$G,3,FALSE),IF($F1206&lt;&gt;"","NO CAT",""))</f>
        <v>Deferred Investment Tax Credit</v>
      </c>
      <c r="P1206" s="170" t="s">
        <v>1183</v>
      </c>
      <c r="Q1206" s="123" t="s">
        <v>1177</v>
      </c>
      <c r="R1206" s="124">
        <v>1</v>
      </c>
      <c r="S1206" s="124">
        <v>0</v>
      </c>
      <c r="T1206" s="124">
        <v>0</v>
      </c>
      <c r="U1206" s="121">
        <f t="shared" si="483"/>
        <v>-14721.00654</v>
      </c>
      <c r="V1206" s="121">
        <f t="shared" si="484"/>
        <v>0</v>
      </c>
      <c r="W1206" s="121">
        <f t="shared" si="485"/>
        <v>0</v>
      </c>
      <c r="X1206" s="121">
        <f t="shared" si="492"/>
        <v>-14721.00654</v>
      </c>
      <c r="Y1206" s="121">
        <f t="shared" si="486"/>
        <v>-14452.00654</v>
      </c>
      <c r="Z1206" s="121">
        <f t="shared" si="487"/>
        <v>0</v>
      </c>
      <c r="AA1206" s="121">
        <f t="shared" si="488"/>
        <v>0</v>
      </c>
      <c r="AB1206" s="121">
        <f t="shared" si="493"/>
        <v>-14452.006540000009</v>
      </c>
      <c r="AC1206" s="121">
        <v>-14990.006540000009</v>
      </c>
      <c r="AD1206" s="121">
        <v>-14945.17321000001</v>
      </c>
      <c r="AE1206" s="121">
        <v>-14900.339870000011</v>
      </c>
      <c r="AF1206" s="121">
        <v>-14855.506540000009</v>
      </c>
      <c r="AG1206" s="121">
        <v>-14810.67321000001</v>
      </c>
      <c r="AH1206" s="121">
        <v>-14765.839870000011</v>
      </c>
      <c r="AI1206" s="161">
        <v>-14721.006540000009</v>
      </c>
      <c r="AJ1206" s="161">
        <v>-14676.17321000001</v>
      </c>
      <c r="AK1206" s="161">
        <v>-14631.339870000011</v>
      </c>
      <c r="AL1206" s="161">
        <v>-14586.506539999998</v>
      </c>
      <c r="AM1206" s="161">
        <v>-14541.67321000001</v>
      </c>
      <c r="AN1206" s="161">
        <v>-14496.839870000011</v>
      </c>
      <c r="AO1206" s="161">
        <v>-14452.006540000009</v>
      </c>
      <c r="AP1206" s="125" t="str">
        <f>CONCATENATE(A1206,M1206)</f>
        <v>Def TaxR</v>
      </c>
      <c r="AQ1206" s="125" t="str">
        <f>CONCATENATE(AP1206,L1206,H1206)</f>
        <v>Def TaxRR12ITC</v>
      </c>
      <c r="AS1206" s="125" t="str">
        <f>CONCATENATE(L1206,H1206,J1206)</f>
        <v>R12ITC</v>
      </c>
    </row>
    <row r="1207" spans="1:45" s="125" customFormat="1" ht="25.5" customHeight="1">
      <c r="A1207" s="216" t="s">
        <v>1996</v>
      </c>
      <c r="B1207" s="217" t="str">
        <f t="shared" si="489"/>
        <v>Def Tax2552000-283.40.02BT010109</v>
      </c>
      <c r="C1207" s="186">
        <v>255200</v>
      </c>
      <c r="D1207" s="201" t="s">
        <v>2270</v>
      </c>
      <c r="E1207" s="162" t="s">
        <v>399</v>
      </c>
      <c r="F1207" s="169" t="s">
        <v>51</v>
      </c>
      <c r="G1207" s="117" t="s">
        <v>1795</v>
      </c>
      <c r="H1207" s="118" t="s">
        <v>2269</v>
      </c>
      <c r="I1207" s="119"/>
      <c r="J1207" s="120"/>
      <c r="K1207" s="120" t="str">
        <f t="shared" si="491"/>
        <v/>
      </c>
      <c r="L1207" s="170" t="s">
        <v>454</v>
      </c>
      <c r="M1207" s="122" t="str">
        <f t="shared" si="490"/>
        <v>R</v>
      </c>
      <c r="N1207" s="116" t="str">
        <f>IF($L1207&lt;&gt;"",VLOOKUP($L1207,Categories!$E:$G,2,FALSE),IF($F1207&lt;&gt;"","NO CAT",""))</f>
        <v>Rate Base</v>
      </c>
      <c r="O1207" s="116" t="str">
        <f>IF($L1207&lt;&gt;"",VLOOKUP($L1207,Categories!$E:$G,3,FALSE),IF($F1207&lt;&gt;"","NO CAT",""))</f>
        <v>Deferred Investment Tax Credit</v>
      </c>
      <c r="P1207" s="170" t="s">
        <v>1184</v>
      </c>
      <c r="Q1207" s="123" t="s">
        <v>1178</v>
      </c>
      <c r="R1207" s="124">
        <v>0</v>
      </c>
      <c r="S1207" s="124">
        <v>1</v>
      </c>
      <c r="T1207" s="124">
        <v>0</v>
      </c>
      <c r="U1207" s="121">
        <f t="shared" si="483"/>
        <v>0</v>
      </c>
      <c r="V1207" s="121">
        <f t="shared" si="484"/>
        <v>-738.62359583333398</v>
      </c>
      <c r="W1207" s="121">
        <f t="shared" si="485"/>
        <v>0</v>
      </c>
      <c r="X1207" s="121">
        <f t="shared" si="492"/>
        <v>-738.62359583333398</v>
      </c>
      <c r="Y1207" s="121">
        <f t="shared" si="486"/>
        <v>0</v>
      </c>
      <c r="Z1207" s="121">
        <f t="shared" si="487"/>
        <v>-663.06804</v>
      </c>
      <c r="AA1207" s="121">
        <f t="shared" si="488"/>
        <v>0</v>
      </c>
      <c r="AB1207" s="121">
        <f t="shared" si="493"/>
        <v>-663.06804000000045</v>
      </c>
      <c r="AC1207" s="121">
        <v>-812.06804000000045</v>
      </c>
      <c r="AD1207" s="121">
        <v>-800.23471000000052</v>
      </c>
      <c r="AE1207" s="121">
        <v>-788.40137000000061</v>
      </c>
      <c r="AF1207" s="121">
        <v>-776.56804000000056</v>
      </c>
      <c r="AG1207" s="121">
        <v>-764.06804000000056</v>
      </c>
      <c r="AH1207" s="121">
        <v>-752.06804000000056</v>
      </c>
      <c r="AI1207" s="161">
        <v>-740.06804000000056</v>
      </c>
      <c r="AJ1207" s="161">
        <v>-728.06804000000056</v>
      </c>
      <c r="AK1207" s="161">
        <v>-712.73471000000063</v>
      </c>
      <c r="AL1207" s="161">
        <v>-700.31804</v>
      </c>
      <c r="AM1207" s="161">
        <v>-687.90137000000061</v>
      </c>
      <c r="AN1207" s="161">
        <v>-675.48471000000052</v>
      </c>
      <c r="AO1207" s="161">
        <v>-663.06804000000045</v>
      </c>
      <c r="AP1207" s="125" t="str">
        <f>CONCATENATE(A1207,M1207)</f>
        <v>Def TaxR</v>
      </c>
      <c r="AQ1207" s="125" t="str">
        <f>CONCATENATE(AP1207,L1207,H1207)</f>
        <v>Def TaxRR12ITC</v>
      </c>
      <c r="AS1207" s="125" t="str">
        <f>CONCATENATE(L1207,H1207,J1207)</f>
        <v>R12ITC</v>
      </c>
    </row>
    <row r="1208" spans="1:45" s="125" customFormat="1" ht="25.5" customHeight="1">
      <c r="A1208" s="216" t="s">
        <v>1996</v>
      </c>
      <c r="B1208" s="217" t="str">
        <f t="shared" si="489"/>
        <v>Def Tax2553000-283.40.03BT010109</v>
      </c>
      <c r="C1208" s="186">
        <v>255300</v>
      </c>
      <c r="D1208" s="201" t="s">
        <v>1796</v>
      </c>
      <c r="E1208" s="162" t="s">
        <v>399</v>
      </c>
      <c r="F1208" s="169" t="s">
        <v>2942</v>
      </c>
      <c r="G1208" s="117" t="s">
        <v>677</v>
      </c>
      <c r="H1208" s="118" t="s">
        <v>2269</v>
      </c>
      <c r="I1208" s="119"/>
      <c r="J1208" s="120"/>
      <c r="K1208" s="120" t="str">
        <f t="shared" si="491"/>
        <v/>
      </c>
      <c r="L1208" s="170" t="s">
        <v>928</v>
      </c>
      <c r="M1208" s="122" t="str">
        <f t="shared" si="490"/>
        <v>N</v>
      </c>
      <c r="N1208" s="116" t="str">
        <f>IF($L1208&lt;&gt;"",VLOOKUP($L1208,Categories!$E:$G,2,FALSE),IF($F1208&lt;&gt;"","NO CAT",""))</f>
        <v>Not in Rate Base</v>
      </c>
      <c r="O1208" s="116" t="str">
        <f>IF($L1208&lt;&gt;"",VLOOKUP($L1208,Categories!$E:$G,3,FALSE),IF($F1208&lt;&gt;"","NO CAT",""))</f>
        <v>Direct Assign Items Not in RB</v>
      </c>
      <c r="P1208" s="170" t="s">
        <v>1186</v>
      </c>
      <c r="Q1208" s="123" t="s">
        <v>1187</v>
      </c>
      <c r="R1208" s="124">
        <v>0</v>
      </c>
      <c r="S1208" s="124">
        <v>0</v>
      </c>
      <c r="T1208" s="124">
        <v>1</v>
      </c>
      <c r="U1208" s="121">
        <f t="shared" si="483"/>
        <v>0</v>
      </c>
      <c r="V1208" s="121">
        <f t="shared" si="484"/>
        <v>0</v>
      </c>
      <c r="W1208" s="121">
        <f t="shared" si="485"/>
        <v>-562.02200000000005</v>
      </c>
      <c r="X1208" s="121">
        <f t="shared" si="492"/>
        <v>-562.02200000000005</v>
      </c>
      <c r="Y1208" s="121">
        <f t="shared" si="486"/>
        <v>0</v>
      </c>
      <c r="Z1208" s="121">
        <f t="shared" si="487"/>
        <v>0</v>
      </c>
      <c r="AA1208" s="121">
        <f t="shared" si="488"/>
        <v>-563.23800000000006</v>
      </c>
      <c r="AB1208" s="121">
        <f t="shared" si="493"/>
        <v>-563.23800000000006</v>
      </c>
      <c r="AC1208" s="121">
        <v>-563.23800000000006</v>
      </c>
      <c r="AD1208" s="121">
        <v>-560.80600000000004</v>
      </c>
      <c r="AE1208" s="121">
        <v>-558.37400000000002</v>
      </c>
      <c r="AF1208" s="121">
        <v>-555.94200000000001</v>
      </c>
      <c r="AG1208" s="121">
        <v>-563.23800000000006</v>
      </c>
      <c r="AH1208" s="121">
        <v>-563.23800000000006</v>
      </c>
      <c r="AI1208" s="161">
        <v>-563.23800000000006</v>
      </c>
      <c r="AJ1208" s="161">
        <v>-563.23800000000006</v>
      </c>
      <c r="AK1208" s="161">
        <v>-563.23800000000006</v>
      </c>
      <c r="AL1208" s="161">
        <v>-563.23800000000006</v>
      </c>
      <c r="AM1208" s="161">
        <v>-563.23800000000006</v>
      </c>
      <c r="AN1208" s="161">
        <v>-563.23800000000006</v>
      </c>
      <c r="AO1208" s="161">
        <v>-563.23800000000006</v>
      </c>
      <c r="AP1208" s="125" t="str">
        <f>CONCATENATE(A1208,M1208)</f>
        <v>Def TaxN</v>
      </c>
      <c r="AQ1208" s="125" t="str">
        <f>CONCATENATE(AP1208,L1208,H1208)</f>
        <v>Def TaxNN2ITC</v>
      </c>
      <c r="AS1208" s="125" t="str">
        <f>CONCATENATE(L1208,H1208,J1208)</f>
        <v>N2ITC</v>
      </c>
    </row>
    <row r="1209" spans="1:45" s="125" customFormat="1" ht="25.5" customHeight="1">
      <c r="A1209" s="216" t="s">
        <v>1996</v>
      </c>
      <c r="B1209" s="217" t="str">
        <f t="shared" si="489"/>
        <v>Def Tax2821100-283.11.02BT010253</v>
      </c>
      <c r="C1209" s="186">
        <v>282110</v>
      </c>
      <c r="D1209" s="201" t="s">
        <v>2633</v>
      </c>
      <c r="E1209" s="162" t="s">
        <v>402</v>
      </c>
      <c r="F1209" s="169" t="s">
        <v>2943</v>
      </c>
      <c r="G1209" s="117" t="s">
        <v>2634</v>
      </c>
      <c r="H1209" s="118" t="s">
        <v>1364</v>
      </c>
      <c r="I1209" s="119"/>
      <c r="J1209" s="120"/>
      <c r="K1209" s="120" t="str">
        <f t="shared" si="491"/>
        <v/>
      </c>
      <c r="L1209" s="170" t="s">
        <v>1895</v>
      </c>
      <c r="M1209" s="122" t="str">
        <f t="shared" si="490"/>
        <v>R</v>
      </c>
      <c r="N1209" s="116" t="str">
        <f>IF($L1209&lt;&gt;"",VLOOKUP($L1209,Categories!$E:$G,2,FALSE),IF($F1209&lt;&gt;"","NO CAT",""))</f>
        <v>Rate Base</v>
      </c>
      <c r="O1209" s="116" t="str">
        <f>IF($L1209&lt;&gt;"",VLOOKUP($L1209,Categories!$E:$G,3,FALSE),IF($F1209&lt;&gt;"","NO CAT",""))</f>
        <v>Deferred Income Taxes</v>
      </c>
      <c r="P1209" s="170" t="s">
        <v>1184</v>
      </c>
      <c r="Q1209" s="123" t="s">
        <v>1178</v>
      </c>
      <c r="R1209" s="124">
        <v>0</v>
      </c>
      <c r="S1209" s="124">
        <v>1</v>
      </c>
      <c r="T1209" s="124">
        <v>0</v>
      </c>
      <c r="U1209" s="121">
        <f t="shared" si="483"/>
        <v>0</v>
      </c>
      <c r="V1209" s="121">
        <f t="shared" si="484"/>
        <v>-11.692</v>
      </c>
      <c r="W1209" s="121">
        <f t="shared" si="485"/>
        <v>0</v>
      </c>
      <c r="X1209" s="121">
        <f t="shared" si="492"/>
        <v>-11.692</v>
      </c>
      <c r="Y1209" s="121">
        <f t="shared" si="486"/>
        <v>0</v>
      </c>
      <c r="Z1209" s="121">
        <f t="shared" si="487"/>
        <v>-11.692</v>
      </c>
      <c r="AA1209" s="121">
        <f t="shared" si="488"/>
        <v>0</v>
      </c>
      <c r="AB1209" s="121">
        <f t="shared" si="493"/>
        <v>-11.692</v>
      </c>
      <c r="AC1209" s="121">
        <v>-11.692</v>
      </c>
      <c r="AD1209" s="121">
        <v>-11.692</v>
      </c>
      <c r="AE1209" s="121">
        <v>-11.692</v>
      </c>
      <c r="AF1209" s="121">
        <v>-11.692</v>
      </c>
      <c r="AG1209" s="121">
        <v>-11.692</v>
      </c>
      <c r="AH1209" s="121">
        <v>-11.692</v>
      </c>
      <c r="AI1209" s="161">
        <v>-11.692</v>
      </c>
      <c r="AJ1209" s="161">
        <v>-11.692</v>
      </c>
      <c r="AK1209" s="161">
        <v>-11.692</v>
      </c>
      <c r="AL1209" s="161">
        <v>-11.692</v>
      </c>
      <c r="AM1209" s="161">
        <v>-11.692</v>
      </c>
      <c r="AN1209" s="161">
        <v>-11.692</v>
      </c>
      <c r="AO1209" s="161">
        <v>-11.692</v>
      </c>
      <c r="AP1209" s="125" t="str">
        <f>CONCATENATE(A1209,M1209)</f>
        <v>Def TaxR</v>
      </c>
      <c r="AQ1209" s="125" t="str">
        <f>CONCATENATE(AP1209,L1209,H1209)</f>
        <v>Def TaxRR11Accelerated Depreciation</v>
      </c>
      <c r="AS1209" s="125" t="str">
        <f>CONCATENATE(L1209,H1209,J1209)</f>
        <v>R11Accelerated Depreciation</v>
      </c>
    </row>
    <row r="1210" spans="1:45" s="125" customFormat="1" ht="25.5" customHeight="1">
      <c r="A1210" s="216" t="s">
        <v>1996</v>
      </c>
      <c r="B1210" s="217" t="str">
        <f t="shared" si="489"/>
        <v>Def Tax2821100-283.20.44BT010032</v>
      </c>
      <c r="C1210" s="186">
        <v>282110</v>
      </c>
      <c r="D1210" s="201" t="s">
        <v>2713</v>
      </c>
      <c r="E1210" s="162" t="s">
        <v>400</v>
      </c>
      <c r="F1210" s="169" t="s">
        <v>2943</v>
      </c>
      <c r="G1210" s="117" t="s">
        <v>926</v>
      </c>
      <c r="H1210" s="118" t="s">
        <v>1364</v>
      </c>
      <c r="I1210" s="119"/>
      <c r="J1210" s="120"/>
      <c r="K1210" s="120" t="str">
        <f t="shared" si="491"/>
        <v/>
      </c>
      <c r="L1210" s="170" t="s">
        <v>1895</v>
      </c>
      <c r="M1210" s="122" t="str">
        <f t="shared" si="490"/>
        <v>R</v>
      </c>
      <c r="N1210" s="116" t="str">
        <f>IF($L1210&lt;&gt;"",VLOOKUP($L1210,Categories!$E:$G,2,FALSE),IF($F1210&lt;&gt;"","NO CAT",""))</f>
        <v>Rate Base</v>
      </c>
      <c r="O1210" s="116" t="str">
        <f>IF($L1210&lt;&gt;"",VLOOKUP($L1210,Categories!$E:$G,3,FALSE),IF($F1210&lt;&gt;"","NO CAT",""))</f>
        <v>Deferred Income Taxes</v>
      </c>
      <c r="P1210" s="170" t="s">
        <v>1183</v>
      </c>
      <c r="Q1210" s="123" t="s">
        <v>1177</v>
      </c>
      <c r="R1210" s="124">
        <v>1</v>
      </c>
      <c r="S1210" s="124">
        <v>0</v>
      </c>
      <c r="T1210" s="124">
        <v>0</v>
      </c>
      <c r="U1210" s="121">
        <f t="shared" si="483"/>
        <v>-147.04676000000001</v>
      </c>
      <c r="V1210" s="121">
        <f t="shared" si="484"/>
        <v>0</v>
      </c>
      <c r="W1210" s="121">
        <f t="shared" si="485"/>
        <v>0</v>
      </c>
      <c r="X1210" s="121">
        <f t="shared" si="492"/>
        <v>-147.04676000000001</v>
      </c>
      <c r="Y1210" s="121">
        <f t="shared" si="486"/>
        <v>-132.87476000000001</v>
      </c>
      <c r="Z1210" s="121">
        <f t="shared" si="487"/>
        <v>0</v>
      </c>
      <c r="AA1210" s="121">
        <f t="shared" si="488"/>
        <v>0</v>
      </c>
      <c r="AB1210" s="121">
        <f t="shared" si="493"/>
        <v>-132.87476000000001</v>
      </c>
      <c r="AC1210" s="121">
        <v>-161.21876</v>
      </c>
      <c r="AD1210" s="121">
        <v>-158.85676000000001</v>
      </c>
      <c r="AE1210" s="121">
        <v>-156.49476000000001</v>
      </c>
      <c r="AF1210" s="121">
        <v>-154.13276000000002</v>
      </c>
      <c r="AG1210" s="121">
        <v>-151.77076</v>
      </c>
      <c r="AH1210" s="121">
        <v>-149.40876</v>
      </c>
      <c r="AI1210" s="161">
        <v>-147.04676000000001</v>
      </c>
      <c r="AJ1210" s="161">
        <v>-144.68476000000001</v>
      </c>
      <c r="AK1210" s="161">
        <v>-142.32276000000002</v>
      </c>
      <c r="AL1210" s="161">
        <v>-139.96076000000002</v>
      </c>
      <c r="AM1210" s="161">
        <v>-137.59876</v>
      </c>
      <c r="AN1210" s="161">
        <v>-135.23676</v>
      </c>
      <c r="AO1210" s="161">
        <v>-132.87476000000001</v>
      </c>
      <c r="AP1210" s="125" t="str">
        <f>CONCATENATE(A1210,M1210)</f>
        <v>Def TaxR</v>
      </c>
      <c r="AQ1210" s="125" t="str">
        <f>CONCATENATE(AP1210,L1210,H1210)</f>
        <v>Def TaxRR11Accelerated Depreciation</v>
      </c>
      <c r="AS1210" s="125" t="str">
        <f>CONCATENATE(L1210,H1210,J1210)</f>
        <v>R11Accelerated Depreciation</v>
      </c>
    </row>
    <row r="1211" spans="1:45" s="125" customFormat="1" ht="25.5" customHeight="1">
      <c r="A1211" s="216" t="s">
        <v>1996</v>
      </c>
      <c r="B1211" s="217" t="str">
        <f t="shared" si="489"/>
        <v>Def Tax2821100-282.11.17BT010238</v>
      </c>
      <c r="C1211" s="186">
        <v>282110</v>
      </c>
      <c r="D1211" s="201" t="s">
        <v>2631</v>
      </c>
      <c r="E1211" s="162" t="s">
        <v>401</v>
      </c>
      <c r="F1211" s="169" t="s">
        <v>2943</v>
      </c>
      <c r="G1211" s="117" t="s">
        <v>2632</v>
      </c>
      <c r="H1211" s="118" t="s">
        <v>1364</v>
      </c>
      <c r="I1211" s="119"/>
      <c r="J1211" s="120"/>
      <c r="K1211" s="120" t="str">
        <f t="shared" si="491"/>
        <v/>
      </c>
      <c r="L1211" s="170" t="s">
        <v>928</v>
      </c>
      <c r="M1211" s="122" t="str">
        <f t="shared" si="490"/>
        <v>N</v>
      </c>
      <c r="N1211" s="116" t="str">
        <f>IF($L1211&lt;&gt;"",VLOOKUP($L1211,Categories!$E:$G,2,FALSE),IF($F1211&lt;&gt;"","NO CAT",""))</f>
        <v>Not in Rate Base</v>
      </c>
      <c r="O1211" s="116" t="str">
        <f>IF($L1211&lt;&gt;"",VLOOKUP($L1211,Categories!$E:$G,3,FALSE),IF($F1211&lt;&gt;"","NO CAT",""))</f>
        <v>Direct Assign Items Not in RB</v>
      </c>
      <c r="P1211" s="170" t="s">
        <v>1186</v>
      </c>
      <c r="Q1211" s="123" t="s">
        <v>1187</v>
      </c>
      <c r="R1211" s="124">
        <v>0</v>
      </c>
      <c r="S1211" s="124">
        <v>0</v>
      </c>
      <c r="T1211" s="124">
        <v>1</v>
      </c>
      <c r="U1211" s="121">
        <f t="shared" si="483"/>
        <v>0</v>
      </c>
      <c r="V1211" s="121">
        <f t="shared" si="484"/>
        <v>0</v>
      </c>
      <c r="W1211" s="121">
        <f t="shared" si="485"/>
        <v>6.62</v>
      </c>
      <c r="X1211" s="121">
        <f t="shared" si="492"/>
        <v>6.62</v>
      </c>
      <c r="Y1211" s="121">
        <f t="shared" si="486"/>
        <v>0</v>
      </c>
      <c r="Z1211" s="121">
        <f t="shared" si="487"/>
        <v>0</v>
      </c>
      <c r="AA1211" s="121">
        <f t="shared" si="488"/>
        <v>6.62</v>
      </c>
      <c r="AB1211" s="121">
        <f t="shared" si="493"/>
        <v>6.62</v>
      </c>
      <c r="AC1211" s="121">
        <v>6.62</v>
      </c>
      <c r="AD1211" s="121">
        <v>6.62</v>
      </c>
      <c r="AE1211" s="121">
        <v>6.62</v>
      </c>
      <c r="AF1211" s="121">
        <v>6.62</v>
      </c>
      <c r="AG1211" s="121">
        <v>6.62</v>
      </c>
      <c r="AH1211" s="121">
        <v>6.62</v>
      </c>
      <c r="AI1211" s="161">
        <v>6.62</v>
      </c>
      <c r="AJ1211" s="161">
        <v>6.62</v>
      </c>
      <c r="AK1211" s="161">
        <v>6.62</v>
      </c>
      <c r="AL1211" s="161">
        <v>6.62</v>
      </c>
      <c r="AM1211" s="161">
        <v>6.62</v>
      </c>
      <c r="AN1211" s="161">
        <v>6.62</v>
      </c>
      <c r="AO1211" s="161">
        <v>6.62</v>
      </c>
      <c r="AP1211" s="125" t="str">
        <f>CONCATENATE(A1211,M1211)</f>
        <v>Def TaxN</v>
      </c>
      <c r="AQ1211" s="125" t="str">
        <f>CONCATENATE(AP1211,L1211,H1211)</f>
        <v>Def TaxNN2Accelerated Depreciation</v>
      </c>
      <c r="AS1211" s="125" t="str">
        <f>CONCATENATE(L1211,H1211,J1211)</f>
        <v>N2Accelerated Depreciation</v>
      </c>
    </row>
    <row r="1212" spans="1:45" s="125" customFormat="1" ht="25.5" customHeight="1">
      <c r="A1212" s="216" t="s">
        <v>1996</v>
      </c>
      <c r="B1212" s="217" t="str">
        <f t="shared" si="489"/>
        <v>Def Tax282161SFAS-109FAS109</v>
      </c>
      <c r="C1212" s="186">
        <v>282161</v>
      </c>
      <c r="D1212" s="201" t="s">
        <v>1149</v>
      </c>
      <c r="E1212" s="162" t="s">
        <v>4707</v>
      </c>
      <c r="F1212" s="169" t="s">
        <v>2693</v>
      </c>
      <c r="G1212" s="117" t="s">
        <v>2693</v>
      </c>
      <c r="H1212" s="118" t="s">
        <v>1149</v>
      </c>
      <c r="I1212" s="119"/>
      <c r="J1212" s="120"/>
      <c r="K1212" s="120" t="str">
        <f t="shared" si="491"/>
        <v>SFAS-109</v>
      </c>
      <c r="L1212" s="170" t="s">
        <v>930</v>
      </c>
      <c r="M1212" s="122" t="str">
        <f t="shared" si="490"/>
        <v>N</v>
      </c>
      <c r="N1212" s="116" t="str">
        <f>IF($L1212&lt;&gt;"",VLOOKUP($L1212,Categories!$E:$G,2,FALSE),IF($F1212&lt;&gt;"","NO CAT",""))</f>
        <v>Not in Rate Base</v>
      </c>
      <c r="O1212" s="116" t="str">
        <f>IF($L1212&lt;&gt;"",VLOOKUP($L1212,Categories!$E:$G,3,FALSE),IF($F1212&lt;&gt;"","NO CAT",""))</f>
        <v>SFAS-109   (offsetting)</v>
      </c>
      <c r="P1212" s="170" t="s">
        <v>1186</v>
      </c>
      <c r="Q1212" s="123" t="s">
        <v>1187</v>
      </c>
      <c r="R1212" s="124">
        <v>0</v>
      </c>
      <c r="S1212" s="124">
        <v>0</v>
      </c>
      <c r="T1212" s="124">
        <v>1</v>
      </c>
      <c r="U1212" s="121">
        <f t="shared" si="483"/>
        <v>0</v>
      </c>
      <c r="V1212" s="121">
        <f t="shared" si="484"/>
        <v>0</v>
      </c>
      <c r="W1212" s="121">
        <f t="shared" si="485"/>
        <v>-59539.938349583303</v>
      </c>
      <c r="X1212" s="121">
        <f t="shared" si="492"/>
        <v>-59539.938349583303</v>
      </c>
      <c r="Y1212" s="121">
        <f t="shared" si="486"/>
        <v>0</v>
      </c>
      <c r="Z1212" s="121">
        <f t="shared" si="487"/>
        <v>0</v>
      </c>
      <c r="AA1212" s="121">
        <f t="shared" si="488"/>
        <v>-51097.481189999999</v>
      </c>
      <c r="AB1212" s="121">
        <f t="shared" si="493"/>
        <v>-51097.481189999977</v>
      </c>
      <c r="AC1212" s="121">
        <v>-62970.656239999968</v>
      </c>
      <c r="AD1212" s="121">
        <v>-61838.313560000002</v>
      </c>
      <c r="AE1212" s="121">
        <v>-60771.377009999967</v>
      </c>
      <c r="AF1212" s="121">
        <v>-59608.550580000003</v>
      </c>
      <c r="AG1212" s="121">
        <v>-61383.282669999971</v>
      </c>
      <c r="AH1212" s="121">
        <v>-60961.407279999999</v>
      </c>
      <c r="AI1212" s="161">
        <v>-60494.032779999972</v>
      </c>
      <c r="AJ1212" s="161">
        <v>-60087.780379999975</v>
      </c>
      <c r="AK1212" s="161">
        <v>-59693.120089999975</v>
      </c>
      <c r="AL1212" s="161">
        <v>-59451.176289999974</v>
      </c>
      <c r="AM1212" s="161">
        <v>-59122.394439999975</v>
      </c>
      <c r="AN1212" s="161">
        <v>-54033.756399999977</v>
      </c>
      <c r="AO1212" s="161">
        <v>-51097.481189999977</v>
      </c>
      <c r="AP1212" s="125" t="str">
        <f>CONCATENATE(A1212,M1212)</f>
        <v>Def TaxN</v>
      </c>
      <c r="AQ1212" s="125" t="str">
        <f>CONCATENATE(AP1212,L1212,H1212)</f>
        <v>Def TaxNN3SFAS-109</v>
      </c>
      <c r="AS1212" s="125" t="str">
        <f>CONCATENATE(L1212,H1212,J1212)</f>
        <v>N3SFAS-109</v>
      </c>
    </row>
    <row r="1213" spans="1:45" s="125" customFormat="1" ht="25.5" customHeight="1">
      <c r="A1213" s="216" t="s">
        <v>1996</v>
      </c>
      <c r="B1213" s="217" t="str">
        <f t="shared" si="489"/>
        <v>Def Tax282162SFAS-109FAS109</v>
      </c>
      <c r="C1213" s="186">
        <v>282162</v>
      </c>
      <c r="D1213" s="201" t="s">
        <v>1149</v>
      </c>
      <c r="E1213" s="162" t="s">
        <v>4707</v>
      </c>
      <c r="F1213" s="169" t="s">
        <v>876</v>
      </c>
      <c r="G1213" s="117" t="s">
        <v>876</v>
      </c>
      <c r="H1213" s="118" t="s">
        <v>1149</v>
      </c>
      <c r="I1213" s="119"/>
      <c r="J1213" s="120"/>
      <c r="K1213" s="120" t="str">
        <f t="shared" si="491"/>
        <v>SFAS-109</v>
      </c>
      <c r="L1213" s="170" t="s">
        <v>930</v>
      </c>
      <c r="M1213" s="122" t="str">
        <f t="shared" si="490"/>
        <v>N</v>
      </c>
      <c r="N1213" s="116" t="str">
        <f>IF($L1213&lt;&gt;"",VLOOKUP($L1213,Categories!$E:$G,2,FALSE),IF($F1213&lt;&gt;"","NO CAT",""))</f>
        <v>Not in Rate Base</v>
      </c>
      <c r="O1213" s="116" t="str">
        <f>IF($L1213&lt;&gt;"",VLOOKUP($L1213,Categories!$E:$G,3,FALSE),IF($F1213&lt;&gt;"","NO CAT",""))</f>
        <v>SFAS-109   (offsetting)</v>
      </c>
      <c r="P1213" s="170" t="s">
        <v>1186</v>
      </c>
      <c r="Q1213" s="123" t="s">
        <v>1187</v>
      </c>
      <c r="R1213" s="124">
        <v>0</v>
      </c>
      <c r="S1213" s="124">
        <v>0</v>
      </c>
      <c r="T1213" s="124">
        <v>1</v>
      </c>
      <c r="U1213" s="121">
        <f t="shared" si="483"/>
        <v>0</v>
      </c>
      <c r="V1213" s="121">
        <f t="shared" si="484"/>
        <v>0</v>
      </c>
      <c r="W1213" s="121">
        <f t="shared" si="485"/>
        <v>51135.671820416697</v>
      </c>
      <c r="X1213" s="121">
        <f t="shared" si="492"/>
        <v>51135.671820416697</v>
      </c>
      <c r="Y1213" s="121">
        <f t="shared" si="486"/>
        <v>0</v>
      </c>
      <c r="Z1213" s="121">
        <f t="shared" si="487"/>
        <v>0</v>
      </c>
      <c r="AA1213" s="121">
        <f t="shared" si="488"/>
        <v>47294.587699999996</v>
      </c>
      <c r="AB1213" s="121">
        <f t="shared" si="493"/>
        <v>47294.587699999996</v>
      </c>
      <c r="AC1213" s="121">
        <v>49420.951150000008</v>
      </c>
      <c r="AD1213" s="121">
        <v>49907.651359999996</v>
      </c>
      <c r="AE1213" s="121">
        <v>50472.936890000004</v>
      </c>
      <c r="AF1213" s="121">
        <v>50981.046419999999</v>
      </c>
      <c r="AG1213" s="121">
        <v>50686.612260000016</v>
      </c>
      <c r="AH1213" s="121">
        <v>50987.167240000002</v>
      </c>
      <c r="AI1213" s="161">
        <v>51289.787720000008</v>
      </c>
      <c r="AJ1213" s="161">
        <v>51589.407120000003</v>
      </c>
      <c r="AK1213" s="161">
        <v>51897.196170000003</v>
      </c>
      <c r="AL1213" s="161">
        <v>52190.718329999996</v>
      </c>
      <c r="AM1213" s="161">
        <v>52487.325519999999</v>
      </c>
      <c r="AN1213" s="161">
        <v>52780.443389999993</v>
      </c>
      <c r="AO1213" s="161">
        <v>47294.587699999996</v>
      </c>
      <c r="AP1213" s="125" t="str">
        <f>CONCATENATE(A1213,M1213)</f>
        <v>Def TaxN</v>
      </c>
      <c r="AQ1213" s="125" t="str">
        <f>CONCATENATE(AP1213,L1213,H1213)</f>
        <v>Def TaxNN3SFAS-109</v>
      </c>
      <c r="AS1213" s="125" t="str">
        <f>CONCATENATE(L1213,H1213,J1213)</f>
        <v>N3SFAS-109</v>
      </c>
    </row>
    <row r="1214" spans="1:45" s="125" customFormat="1" ht="25.5" customHeight="1">
      <c r="A1214" s="216" t="s">
        <v>1996</v>
      </c>
      <c r="B1214" s="217" t="str">
        <f t="shared" si="489"/>
        <v>Def Tax282171SFAS-109FAS109</v>
      </c>
      <c r="C1214" s="186">
        <v>282171</v>
      </c>
      <c r="D1214" s="201" t="s">
        <v>1149</v>
      </c>
      <c r="E1214" s="162" t="s">
        <v>4707</v>
      </c>
      <c r="F1214" s="169" t="s">
        <v>877</v>
      </c>
      <c r="G1214" s="117" t="s">
        <v>877</v>
      </c>
      <c r="H1214" s="118" t="s">
        <v>1149</v>
      </c>
      <c r="I1214" s="119"/>
      <c r="J1214" s="120"/>
      <c r="K1214" s="120" t="str">
        <f t="shared" si="491"/>
        <v>SFAS-109</v>
      </c>
      <c r="L1214" s="170" t="s">
        <v>930</v>
      </c>
      <c r="M1214" s="122" t="str">
        <f t="shared" si="490"/>
        <v>N</v>
      </c>
      <c r="N1214" s="116" t="str">
        <f>IF($L1214&lt;&gt;"",VLOOKUP($L1214,Categories!$E:$G,2,FALSE),IF($F1214&lt;&gt;"","NO CAT",""))</f>
        <v>Not in Rate Base</v>
      </c>
      <c r="O1214" s="116" t="str">
        <f>IF($L1214&lt;&gt;"",VLOOKUP($L1214,Categories!$E:$G,3,FALSE),IF($F1214&lt;&gt;"","NO CAT",""))</f>
        <v>SFAS-109   (offsetting)</v>
      </c>
      <c r="P1214" s="170" t="s">
        <v>1186</v>
      </c>
      <c r="Q1214" s="123" t="s">
        <v>1187</v>
      </c>
      <c r="R1214" s="124">
        <v>0</v>
      </c>
      <c r="S1214" s="124">
        <v>0</v>
      </c>
      <c r="T1214" s="124">
        <v>1</v>
      </c>
      <c r="U1214" s="121">
        <f t="shared" si="483"/>
        <v>0</v>
      </c>
      <c r="V1214" s="121">
        <f t="shared" si="484"/>
        <v>0</v>
      </c>
      <c r="W1214" s="121">
        <f t="shared" si="485"/>
        <v>-8426.5452620833294</v>
      </c>
      <c r="X1214" s="121">
        <f t="shared" si="492"/>
        <v>-8426.5452620833294</v>
      </c>
      <c r="Y1214" s="121">
        <f t="shared" si="486"/>
        <v>0</v>
      </c>
      <c r="Z1214" s="121">
        <f t="shared" si="487"/>
        <v>0</v>
      </c>
      <c r="AA1214" s="121">
        <f t="shared" si="488"/>
        <v>-10246.19389</v>
      </c>
      <c r="AB1214" s="121">
        <f t="shared" si="493"/>
        <v>-10246.193889999999</v>
      </c>
      <c r="AC1214" s="121">
        <v>-6727.7186199999978</v>
      </c>
      <c r="AD1214" s="121">
        <v>-6986.9812999999995</v>
      </c>
      <c r="AE1214" s="121">
        <v>-7243.6587999999983</v>
      </c>
      <c r="AF1214" s="121">
        <v>-7496.2929400000003</v>
      </c>
      <c r="AG1214" s="121">
        <v>-7836.2874799999972</v>
      </c>
      <c r="AH1214" s="121">
        <v>-8109.1889099999999</v>
      </c>
      <c r="AI1214" s="161">
        <v>-8379.4964699999964</v>
      </c>
      <c r="AJ1214" s="161">
        <v>-8664.4883599999976</v>
      </c>
      <c r="AK1214" s="161">
        <v>-8952.4134999999987</v>
      </c>
      <c r="AL1214" s="161">
        <v>-9360.0989799999988</v>
      </c>
      <c r="AM1214" s="161">
        <v>-9652.2390599999981</v>
      </c>
      <c r="AN1214" s="161">
        <v>-9950.4410899999984</v>
      </c>
      <c r="AO1214" s="161">
        <v>-10246.193889999999</v>
      </c>
      <c r="AP1214" s="125" t="str">
        <f>CONCATENATE(A1214,M1214)</f>
        <v>Def TaxN</v>
      </c>
      <c r="AQ1214" s="125" t="str">
        <f>CONCATENATE(AP1214,L1214,H1214)</f>
        <v>Def TaxNN3SFAS-109</v>
      </c>
      <c r="AS1214" s="125" t="str">
        <f>CONCATENATE(L1214,H1214,J1214)</f>
        <v>N3SFAS-109</v>
      </c>
    </row>
    <row r="1215" spans="1:45" s="125" customFormat="1" ht="25.5" customHeight="1">
      <c r="A1215" s="216" t="s">
        <v>1996</v>
      </c>
      <c r="B1215" s="217" t="str">
        <f t="shared" si="489"/>
        <v>Def Tax282172SFAS-109FAS109</v>
      </c>
      <c r="C1215" s="186">
        <v>282172</v>
      </c>
      <c r="D1215" s="201" t="s">
        <v>1149</v>
      </c>
      <c r="E1215" s="162" t="s">
        <v>4707</v>
      </c>
      <c r="F1215" s="169" t="s">
        <v>878</v>
      </c>
      <c r="G1215" s="117" t="s">
        <v>878</v>
      </c>
      <c r="H1215" s="118" t="s">
        <v>1149</v>
      </c>
      <c r="I1215" s="119"/>
      <c r="J1215" s="120"/>
      <c r="K1215" s="120" t="str">
        <f t="shared" si="491"/>
        <v>SFAS-109</v>
      </c>
      <c r="L1215" s="170" t="s">
        <v>930</v>
      </c>
      <c r="M1215" s="122" t="str">
        <f t="shared" si="490"/>
        <v>N</v>
      </c>
      <c r="N1215" s="116" t="str">
        <f>IF($L1215&lt;&gt;"",VLOOKUP($L1215,Categories!$E:$G,2,FALSE),IF($F1215&lt;&gt;"","NO CAT",""))</f>
        <v>Not in Rate Base</v>
      </c>
      <c r="O1215" s="116" t="str">
        <f>IF($L1215&lt;&gt;"",VLOOKUP($L1215,Categories!$E:$G,3,FALSE),IF($F1215&lt;&gt;"","NO CAT",""))</f>
        <v>SFAS-109   (offsetting)</v>
      </c>
      <c r="P1215" s="170" t="s">
        <v>1186</v>
      </c>
      <c r="Q1215" s="123" t="s">
        <v>1187</v>
      </c>
      <c r="R1215" s="124">
        <v>0</v>
      </c>
      <c r="S1215" s="124">
        <v>0</v>
      </c>
      <c r="T1215" s="124">
        <v>1</v>
      </c>
      <c r="U1215" s="121">
        <f t="shared" si="483"/>
        <v>0</v>
      </c>
      <c r="V1215" s="121">
        <f t="shared" si="484"/>
        <v>0</v>
      </c>
      <c r="W1215" s="121">
        <f t="shared" si="485"/>
        <v>3102.4906191666701</v>
      </c>
      <c r="X1215" s="121">
        <f t="shared" si="492"/>
        <v>3102.4906191666701</v>
      </c>
      <c r="Y1215" s="121">
        <f t="shared" si="486"/>
        <v>0</v>
      </c>
      <c r="Z1215" s="121">
        <f t="shared" si="487"/>
        <v>0</v>
      </c>
      <c r="AA1215" s="121">
        <f t="shared" si="488"/>
        <v>2769.05375</v>
      </c>
      <c r="AB1215" s="121">
        <f t="shared" si="493"/>
        <v>2769.0537500000014</v>
      </c>
      <c r="AC1215" s="121">
        <v>3427.9729500000017</v>
      </c>
      <c r="AD1215" s="121">
        <v>3375.5782899999999</v>
      </c>
      <c r="AE1215" s="121">
        <v>3323.9764900000018</v>
      </c>
      <c r="AF1215" s="121">
        <v>3273.2789299999999</v>
      </c>
      <c r="AG1215" s="121">
        <v>3211.8370300000015</v>
      </c>
      <c r="AH1215" s="121">
        <v>3157.8013299999998</v>
      </c>
      <c r="AI1215" s="161">
        <v>3102.6801700000015</v>
      </c>
      <c r="AJ1215" s="161">
        <v>3046.4894600000011</v>
      </c>
      <c r="AK1215" s="161">
        <v>2989.7706500000013</v>
      </c>
      <c r="AL1215" s="161">
        <v>2940.7373300000013</v>
      </c>
      <c r="AM1215" s="161">
        <v>2883.4513400000014</v>
      </c>
      <c r="AN1215" s="161">
        <v>2825.7730600000014</v>
      </c>
      <c r="AO1215" s="161">
        <v>2769.0537500000014</v>
      </c>
      <c r="AP1215" s="125" t="str">
        <f>CONCATENATE(A1215,M1215)</f>
        <v>Def TaxN</v>
      </c>
      <c r="AQ1215" s="125" t="str">
        <f>CONCATENATE(AP1215,L1215,H1215)</f>
        <v>Def TaxNN3SFAS-109</v>
      </c>
      <c r="AS1215" s="125" t="str">
        <f>CONCATENATE(L1215,H1215,J1215)</f>
        <v>N3SFAS-109</v>
      </c>
    </row>
    <row r="1216" spans="1:45" s="125" customFormat="1" ht="25.5" customHeight="1">
      <c r="A1216" s="216" t="s">
        <v>1996</v>
      </c>
      <c r="B1216" s="217" t="str">
        <f t="shared" si="489"/>
        <v>Def Tax282200AROBT010351</v>
      </c>
      <c r="C1216" s="186">
        <v>282200</v>
      </c>
      <c r="D1216" s="201" t="s">
        <v>993</v>
      </c>
      <c r="E1216" s="162" t="s">
        <v>70</v>
      </c>
      <c r="F1216" s="169" t="s">
        <v>2944</v>
      </c>
      <c r="G1216" s="117" t="s">
        <v>69</v>
      </c>
      <c r="H1216" s="118" t="s">
        <v>972</v>
      </c>
      <c r="I1216" s="119"/>
      <c r="J1216" s="120"/>
      <c r="K1216" s="120" t="str">
        <f t="shared" si="491"/>
        <v/>
      </c>
      <c r="L1216" s="170" t="s">
        <v>928</v>
      </c>
      <c r="M1216" s="122" t="str">
        <f t="shared" si="490"/>
        <v>N</v>
      </c>
      <c r="N1216" s="116" t="str">
        <f>IF($L1216&lt;&gt;"",VLOOKUP($L1216,Categories!$E:$G,2,FALSE),IF($F1216&lt;&gt;"","NO CAT",""))</f>
        <v>Not in Rate Base</v>
      </c>
      <c r="O1216" s="116" t="str">
        <f>IF($L1216&lt;&gt;"",VLOOKUP($L1216,Categories!$E:$G,3,FALSE),IF($F1216&lt;&gt;"","NO CAT",""))</f>
        <v>Direct Assign Items Not in RB</v>
      </c>
      <c r="P1216" s="170" t="s">
        <v>1186</v>
      </c>
      <c r="Q1216" s="123" t="s">
        <v>1187</v>
      </c>
      <c r="R1216" s="124">
        <v>0</v>
      </c>
      <c r="S1216" s="124">
        <v>0</v>
      </c>
      <c r="T1216" s="124">
        <v>1</v>
      </c>
      <c r="U1216" s="121">
        <f t="shared" si="483"/>
        <v>0</v>
      </c>
      <c r="V1216" s="121">
        <f t="shared" si="484"/>
        <v>0</v>
      </c>
      <c r="W1216" s="121">
        <f t="shared" si="485"/>
        <v>-287.891405416667</v>
      </c>
      <c r="X1216" s="121">
        <f t="shared" si="492"/>
        <v>-287.891405416667</v>
      </c>
      <c r="Y1216" s="121">
        <f t="shared" si="486"/>
        <v>0</v>
      </c>
      <c r="Z1216" s="121">
        <f t="shared" si="487"/>
        <v>0</v>
      </c>
      <c r="AA1216" s="121">
        <f t="shared" si="488"/>
        <v>-282.57851000000102</v>
      </c>
      <c r="AB1216" s="121">
        <f t="shared" si="493"/>
        <v>-282.57851000000079</v>
      </c>
      <c r="AC1216" s="121">
        <v>-293.20430000000056</v>
      </c>
      <c r="AD1216" s="121">
        <v>-292.31882000000058</v>
      </c>
      <c r="AE1216" s="121">
        <v>-291.43333000000058</v>
      </c>
      <c r="AF1216" s="121">
        <v>-290.54785000000061</v>
      </c>
      <c r="AG1216" s="121">
        <v>-289.66237000000064</v>
      </c>
      <c r="AH1216" s="121">
        <v>-288.77689000000066</v>
      </c>
      <c r="AI1216" s="161">
        <v>-287.89141000000069</v>
      </c>
      <c r="AJ1216" s="161">
        <v>-287.00593000000072</v>
      </c>
      <c r="AK1216" s="161">
        <v>-286.12044000000071</v>
      </c>
      <c r="AL1216" s="161">
        <v>-285.23496000000074</v>
      </c>
      <c r="AM1216" s="161">
        <v>-284.34947000000074</v>
      </c>
      <c r="AN1216" s="161">
        <v>-283.46399000000076</v>
      </c>
      <c r="AO1216" s="161">
        <v>-282.57851000000079</v>
      </c>
      <c r="AP1216" s="125" t="str">
        <f>CONCATENATE(A1216,M1216)</f>
        <v>Def TaxN</v>
      </c>
      <c r="AQ1216" s="125" t="str">
        <f>CONCATENATE(AP1216,L1216,H1216)</f>
        <v>Def TaxNN2Asset Retirement Obligation</v>
      </c>
      <c r="AS1216" s="125" t="str">
        <f>CONCATENATE(L1216,H1216,J1216)</f>
        <v>N2Asset Retirement Obligation</v>
      </c>
    </row>
    <row r="1217" spans="1:45" s="125" customFormat="1" ht="25.5" customHeight="1">
      <c r="A1217" s="216" t="s">
        <v>1996</v>
      </c>
      <c r="B1217" s="217" t="str">
        <f t="shared" ref="B1217:B1235" si="494">CONCATENATE(A1217,C1217,D1217,E1217)</f>
        <v>Def Tax282200R&amp;D CreditBT010177</v>
      </c>
      <c r="C1217" s="186">
        <v>282200</v>
      </c>
      <c r="D1217" s="201" t="s">
        <v>1467</v>
      </c>
      <c r="E1217" s="162" t="s">
        <v>398</v>
      </c>
      <c r="F1217" s="169" t="s">
        <v>2944</v>
      </c>
      <c r="G1217" s="117" t="s">
        <v>4499</v>
      </c>
      <c r="H1217" s="118" t="s">
        <v>341</v>
      </c>
      <c r="I1217" s="119"/>
      <c r="J1217" s="120"/>
      <c r="K1217" s="120" t="str">
        <f t="shared" si="491"/>
        <v/>
      </c>
      <c r="L1217" s="170" t="s">
        <v>1895</v>
      </c>
      <c r="M1217" s="122" t="str">
        <f t="shared" ref="M1217:M1238" si="495">LEFT(L1217,1)</f>
        <v>R</v>
      </c>
      <c r="N1217" s="116" t="str">
        <f>IF($L1217&lt;&gt;"",VLOOKUP($L1217,Categories!$E:$G,2,FALSE),IF($F1217&lt;&gt;"","NO CAT",""))</f>
        <v>Rate Base</v>
      </c>
      <c r="O1217" s="116" t="str">
        <f>IF($L1217&lt;&gt;"",VLOOKUP($L1217,Categories!$E:$G,3,FALSE),IF($F1217&lt;&gt;"","NO CAT",""))</f>
        <v>Deferred Income Taxes</v>
      </c>
      <c r="P1217" s="170" t="s">
        <v>1183</v>
      </c>
      <c r="Q1217" s="123" t="s">
        <v>1177</v>
      </c>
      <c r="R1217" s="124">
        <v>1</v>
      </c>
      <c r="S1217" s="124">
        <v>0</v>
      </c>
      <c r="T1217" s="124">
        <v>0</v>
      </c>
      <c r="U1217" s="121">
        <f t="shared" ref="U1217:U1237" si="496">IF(ABS(X1217)=0,"",IF($R1217="NO ALLOC","NO ALLOC",ROUND($R1217*X1217,15)))</f>
        <v>981.72910666666598</v>
      </c>
      <c r="V1217" s="121">
        <f t="shared" ref="V1217:V1237" si="497">IF(ABS(X1217)=0,"",IF($S1217="NO ALLOC","NO ALLOC",ROUND($S1217*X1217,15)))</f>
        <v>0</v>
      </c>
      <c r="W1217" s="121">
        <f t="shared" ref="W1217:W1237" si="498">IF(ABS(X1217)=0,"",IF($T1217="NO ALLOC","NO ALLOC",ROUND($T1217*X1217,15)))</f>
        <v>0</v>
      </c>
      <c r="X1217" s="121">
        <f t="shared" si="492"/>
        <v>981.72910666666598</v>
      </c>
      <c r="Y1217" s="121">
        <f t="shared" ref="Y1217:Y1237" si="499">IF(ABS(AB1217)=0,"",IF($R1217="NO ALLOC","NO ALLOC",ROUND($R1217*AB1217,15)))</f>
        <v>967.90406999999902</v>
      </c>
      <c r="Z1217" s="121">
        <f t="shared" ref="Z1217:Z1237" si="500">IF(ABS(AB1217)=0,"",IF($S1217="NO ALLOC","NO ALLOC",ROUND($S1217*AB1217,15)))</f>
        <v>0</v>
      </c>
      <c r="AA1217" s="121">
        <f t="shared" ref="AA1217:AA1237" si="501">IF(ABS(AB1217)=0,"",IF($T1217="NO ALLOC","NO ALLOC",ROUND($T1217*AB1217,15)))</f>
        <v>0</v>
      </c>
      <c r="AB1217" s="121">
        <f t="shared" si="493"/>
        <v>967.90406999999936</v>
      </c>
      <c r="AC1217" s="121">
        <v>995.55406999999968</v>
      </c>
      <c r="AD1217" s="121">
        <v>993.24990999999966</v>
      </c>
      <c r="AE1217" s="121">
        <v>990.94574999999963</v>
      </c>
      <c r="AF1217" s="121">
        <v>988.64158999999961</v>
      </c>
      <c r="AG1217" s="121">
        <v>986.33742999999959</v>
      </c>
      <c r="AH1217" s="121">
        <v>984.03326999999956</v>
      </c>
      <c r="AI1217" s="161">
        <v>981.72910999999954</v>
      </c>
      <c r="AJ1217" s="161">
        <v>979.42494999999951</v>
      </c>
      <c r="AK1217" s="161">
        <v>977.12078999999949</v>
      </c>
      <c r="AL1217" s="161">
        <v>974.81662999999946</v>
      </c>
      <c r="AM1217" s="161">
        <v>972.51246999999944</v>
      </c>
      <c r="AN1217" s="161">
        <v>970.2083099999993</v>
      </c>
      <c r="AO1217" s="161">
        <v>967.90406999999936</v>
      </c>
      <c r="AP1217" s="125" t="str">
        <f>CONCATENATE(A1217,M1217)</f>
        <v>Def TaxR</v>
      </c>
      <c r="AQ1217" s="125" t="str">
        <f>CONCATENATE(AP1217,L1217,H1217)</f>
        <v>Def TaxRR11R&amp;D Tax Credit</v>
      </c>
      <c r="AS1217" s="125" t="str">
        <f>CONCATENATE(L1217,H1217,J1217)</f>
        <v>R11R&amp;D Tax Credit</v>
      </c>
    </row>
    <row r="1218" spans="1:45" s="125" customFormat="1" ht="25.5" customHeight="1">
      <c r="A1218" s="216" t="s">
        <v>1996</v>
      </c>
      <c r="B1218" s="217" t="str">
        <f t="shared" si="494"/>
        <v>Def Tax2822000-183.88.00BT010043</v>
      </c>
      <c r="C1218" s="186">
        <v>282200</v>
      </c>
      <c r="D1218" s="201" t="s">
        <v>217</v>
      </c>
      <c r="E1218" s="162" t="s">
        <v>615</v>
      </c>
      <c r="F1218" s="169" t="s">
        <v>2944</v>
      </c>
      <c r="G1218" s="117" t="s">
        <v>1474</v>
      </c>
      <c r="H1218" s="118" t="s">
        <v>218</v>
      </c>
      <c r="I1218" s="119"/>
      <c r="J1218" s="120"/>
      <c r="K1218" s="120" t="str">
        <f t="shared" si="491"/>
        <v/>
      </c>
      <c r="L1218" s="170" t="s">
        <v>1895</v>
      </c>
      <c r="M1218" s="122" t="str">
        <f t="shared" si="495"/>
        <v>R</v>
      </c>
      <c r="N1218" s="116" t="str">
        <f>IF($L1218&lt;&gt;"",VLOOKUP($L1218,Categories!$E:$G,2,FALSE),IF($F1218&lt;&gt;"","NO CAT",""))</f>
        <v>Rate Base</v>
      </c>
      <c r="O1218" s="116" t="str">
        <f>IF($L1218&lt;&gt;"",VLOOKUP($L1218,Categories!$E:$G,3,FALSE),IF($F1218&lt;&gt;"","NO CAT",""))</f>
        <v>Deferred Income Taxes</v>
      </c>
      <c r="P1218" s="170" t="s">
        <v>1183</v>
      </c>
      <c r="Q1218" s="123" t="s">
        <v>1177</v>
      </c>
      <c r="R1218" s="124">
        <v>1</v>
      </c>
      <c r="S1218" s="124">
        <v>0</v>
      </c>
      <c r="T1218" s="124">
        <v>0</v>
      </c>
      <c r="U1218" s="121">
        <f t="shared" si="496"/>
        <v>27247.961441666699</v>
      </c>
      <c r="V1218" s="121">
        <f t="shared" si="497"/>
        <v>0</v>
      </c>
      <c r="W1218" s="121">
        <f t="shared" si="498"/>
        <v>0</v>
      </c>
      <c r="X1218" s="121">
        <f t="shared" si="492"/>
        <v>27247.961441666699</v>
      </c>
      <c r="Y1218" s="121">
        <f t="shared" si="499"/>
        <v>28268.66329</v>
      </c>
      <c r="Z1218" s="121">
        <f t="shared" si="500"/>
        <v>0</v>
      </c>
      <c r="AA1218" s="121">
        <f t="shared" si="501"/>
        <v>0</v>
      </c>
      <c r="AB1218" s="121">
        <f t="shared" si="493"/>
        <v>28268.663290000004</v>
      </c>
      <c r="AC1218" s="121">
        <v>26119.368690000003</v>
      </c>
      <c r="AD1218" s="121">
        <v>26316.659019999999</v>
      </c>
      <c r="AE1218" s="121">
        <v>26378.277050000001</v>
      </c>
      <c r="AF1218" s="121">
        <v>26444.369260000003</v>
      </c>
      <c r="AG1218" s="121">
        <v>26604.07835</v>
      </c>
      <c r="AH1218" s="121">
        <v>26720.987410000002</v>
      </c>
      <c r="AI1218" s="161">
        <v>27551.301199999998</v>
      </c>
      <c r="AJ1218" s="161">
        <v>27654.798409999999</v>
      </c>
      <c r="AK1218" s="161">
        <v>27808.535330000002</v>
      </c>
      <c r="AL1218" s="161">
        <v>27878.838230000001</v>
      </c>
      <c r="AM1218" s="161">
        <v>28046.449510000002</v>
      </c>
      <c r="AN1218" s="161">
        <v>28377.227540000004</v>
      </c>
      <c r="AO1218" s="161">
        <v>28268.663290000004</v>
      </c>
      <c r="AP1218" s="125" t="str">
        <f>CONCATENATE(A1218,M1218)</f>
        <v>Def TaxR</v>
      </c>
      <c r="AQ1218" s="125" t="str">
        <f>CONCATENATE(AP1218,L1218,H1218)</f>
        <v>Def TaxRR11Contributions in Aid of Construction</v>
      </c>
      <c r="AS1218" s="125" t="str">
        <f>CONCATENATE(L1218,H1218,J1218)</f>
        <v>R11Contributions in Aid of Construction</v>
      </c>
    </row>
    <row r="1219" spans="1:45" s="125" customFormat="1" ht="25.5" customHeight="1">
      <c r="A1219" s="216" t="s">
        <v>1996</v>
      </c>
      <c r="B1219" s="217" t="str">
        <f t="shared" si="494"/>
        <v>Def Tax282200KatzBT010110</v>
      </c>
      <c r="C1219" s="186">
        <v>282200</v>
      </c>
      <c r="D1219" s="201" t="s">
        <v>241</v>
      </c>
      <c r="E1219" s="162" t="s">
        <v>285</v>
      </c>
      <c r="F1219" s="169" t="s">
        <v>2944</v>
      </c>
      <c r="G1219" s="117" t="s">
        <v>4500</v>
      </c>
      <c r="H1219" s="118" t="s">
        <v>4509</v>
      </c>
      <c r="I1219" s="119"/>
      <c r="J1219" s="120"/>
      <c r="K1219" s="120" t="str">
        <f t="shared" si="491"/>
        <v/>
      </c>
      <c r="L1219" s="170" t="s">
        <v>1895</v>
      </c>
      <c r="M1219" s="122" t="str">
        <f t="shared" si="495"/>
        <v>R</v>
      </c>
      <c r="N1219" s="116" t="str">
        <f>IF($L1219&lt;&gt;"",VLOOKUP($L1219,Categories!$E:$G,2,FALSE),IF($F1219&lt;&gt;"","NO CAT",""))</f>
        <v>Rate Base</v>
      </c>
      <c r="O1219" s="116" t="str">
        <f>IF($L1219&lt;&gt;"",VLOOKUP($L1219,Categories!$E:$G,3,FALSE),IF($F1219&lt;&gt;"","NO CAT",""))</f>
        <v>Deferred Income Taxes</v>
      </c>
      <c r="P1219" s="170" t="s">
        <v>1183</v>
      </c>
      <c r="Q1219" s="123" t="s">
        <v>1177</v>
      </c>
      <c r="R1219" s="124">
        <v>1</v>
      </c>
      <c r="S1219" s="124">
        <v>0</v>
      </c>
      <c r="T1219" s="124">
        <v>0</v>
      </c>
      <c r="U1219" s="121">
        <f t="shared" si="496"/>
        <v>105.3395</v>
      </c>
      <c r="V1219" s="121">
        <f t="shared" si="497"/>
        <v>0</v>
      </c>
      <c r="W1219" s="121">
        <f t="shared" si="498"/>
        <v>0</v>
      </c>
      <c r="X1219" s="121">
        <f t="shared" si="492"/>
        <v>105.3395</v>
      </c>
      <c r="Y1219" s="121">
        <f t="shared" si="499"/>
        <v>105.3395</v>
      </c>
      <c r="Z1219" s="121">
        <f t="shared" si="500"/>
        <v>0</v>
      </c>
      <c r="AA1219" s="121">
        <f t="shared" si="501"/>
        <v>0</v>
      </c>
      <c r="AB1219" s="121">
        <f t="shared" si="493"/>
        <v>105.3395</v>
      </c>
      <c r="AC1219" s="121">
        <v>105.3395</v>
      </c>
      <c r="AD1219" s="121">
        <v>105.3395</v>
      </c>
      <c r="AE1219" s="121">
        <v>105.3395</v>
      </c>
      <c r="AF1219" s="121">
        <v>105.3395</v>
      </c>
      <c r="AG1219" s="121">
        <v>105.3395</v>
      </c>
      <c r="AH1219" s="121">
        <v>105.3395</v>
      </c>
      <c r="AI1219" s="161">
        <v>105.3395</v>
      </c>
      <c r="AJ1219" s="161">
        <v>105.3395</v>
      </c>
      <c r="AK1219" s="161">
        <v>105.3395</v>
      </c>
      <c r="AL1219" s="161">
        <v>105.3395</v>
      </c>
      <c r="AM1219" s="161">
        <v>105.3395</v>
      </c>
      <c r="AN1219" s="161">
        <v>105.3395</v>
      </c>
      <c r="AO1219" s="161">
        <v>105.3395</v>
      </c>
      <c r="AP1219" s="125" t="str">
        <f>CONCATENATE(A1219,M1219)</f>
        <v>Def TaxR</v>
      </c>
      <c r="AQ1219" s="125" t="str">
        <f>CONCATENATE(AP1219,L1219,H1219)</f>
        <v>Def TaxRR11Prepaid Software Licensing Amortization</v>
      </c>
      <c r="AS1219" s="125" t="str">
        <f>CONCATENATE(L1219,H1219,J1219)</f>
        <v>R11Prepaid Software Licensing Amortization</v>
      </c>
    </row>
    <row r="1220" spans="1:45" s="125" customFormat="1" ht="25.5" customHeight="1">
      <c r="A1220" s="216" t="s">
        <v>1996</v>
      </c>
      <c r="B1220" s="217" t="str">
        <f t="shared" si="494"/>
        <v>Def Tax2822000-183.95.00BT010029</v>
      </c>
      <c r="C1220" s="186">
        <v>282200</v>
      </c>
      <c r="D1220" s="201" t="s">
        <v>2250</v>
      </c>
      <c r="E1220" s="162" t="s">
        <v>611</v>
      </c>
      <c r="F1220" s="169" t="s">
        <v>2944</v>
      </c>
      <c r="G1220" s="117" t="s">
        <v>2976</v>
      </c>
      <c r="H1220" s="118" t="s">
        <v>2976</v>
      </c>
      <c r="I1220" s="119"/>
      <c r="J1220" s="120"/>
      <c r="K1220" s="120" t="str">
        <f t="shared" ref="K1220:K1235" si="502">IF(L1220="N3","SFAS-109","")</f>
        <v/>
      </c>
      <c r="L1220" s="170" t="s">
        <v>1895</v>
      </c>
      <c r="M1220" s="122" t="str">
        <f t="shared" si="495"/>
        <v>R</v>
      </c>
      <c r="N1220" s="116" t="str">
        <f>IF($L1220&lt;&gt;"",VLOOKUP($L1220,Categories!$E:$G,2,FALSE),IF($F1220&lt;&gt;"","NO CAT",""))</f>
        <v>Rate Base</v>
      </c>
      <c r="O1220" s="116" t="str">
        <f>IF($L1220&lt;&gt;"",VLOOKUP($L1220,Categories!$E:$G,3,FALSE),IF($F1220&lt;&gt;"","NO CAT",""))</f>
        <v>Deferred Income Taxes</v>
      </c>
      <c r="P1220" s="170" t="s">
        <v>1183</v>
      </c>
      <c r="Q1220" s="123" t="s">
        <v>1177</v>
      </c>
      <c r="R1220" s="124">
        <v>1</v>
      </c>
      <c r="S1220" s="124">
        <v>0</v>
      </c>
      <c r="T1220" s="124">
        <v>0</v>
      </c>
      <c r="U1220" s="121">
        <f t="shared" si="496"/>
        <v>6708.2646400000003</v>
      </c>
      <c r="V1220" s="121">
        <f t="shared" si="497"/>
        <v>0</v>
      </c>
      <c r="W1220" s="121">
        <f t="shared" si="498"/>
        <v>0</v>
      </c>
      <c r="X1220" s="121">
        <f t="shared" si="492"/>
        <v>6708.2646400000003</v>
      </c>
      <c r="Y1220" s="121">
        <f t="shared" si="499"/>
        <v>7296.6376200000004</v>
      </c>
      <c r="Z1220" s="121">
        <f t="shared" si="500"/>
        <v>0</v>
      </c>
      <c r="AA1220" s="121">
        <f t="shared" si="501"/>
        <v>0</v>
      </c>
      <c r="AB1220" s="121">
        <f t="shared" si="493"/>
        <v>7296.6376200000013</v>
      </c>
      <c r="AC1220" s="121">
        <v>6220.5373200000004</v>
      </c>
      <c r="AD1220" s="121">
        <v>6300.4880400000002</v>
      </c>
      <c r="AE1220" s="121">
        <v>6376.73074</v>
      </c>
      <c r="AF1220" s="121">
        <v>6447.5733200000004</v>
      </c>
      <c r="AG1220" s="121">
        <v>6526.1175700000003</v>
      </c>
      <c r="AH1220" s="121">
        <v>6594.8957600000003</v>
      </c>
      <c r="AI1220" s="161">
        <v>6659.753850000001</v>
      </c>
      <c r="AJ1220" s="161">
        <v>6756.465830000001</v>
      </c>
      <c r="AK1220" s="161">
        <v>6857.6968500000003</v>
      </c>
      <c r="AL1220" s="161">
        <v>6962.9810100000004</v>
      </c>
      <c r="AM1220" s="161">
        <v>7070.3013100000007</v>
      </c>
      <c r="AN1220" s="161">
        <v>7187.5839300000007</v>
      </c>
      <c r="AO1220" s="161">
        <v>7296.6376200000013</v>
      </c>
      <c r="AP1220" s="125" t="str">
        <f>CONCATENATE(A1220,M1220)</f>
        <v>Def TaxR</v>
      </c>
      <c r="AQ1220" s="125" t="str">
        <f>CONCATENATE(AP1220,L1220,H1220)</f>
        <v>Def TaxRR11Capitalized Interest</v>
      </c>
      <c r="AS1220" s="125" t="str">
        <f>CONCATENATE(L1220,H1220,J1220)</f>
        <v>R11Capitalized Interest</v>
      </c>
    </row>
    <row r="1221" spans="1:45" s="125" customFormat="1" ht="25.5" customHeight="1">
      <c r="A1221" s="216" t="s">
        <v>1996</v>
      </c>
      <c r="B1221" s="217" t="str">
        <f t="shared" si="494"/>
        <v>Def Tax282200Repr AllowBT010181</v>
      </c>
      <c r="C1221" s="186">
        <v>282200</v>
      </c>
      <c r="D1221" s="201" t="s">
        <v>2284</v>
      </c>
      <c r="E1221" s="162" t="s">
        <v>288</v>
      </c>
      <c r="F1221" s="169" t="s">
        <v>2944</v>
      </c>
      <c r="G1221" s="117" t="s">
        <v>970</v>
      </c>
      <c r="H1221" s="118" t="s">
        <v>970</v>
      </c>
      <c r="I1221" s="119"/>
      <c r="J1221" s="120"/>
      <c r="K1221" s="120" t="str">
        <f t="shared" si="502"/>
        <v/>
      </c>
      <c r="L1221" s="170" t="s">
        <v>1895</v>
      </c>
      <c r="M1221" s="122" t="str">
        <f t="shared" si="495"/>
        <v>R</v>
      </c>
      <c r="N1221" s="116" t="str">
        <f>IF($L1221&lt;&gt;"",VLOOKUP($L1221,Categories!$E:$G,2,FALSE),IF($F1221&lt;&gt;"","NO CAT",""))</f>
        <v>Rate Base</v>
      </c>
      <c r="O1221" s="116" t="str">
        <f>IF($L1221&lt;&gt;"",VLOOKUP($L1221,Categories!$E:$G,3,FALSE),IF($F1221&lt;&gt;"","NO CAT",""))</f>
        <v>Deferred Income Taxes</v>
      </c>
      <c r="P1221" s="170" t="s">
        <v>1183</v>
      </c>
      <c r="Q1221" s="123" t="s">
        <v>1177</v>
      </c>
      <c r="R1221" s="124">
        <v>1</v>
      </c>
      <c r="S1221" s="124">
        <v>0</v>
      </c>
      <c r="T1221" s="124">
        <v>0</v>
      </c>
      <c r="U1221" s="121">
        <f t="shared" si="496"/>
        <v>-6859.9134999999997</v>
      </c>
      <c r="V1221" s="121">
        <f t="shared" si="497"/>
        <v>0</v>
      </c>
      <c r="W1221" s="121">
        <f t="shared" si="498"/>
        <v>0</v>
      </c>
      <c r="X1221" s="121">
        <f t="shared" si="492"/>
        <v>-6859.9134999999997</v>
      </c>
      <c r="Y1221" s="121">
        <f t="shared" si="499"/>
        <v>-6696.4134999999997</v>
      </c>
      <c r="Z1221" s="121">
        <f t="shared" si="500"/>
        <v>0</v>
      </c>
      <c r="AA1221" s="121">
        <f t="shared" si="501"/>
        <v>0</v>
      </c>
      <c r="AB1221" s="121">
        <f t="shared" si="493"/>
        <v>-6696.4134999999997</v>
      </c>
      <c r="AC1221" s="121">
        <v>-7023.4134999999997</v>
      </c>
      <c r="AD1221" s="121">
        <v>-6996.1634999999997</v>
      </c>
      <c r="AE1221" s="121">
        <v>-6968.9134999999997</v>
      </c>
      <c r="AF1221" s="121">
        <v>-6941.6634999999997</v>
      </c>
      <c r="AG1221" s="121">
        <v>-6914.4134999999997</v>
      </c>
      <c r="AH1221" s="121">
        <v>-6887.1634999999997</v>
      </c>
      <c r="AI1221" s="161">
        <v>-6859.9134999999997</v>
      </c>
      <c r="AJ1221" s="161">
        <v>-6832.6634999999997</v>
      </c>
      <c r="AK1221" s="161">
        <v>-6805.4134999999997</v>
      </c>
      <c r="AL1221" s="161">
        <v>-6778.1634999999997</v>
      </c>
      <c r="AM1221" s="161">
        <v>-6750.9134999999997</v>
      </c>
      <c r="AN1221" s="161">
        <v>-6723.6634999999997</v>
      </c>
      <c r="AO1221" s="161">
        <v>-6696.4134999999997</v>
      </c>
      <c r="AP1221" s="125" t="str">
        <f>CONCATENATE(A1221,M1221)</f>
        <v>Def TaxR</v>
      </c>
      <c r="AQ1221" s="125" t="str">
        <f>CONCATENATE(AP1221,L1221,H1221)</f>
        <v>Def TaxRR11Repair Allowance</v>
      </c>
      <c r="AS1221" s="125" t="str">
        <f>CONCATENATE(L1221,H1221,J1221)</f>
        <v>R11Repair Allowance</v>
      </c>
    </row>
    <row r="1222" spans="1:45" s="125" customFormat="1" ht="25.5" customHeight="1">
      <c r="A1222" s="216" t="s">
        <v>1996</v>
      </c>
      <c r="B1222" s="217" t="str">
        <f t="shared" si="494"/>
        <v>Def Tax282200Caslty LossBT010264</v>
      </c>
      <c r="C1222" s="186">
        <v>282200</v>
      </c>
      <c r="D1222" s="201" t="s">
        <v>2280</v>
      </c>
      <c r="E1222" s="162" t="s">
        <v>225</v>
      </c>
      <c r="F1222" s="169" t="s">
        <v>2944</v>
      </c>
      <c r="G1222" s="117" t="s">
        <v>968</v>
      </c>
      <c r="H1222" s="118" t="s">
        <v>968</v>
      </c>
      <c r="I1222" s="119"/>
      <c r="J1222" s="120"/>
      <c r="K1222" s="120" t="str">
        <f t="shared" si="502"/>
        <v/>
      </c>
      <c r="L1222" s="170" t="s">
        <v>1895</v>
      </c>
      <c r="M1222" s="122" t="str">
        <f t="shared" si="495"/>
        <v>R</v>
      </c>
      <c r="N1222" s="116" t="str">
        <f>IF($L1222&lt;&gt;"",VLOOKUP($L1222,Categories!$E:$G,2,FALSE),IF($F1222&lt;&gt;"","NO CAT",""))</f>
        <v>Rate Base</v>
      </c>
      <c r="O1222" s="116" t="str">
        <f>IF($L1222&lt;&gt;"",VLOOKUP($L1222,Categories!$E:$G,3,FALSE),IF($F1222&lt;&gt;"","NO CAT",""))</f>
        <v>Deferred Income Taxes</v>
      </c>
      <c r="P1222" s="170" t="s">
        <v>1183</v>
      </c>
      <c r="Q1222" s="123" t="s">
        <v>1177</v>
      </c>
      <c r="R1222" s="124">
        <v>1</v>
      </c>
      <c r="S1222" s="124">
        <v>0</v>
      </c>
      <c r="T1222" s="124">
        <v>0</v>
      </c>
      <c r="U1222" s="121">
        <f t="shared" si="496"/>
        <v>-7309.2379904166601</v>
      </c>
      <c r="V1222" s="121">
        <f t="shared" si="497"/>
        <v>0</v>
      </c>
      <c r="W1222" s="121">
        <f t="shared" si="498"/>
        <v>0</v>
      </c>
      <c r="X1222" s="121">
        <f t="shared" si="492"/>
        <v>-7309.2379904166601</v>
      </c>
      <c r="Y1222" s="121">
        <f t="shared" si="499"/>
        <v>-1620.35652999999</v>
      </c>
      <c r="Z1222" s="121">
        <f t="shared" si="500"/>
        <v>0</v>
      </c>
      <c r="AA1222" s="121">
        <f t="shared" si="501"/>
        <v>0</v>
      </c>
      <c r="AB1222" s="121">
        <f t="shared" si="493"/>
        <v>-1620.3565299999941</v>
      </c>
      <c r="AC1222" s="121">
        <v>-12998.119379999996</v>
      </c>
      <c r="AD1222" s="121">
        <v>-12049.97248</v>
      </c>
      <c r="AE1222" s="121">
        <v>-11101.825579999997</v>
      </c>
      <c r="AF1222" s="121">
        <v>-10153.678689999995</v>
      </c>
      <c r="AG1222" s="121">
        <v>-9205.5317899999955</v>
      </c>
      <c r="AH1222" s="121">
        <v>-8257.3848899999994</v>
      </c>
      <c r="AI1222" s="161">
        <v>-7309.2379899999951</v>
      </c>
      <c r="AJ1222" s="161">
        <v>-6361.0910999999951</v>
      </c>
      <c r="AK1222" s="161">
        <v>-5412.9441999999945</v>
      </c>
      <c r="AL1222" s="161">
        <v>-4464.7972999999938</v>
      </c>
      <c r="AM1222" s="161">
        <v>-3516.6503999999945</v>
      </c>
      <c r="AN1222" s="161">
        <v>-2568.5035099999941</v>
      </c>
      <c r="AO1222" s="161">
        <v>-1620.3565299999941</v>
      </c>
      <c r="AP1222" s="125" t="str">
        <f>CONCATENATE(A1222,M1222)</f>
        <v>Def TaxR</v>
      </c>
      <c r="AQ1222" s="125" t="str">
        <f>CONCATENATE(AP1222,L1222,H1222)</f>
        <v>Def TaxRR11Casualty Loss</v>
      </c>
      <c r="AS1222" s="125" t="str">
        <f>CONCATENATE(L1222,H1222,J1222)</f>
        <v>R11Casualty Loss</v>
      </c>
    </row>
    <row r="1223" spans="1:45" s="125" customFormat="1" ht="25.5" customHeight="1">
      <c r="A1223" s="216" t="s">
        <v>1996</v>
      </c>
      <c r="B1223" s="217" t="str">
        <f t="shared" si="494"/>
        <v>Def Tax282200Unit of Property-aBT010354</v>
      </c>
      <c r="C1223" s="186">
        <v>282200</v>
      </c>
      <c r="D1223" s="201" t="s">
        <v>2349</v>
      </c>
      <c r="E1223" s="162" t="s">
        <v>651</v>
      </c>
      <c r="F1223" s="169" t="s">
        <v>2944</v>
      </c>
      <c r="G1223" s="117" t="s">
        <v>4501</v>
      </c>
      <c r="H1223" s="118" t="s">
        <v>649</v>
      </c>
      <c r="I1223" s="119"/>
      <c r="J1223" s="120"/>
      <c r="K1223" s="120" t="str">
        <f t="shared" si="502"/>
        <v/>
      </c>
      <c r="L1223" s="170" t="s">
        <v>1895</v>
      </c>
      <c r="M1223" s="122" t="str">
        <f t="shared" si="495"/>
        <v>R</v>
      </c>
      <c r="N1223" s="116" t="str">
        <f>IF($L1223&lt;&gt;"",VLOOKUP($L1223,Categories!$E:$G,2,FALSE),IF($F1223&lt;&gt;"","NO CAT",""))</f>
        <v>Rate Base</v>
      </c>
      <c r="O1223" s="116" t="str">
        <f>IF($L1223&lt;&gt;"",VLOOKUP($L1223,Categories!$E:$G,3,FALSE),IF($F1223&lt;&gt;"","NO CAT",""))</f>
        <v>Deferred Income Taxes</v>
      </c>
      <c r="P1223" s="170" t="s">
        <v>1183</v>
      </c>
      <c r="Q1223" s="123" t="s">
        <v>1177</v>
      </c>
      <c r="R1223" s="124">
        <v>1</v>
      </c>
      <c r="S1223" s="124">
        <v>0</v>
      </c>
      <c r="T1223" s="124">
        <v>0</v>
      </c>
      <c r="U1223" s="121">
        <f t="shared" si="496"/>
        <v>-29654.244460000002</v>
      </c>
      <c r="V1223" s="121">
        <f t="shared" si="497"/>
        <v>0</v>
      </c>
      <c r="W1223" s="121">
        <f t="shared" si="498"/>
        <v>0</v>
      </c>
      <c r="X1223" s="121">
        <f t="shared" si="492"/>
        <v>-29654.244460000002</v>
      </c>
      <c r="Y1223" s="121">
        <f t="shared" si="499"/>
        <v>-29654.244460000002</v>
      </c>
      <c r="Z1223" s="121">
        <f t="shared" si="500"/>
        <v>0</v>
      </c>
      <c r="AA1223" s="121">
        <f t="shared" si="501"/>
        <v>0</v>
      </c>
      <c r="AB1223" s="121">
        <f t="shared" si="493"/>
        <v>-29654.244460000002</v>
      </c>
      <c r="AC1223" s="121">
        <v>-29654.244460000002</v>
      </c>
      <c r="AD1223" s="121">
        <v>-29654.244460000002</v>
      </c>
      <c r="AE1223" s="121">
        <v>-29654.244460000002</v>
      </c>
      <c r="AF1223" s="121">
        <v>-29654.244460000002</v>
      </c>
      <c r="AG1223" s="121">
        <v>-29654.244460000002</v>
      </c>
      <c r="AH1223" s="121">
        <v>-29654.244460000002</v>
      </c>
      <c r="AI1223" s="161">
        <v>-29654.244460000002</v>
      </c>
      <c r="AJ1223" s="161">
        <v>-29654.244460000002</v>
      </c>
      <c r="AK1223" s="161">
        <v>-29654.244460000002</v>
      </c>
      <c r="AL1223" s="161">
        <v>-29654.244460000002</v>
      </c>
      <c r="AM1223" s="161">
        <v>-29654.244460000002</v>
      </c>
      <c r="AN1223" s="161">
        <v>-29654.244460000002</v>
      </c>
      <c r="AO1223" s="161">
        <v>-29654.244460000002</v>
      </c>
      <c r="AP1223" s="125" t="str">
        <f>CONCATENATE(A1223,M1223)</f>
        <v>Def TaxR</v>
      </c>
      <c r="AQ1223" s="125" t="str">
        <f>CONCATENATE(AP1223,L1223,H1223)</f>
        <v>Def TaxRR11Unit of Property</v>
      </c>
      <c r="AS1223" s="125" t="str">
        <f>CONCATENATE(L1223,H1223,J1223)</f>
        <v>R11Unit of Property</v>
      </c>
    </row>
    <row r="1224" spans="1:45" s="125" customFormat="1" ht="25.5" customHeight="1">
      <c r="A1224" s="216" t="s">
        <v>1996</v>
      </c>
      <c r="B1224" s="217" t="str">
        <f t="shared" si="494"/>
        <v>Def Tax282200Mixed Use 263(a)-aBT010390</v>
      </c>
      <c r="C1224" s="186">
        <v>282200</v>
      </c>
      <c r="D1224" s="201" t="s">
        <v>3817</v>
      </c>
      <c r="E1224" s="162" t="s">
        <v>2235</v>
      </c>
      <c r="F1224" s="169" t="s">
        <v>2944</v>
      </c>
      <c r="G1224" s="117" t="s">
        <v>2233</v>
      </c>
      <c r="H1224" s="118" t="s">
        <v>2675</v>
      </c>
      <c r="I1224" s="119"/>
      <c r="J1224" s="231" t="s">
        <v>105</v>
      </c>
      <c r="K1224" s="120" t="str">
        <f t="shared" si="502"/>
        <v/>
      </c>
      <c r="L1224" s="170" t="s">
        <v>2821</v>
      </c>
      <c r="M1224" s="122" t="str">
        <f t="shared" si="495"/>
        <v>N</v>
      </c>
      <c r="N1224" s="116" t="str">
        <f>IF($L1224&lt;&gt;"",VLOOKUP($L1224,Categories!$E:$G,2,FALSE),IF($F1224&lt;&gt;"","NO CAT",""))</f>
        <v>Not in Rate Base</v>
      </c>
      <c r="O1224" s="116" t="str">
        <f>IF($L1224&lt;&gt;"",VLOOKUP($L1224,Categories!$E:$G,3,FALSE),IF($F1224&lt;&gt;"","NO CAT",""))</f>
        <v>Deferrals Accruing Non-Cash Return   (other than ASGA)</v>
      </c>
      <c r="P1224" s="170" t="s">
        <v>1186</v>
      </c>
      <c r="Q1224" s="123" t="s">
        <v>1187</v>
      </c>
      <c r="R1224" s="124">
        <v>0</v>
      </c>
      <c r="S1224" s="124">
        <v>0</v>
      </c>
      <c r="T1224" s="124">
        <v>1</v>
      </c>
      <c r="U1224" s="121">
        <f t="shared" si="496"/>
        <v>0</v>
      </c>
      <c r="V1224" s="121">
        <f t="shared" si="497"/>
        <v>0</v>
      </c>
      <c r="W1224" s="121">
        <f t="shared" si="498"/>
        <v>-36199.885276666697</v>
      </c>
      <c r="X1224" s="121">
        <f t="shared" si="492"/>
        <v>-36199.885276666697</v>
      </c>
      <c r="Y1224" s="121">
        <f t="shared" si="499"/>
        <v>0</v>
      </c>
      <c r="Z1224" s="121">
        <f t="shared" si="500"/>
        <v>0</v>
      </c>
      <c r="AA1224" s="121">
        <f t="shared" si="501"/>
        <v>-43329.986709999997</v>
      </c>
      <c r="AB1224" s="121">
        <f t="shared" si="493"/>
        <v>-43329.986709999997</v>
      </c>
      <c r="AC1224" s="121">
        <v>-35178.73401</v>
      </c>
      <c r="AD1224" s="121">
        <v>-34886.73401</v>
      </c>
      <c r="AE1224" s="121">
        <v>-34594.73401</v>
      </c>
      <c r="AF1224" s="121">
        <v>-34302.73401</v>
      </c>
      <c r="AG1224" s="121">
        <v>-34010.73401</v>
      </c>
      <c r="AH1224" s="121">
        <v>-33718.73401</v>
      </c>
      <c r="AI1224" s="161">
        <v>-33426.73401</v>
      </c>
      <c r="AJ1224" s="161">
        <v>-33134.73401</v>
      </c>
      <c r="AK1224" s="161">
        <v>-32842.73401</v>
      </c>
      <c r="AL1224" s="161">
        <v>-38193.531309999998</v>
      </c>
      <c r="AM1224" s="161">
        <v>-42911.910809999994</v>
      </c>
      <c r="AN1224" s="161">
        <v>-43120.948759999999</v>
      </c>
      <c r="AO1224" s="161">
        <v>-43329.986709999997</v>
      </c>
      <c r="AP1224" s="125" t="str">
        <f>CONCATENATE(A1224,M1224)</f>
        <v>Def TaxN</v>
      </c>
      <c r="AQ1224" s="125" t="str">
        <f>CONCATENATE(AP1224,L1224,H1224)</f>
        <v>Def TaxNN10Mixed Use 263(a)</v>
      </c>
      <c r="AS1224" s="125" t="str">
        <f>CONCATENATE(L1224,H1224,J1224)</f>
        <v>N10Mixed Use 263(a)NCR</v>
      </c>
    </row>
    <row r="1225" spans="1:45" s="125" customFormat="1" ht="25.5" customHeight="1">
      <c r="A1225" s="216" t="s">
        <v>1996</v>
      </c>
      <c r="B1225" s="217" t="str">
        <f t="shared" si="494"/>
        <v>Def Tax282200Mixed Use 263(a)-bBT010390</v>
      </c>
      <c r="C1225" s="186">
        <v>282200</v>
      </c>
      <c r="D1225" s="201" t="s">
        <v>3818</v>
      </c>
      <c r="E1225" s="162" t="s">
        <v>2235</v>
      </c>
      <c r="F1225" s="169" t="s">
        <v>2944</v>
      </c>
      <c r="G1225" s="117" t="s">
        <v>2234</v>
      </c>
      <c r="H1225" s="118" t="s">
        <v>2675</v>
      </c>
      <c r="I1225" s="119"/>
      <c r="J1225" s="231" t="s">
        <v>105</v>
      </c>
      <c r="K1225" s="120" t="str">
        <f t="shared" si="502"/>
        <v/>
      </c>
      <c r="L1225" s="170" t="s">
        <v>2821</v>
      </c>
      <c r="M1225" s="122" t="str">
        <f t="shared" si="495"/>
        <v>N</v>
      </c>
      <c r="N1225" s="116" t="str">
        <f>IF($L1225&lt;&gt;"",VLOOKUP($L1225,Categories!$E:$G,2,FALSE),IF($F1225&lt;&gt;"","NO CAT",""))</f>
        <v>Not in Rate Base</v>
      </c>
      <c r="O1225" s="116" t="str">
        <f>IF($L1225&lt;&gt;"",VLOOKUP($L1225,Categories!$E:$G,3,FALSE),IF($F1225&lt;&gt;"","NO CAT",""))</f>
        <v>Deferrals Accruing Non-Cash Return   (other than ASGA)</v>
      </c>
      <c r="P1225" s="170" t="s">
        <v>1186</v>
      </c>
      <c r="Q1225" s="123" t="s">
        <v>1187</v>
      </c>
      <c r="R1225" s="124">
        <v>0</v>
      </c>
      <c r="S1225" s="124">
        <v>0</v>
      </c>
      <c r="T1225" s="124">
        <v>1</v>
      </c>
      <c r="U1225" s="121">
        <f t="shared" si="496"/>
        <v>0</v>
      </c>
      <c r="V1225" s="121">
        <f t="shared" si="497"/>
        <v>0</v>
      </c>
      <c r="W1225" s="121">
        <f t="shared" si="498"/>
        <v>745.25288499999999</v>
      </c>
      <c r="X1225" s="121">
        <f t="shared" si="492"/>
        <v>745.25288499999999</v>
      </c>
      <c r="Y1225" s="121">
        <f t="shared" si="499"/>
        <v>0</v>
      </c>
      <c r="Z1225" s="121">
        <f t="shared" si="500"/>
        <v>0</v>
      </c>
      <c r="AA1225" s="121">
        <f t="shared" si="501"/>
        <v>1266.83863</v>
      </c>
      <c r="AB1225" s="121">
        <f t="shared" si="493"/>
        <v>1266.8386300000002</v>
      </c>
      <c r="AC1225" s="121">
        <v>655.31569000000002</v>
      </c>
      <c r="AD1225" s="121">
        <v>639.40260000000001</v>
      </c>
      <c r="AE1225" s="121">
        <v>623.48951000000011</v>
      </c>
      <c r="AF1225" s="121">
        <v>607.57642000000021</v>
      </c>
      <c r="AG1225" s="121">
        <v>583.31569000000013</v>
      </c>
      <c r="AH1225" s="121">
        <v>565.31569000000002</v>
      </c>
      <c r="AI1225" s="161">
        <v>547.31569000000013</v>
      </c>
      <c r="AJ1225" s="161">
        <v>529.31569000000013</v>
      </c>
      <c r="AK1225" s="161">
        <v>511.31569000000019</v>
      </c>
      <c r="AL1225" s="161">
        <v>893.95430000000022</v>
      </c>
      <c r="AM1225" s="161">
        <v>1231.6912400000003</v>
      </c>
      <c r="AN1225" s="161">
        <v>1249.2649400000003</v>
      </c>
      <c r="AO1225" s="161">
        <v>1266.8386300000002</v>
      </c>
      <c r="AP1225" s="125" t="str">
        <f>CONCATENATE(A1225,M1225)</f>
        <v>Def TaxN</v>
      </c>
      <c r="AQ1225" s="125" t="str">
        <f>CONCATENATE(AP1225,L1225,H1225)</f>
        <v>Def TaxNN10Mixed Use 263(a)</v>
      </c>
      <c r="AS1225" s="125" t="str">
        <f>CONCATENATE(L1225,H1225,J1225)</f>
        <v>N10Mixed Use 263(a)NCR</v>
      </c>
    </row>
    <row r="1226" spans="1:45" s="125" customFormat="1" ht="25.5" customHeight="1">
      <c r="A1226" s="216" t="s">
        <v>1996</v>
      </c>
      <c r="B1226" s="217" t="str">
        <f t="shared" si="494"/>
        <v>Def Tax2822000-183.95.00BT010030</v>
      </c>
      <c r="C1226" s="186">
        <v>282200</v>
      </c>
      <c r="D1226" s="201" t="s">
        <v>2250</v>
      </c>
      <c r="E1226" s="162" t="s">
        <v>612</v>
      </c>
      <c r="F1226" s="169" t="s">
        <v>2944</v>
      </c>
      <c r="G1226" s="117" t="s">
        <v>1472</v>
      </c>
      <c r="H1226" s="118" t="s">
        <v>2976</v>
      </c>
      <c r="I1226" s="119"/>
      <c r="J1226" s="120"/>
      <c r="K1226" s="120" t="str">
        <f t="shared" si="502"/>
        <v/>
      </c>
      <c r="L1226" s="170" t="s">
        <v>1895</v>
      </c>
      <c r="M1226" s="122" t="str">
        <f t="shared" si="495"/>
        <v>R</v>
      </c>
      <c r="N1226" s="116" t="str">
        <f>IF($L1226&lt;&gt;"",VLOOKUP($L1226,Categories!$E:$G,2,FALSE),IF($F1226&lt;&gt;"","NO CAT",""))</f>
        <v>Rate Base</v>
      </c>
      <c r="O1226" s="116" t="str">
        <f>IF($L1226&lt;&gt;"",VLOOKUP($L1226,Categories!$E:$G,3,FALSE),IF($F1226&lt;&gt;"","NO CAT",""))</f>
        <v>Deferred Income Taxes</v>
      </c>
      <c r="P1226" s="170" t="s">
        <v>1183</v>
      </c>
      <c r="Q1226" s="123" t="s">
        <v>1177</v>
      </c>
      <c r="R1226" s="124">
        <v>1</v>
      </c>
      <c r="S1226" s="124">
        <v>0</v>
      </c>
      <c r="T1226" s="124">
        <v>0</v>
      </c>
      <c r="U1226" s="121">
        <f t="shared" si="496"/>
        <v>-7363.076</v>
      </c>
      <c r="V1226" s="121">
        <f t="shared" si="497"/>
        <v>0</v>
      </c>
      <c r="W1226" s="121">
        <f t="shared" si="498"/>
        <v>0</v>
      </c>
      <c r="X1226" s="121">
        <f t="shared" si="492"/>
        <v>-7363.076</v>
      </c>
      <c r="Y1226" s="121">
        <f t="shared" si="499"/>
        <v>-7854.076</v>
      </c>
      <c r="Z1226" s="121">
        <f t="shared" si="500"/>
        <v>0</v>
      </c>
      <c r="AA1226" s="121">
        <f t="shared" si="501"/>
        <v>0</v>
      </c>
      <c r="AB1226" s="121">
        <f t="shared" si="493"/>
        <v>-7854.0760000000009</v>
      </c>
      <c r="AC1226" s="121">
        <v>-6872.0760000000009</v>
      </c>
      <c r="AD1226" s="121">
        <v>-6953.9093300000013</v>
      </c>
      <c r="AE1226" s="121">
        <v>-7035.7426700000005</v>
      </c>
      <c r="AF1226" s="121">
        <v>-7117.5760000000009</v>
      </c>
      <c r="AG1226" s="121">
        <v>-7199.4093300000013</v>
      </c>
      <c r="AH1226" s="121">
        <v>-7281.2426700000005</v>
      </c>
      <c r="AI1226" s="161">
        <v>-7363.0760000000009</v>
      </c>
      <c r="AJ1226" s="161">
        <v>-7444.9093300000013</v>
      </c>
      <c r="AK1226" s="161">
        <v>-7526.7426700000005</v>
      </c>
      <c r="AL1226" s="161">
        <v>-7608.5760000000009</v>
      </c>
      <c r="AM1226" s="161">
        <v>-7690.4093300000013</v>
      </c>
      <c r="AN1226" s="161">
        <v>-7772.2426700000005</v>
      </c>
      <c r="AO1226" s="161">
        <v>-7854.0760000000009</v>
      </c>
      <c r="AP1226" s="125" t="str">
        <f>CONCATENATE(A1226,M1226)</f>
        <v>Def TaxR</v>
      </c>
      <c r="AQ1226" s="125" t="str">
        <f>CONCATENATE(AP1226,L1226,H1226)</f>
        <v>Def TaxRR11Capitalized Interest</v>
      </c>
      <c r="AS1226" s="125" t="str">
        <f>CONCATENATE(L1226,H1226,J1226)</f>
        <v>R11Capitalized Interest</v>
      </c>
    </row>
    <row r="1227" spans="1:45" s="125" customFormat="1" ht="25.5" customHeight="1">
      <c r="A1227" s="216" t="s">
        <v>1996</v>
      </c>
      <c r="B1227" s="217" t="str">
        <f t="shared" si="494"/>
        <v>Def Tax2822000-283.21.75BT010033</v>
      </c>
      <c r="C1227" s="186">
        <v>282200</v>
      </c>
      <c r="D1227" s="201" t="s">
        <v>117</v>
      </c>
      <c r="E1227" s="162" t="s">
        <v>223</v>
      </c>
      <c r="F1227" s="169" t="s">
        <v>2944</v>
      </c>
      <c r="G1227" s="117" t="s">
        <v>1600</v>
      </c>
      <c r="H1227" s="118" t="s">
        <v>1799</v>
      </c>
      <c r="I1227" s="119"/>
      <c r="J1227" s="120"/>
      <c r="K1227" s="120" t="str">
        <f t="shared" si="502"/>
        <v/>
      </c>
      <c r="L1227" s="170" t="s">
        <v>1895</v>
      </c>
      <c r="M1227" s="122" t="str">
        <f t="shared" si="495"/>
        <v>R</v>
      </c>
      <c r="N1227" s="116" t="str">
        <f>IF($L1227&lt;&gt;"",VLOOKUP($L1227,Categories!$E:$G,2,FALSE),IF($F1227&lt;&gt;"","NO CAT",""))</f>
        <v>Rate Base</v>
      </c>
      <c r="O1227" s="116" t="str">
        <f>IF($L1227&lt;&gt;"",VLOOKUP($L1227,Categories!$E:$G,3,FALSE),IF($F1227&lt;&gt;"","NO CAT",""))</f>
        <v>Deferred Income Taxes</v>
      </c>
      <c r="P1227" s="170" t="s">
        <v>1183</v>
      </c>
      <c r="Q1227" s="123" t="s">
        <v>1177</v>
      </c>
      <c r="R1227" s="124">
        <v>1</v>
      </c>
      <c r="S1227" s="124">
        <v>0</v>
      </c>
      <c r="T1227" s="124">
        <v>0</v>
      </c>
      <c r="U1227" s="121">
        <f t="shared" si="496"/>
        <v>-10854.5349816667</v>
      </c>
      <c r="V1227" s="121">
        <f t="shared" si="497"/>
        <v>0</v>
      </c>
      <c r="W1227" s="121">
        <f t="shared" si="498"/>
        <v>0</v>
      </c>
      <c r="X1227" s="121">
        <f t="shared" si="492"/>
        <v>-10854.5349816667</v>
      </c>
      <c r="Y1227" s="121">
        <f t="shared" si="499"/>
        <v>-11198.535</v>
      </c>
      <c r="Z1227" s="121">
        <f t="shared" si="500"/>
        <v>0</v>
      </c>
      <c r="AA1227" s="121">
        <f t="shared" si="501"/>
        <v>0</v>
      </c>
      <c r="AB1227" s="121">
        <f t="shared" si="493"/>
        <v>-11198.535</v>
      </c>
      <c r="AC1227" s="121">
        <v>-10510.535</v>
      </c>
      <c r="AD1227" s="121">
        <v>-10567.868329999999</v>
      </c>
      <c r="AE1227" s="121">
        <v>-10625.201660000001</v>
      </c>
      <c r="AF1227" s="121">
        <v>-10682.53499</v>
      </c>
      <c r="AG1227" s="121">
        <v>-10739.86832</v>
      </c>
      <c r="AH1227" s="121">
        <v>-10797.201650000001</v>
      </c>
      <c r="AI1227" s="161">
        <v>-10854.53498</v>
      </c>
      <c r="AJ1227" s="161">
        <v>-10911.86831</v>
      </c>
      <c r="AK1227" s="161">
        <v>-10969.201640000001</v>
      </c>
      <c r="AL1227" s="161">
        <v>-11026.534970000001</v>
      </c>
      <c r="AM1227" s="161">
        <v>-11083.8683</v>
      </c>
      <c r="AN1227" s="161">
        <v>-11141.201630000001</v>
      </c>
      <c r="AO1227" s="161">
        <v>-11198.535</v>
      </c>
      <c r="AP1227" s="125" t="str">
        <f>CONCATENATE(A1227,M1227)</f>
        <v>Def TaxR</v>
      </c>
      <c r="AQ1227" s="125" t="str">
        <f>CONCATENATE(AP1227,L1227,H1227)</f>
        <v>Def TaxRR11Capitalized Pension</v>
      </c>
      <c r="AS1227" s="125" t="str">
        <f>CONCATENATE(L1227,H1227,J1227)</f>
        <v>R11Capitalized Pension</v>
      </c>
    </row>
    <row r="1228" spans="1:45" s="125" customFormat="1" ht="25.5" customHeight="1">
      <c r="A1228" s="216" t="s">
        <v>1996</v>
      </c>
      <c r="B1228" s="217" t="str">
        <f t="shared" si="494"/>
        <v>Def Tax2822000-283.20.29BT010034</v>
      </c>
      <c r="C1228" s="186">
        <v>282200</v>
      </c>
      <c r="D1228" s="201" t="s">
        <v>1083</v>
      </c>
      <c r="E1228" s="162" t="s">
        <v>224</v>
      </c>
      <c r="F1228" s="169" t="s">
        <v>2944</v>
      </c>
      <c r="G1228" s="117" t="s">
        <v>4502</v>
      </c>
      <c r="H1228" s="118" t="s">
        <v>1166</v>
      </c>
      <c r="I1228" s="119"/>
      <c r="J1228" s="120"/>
      <c r="K1228" s="120" t="str">
        <f t="shared" si="502"/>
        <v/>
      </c>
      <c r="L1228" s="170" t="s">
        <v>1895</v>
      </c>
      <c r="M1228" s="122" t="str">
        <f t="shared" si="495"/>
        <v>R</v>
      </c>
      <c r="N1228" s="116" t="str">
        <f>IF($L1228&lt;&gt;"",VLOOKUP($L1228,Categories!$E:$G,2,FALSE),IF($F1228&lt;&gt;"","NO CAT",""))</f>
        <v>Rate Base</v>
      </c>
      <c r="O1228" s="116" t="str">
        <f>IF($L1228&lt;&gt;"",VLOOKUP($L1228,Categories!$E:$G,3,FALSE),IF($F1228&lt;&gt;"","NO CAT",""))</f>
        <v>Deferred Income Taxes</v>
      </c>
      <c r="P1228" s="170" t="s">
        <v>1183</v>
      </c>
      <c r="Q1228" s="123" t="s">
        <v>1177</v>
      </c>
      <c r="R1228" s="124">
        <v>1</v>
      </c>
      <c r="S1228" s="124">
        <v>0</v>
      </c>
      <c r="T1228" s="124">
        <v>0</v>
      </c>
      <c r="U1228" s="121">
        <f t="shared" si="496"/>
        <v>-3309.8735000000001</v>
      </c>
      <c r="V1228" s="121">
        <f t="shared" si="497"/>
        <v>0</v>
      </c>
      <c r="W1228" s="121">
        <f t="shared" si="498"/>
        <v>0</v>
      </c>
      <c r="X1228" s="121">
        <f t="shared" si="492"/>
        <v>-3309.8735000000001</v>
      </c>
      <c r="Y1228" s="121">
        <f t="shared" si="499"/>
        <v>-3235.373</v>
      </c>
      <c r="Z1228" s="121">
        <f t="shared" si="500"/>
        <v>0</v>
      </c>
      <c r="AA1228" s="121">
        <f t="shared" si="501"/>
        <v>0</v>
      </c>
      <c r="AB1228" s="121">
        <f t="shared" si="493"/>
        <v>-3235.373</v>
      </c>
      <c r="AC1228" s="121">
        <v>-3384.3739999999998</v>
      </c>
      <c r="AD1228" s="121">
        <v>-3371.9572499999999</v>
      </c>
      <c r="AE1228" s="121">
        <v>-3359.5405000000001</v>
      </c>
      <c r="AF1228" s="121">
        <v>-3347.1237500000002</v>
      </c>
      <c r="AG1228" s="121">
        <v>-3334.7069999999999</v>
      </c>
      <c r="AH1228" s="121">
        <v>-3322.29025</v>
      </c>
      <c r="AI1228" s="161">
        <v>-3309.8735000000001</v>
      </c>
      <c r="AJ1228" s="161">
        <v>-3297.4567499999998</v>
      </c>
      <c r="AK1228" s="161">
        <v>-3285.04</v>
      </c>
      <c r="AL1228" s="161">
        <v>-3272.6232500000001</v>
      </c>
      <c r="AM1228" s="161">
        <v>-3260.2064999999998</v>
      </c>
      <c r="AN1228" s="161">
        <v>-3247.7897499999999</v>
      </c>
      <c r="AO1228" s="161">
        <v>-3235.373</v>
      </c>
      <c r="AP1228" s="125" t="str">
        <f>CONCATENATE(A1228,M1228)</f>
        <v>Def TaxR</v>
      </c>
      <c r="AQ1228" s="125" t="str">
        <f>CONCATENATE(AP1228,L1228,H1228)</f>
        <v>Def TaxRR11Capitalized Storm</v>
      </c>
      <c r="AS1228" s="125" t="str">
        <f>CONCATENATE(L1228,H1228,J1228)</f>
        <v>R11Capitalized Storm</v>
      </c>
    </row>
    <row r="1229" spans="1:45" s="125" customFormat="1" ht="25.5" customHeight="1">
      <c r="A1229" s="216" t="s">
        <v>1996</v>
      </c>
      <c r="B1229" s="217" t="str">
        <f t="shared" si="494"/>
        <v>Def Tax2822000-283.20.29BT010035</v>
      </c>
      <c r="C1229" s="186">
        <v>282200</v>
      </c>
      <c r="D1229" s="201" t="s">
        <v>1083</v>
      </c>
      <c r="E1229" s="162" t="s">
        <v>314</v>
      </c>
      <c r="F1229" s="169" t="s">
        <v>2944</v>
      </c>
      <c r="G1229" s="117" t="s">
        <v>1601</v>
      </c>
      <c r="H1229" s="118" t="s">
        <v>1166</v>
      </c>
      <c r="I1229" s="119"/>
      <c r="J1229" s="120"/>
      <c r="K1229" s="120" t="str">
        <f t="shared" si="502"/>
        <v/>
      </c>
      <c r="L1229" s="170" t="s">
        <v>1895</v>
      </c>
      <c r="M1229" s="122" t="str">
        <f t="shared" si="495"/>
        <v>R</v>
      </c>
      <c r="N1229" s="116" t="str">
        <f>IF($L1229&lt;&gt;"",VLOOKUP($L1229,Categories!$E:$G,2,FALSE),IF($F1229&lt;&gt;"","NO CAT",""))</f>
        <v>Rate Base</v>
      </c>
      <c r="O1229" s="116" t="str">
        <f>IF($L1229&lt;&gt;"",VLOOKUP($L1229,Categories!$E:$G,3,FALSE),IF($F1229&lt;&gt;"","NO CAT",""))</f>
        <v>Deferred Income Taxes</v>
      </c>
      <c r="P1229" s="170" t="s">
        <v>1183</v>
      </c>
      <c r="Q1229" s="123" t="s">
        <v>1177</v>
      </c>
      <c r="R1229" s="124">
        <v>1</v>
      </c>
      <c r="S1229" s="124">
        <v>0</v>
      </c>
      <c r="T1229" s="124">
        <v>0</v>
      </c>
      <c r="U1229" s="121">
        <f t="shared" si="496"/>
        <v>-221.92201833333399</v>
      </c>
      <c r="V1229" s="121">
        <f t="shared" si="497"/>
        <v>0</v>
      </c>
      <c r="W1229" s="121">
        <f t="shared" si="498"/>
        <v>0</v>
      </c>
      <c r="X1229" s="121">
        <f t="shared" si="492"/>
        <v>-221.92201833333399</v>
      </c>
      <c r="Y1229" s="121">
        <f t="shared" si="499"/>
        <v>-215.422</v>
      </c>
      <c r="Z1229" s="121">
        <f t="shared" si="500"/>
        <v>0</v>
      </c>
      <c r="AA1229" s="121">
        <f t="shared" si="501"/>
        <v>0</v>
      </c>
      <c r="AB1229" s="121">
        <f t="shared" si="493"/>
        <v>-215.42200000000028</v>
      </c>
      <c r="AC1229" s="121">
        <v>-228.42200000000014</v>
      </c>
      <c r="AD1229" s="121">
        <v>-227.33867000000015</v>
      </c>
      <c r="AE1229" s="121">
        <v>-226.25534000000016</v>
      </c>
      <c r="AF1229" s="121">
        <v>-225.17201000000017</v>
      </c>
      <c r="AG1229" s="121">
        <v>-224.08868000000021</v>
      </c>
      <c r="AH1229" s="121">
        <v>-223.00535000000022</v>
      </c>
      <c r="AI1229" s="161">
        <v>-221.92202000000023</v>
      </c>
      <c r="AJ1229" s="161">
        <v>-220.83869000000024</v>
      </c>
      <c r="AK1229" s="161">
        <v>-219.75536000000025</v>
      </c>
      <c r="AL1229" s="161">
        <v>-218.67203000000026</v>
      </c>
      <c r="AM1229" s="161">
        <v>-217.58870000000027</v>
      </c>
      <c r="AN1229" s="161">
        <v>-216.50537000000028</v>
      </c>
      <c r="AO1229" s="161">
        <v>-215.42200000000028</v>
      </c>
      <c r="AP1229" s="125" t="str">
        <f>CONCATENATE(A1229,M1229)</f>
        <v>Def TaxR</v>
      </c>
      <c r="AQ1229" s="125" t="str">
        <f>CONCATENATE(AP1229,L1229,H1229)</f>
        <v>Def TaxRR11Capitalized Storm</v>
      </c>
      <c r="AS1229" s="125" t="str">
        <f>CONCATENATE(L1229,H1229,J1229)</f>
        <v>R11Capitalized Storm</v>
      </c>
    </row>
    <row r="1230" spans="1:45" s="125" customFormat="1" ht="25.5" customHeight="1">
      <c r="A1230" s="216" t="s">
        <v>1996</v>
      </c>
      <c r="B1230" s="217" t="str">
        <f t="shared" si="494"/>
        <v>Def Tax282200Caslty LossBT010264</v>
      </c>
      <c r="C1230" s="186">
        <v>282200</v>
      </c>
      <c r="D1230" s="201" t="s">
        <v>2280</v>
      </c>
      <c r="E1230" s="162" t="s">
        <v>225</v>
      </c>
      <c r="F1230" s="169" t="s">
        <v>2944</v>
      </c>
      <c r="G1230" s="117" t="s">
        <v>4503</v>
      </c>
      <c r="H1230" s="118" t="s">
        <v>968</v>
      </c>
      <c r="I1230" s="119"/>
      <c r="J1230" s="120"/>
      <c r="K1230" s="120" t="str">
        <f t="shared" si="502"/>
        <v/>
      </c>
      <c r="L1230" s="170" t="s">
        <v>1895</v>
      </c>
      <c r="M1230" s="122" t="str">
        <f t="shared" si="495"/>
        <v>R</v>
      </c>
      <c r="N1230" s="116" t="str">
        <f>IF($L1230&lt;&gt;"",VLOOKUP($L1230,Categories!$E:$G,2,FALSE),IF($F1230&lt;&gt;"","NO CAT",""))</f>
        <v>Rate Base</v>
      </c>
      <c r="O1230" s="116" t="str">
        <f>IF($L1230&lt;&gt;"",VLOOKUP($L1230,Categories!$E:$G,3,FALSE),IF($F1230&lt;&gt;"","NO CAT",""))</f>
        <v>Deferred Income Taxes</v>
      </c>
      <c r="P1230" s="170" t="s">
        <v>1183</v>
      </c>
      <c r="Q1230" s="123" t="s">
        <v>1177</v>
      </c>
      <c r="R1230" s="124">
        <v>1</v>
      </c>
      <c r="S1230" s="124">
        <v>0</v>
      </c>
      <c r="T1230" s="124">
        <v>0</v>
      </c>
      <c r="U1230" s="121">
        <f t="shared" si="496"/>
        <v>1149.17724916667</v>
      </c>
      <c r="V1230" s="121">
        <f t="shared" si="497"/>
        <v>0</v>
      </c>
      <c r="W1230" s="121">
        <f t="shared" si="498"/>
        <v>0</v>
      </c>
      <c r="X1230" s="121">
        <f t="shared" si="492"/>
        <v>1149.17724916667</v>
      </c>
      <c r="Y1230" s="121">
        <f t="shared" si="499"/>
        <v>747.34016999999903</v>
      </c>
      <c r="Z1230" s="121">
        <f t="shared" si="500"/>
        <v>0</v>
      </c>
      <c r="AA1230" s="121">
        <f t="shared" si="501"/>
        <v>0</v>
      </c>
      <c r="AB1230" s="121">
        <f t="shared" si="493"/>
        <v>747.34016999999938</v>
      </c>
      <c r="AC1230" s="121">
        <v>1551.0143299999997</v>
      </c>
      <c r="AD1230" s="121">
        <v>1484.0414799999996</v>
      </c>
      <c r="AE1230" s="121">
        <v>1417.0686399999997</v>
      </c>
      <c r="AF1230" s="121">
        <v>1350.0957899999996</v>
      </c>
      <c r="AG1230" s="121">
        <v>1283.1229399999995</v>
      </c>
      <c r="AH1230" s="121">
        <v>1216.1501000000001</v>
      </c>
      <c r="AI1230" s="161">
        <v>1149.1772499999993</v>
      </c>
      <c r="AJ1230" s="161">
        <v>1082.2043999999992</v>
      </c>
      <c r="AK1230" s="161">
        <v>1015.2315599999993</v>
      </c>
      <c r="AL1230" s="161">
        <v>948.25870999999927</v>
      </c>
      <c r="AM1230" s="161">
        <v>881.28585999999927</v>
      </c>
      <c r="AN1230" s="161">
        <v>814.31300999999928</v>
      </c>
      <c r="AO1230" s="161">
        <v>747.34016999999938</v>
      </c>
      <c r="AP1230" s="125" t="str">
        <f>CONCATENATE(A1230,M1230)</f>
        <v>Def TaxR</v>
      </c>
      <c r="AQ1230" s="125" t="str">
        <f>CONCATENATE(AP1230,L1230,H1230)</f>
        <v>Def TaxRR11Casualty Loss</v>
      </c>
      <c r="AS1230" s="125" t="str">
        <f>CONCATENATE(L1230,H1230,J1230)</f>
        <v>R11Casualty Loss</v>
      </c>
    </row>
    <row r="1231" spans="1:45" s="125" customFormat="1" ht="25.5" customHeight="1">
      <c r="A1231" s="216" t="s">
        <v>1996</v>
      </c>
      <c r="B1231" s="217" t="str">
        <f t="shared" si="494"/>
        <v>Def Tax2822000-183.88.00BT010024</v>
      </c>
      <c r="C1231" s="186">
        <v>282200</v>
      </c>
      <c r="D1231" s="201" t="s">
        <v>217</v>
      </c>
      <c r="E1231" s="162" t="s">
        <v>614</v>
      </c>
      <c r="F1231" s="169" t="s">
        <v>2944</v>
      </c>
      <c r="G1231" s="117" t="s">
        <v>1473</v>
      </c>
      <c r="H1231" s="118" t="s">
        <v>218</v>
      </c>
      <c r="I1231" s="119"/>
      <c r="J1231" s="120"/>
      <c r="K1231" s="120" t="str">
        <f t="shared" si="502"/>
        <v/>
      </c>
      <c r="L1231" s="170" t="s">
        <v>1895</v>
      </c>
      <c r="M1231" s="122" t="str">
        <f t="shared" si="495"/>
        <v>R</v>
      </c>
      <c r="N1231" s="116" t="str">
        <f>IF($L1231&lt;&gt;"",VLOOKUP($L1231,Categories!$E:$G,2,FALSE),IF($F1231&lt;&gt;"","NO CAT",""))</f>
        <v>Rate Base</v>
      </c>
      <c r="O1231" s="116" t="str">
        <f>IF($L1231&lt;&gt;"",VLOOKUP($L1231,Categories!$E:$G,3,FALSE),IF($F1231&lt;&gt;"","NO CAT",""))</f>
        <v>Deferred Income Taxes</v>
      </c>
      <c r="P1231" s="170" t="s">
        <v>1183</v>
      </c>
      <c r="Q1231" s="123" t="s">
        <v>1177</v>
      </c>
      <c r="R1231" s="124">
        <v>1</v>
      </c>
      <c r="S1231" s="124">
        <v>0</v>
      </c>
      <c r="T1231" s="124">
        <v>0</v>
      </c>
      <c r="U1231" s="121">
        <f t="shared" si="496"/>
        <v>-6166.32</v>
      </c>
      <c r="V1231" s="121">
        <f t="shared" si="497"/>
        <v>0</v>
      </c>
      <c r="W1231" s="121">
        <f t="shared" si="498"/>
        <v>0</v>
      </c>
      <c r="X1231" s="121">
        <f t="shared" si="492"/>
        <v>-6166.32</v>
      </c>
      <c r="Y1231" s="121">
        <f t="shared" si="499"/>
        <v>-6499.32</v>
      </c>
      <c r="Z1231" s="121">
        <f t="shared" si="500"/>
        <v>0</v>
      </c>
      <c r="AA1231" s="121">
        <f t="shared" si="501"/>
        <v>0</v>
      </c>
      <c r="AB1231" s="121">
        <f t="shared" si="493"/>
        <v>-6499.32</v>
      </c>
      <c r="AC1231" s="121">
        <v>-5833.32</v>
      </c>
      <c r="AD1231" s="121">
        <v>-5888.82</v>
      </c>
      <c r="AE1231" s="121">
        <v>-5944.32</v>
      </c>
      <c r="AF1231" s="121">
        <v>-5999.82</v>
      </c>
      <c r="AG1231" s="121">
        <v>-6055.32</v>
      </c>
      <c r="AH1231" s="121">
        <v>-6110.82</v>
      </c>
      <c r="AI1231" s="161">
        <v>-6166.32</v>
      </c>
      <c r="AJ1231" s="161">
        <v>-6221.82</v>
      </c>
      <c r="AK1231" s="161">
        <v>-6277.32</v>
      </c>
      <c r="AL1231" s="161">
        <v>-6332.82</v>
      </c>
      <c r="AM1231" s="161">
        <v>-6388.32</v>
      </c>
      <c r="AN1231" s="161">
        <v>-6443.82</v>
      </c>
      <c r="AO1231" s="161">
        <v>-6499.32</v>
      </c>
      <c r="AP1231" s="125" t="str">
        <f>CONCATENATE(A1231,M1231)</f>
        <v>Def TaxR</v>
      </c>
      <c r="AQ1231" s="125" t="str">
        <f>CONCATENATE(AP1231,L1231,H1231)</f>
        <v>Def TaxRR11Contributions in Aid of Construction</v>
      </c>
      <c r="AS1231" s="125" t="str">
        <f>CONCATENATE(L1231,H1231,J1231)</f>
        <v>R11Contributions in Aid of Construction</v>
      </c>
    </row>
    <row r="1232" spans="1:45" s="125" customFormat="1" ht="25.5" customHeight="1">
      <c r="A1232" s="216" t="s">
        <v>1996</v>
      </c>
      <c r="B1232" s="217" t="str">
        <f t="shared" si="494"/>
        <v>Def Tax2822000-283.20.82BT010038</v>
      </c>
      <c r="C1232" s="186">
        <v>282200</v>
      </c>
      <c r="D1232" s="201" t="s">
        <v>1951</v>
      </c>
      <c r="E1232" s="162" t="s">
        <v>226</v>
      </c>
      <c r="F1232" s="169" t="s">
        <v>2944</v>
      </c>
      <c r="G1232" s="117" t="s">
        <v>2715</v>
      </c>
      <c r="H1232" s="118" t="s">
        <v>2369</v>
      </c>
      <c r="I1232" s="119"/>
      <c r="J1232" s="120"/>
      <c r="K1232" s="120" t="str">
        <f t="shared" si="502"/>
        <v/>
      </c>
      <c r="L1232" s="170" t="s">
        <v>928</v>
      </c>
      <c r="M1232" s="122" t="str">
        <f t="shared" si="495"/>
        <v>N</v>
      </c>
      <c r="N1232" s="116" t="str">
        <f>IF($L1232&lt;&gt;"",VLOOKUP($L1232,Categories!$E:$G,2,FALSE),IF($F1232&lt;&gt;"","NO CAT",""))</f>
        <v>Not in Rate Base</v>
      </c>
      <c r="O1232" s="116" t="str">
        <f>IF($L1232&lt;&gt;"",VLOOKUP($L1232,Categories!$E:$G,3,FALSE),IF($F1232&lt;&gt;"","NO CAT",""))</f>
        <v>Direct Assign Items Not in RB</v>
      </c>
      <c r="P1232" s="170" t="s">
        <v>1186</v>
      </c>
      <c r="Q1232" s="123" t="s">
        <v>1187</v>
      </c>
      <c r="R1232" s="124">
        <v>0</v>
      </c>
      <c r="S1232" s="124">
        <v>0</v>
      </c>
      <c r="T1232" s="124">
        <v>1</v>
      </c>
      <c r="U1232" s="121">
        <f t="shared" si="496"/>
        <v>0</v>
      </c>
      <c r="V1232" s="121">
        <f t="shared" si="497"/>
        <v>0</v>
      </c>
      <c r="W1232" s="121">
        <f t="shared" si="498"/>
        <v>-42.788499999999999</v>
      </c>
      <c r="X1232" s="121">
        <f t="shared" si="492"/>
        <v>-42.788499999999999</v>
      </c>
      <c r="Y1232" s="121">
        <f t="shared" si="499"/>
        <v>0</v>
      </c>
      <c r="Z1232" s="121">
        <f t="shared" si="500"/>
        <v>0</v>
      </c>
      <c r="AA1232" s="121">
        <f t="shared" si="501"/>
        <v>-43.798000000000002</v>
      </c>
      <c r="AB1232" s="121">
        <f t="shared" si="493"/>
        <v>-43.798000000000002</v>
      </c>
      <c r="AC1232" s="121">
        <v>-41.779000000000003</v>
      </c>
      <c r="AD1232" s="121">
        <v>-41.947249999999997</v>
      </c>
      <c r="AE1232" s="121">
        <v>-42.115499999999997</v>
      </c>
      <c r="AF1232" s="121">
        <v>-42.283749999999998</v>
      </c>
      <c r="AG1232" s="121">
        <v>-42.451999999999998</v>
      </c>
      <c r="AH1232" s="121">
        <v>-42.620249999999999</v>
      </c>
      <c r="AI1232" s="161">
        <v>-42.788499999999999</v>
      </c>
      <c r="AJ1232" s="161">
        <v>-42.95675</v>
      </c>
      <c r="AK1232" s="161">
        <v>-43.125</v>
      </c>
      <c r="AL1232" s="161">
        <v>-43.29325</v>
      </c>
      <c r="AM1232" s="161">
        <v>-43.461500000000001</v>
      </c>
      <c r="AN1232" s="161">
        <v>-43.629750000000001</v>
      </c>
      <c r="AO1232" s="161">
        <v>-43.798000000000002</v>
      </c>
      <c r="AP1232" s="125" t="str">
        <f>CONCATENATE(A1232,M1232)</f>
        <v>Def TaxN</v>
      </c>
      <c r="AQ1232" s="125" t="str">
        <f>CONCATENATE(AP1232,L1232,H1232)</f>
        <v>Def TaxNN2Environmental</v>
      </c>
      <c r="AS1232" s="125" t="str">
        <f>CONCATENATE(L1232,H1232,J1232)</f>
        <v>N2Environmental</v>
      </c>
    </row>
    <row r="1233" spans="1:45" s="125" customFormat="1" ht="25.5" customHeight="1">
      <c r="A1233" s="216" t="s">
        <v>1996</v>
      </c>
      <c r="B1233" s="217" t="str">
        <f t="shared" si="494"/>
        <v>Def Tax282200Repr AllowBT010181</v>
      </c>
      <c r="C1233" s="186">
        <v>282200</v>
      </c>
      <c r="D1233" s="201" t="s">
        <v>2284</v>
      </c>
      <c r="E1233" s="162" t="s">
        <v>288</v>
      </c>
      <c r="F1233" s="169" t="s">
        <v>2944</v>
      </c>
      <c r="G1233" s="117" t="s">
        <v>1391</v>
      </c>
      <c r="H1233" s="118" t="s">
        <v>970</v>
      </c>
      <c r="I1233" s="119"/>
      <c r="J1233" s="120"/>
      <c r="K1233" s="120" t="str">
        <f t="shared" si="502"/>
        <v/>
      </c>
      <c r="L1233" s="170" t="s">
        <v>1895</v>
      </c>
      <c r="M1233" s="122" t="str">
        <f t="shared" si="495"/>
        <v>R</v>
      </c>
      <c r="N1233" s="116" t="str">
        <f>IF($L1233&lt;&gt;"",VLOOKUP($L1233,Categories!$E:$G,2,FALSE),IF($F1233&lt;&gt;"","NO CAT",""))</f>
        <v>Rate Base</v>
      </c>
      <c r="O1233" s="116" t="str">
        <f>IF($L1233&lt;&gt;"",VLOOKUP($L1233,Categories!$E:$G,3,FALSE),IF($F1233&lt;&gt;"","NO CAT",""))</f>
        <v>Deferred Income Taxes</v>
      </c>
      <c r="P1233" s="170" t="s">
        <v>1183</v>
      </c>
      <c r="Q1233" s="123" t="s">
        <v>1177</v>
      </c>
      <c r="R1233" s="124">
        <v>1</v>
      </c>
      <c r="S1233" s="124">
        <v>0</v>
      </c>
      <c r="T1233" s="124">
        <v>0</v>
      </c>
      <c r="U1233" s="121">
        <f t="shared" si="496"/>
        <v>799.50336999999899</v>
      </c>
      <c r="V1233" s="121">
        <f t="shared" si="497"/>
        <v>0</v>
      </c>
      <c r="W1233" s="121">
        <f t="shared" si="498"/>
        <v>0</v>
      </c>
      <c r="X1233" s="121">
        <f t="shared" si="492"/>
        <v>799.50336999999899</v>
      </c>
      <c r="Y1233" s="121">
        <f t="shared" si="499"/>
        <v>798.33462999999904</v>
      </c>
      <c r="Z1233" s="121">
        <f t="shared" si="500"/>
        <v>0</v>
      </c>
      <c r="AA1233" s="121">
        <f t="shared" si="501"/>
        <v>0</v>
      </c>
      <c r="AB1233" s="121">
        <f t="shared" si="493"/>
        <v>798.33462999999927</v>
      </c>
      <c r="AC1233" s="121">
        <v>800.58462999999961</v>
      </c>
      <c r="AD1233" s="121">
        <v>800.58462999999961</v>
      </c>
      <c r="AE1233" s="121">
        <v>800.58462999999961</v>
      </c>
      <c r="AF1233" s="121">
        <v>800.58462999999961</v>
      </c>
      <c r="AG1233" s="121">
        <v>799.76795999999956</v>
      </c>
      <c r="AH1233" s="121">
        <v>799.56379000000004</v>
      </c>
      <c r="AI1233" s="161">
        <v>799.3596199999995</v>
      </c>
      <c r="AJ1233" s="161">
        <v>799.15544999999952</v>
      </c>
      <c r="AK1233" s="161">
        <v>798.95127999999943</v>
      </c>
      <c r="AL1233" s="161">
        <v>798.74710999999945</v>
      </c>
      <c r="AM1233" s="161">
        <v>798.74293999999941</v>
      </c>
      <c r="AN1233" s="161">
        <v>798.53876999999932</v>
      </c>
      <c r="AO1233" s="161">
        <v>798.33462999999927</v>
      </c>
      <c r="AP1233" s="125" t="str">
        <f>CONCATENATE(A1233,M1233)</f>
        <v>Def TaxR</v>
      </c>
      <c r="AQ1233" s="125" t="str">
        <f>CONCATENATE(AP1233,L1233,H1233)</f>
        <v>Def TaxRR11Repair Allowance</v>
      </c>
      <c r="AS1233" s="125" t="str">
        <f>CONCATENATE(L1233,H1233,J1233)</f>
        <v>R11Repair Allowance</v>
      </c>
    </row>
    <row r="1234" spans="1:45" s="125" customFormat="1" ht="25.5" customHeight="1">
      <c r="A1234" s="216" t="s">
        <v>1996</v>
      </c>
      <c r="B1234" s="217" t="str">
        <f t="shared" si="494"/>
        <v>Def Tax282200BT010354</v>
      </c>
      <c r="C1234" s="186">
        <v>282200</v>
      </c>
      <c r="D1234" s="201"/>
      <c r="E1234" s="162" t="s">
        <v>651</v>
      </c>
      <c r="F1234" s="169" t="s">
        <v>2944</v>
      </c>
      <c r="G1234" s="117" t="s">
        <v>1628</v>
      </c>
      <c r="H1234" s="118" t="s">
        <v>649</v>
      </c>
      <c r="I1234" s="119"/>
      <c r="J1234" s="120"/>
      <c r="K1234" s="120" t="str">
        <f t="shared" si="502"/>
        <v/>
      </c>
      <c r="L1234" s="170" t="s">
        <v>1895</v>
      </c>
      <c r="M1234" s="122" t="str">
        <f t="shared" si="495"/>
        <v>R</v>
      </c>
      <c r="N1234" s="116" t="str">
        <f>IF($L1234&lt;&gt;"",VLOOKUP($L1234,Categories!$E:$G,2,FALSE),IF($F1234&lt;&gt;"","NO CAT",""))</f>
        <v>Rate Base</v>
      </c>
      <c r="O1234" s="116" t="str">
        <f>IF($L1234&lt;&gt;"",VLOOKUP($L1234,Categories!$E:$G,3,FALSE),IF($F1234&lt;&gt;"","NO CAT",""))</f>
        <v>Deferred Income Taxes</v>
      </c>
      <c r="P1234" s="170" t="s">
        <v>1183</v>
      </c>
      <c r="Q1234" s="123" t="s">
        <v>1177</v>
      </c>
      <c r="R1234" s="124">
        <v>1</v>
      </c>
      <c r="S1234" s="124">
        <v>0</v>
      </c>
      <c r="T1234" s="124">
        <v>0</v>
      </c>
      <c r="U1234" s="121">
        <f t="shared" si="496"/>
        <v>-4801.3164554166697</v>
      </c>
      <c r="V1234" s="121">
        <f t="shared" si="497"/>
        <v>0</v>
      </c>
      <c r="W1234" s="121">
        <f t="shared" si="498"/>
        <v>0</v>
      </c>
      <c r="X1234" s="121">
        <f t="shared" si="492"/>
        <v>-4801.3164554166697</v>
      </c>
      <c r="Y1234" s="121">
        <f t="shared" si="499"/>
        <v>-7301.8505999999998</v>
      </c>
      <c r="Z1234" s="121">
        <f t="shared" si="500"/>
        <v>0</v>
      </c>
      <c r="AA1234" s="121">
        <f t="shared" si="501"/>
        <v>0</v>
      </c>
      <c r="AB1234" s="121">
        <f t="shared" si="493"/>
        <v>-7301.8505999999979</v>
      </c>
      <c r="AC1234" s="121">
        <v>-5055.0245499999992</v>
      </c>
      <c r="AD1234" s="121">
        <v>-4862.10455</v>
      </c>
      <c r="AE1234" s="121">
        <v>-4669.184549999999</v>
      </c>
      <c r="AF1234" s="121">
        <v>-4476.264549999999</v>
      </c>
      <c r="AG1234" s="121">
        <v>-4283.3445499999989</v>
      </c>
      <c r="AH1234" s="121">
        <v>-4090.4245500000002</v>
      </c>
      <c r="AI1234" s="161">
        <v>-3897.5045499999987</v>
      </c>
      <c r="AJ1234" s="161">
        <v>-3704.5845499999987</v>
      </c>
      <c r="AK1234" s="161">
        <v>-5568.9645499999988</v>
      </c>
      <c r="AL1234" s="161">
        <v>-2601.0324499999988</v>
      </c>
      <c r="AM1234" s="161">
        <v>-6422.0171599999985</v>
      </c>
      <c r="AN1234" s="161">
        <v>-6861.9338799999978</v>
      </c>
      <c r="AO1234" s="161">
        <v>-7301.8505999999979</v>
      </c>
      <c r="AP1234" s="125" t="str">
        <f>CONCATENATE(A1234,M1234)</f>
        <v>Def TaxR</v>
      </c>
      <c r="AQ1234" s="125" t="str">
        <f>CONCATENATE(AP1234,L1234,H1234)</f>
        <v>Def TaxRR11Unit of Property</v>
      </c>
      <c r="AS1234" s="125" t="str">
        <f>CONCATENATE(L1234,H1234,J1234)</f>
        <v>R11Unit of Property</v>
      </c>
    </row>
    <row r="1235" spans="1:45" s="125" customFormat="1" ht="25.5" customHeight="1">
      <c r="A1235" s="216" t="s">
        <v>1996</v>
      </c>
      <c r="B1235" s="217" t="str">
        <f t="shared" si="494"/>
        <v>Def Tax282200BT010354</v>
      </c>
      <c r="C1235" s="186">
        <v>282200</v>
      </c>
      <c r="D1235" s="201"/>
      <c r="E1235" s="162" t="s">
        <v>651</v>
      </c>
      <c r="F1235" s="169" t="s">
        <v>2944</v>
      </c>
      <c r="G1235" s="117" t="s">
        <v>1629</v>
      </c>
      <c r="H1235" s="118" t="s">
        <v>649</v>
      </c>
      <c r="I1235" s="119"/>
      <c r="J1235" s="120"/>
      <c r="K1235" s="120" t="str">
        <f t="shared" si="502"/>
        <v/>
      </c>
      <c r="L1235" s="170" t="s">
        <v>1895</v>
      </c>
      <c r="M1235" s="122" t="str">
        <f t="shared" si="495"/>
        <v>R</v>
      </c>
      <c r="N1235" s="116" t="str">
        <f>IF($L1235&lt;&gt;"",VLOOKUP($L1235,Categories!$E:$G,2,FALSE),IF($F1235&lt;&gt;"","NO CAT",""))</f>
        <v>Rate Base</v>
      </c>
      <c r="O1235" s="116" t="str">
        <f>IF($L1235&lt;&gt;"",VLOOKUP($L1235,Categories!$E:$G,3,FALSE),IF($F1235&lt;&gt;"","NO CAT",""))</f>
        <v>Deferred Income Taxes</v>
      </c>
      <c r="P1235" s="170" t="s">
        <v>1183</v>
      </c>
      <c r="Q1235" s="123" t="s">
        <v>1177</v>
      </c>
      <c r="R1235" s="124">
        <v>1</v>
      </c>
      <c r="S1235" s="124">
        <v>0</v>
      </c>
      <c r="T1235" s="124">
        <v>0</v>
      </c>
      <c r="U1235" s="121">
        <f t="shared" si="496"/>
        <v>1642.55978125</v>
      </c>
      <c r="V1235" s="121">
        <f t="shared" si="497"/>
        <v>0</v>
      </c>
      <c r="W1235" s="121">
        <f t="shared" si="498"/>
        <v>0</v>
      </c>
      <c r="X1235" s="121">
        <f t="shared" si="492"/>
        <v>1642.55978125</v>
      </c>
      <c r="Y1235" s="121">
        <f t="shared" si="499"/>
        <v>1849.64787</v>
      </c>
      <c r="Z1235" s="121">
        <f t="shared" si="500"/>
        <v>0</v>
      </c>
      <c r="AA1235" s="121">
        <f t="shared" si="501"/>
        <v>0</v>
      </c>
      <c r="AB1235" s="121">
        <f t="shared" si="493"/>
        <v>1849.6478699999998</v>
      </c>
      <c r="AC1235" s="121">
        <v>1682.7553800000003</v>
      </c>
      <c r="AD1235" s="121">
        <v>1669.6720499999999</v>
      </c>
      <c r="AE1235" s="121">
        <v>1656.5887200000002</v>
      </c>
      <c r="AF1235" s="121">
        <v>1643.50539</v>
      </c>
      <c r="AG1235" s="121">
        <v>1630.4220600000001</v>
      </c>
      <c r="AH1235" s="121">
        <v>1617.3387299999999</v>
      </c>
      <c r="AI1235" s="161">
        <v>1604.2554</v>
      </c>
      <c r="AJ1235" s="161">
        <v>1591.1720699999998</v>
      </c>
      <c r="AK1235" s="161">
        <v>1578.0887399999997</v>
      </c>
      <c r="AL1235" s="161">
        <v>1349.7210099999998</v>
      </c>
      <c r="AM1235" s="161">
        <v>1785.9517499999997</v>
      </c>
      <c r="AN1235" s="161">
        <v>1817.7998299999999</v>
      </c>
      <c r="AO1235" s="161">
        <v>1849.6478699999998</v>
      </c>
      <c r="AP1235" s="125" t="str">
        <f>CONCATENATE(A1235,M1235)</f>
        <v>Def TaxR</v>
      </c>
      <c r="AQ1235" s="125" t="str">
        <f>CONCATENATE(AP1235,L1235,H1235)</f>
        <v>Def TaxRR11Unit of Property</v>
      </c>
      <c r="AS1235" s="125" t="str">
        <f>CONCATENATE(L1235,H1235,J1235)</f>
        <v>R11Unit of Property</v>
      </c>
    </row>
    <row r="1236" spans="1:45" s="125" customFormat="1" ht="25.5" customHeight="1">
      <c r="A1236" s="216" t="s">
        <v>1996</v>
      </c>
      <c r="B1236" s="217" t="str">
        <f>CONCATENATE(A1236,C1236,D1236,E1236)</f>
        <v>Def Tax282200BT010379</v>
      </c>
      <c r="C1236" s="186">
        <v>282200</v>
      </c>
      <c r="D1236" s="201"/>
      <c r="E1236" s="162" t="s">
        <v>4595</v>
      </c>
      <c r="F1236" s="169" t="s">
        <v>2944</v>
      </c>
      <c r="G1236" s="117" t="s">
        <v>4593</v>
      </c>
      <c r="H1236" s="118" t="s">
        <v>4604</v>
      </c>
      <c r="I1236" s="119"/>
      <c r="J1236" s="120"/>
      <c r="K1236" s="120" t="str">
        <f t="shared" ref="K1236:K1249" si="503">IF(L1236="N3","SFAS-109","")</f>
        <v/>
      </c>
      <c r="L1236" s="170" t="s">
        <v>1895</v>
      </c>
      <c r="M1236" s="122" t="str">
        <f t="shared" si="495"/>
        <v>R</v>
      </c>
      <c r="N1236" s="116" t="str">
        <f>IF($L1236&lt;&gt;"",VLOOKUP($L1236,Categories!$E:$G,2,FALSE),IF($F1236&lt;&gt;"","NO CAT",""))</f>
        <v>Rate Base</v>
      </c>
      <c r="O1236" s="116" t="str">
        <f>IF($L1236&lt;&gt;"",VLOOKUP($L1236,Categories!$E:$G,3,FALSE),IF($F1236&lt;&gt;"","NO CAT",""))</f>
        <v>Deferred Income Taxes</v>
      </c>
      <c r="P1236" s="170" t="s">
        <v>1183</v>
      </c>
      <c r="Q1236" s="123" t="s">
        <v>1177</v>
      </c>
      <c r="R1236" s="124">
        <v>1</v>
      </c>
      <c r="S1236" s="124">
        <v>0</v>
      </c>
      <c r="T1236" s="124">
        <v>0</v>
      </c>
      <c r="U1236" s="121">
        <f t="shared" si="496"/>
        <v>-5.3159999999999998</v>
      </c>
      <c r="V1236" s="121">
        <f t="shared" si="497"/>
        <v>0</v>
      </c>
      <c r="W1236" s="121">
        <f t="shared" si="498"/>
        <v>0</v>
      </c>
      <c r="X1236" s="121">
        <f t="shared" si="492"/>
        <v>-5.3159999999999998</v>
      </c>
      <c r="Y1236" s="121">
        <f t="shared" si="499"/>
        <v>-5.3159999999999998</v>
      </c>
      <c r="Z1236" s="121">
        <f t="shared" si="500"/>
        <v>0</v>
      </c>
      <c r="AA1236" s="121">
        <f t="shared" si="501"/>
        <v>0</v>
      </c>
      <c r="AB1236" s="121">
        <f t="shared" si="493"/>
        <v>-5.3159999999999998</v>
      </c>
      <c r="AC1236" s="121">
        <v>-5.3159999999999998</v>
      </c>
      <c r="AD1236" s="121">
        <v>-5.3159999999999998</v>
      </c>
      <c r="AE1236" s="121">
        <v>-5.3159999999999998</v>
      </c>
      <c r="AF1236" s="121">
        <v>-5.3159999999999998</v>
      </c>
      <c r="AG1236" s="121">
        <v>-5.3159999999999998</v>
      </c>
      <c r="AH1236" s="121">
        <v>-5.3159999999999998</v>
      </c>
      <c r="AI1236" s="161">
        <v>-5.3159999999999998</v>
      </c>
      <c r="AJ1236" s="161">
        <v>-5.3159999999999998</v>
      </c>
      <c r="AK1236" s="161">
        <v>-5.3159999999999998</v>
      </c>
      <c r="AL1236" s="161">
        <v>-5.3159999999999998</v>
      </c>
      <c r="AM1236" s="161">
        <v>-5.3159999999999998</v>
      </c>
      <c r="AN1236" s="161">
        <v>-5.3159999999999998</v>
      </c>
      <c r="AO1236" s="161">
        <v>-5.3159999999999998</v>
      </c>
      <c r="AP1236" s="125" t="str">
        <f>CONCATENATE(A1236,M1236)</f>
        <v>Def TaxR</v>
      </c>
      <c r="AQ1236" s="125" t="str">
        <f>CONCATENATE(AP1236,L1236,H1236)</f>
        <v>Def TaxRR11Street Lighting Sale</v>
      </c>
      <c r="AS1236" s="125" t="str">
        <f>CONCATENATE(L1236,H1236,J1236)</f>
        <v>R11Street Lighting Sale</v>
      </c>
    </row>
    <row r="1237" spans="1:45" s="125" customFormat="1" ht="25.5" customHeight="1">
      <c r="A1237" s="216" t="s">
        <v>1996</v>
      </c>
      <c r="B1237" s="217" t="str">
        <f>CONCATENATE(A1237,C1237,D1237,E1237)</f>
        <v>Def Tax282200BT010379</v>
      </c>
      <c r="C1237" s="186">
        <v>282200</v>
      </c>
      <c r="D1237" s="201"/>
      <c r="E1237" s="162" t="s">
        <v>4595</v>
      </c>
      <c r="F1237" s="169" t="s">
        <v>2944</v>
      </c>
      <c r="G1237" s="117" t="s">
        <v>4594</v>
      </c>
      <c r="H1237" s="118" t="s">
        <v>4604</v>
      </c>
      <c r="I1237" s="119"/>
      <c r="J1237" s="120"/>
      <c r="K1237" s="120" t="str">
        <f t="shared" si="503"/>
        <v/>
      </c>
      <c r="L1237" s="170" t="s">
        <v>1895</v>
      </c>
      <c r="M1237" s="122" t="str">
        <f t="shared" si="495"/>
        <v>R</v>
      </c>
      <c r="N1237" s="116" t="str">
        <f>IF($L1237&lt;&gt;"",VLOOKUP($L1237,Categories!$E:$G,2,FALSE),IF($F1237&lt;&gt;"","NO CAT",""))</f>
        <v>Rate Base</v>
      </c>
      <c r="O1237" s="116" t="str">
        <f>IF($L1237&lt;&gt;"",VLOOKUP($L1237,Categories!$E:$G,3,FALSE),IF($F1237&lt;&gt;"","NO CAT",""))</f>
        <v>Deferred Income Taxes</v>
      </c>
      <c r="P1237" s="170" t="s">
        <v>1183</v>
      </c>
      <c r="Q1237" s="123" t="s">
        <v>1177</v>
      </c>
      <c r="R1237" s="124">
        <v>1</v>
      </c>
      <c r="S1237" s="124">
        <v>0</v>
      </c>
      <c r="T1237" s="124">
        <v>0</v>
      </c>
      <c r="U1237" s="121">
        <f t="shared" si="496"/>
        <v>92.069000000000003</v>
      </c>
      <c r="V1237" s="121">
        <f t="shared" si="497"/>
        <v>0</v>
      </c>
      <c r="W1237" s="121">
        <f t="shared" si="498"/>
        <v>0</v>
      </c>
      <c r="X1237" s="121">
        <f t="shared" si="492"/>
        <v>92.069000000000003</v>
      </c>
      <c r="Y1237" s="121">
        <f t="shared" si="499"/>
        <v>92.069000000000003</v>
      </c>
      <c r="Z1237" s="121">
        <f t="shared" si="500"/>
        <v>0</v>
      </c>
      <c r="AA1237" s="121">
        <f t="shared" si="501"/>
        <v>0</v>
      </c>
      <c r="AB1237" s="121">
        <f t="shared" si="493"/>
        <v>92.069000000000003</v>
      </c>
      <c r="AC1237" s="121">
        <v>92.069000000000003</v>
      </c>
      <c r="AD1237" s="121">
        <v>92.069000000000003</v>
      </c>
      <c r="AE1237" s="121">
        <v>92.069000000000003</v>
      </c>
      <c r="AF1237" s="121">
        <v>92.069000000000003</v>
      </c>
      <c r="AG1237" s="121">
        <v>92.069000000000003</v>
      </c>
      <c r="AH1237" s="121">
        <v>92.069000000000003</v>
      </c>
      <c r="AI1237" s="161">
        <v>92.069000000000003</v>
      </c>
      <c r="AJ1237" s="161">
        <v>92.069000000000003</v>
      </c>
      <c r="AK1237" s="161">
        <v>92.069000000000003</v>
      </c>
      <c r="AL1237" s="161">
        <v>92.069000000000003</v>
      </c>
      <c r="AM1237" s="161">
        <v>92.069000000000003</v>
      </c>
      <c r="AN1237" s="161">
        <v>92.069000000000003</v>
      </c>
      <c r="AO1237" s="161">
        <v>92.069000000000003</v>
      </c>
      <c r="AP1237" s="125" t="str">
        <f>CONCATENATE(A1237,M1237)</f>
        <v>Def TaxR</v>
      </c>
      <c r="AQ1237" s="125" t="str">
        <f>CONCATENATE(AP1237,L1237,H1237)</f>
        <v>Def TaxRR11Street Lighting Sale</v>
      </c>
      <c r="AS1237" s="125" t="str">
        <f>CONCATENATE(L1237,H1237,J1237)</f>
        <v>R11Street Lighting Sale</v>
      </c>
    </row>
    <row r="1238" spans="1:45" s="125" customFormat="1" ht="25.5" customHeight="1">
      <c r="A1238" s="216" t="s">
        <v>1996</v>
      </c>
      <c r="B1238" s="217" t="str">
        <f t="shared" si="489"/>
        <v>Def Tax282200Multiple: 282.11.09/282.11.05/282.11.03/IBO Costs/NIRP CostsBT010020</v>
      </c>
      <c r="C1238" s="186">
        <v>282200</v>
      </c>
      <c r="D1238" s="201" t="s">
        <v>1210</v>
      </c>
      <c r="E1238" s="162" t="s">
        <v>96</v>
      </c>
      <c r="F1238" s="169" t="s">
        <v>2944</v>
      </c>
      <c r="G1238" s="117" t="s">
        <v>1357</v>
      </c>
      <c r="H1238" s="118" t="s">
        <v>1364</v>
      </c>
      <c r="I1238" s="119"/>
      <c r="J1238" s="120"/>
      <c r="K1238" s="120" t="str">
        <f t="shared" si="503"/>
        <v/>
      </c>
      <c r="L1238" s="170" t="s">
        <v>1895</v>
      </c>
      <c r="M1238" s="122" t="str">
        <f t="shared" si="495"/>
        <v>R</v>
      </c>
      <c r="N1238" s="116" t="str">
        <f>IF($L1238&lt;&gt;"",VLOOKUP($L1238,Categories!$E:$G,2,FALSE),IF($F1238&lt;&gt;"","NO CAT",""))</f>
        <v>Rate Base</v>
      </c>
      <c r="O1238" s="116" t="str">
        <f>IF($L1238&lt;&gt;"",VLOOKUP($L1238,Categories!$E:$G,3,FALSE),IF($F1238&lt;&gt;"","NO CAT",""))</f>
        <v>Deferred Income Taxes</v>
      </c>
      <c r="P1238" s="170" t="s">
        <v>1183</v>
      </c>
      <c r="Q1238" s="123" t="s">
        <v>1177</v>
      </c>
      <c r="R1238" s="124">
        <v>1</v>
      </c>
      <c r="S1238" s="124">
        <v>0</v>
      </c>
      <c r="T1238" s="124">
        <v>0</v>
      </c>
      <c r="U1238" s="121">
        <f t="shared" si="483"/>
        <v>-18533.126698749998</v>
      </c>
      <c r="V1238" s="121">
        <f t="shared" si="484"/>
        <v>0</v>
      </c>
      <c r="W1238" s="121">
        <f t="shared" si="485"/>
        <v>0</v>
      </c>
      <c r="X1238" s="121">
        <f t="shared" si="492"/>
        <v>-18533.126698749998</v>
      </c>
      <c r="Y1238" s="121">
        <f t="shared" si="486"/>
        <v>-19869.731469999999</v>
      </c>
      <c r="Z1238" s="121">
        <f t="shared" si="487"/>
        <v>0</v>
      </c>
      <c r="AA1238" s="121">
        <f t="shared" si="488"/>
        <v>0</v>
      </c>
      <c r="AB1238" s="121">
        <f t="shared" si="493"/>
        <v>-19869.731470000002</v>
      </c>
      <c r="AC1238" s="121">
        <v>-17199.433660000002</v>
      </c>
      <c r="AD1238" s="121">
        <v>-17422.041290000001</v>
      </c>
      <c r="AE1238" s="121">
        <v>-17639.164530000002</v>
      </c>
      <c r="AF1238" s="121">
        <v>-17861.781240000004</v>
      </c>
      <c r="AG1238" s="121">
        <v>-18085.993840000003</v>
      </c>
      <c r="AH1238" s="121">
        <v>-18308.032270000003</v>
      </c>
      <c r="AI1238" s="161">
        <v>-18532.457730000006</v>
      </c>
      <c r="AJ1238" s="161">
        <v>-18757.318130000003</v>
      </c>
      <c r="AK1238" s="161">
        <v>-18981.996840000003</v>
      </c>
      <c r="AL1238" s="161">
        <v>-19202.683420000001</v>
      </c>
      <c r="AM1238" s="161">
        <v>-19424.342810000002</v>
      </c>
      <c r="AN1238" s="161">
        <v>-19647.125720000004</v>
      </c>
      <c r="AO1238" s="161">
        <v>-19869.731470000002</v>
      </c>
      <c r="AP1238" s="125" t="str">
        <f>CONCATENATE(A1238,M1238)</f>
        <v>Def TaxR</v>
      </c>
      <c r="AQ1238" s="125" t="str">
        <f>CONCATENATE(AP1238,L1238,H1238)</f>
        <v>Def TaxRR11Accelerated Depreciation</v>
      </c>
      <c r="AS1238" s="125" t="str">
        <f>CONCATENATE(L1238,H1238,J1238)</f>
        <v>R11Accelerated Depreciation</v>
      </c>
    </row>
    <row r="1239" spans="1:45" s="125" customFormat="1" ht="25.5" customHeight="1">
      <c r="A1239" s="216" t="s">
        <v>1996</v>
      </c>
      <c r="B1239" s="217" t="str">
        <f t="shared" si="489"/>
        <v>Def Tax2822000-282.11.09BT010190</v>
      </c>
      <c r="C1239" s="186">
        <v>282200</v>
      </c>
      <c r="D1239" s="201" t="s">
        <v>2892</v>
      </c>
      <c r="E1239" s="162" t="s">
        <v>98</v>
      </c>
      <c r="F1239" s="169" t="s">
        <v>2944</v>
      </c>
      <c r="G1239" s="117" t="s">
        <v>97</v>
      </c>
      <c r="H1239" s="118" t="s">
        <v>1364</v>
      </c>
      <c r="I1239" s="119"/>
      <c r="J1239" s="120"/>
      <c r="K1239" s="120" t="str">
        <f t="shared" si="503"/>
        <v/>
      </c>
      <c r="L1239" s="170" t="s">
        <v>1895</v>
      </c>
      <c r="M1239" s="122" t="str">
        <f t="shared" si="490"/>
        <v>R</v>
      </c>
      <c r="N1239" s="116" t="str">
        <f>IF($L1239&lt;&gt;"",VLOOKUP($L1239,Categories!$E:$G,2,FALSE),IF($F1239&lt;&gt;"","NO CAT",""))</f>
        <v>Rate Base</v>
      </c>
      <c r="O1239" s="116" t="str">
        <f>IF($L1239&lt;&gt;"",VLOOKUP($L1239,Categories!$E:$G,3,FALSE),IF($F1239&lt;&gt;"","NO CAT",""))</f>
        <v>Deferred Income Taxes</v>
      </c>
      <c r="P1239" s="170" t="s">
        <v>1183</v>
      </c>
      <c r="Q1239" s="123" t="s">
        <v>1177</v>
      </c>
      <c r="R1239" s="124">
        <v>1</v>
      </c>
      <c r="S1239" s="124">
        <v>0</v>
      </c>
      <c r="T1239" s="124">
        <v>0</v>
      </c>
      <c r="U1239" s="121">
        <f t="shared" si="483"/>
        <v>8543.4286766666701</v>
      </c>
      <c r="V1239" s="121">
        <f t="shared" si="484"/>
        <v>0</v>
      </c>
      <c r="W1239" s="121">
        <f t="shared" si="485"/>
        <v>0</v>
      </c>
      <c r="X1239" s="121">
        <f t="shared" si="492"/>
        <v>8543.4286766666701</v>
      </c>
      <c r="Y1239" s="121">
        <f t="shared" si="486"/>
        <v>9032.6049999999996</v>
      </c>
      <c r="Z1239" s="121">
        <f t="shared" si="487"/>
        <v>0</v>
      </c>
      <c r="AA1239" s="121">
        <f t="shared" si="488"/>
        <v>0</v>
      </c>
      <c r="AB1239" s="121">
        <f t="shared" si="493"/>
        <v>9032.6049999999996</v>
      </c>
      <c r="AC1239" s="121">
        <v>8100.6049999999987</v>
      </c>
      <c r="AD1239" s="121">
        <v>8131.9189999999999</v>
      </c>
      <c r="AE1239" s="121">
        <v>8163.2329999999993</v>
      </c>
      <c r="AF1239" s="121">
        <v>8194.5469999999987</v>
      </c>
      <c r="AG1239" s="121">
        <v>8411.2716700000001</v>
      </c>
      <c r="AH1239" s="121">
        <v>8488.9383400000006</v>
      </c>
      <c r="AI1239" s="161">
        <v>8566.6050099999993</v>
      </c>
      <c r="AJ1239" s="161">
        <v>8644.2716799999998</v>
      </c>
      <c r="AK1239" s="161">
        <v>8721.9383500000004</v>
      </c>
      <c r="AL1239" s="161">
        <v>8799.6050199999991</v>
      </c>
      <c r="AM1239" s="161">
        <v>8877.2716899999996</v>
      </c>
      <c r="AN1239" s="161">
        <v>8954.9383600000001</v>
      </c>
      <c r="AO1239" s="161">
        <v>9032.6049999999996</v>
      </c>
      <c r="AP1239" s="125" t="str">
        <f>CONCATENATE(A1239,M1239)</f>
        <v>Def TaxR</v>
      </c>
      <c r="AQ1239" s="125" t="str">
        <f>CONCATENATE(AP1239,L1239,H1239)</f>
        <v>Def TaxRR11Accelerated Depreciation</v>
      </c>
      <c r="AS1239" s="125" t="str">
        <f>CONCATENATE(L1239,H1239,J1239)</f>
        <v>R11Accelerated Depreciation</v>
      </c>
    </row>
    <row r="1240" spans="1:45" s="125" customFormat="1" ht="25.5" customHeight="1">
      <c r="A1240" s="216" t="s">
        <v>1996</v>
      </c>
      <c r="B1240" s="217" t="str">
        <f t="shared" si="489"/>
        <v>Def Tax2822000BT010190</v>
      </c>
      <c r="C1240" s="186">
        <v>282200</v>
      </c>
      <c r="D1240" s="201">
        <v>0</v>
      </c>
      <c r="E1240" s="162" t="s">
        <v>98</v>
      </c>
      <c r="F1240" s="169" t="s">
        <v>2944</v>
      </c>
      <c r="G1240" s="117" t="s">
        <v>1320</v>
      </c>
      <c r="H1240" s="118" t="s">
        <v>1364</v>
      </c>
      <c r="I1240" s="119"/>
      <c r="J1240" s="120"/>
      <c r="K1240" s="120" t="str">
        <f t="shared" si="503"/>
        <v/>
      </c>
      <c r="L1240" s="170" t="s">
        <v>1895</v>
      </c>
      <c r="M1240" s="122" t="str">
        <f t="shared" si="490"/>
        <v>R</v>
      </c>
      <c r="N1240" s="116" t="str">
        <f>IF($L1240&lt;&gt;"",VLOOKUP($L1240,Categories!$E:$G,2,FALSE),IF($F1240&lt;&gt;"","NO CAT",""))</f>
        <v>Rate Base</v>
      </c>
      <c r="O1240" s="116" t="str">
        <f>IF($L1240&lt;&gt;"",VLOOKUP($L1240,Categories!$E:$G,3,FALSE),IF($F1240&lt;&gt;"","NO CAT",""))</f>
        <v>Deferred Income Taxes</v>
      </c>
      <c r="P1240" s="170" t="s">
        <v>1183</v>
      </c>
      <c r="Q1240" s="123" t="s">
        <v>1177</v>
      </c>
      <c r="R1240" s="124">
        <v>1</v>
      </c>
      <c r="S1240" s="124">
        <v>0</v>
      </c>
      <c r="T1240" s="124">
        <v>0</v>
      </c>
      <c r="U1240" s="121">
        <f t="shared" si="483"/>
        <v>-490.14547166666699</v>
      </c>
      <c r="V1240" s="121">
        <f t="shared" si="484"/>
        <v>0</v>
      </c>
      <c r="W1240" s="121">
        <f t="shared" si="485"/>
        <v>0</v>
      </c>
      <c r="X1240" s="121">
        <f t="shared" si="492"/>
        <v>-490.14547166666699</v>
      </c>
      <c r="Y1240" s="121">
        <f t="shared" si="486"/>
        <v>-537.74549000000002</v>
      </c>
      <c r="Z1240" s="121">
        <f t="shared" si="487"/>
        <v>0</v>
      </c>
      <c r="AA1240" s="121">
        <f t="shared" si="488"/>
        <v>0</v>
      </c>
      <c r="AB1240" s="121">
        <f t="shared" si="493"/>
        <v>-537.74549000000047</v>
      </c>
      <c r="AC1240" s="121">
        <v>-442.54549000000026</v>
      </c>
      <c r="AD1240" s="121">
        <v>-450.47881999999998</v>
      </c>
      <c r="AE1240" s="121">
        <v>-458.41215000000034</v>
      </c>
      <c r="AF1240" s="121">
        <v>-466.34548000000035</v>
      </c>
      <c r="AG1240" s="121">
        <v>-474.27881000000036</v>
      </c>
      <c r="AH1240" s="121">
        <v>-482.21213999999998</v>
      </c>
      <c r="AI1240" s="161">
        <v>-490.14547000000039</v>
      </c>
      <c r="AJ1240" s="161">
        <v>-498.0788000000004</v>
      </c>
      <c r="AK1240" s="161">
        <v>-506.01213000000041</v>
      </c>
      <c r="AL1240" s="161">
        <v>-513.94546000000048</v>
      </c>
      <c r="AM1240" s="161">
        <v>-521.87879000000044</v>
      </c>
      <c r="AN1240" s="161">
        <v>-529.8121200000005</v>
      </c>
      <c r="AO1240" s="161">
        <v>-537.74549000000047</v>
      </c>
      <c r="AP1240" s="125" t="str">
        <f>CONCATENATE(A1240,M1240)</f>
        <v>Def TaxR</v>
      </c>
      <c r="AQ1240" s="125" t="str">
        <f>CONCATENATE(AP1240,L1240,H1240)</f>
        <v>Def TaxRR11Accelerated Depreciation</v>
      </c>
      <c r="AS1240" s="125" t="str">
        <f>CONCATENATE(L1240,H1240,J1240)</f>
        <v>R11Accelerated Depreciation</v>
      </c>
    </row>
    <row r="1241" spans="1:45" s="125" customFormat="1" ht="25.5" customHeight="1">
      <c r="A1241" s="216" t="s">
        <v>1996</v>
      </c>
      <c r="B1241" s="217" t="str">
        <f>CONCATENATE(A1241,C1241,D1241,E1241)</f>
        <v>Def Tax282200BT010206</v>
      </c>
      <c r="C1241" s="186">
        <v>282200</v>
      </c>
      <c r="D1241" s="201"/>
      <c r="E1241" s="162" t="s">
        <v>492</v>
      </c>
      <c r="F1241" s="169" t="s">
        <v>2944</v>
      </c>
      <c r="G1241" s="117" t="s">
        <v>2379</v>
      </c>
      <c r="H1241" s="118" t="s">
        <v>2219</v>
      </c>
      <c r="I1241" s="119"/>
      <c r="J1241" s="120"/>
      <c r="K1241" s="120" t="str">
        <f t="shared" si="503"/>
        <v/>
      </c>
      <c r="L1241" s="170" t="s">
        <v>928</v>
      </c>
      <c r="M1241" s="122" t="str">
        <f t="shared" si="490"/>
        <v>N</v>
      </c>
      <c r="N1241" s="116" t="str">
        <f>IF($L1241&lt;&gt;"",VLOOKUP($L1241,Categories!$E:$G,2,FALSE),IF($F1241&lt;&gt;"","NO CAT",""))</f>
        <v>Not in Rate Base</v>
      </c>
      <c r="O1241" s="116" t="str">
        <f>IF($L1241&lt;&gt;"",VLOOKUP($L1241,Categories!$E:$G,3,FALSE),IF($F1241&lt;&gt;"","NO CAT",""))</f>
        <v>Direct Assign Items Not in RB</v>
      </c>
      <c r="P1241" s="170" t="s">
        <v>1186</v>
      </c>
      <c r="Q1241" s="123" t="s">
        <v>1187</v>
      </c>
      <c r="R1241" s="124">
        <v>0</v>
      </c>
      <c r="S1241" s="124">
        <v>0</v>
      </c>
      <c r="T1241" s="124">
        <v>1</v>
      </c>
      <c r="U1241" s="121">
        <f t="shared" si="483"/>
        <v>0</v>
      </c>
      <c r="V1241" s="121">
        <f t="shared" si="484"/>
        <v>0</v>
      </c>
      <c r="W1241" s="121">
        <f t="shared" si="485"/>
        <v>-1203.8719816666701</v>
      </c>
      <c r="X1241" s="121">
        <f t="shared" si="492"/>
        <v>-1203.8719816666701</v>
      </c>
      <c r="Y1241" s="121">
        <f t="shared" si="486"/>
        <v>0</v>
      </c>
      <c r="Z1241" s="121">
        <f t="shared" si="487"/>
        <v>0</v>
      </c>
      <c r="AA1241" s="121">
        <f t="shared" si="488"/>
        <v>-1229.8720000000001</v>
      </c>
      <c r="AB1241" s="121">
        <f t="shared" si="493"/>
        <v>-1229.8720000000014</v>
      </c>
      <c r="AC1241" s="121">
        <v>-1177.8720000000005</v>
      </c>
      <c r="AD1241" s="121">
        <v>-1182.2053300000005</v>
      </c>
      <c r="AE1241" s="121">
        <v>-1186.5386600000006</v>
      </c>
      <c r="AF1241" s="121">
        <v>-1190.8719900000008</v>
      </c>
      <c r="AG1241" s="121">
        <v>-1195.2053200000007</v>
      </c>
      <c r="AH1241" s="121">
        <v>-1199.5386500000009</v>
      </c>
      <c r="AI1241" s="161">
        <v>-1203.8719800000008</v>
      </c>
      <c r="AJ1241" s="161">
        <v>-1208.205310000001</v>
      </c>
      <c r="AK1241" s="161">
        <v>-1212.5386400000011</v>
      </c>
      <c r="AL1241" s="161">
        <v>-1216.8719700000011</v>
      </c>
      <c r="AM1241" s="161">
        <v>-1221.2053000000012</v>
      </c>
      <c r="AN1241" s="161">
        <v>-1225.5386300000014</v>
      </c>
      <c r="AO1241" s="161">
        <v>-1229.8720000000014</v>
      </c>
      <c r="AP1241" s="125" t="str">
        <f>CONCATENATE(A1241,M1241)</f>
        <v>Def TaxN</v>
      </c>
      <c r="AQ1241" s="125" t="str">
        <f>CONCATENATE(AP1241,L1241,H1241)</f>
        <v>Def TaxNN2Research &amp; Development</v>
      </c>
      <c r="AS1241" s="125" t="str">
        <f>CONCATENATE(L1241,H1241,J1241)</f>
        <v>N2Research &amp; Development</v>
      </c>
    </row>
    <row r="1242" spans="1:45" s="125" customFormat="1" ht="25.5" customHeight="1">
      <c r="A1242" s="216" t="s">
        <v>1996</v>
      </c>
      <c r="B1242" s="217" t="str">
        <f t="shared" si="489"/>
        <v>Def Tax282200Multiple: 282.11.09/282.11.05/282.11.03/IBO Costs/NIRP CostsBT010197</v>
      </c>
      <c r="C1242" s="186">
        <v>282200</v>
      </c>
      <c r="D1242" s="201" t="s">
        <v>1210</v>
      </c>
      <c r="E1242" s="162" t="s">
        <v>1321</v>
      </c>
      <c r="F1242" s="169" t="s">
        <v>2944</v>
      </c>
      <c r="G1242" s="117" t="s">
        <v>1358</v>
      </c>
      <c r="H1242" s="118" t="s">
        <v>1364</v>
      </c>
      <c r="I1242" s="119"/>
      <c r="J1242" s="120"/>
      <c r="K1242" s="120" t="str">
        <f t="shared" si="503"/>
        <v/>
      </c>
      <c r="L1242" s="170" t="s">
        <v>1895</v>
      </c>
      <c r="M1242" s="122" t="str">
        <f t="shared" si="490"/>
        <v>R</v>
      </c>
      <c r="N1242" s="116" t="str">
        <f>IF($L1242&lt;&gt;"",VLOOKUP($L1242,Categories!$E:$G,2,FALSE),IF($F1242&lt;&gt;"","NO CAT",""))</f>
        <v>Rate Base</v>
      </c>
      <c r="O1242" s="116" t="str">
        <f>IF($L1242&lt;&gt;"",VLOOKUP($L1242,Categories!$E:$G,3,FALSE),IF($F1242&lt;&gt;"","NO CAT",""))</f>
        <v>Deferred Income Taxes</v>
      </c>
      <c r="P1242" s="170" t="s">
        <v>1183</v>
      </c>
      <c r="Q1242" s="123" t="s">
        <v>1177</v>
      </c>
      <c r="R1242" s="124">
        <v>1</v>
      </c>
      <c r="S1242" s="124">
        <v>0</v>
      </c>
      <c r="T1242" s="124">
        <v>0</v>
      </c>
      <c r="U1242" s="121">
        <f t="shared" si="483"/>
        <v>9557.0628941666691</v>
      </c>
      <c r="V1242" s="121">
        <f t="shared" si="484"/>
        <v>0</v>
      </c>
      <c r="W1242" s="121">
        <f t="shared" si="485"/>
        <v>0</v>
      </c>
      <c r="X1242" s="121">
        <f t="shared" si="492"/>
        <v>9557.0628941666691</v>
      </c>
      <c r="Y1242" s="121">
        <f t="shared" si="486"/>
        <v>10609.560299999999</v>
      </c>
      <c r="Z1242" s="121">
        <f t="shared" si="487"/>
        <v>0</v>
      </c>
      <c r="AA1242" s="121">
        <f t="shared" si="488"/>
        <v>0</v>
      </c>
      <c r="AB1242" s="121">
        <f t="shared" si="493"/>
        <v>10609.560300000005</v>
      </c>
      <c r="AC1242" s="121">
        <v>8780.6470400000017</v>
      </c>
      <c r="AD1242" s="121">
        <v>8875.3068500000008</v>
      </c>
      <c r="AE1242" s="121">
        <v>8969.9666600000019</v>
      </c>
      <c r="AF1242" s="121">
        <v>9064.6264700000029</v>
      </c>
      <c r="AG1242" s="121">
        <v>9159.2862700000042</v>
      </c>
      <c r="AH1242" s="121">
        <v>9253.9460800000033</v>
      </c>
      <c r="AI1242" s="161">
        <v>9348.6058900000044</v>
      </c>
      <c r="AJ1242" s="161">
        <v>9443.2657000000054</v>
      </c>
      <c r="AK1242" s="161">
        <v>9841.9238400000049</v>
      </c>
      <c r="AL1242" s="161">
        <v>10211.581500000006</v>
      </c>
      <c r="AM1242" s="161">
        <v>10344.241100000005</v>
      </c>
      <c r="AN1242" s="161">
        <v>10476.900700000006</v>
      </c>
      <c r="AO1242" s="161">
        <v>10609.560300000005</v>
      </c>
      <c r="AP1242" s="125" t="str">
        <f>CONCATENATE(A1242,M1242)</f>
        <v>Def TaxR</v>
      </c>
      <c r="AQ1242" s="125" t="str">
        <f>CONCATENATE(AP1242,L1242,H1242)</f>
        <v>Def TaxRR11Accelerated Depreciation</v>
      </c>
      <c r="AS1242" s="125" t="str">
        <f>CONCATENATE(L1242,H1242,J1242)</f>
        <v>R11Accelerated Depreciation</v>
      </c>
    </row>
    <row r="1243" spans="1:45" s="125" customFormat="1" ht="25.5" customHeight="1">
      <c r="A1243" s="216" t="s">
        <v>1996</v>
      </c>
      <c r="B1243" s="217" t="str">
        <f t="shared" si="489"/>
        <v>Def Tax282200Multiple: 282.11.09/282.11.05/282.11.03/IBO Costs/NIRP CostsBT010198</v>
      </c>
      <c r="C1243" s="186">
        <v>282200</v>
      </c>
      <c r="D1243" s="201" t="s">
        <v>1210</v>
      </c>
      <c r="E1243" s="162" t="s">
        <v>1322</v>
      </c>
      <c r="F1243" s="169" t="s">
        <v>2944</v>
      </c>
      <c r="G1243" s="117" t="s">
        <v>1359</v>
      </c>
      <c r="H1243" s="118" t="s">
        <v>1364</v>
      </c>
      <c r="I1243" s="119"/>
      <c r="J1243" s="120"/>
      <c r="K1243" s="120" t="str">
        <f t="shared" si="503"/>
        <v/>
      </c>
      <c r="L1243" s="170" t="s">
        <v>1895</v>
      </c>
      <c r="M1243" s="122" t="str">
        <f t="shared" si="490"/>
        <v>R</v>
      </c>
      <c r="N1243" s="116" t="str">
        <f>IF($L1243&lt;&gt;"",VLOOKUP($L1243,Categories!$E:$G,2,FALSE),IF($F1243&lt;&gt;"","NO CAT",""))</f>
        <v>Rate Base</v>
      </c>
      <c r="O1243" s="116" t="str">
        <f>IF($L1243&lt;&gt;"",VLOOKUP($L1243,Categories!$E:$G,3,FALSE),IF($F1243&lt;&gt;"","NO CAT",""))</f>
        <v>Deferred Income Taxes</v>
      </c>
      <c r="P1243" s="170" t="s">
        <v>1183</v>
      </c>
      <c r="Q1243" s="123" t="s">
        <v>1177</v>
      </c>
      <c r="R1243" s="124">
        <v>1</v>
      </c>
      <c r="S1243" s="124">
        <v>0</v>
      </c>
      <c r="T1243" s="124">
        <v>0</v>
      </c>
      <c r="U1243" s="121">
        <f t="shared" si="483"/>
        <v>10944.5110083333</v>
      </c>
      <c r="V1243" s="121">
        <f t="shared" si="484"/>
        <v>0</v>
      </c>
      <c r="W1243" s="121">
        <f t="shared" si="485"/>
        <v>0</v>
      </c>
      <c r="X1243" s="121">
        <f t="shared" si="492"/>
        <v>10944.5110083333</v>
      </c>
      <c r="Y1243" s="121">
        <f t="shared" si="486"/>
        <v>11564.59087</v>
      </c>
      <c r="Z1243" s="121">
        <f t="shared" si="487"/>
        <v>0</v>
      </c>
      <c r="AA1243" s="121">
        <f t="shared" si="488"/>
        <v>0</v>
      </c>
      <c r="AB1243" s="121">
        <f t="shared" si="493"/>
        <v>11564.590869999987</v>
      </c>
      <c r="AC1243" s="121">
        <v>10216.529509999995</v>
      </c>
      <c r="AD1243" s="121">
        <v>10350.448279999993</v>
      </c>
      <c r="AE1243" s="121">
        <v>10484.367059999993</v>
      </c>
      <c r="AF1243" s="121">
        <v>10618.285829999993</v>
      </c>
      <c r="AG1243" s="121">
        <v>10752.204609999992</v>
      </c>
      <c r="AH1243" s="121">
        <v>10886.123379999992</v>
      </c>
      <c r="AI1243" s="161">
        <v>11020.04215999999</v>
      </c>
      <c r="AJ1243" s="161">
        <v>11153.96092999999</v>
      </c>
      <c r="AK1243" s="161">
        <v>11287.87970999999</v>
      </c>
      <c r="AL1243" s="161">
        <v>11162.834539999989</v>
      </c>
      <c r="AM1243" s="161">
        <v>11296.753319999989</v>
      </c>
      <c r="AN1243" s="161">
        <v>11430.672089999989</v>
      </c>
      <c r="AO1243" s="161">
        <v>11564.590869999987</v>
      </c>
      <c r="AP1243" s="125" t="str">
        <f>CONCATENATE(A1243,M1243)</f>
        <v>Def TaxR</v>
      </c>
      <c r="AQ1243" s="125" t="str">
        <f>CONCATENATE(AP1243,L1243,H1243)</f>
        <v>Def TaxRR11Accelerated Depreciation</v>
      </c>
      <c r="AS1243" s="125" t="str">
        <f>CONCATENATE(L1243,H1243,J1243)</f>
        <v>R11Accelerated Depreciation</v>
      </c>
    </row>
    <row r="1244" spans="1:45" s="125" customFormat="1" ht="25.5" customHeight="1">
      <c r="A1244" s="216" t="s">
        <v>1996</v>
      </c>
      <c r="B1244" s="217" t="str">
        <f t="shared" si="489"/>
        <v>Def Tax282200Multiple: 282.11.09/282.11.05/282.11.03/IBO Costs/NIRP Costs-aBT010229</v>
      </c>
      <c r="C1244" s="186">
        <v>282200</v>
      </c>
      <c r="D1244" s="201" t="s">
        <v>2721</v>
      </c>
      <c r="E1244" s="162" t="s">
        <v>1323</v>
      </c>
      <c r="F1244" s="169" t="s">
        <v>2944</v>
      </c>
      <c r="G1244" s="117" t="s">
        <v>366</v>
      </c>
      <c r="H1244" s="118" t="s">
        <v>1364</v>
      </c>
      <c r="I1244" s="119"/>
      <c r="J1244" s="120"/>
      <c r="K1244" s="120" t="str">
        <f t="shared" si="503"/>
        <v/>
      </c>
      <c r="L1244" s="170" t="s">
        <v>1895</v>
      </c>
      <c r="M1244" s="122" t="str">
        <f t="shared" si="490"/>
        <v>R</v>
      </c>
      <c r="N1244" s="116" t="str">
        <f>IF($L1244&lt;&gt;"",VLOOKUP($L1244,Categories!$E:$G,2,FALSE),IF($F1244&lt;&gt;"","NO CAT",""))</f>
        <v>Rate Base</v>
      </c>
      <c r="O1244" s="116" t="str">
        <f>IF($L1244&lt;&gt;"",VLOOKUP($L1244,Categories!$E:$G,3,FALSE),IF($F1244&lt;&gt;"","NO CAT",""))</f>
        <v>Deferred Income Taxes</v>
      </c>
      <c r="P1244" s="170" t="s">
        <v>1183</v>
      </c>
      <c r="Q1244" s="123" t="s">
        <v>1177</v>
      </c>
      <c r="R1244" s="124">
        <v>1</v>
      </c>
      <c r="S1244" s="124">
        <v>0</v>
      </c>
      <c r="T1244" s="124">
        <v>0</v>
      </c>
      <c r="U1244" s="121">
        <f t="shared" si="483"/>
        <v>-404428.21975500003</v>
      </c>
      <c r="V1244" s="121">
        <f t="shared" si="484"/>
        <v>0</v>
      </c>
      <c r="W1244" s="121">
        <f t="shared" si="485"/>
        <v>0</v>
      </c>
      <c r="X1244" s="121">
        <f t="shared" si="492"/>
        <v>-404428.21975500003</v>
      </c>
      <c r="Y1244" s="121">
        <f t="shared" si="486"/>
        <v>-423319.32457</v>
      </c>
      <c r="Z1244" s="121">
        <f t="shared" si="487"/>
        <v>0</v>
      </c>
      <c r="AA1244" s="121">
        <f t="shared" si="488"/>
        <v>0</v>
      </c>
      <c r="AB1244" s="121">
        <f t="shared" si="493"/>
        <v>-423319.32457</v>
      </c>
      <c r="AC1244" s="121">
        <v>-398333.64687</v>
      </c>
      <c r="AD1244" s="121">
        <v>-399795.56453999999</v>
      </c>
      <c r="AE1244" s="121">
        <v>-401257.48220000003</v>
      </c>
      <c r="AF1244" s="121">
        <v>-402719.39987000008</v>
      </c>
      <c r="AG1244" s="121">
        <v>-399655.08587000007</v>
      </c>
      <c r="AH1244" s="121">
        <v>-399985.44562000001</v>
      </c>
      <c r="AI1244" s="161">
        <v>-400315.80537000007</v>
      </c>
      <c r="AJ1244" s="161">
        <v>-400646.16512000008</v>
      </c>
      <c r="AK1244" s="161">
        <v>-400711.19154000009</v>
      </c>
      <c r="AL1244" s="161">
        <v>-406415.46532000008</v>
      </c>
      <c r="AM1244" s="161">
        <v>-414849.81840000005</v>
      </c>
      <c r="AN1244" s="161">
        <v>-415960.72749000002</v>
      </c>
      <c r="AO1244" s="161">
        <v>-423319.32457</v>
      </c>
      <c r="AP1244" s="125" t="str">
        <f>CONCATENATE(A1244,M1244)</f>
        <v>Def TaxR</v>
      </c>
      <c r="AQ1244" s="125" t="str">
        <f>CONCATENATE(AP1244,L1244,H1244)</f>
        <v>Def TaxRR11Accelerated Depreciation</v>
      </c>
      <c r="AS1244" s="125" t="str">
        <f>CONCATENATE(L1244,H1244,J1244)</f>
        <v>R11Accelerated Depreciation</v>
      </c>
    </row>
    <row r="1245" spans="1:45" s="125" customFormat="1" ht="25.5" customHeight="1">
      <c r="A1245" s="216" t="s">
        <v>1996</v>
      </c>
      <c r="B1245" s="217" t="str">
        <f t="shared" ref="B1245:B1323" si="504">CONCATENATE(A1245,C1245,D1245,E1245)</f>
        <v>Def Tax282200Multiple: 282.11.09/282.11.05/282.11.03/IBO Costs/NIRP Costs-bBT010229</v>
      </c>
      <c r="C1245" s="186">
        <v>282200</v>
      </c>
      <c r="D1245" s="201" t="s">
        <v>2344</v>
      </c>
      <c r="E1245" s="162" t="s">
        <v>1323</v>
      </c>
      <c r="F1245" s="169" t="s">
        <v>2944</v>
      </c>
      <c r="G1245" s="117" t="s">
        <v>1360</v>
      </c>
      <c r="H1245" s="118" t="s">
        <v>1364</v>
      </c>
      <c r="I1245" s="119"/>
      <c r="J1245" s="120"/>
      <c r="K1245" s="120" t="str">
        <f t="shared" si="503"/>
        <v/>
      </c>
      <c r="L1245" s="170" t="s">
        <v>1895</v>
      </c>
      <c r="M1245" s="122" t="str">
        <f t="shared" si="490"/>
        <v>R</v>
      </c>
      <c r="N1245" s="116" t="str">
        <f>IF($L1245&lt;&gt;"",VLOOKUP($L1245,Categories!$E:$G,2,FALSE),IF($F1245&lt;&gt;"","NO CAT",""))</f>
        <v>Rate Base</v>
      </c>
      <c r="O1245" s="116" t="str">
        <f>IF($L1245&lt;&gt;"",VLOOKUP($L1245,Categories!$E:$G,3,FALSE),IF($F1245&lt;&gt;"","NO CAT",""))</f>
        <v>Deferred Income Taxes</v>
      </c>
      <c r="P1245" s="170" t="s">
        <v>1183</v>
      </c>
      <c r="Q1245" s="123" t="s">
        <v>1177</v>
      </c>
      <c r="R1245" s="124">
        <v>1</v>
      </c>
      <c r="S1245" s="124">
        <v>0</v>
      </c>
      <c r="T1245" s="124">
        <v>0</v>
      </c>
      <c r="U1245" s="121">
        <f t="shared" si="483"/>
        <v>3145.3095800000001</v>
      </c>
      <c r="V1245" s="121">
        <f t="shared" si="484"/>
        <v>0</v>
      </c>
      <c r="W1245" s="121">
        <f t="shared" si="485"/>
        <v>0</v>
      </c>
      <c r="X1245" s="121">
        <f t="shared" si="492"/>
        <v>3145.3095800000001</v>
      </c>
      <c r="Y1245" s="121">
        <f t="shared" si="486"/>
        <v>3145.3095800000001</v>
      </c>
      <c r="Z1245" s="121">
        <f t="shared" si="487"/>
        <v>0</v>
      </c>
      <c r="AA1245" s="121">
        <f t="shared" si="488"/>
        <v>0</v>
      </c>
      <c r="AB1245" s="121">
        <f t="shared" si="493"/>
        <v>3145.3095800000001</v>
      </c>
      <c r="AC1245" s="121">
        <v>3145.3095800000001</v>
      </c>
      <c r="AD1245" s="121">
        <v>3145.3095800000001</v>
      </c>
      <c r="AE1245" s="121">
        <v>3145.3095800000001</v>
      </c>
      <c r="AF1245" s="121">
        <v>3145.3095800000001</v>
      </c>
      <c r="AG1245" s="121">
        <v>3145.3095800000001</v>
      </c>
      <c r="AH1245" s="121">
        <v>3145.3095800000001</v>
      </c>
      <c r="AI1245" s="161">
        <v>3145.3095800000001</v>
      </c>
      <c r="AJ1245" s="161">
        <v>3145.3095800000001</v>
      </c>
      <c r="AK1245" s="161">
        <v>3145.3095800000001</v>
      </c>
      <c r="AL1245" s="161">
        <v>3145.3095800000001</v>
      </c>
      <c r="AM1245" s="161">
        <v>3145.3095800000001</v>
      </c>
      <c r="AN1245" s="161">
        <v>3145.3095800000001</v>
      </c>
      <c r="AO1245" s="161">
        <v>3145.3095800000001</v>
      </c>
      <c r="AP1245" s="125" t="str">
        <f>CONCATENATE(A1245,M1245)</f>
        <v>Def TaxR</v>
      </c>
      <c r="AQ1245" s="125" t="str">
        <f>CONCATENATE(AP1245,L1245,H1245)</f>
        <v>Def TaxRR11Accelerated Depreciation</v>
      </c>
      <c r="AS1245" s="125" t="str">
        <f>CONCATENATE(L1245,H1245,J1245)</f>
        <v>R11Accelerated Depreciation</v>
      </c>
    </row>
    <row r="1246" spans="1:45" s="125" customFormat="1" ht="25.5" customHeight="1">
      <c r="A1246" s="216" t="s">
        <v>1996</v>
      </c>
      <c r="B1246" s="217" t="str">
        <f t="shared" si="504"/>
        <v>Def Tax282200Theoretical Reserve-aBT010378</v>
      </c>
      <c r="C1246" s="186">
        <v>282200</v>
      </c>
      <c r="D1246" s="201" t="s">
        <v>2345</v>
      </c>
      <c r="E1246" s="162" t="s">
        <v>1021</v>
      </c>
      <c r="F1246" s="169" t="s">
        <v>2944</v>
      </c>
      <c r="G1246" s="117" t="s">
        <v>1020</v>
      </c>
      <c r="H1246" s="118" t="s">
        <v>1436</v>
      </c>
      <c r="I1246" s="119"/>
      <c r="J1246" s="120"/>
      <c r="K1246" s="120" t="str">
        <f t="shared" si="503"/>
        <v/>
      </c>
      <c r="L1246" s="170" t="s">
        <v>1895</v>
      </c>
      <c r="M1246" s="122" t="str">
        <f t="shared" si="490"/>
        <v>R</v>
      </c>
      <c r="N1246" s="116" t="str">
        <f>IF($L1246&lt;&gt;"",VLOOKUP($L1246,Categories!$E:$G,2,FALSE),IF($F1246&lt;&gt;"","NO CAT",""))</f>
        <v>Rate Base</v>
      </c>
      <c r="O1246" s="116" t="str">
        <f>IF($L1246&lt;&gt;"",VLOOKUP($L1246,Categories!$E:$G,3,FALSE),IF($F1246&lt;&gt;"","NO CAT",""))</f>
        <v>Deferred Income Taxes</v>
      </c>
      <c r="P1246" s="170" t="s">
        <v>1183</v>
      </c>
      <c r="Q1246" s="123" t="s">
        <v>1177</v>
      </c>
      <c r="R1246" s="124">
        <v>1</v>
      </c>
      <c r="S1246" s="124">
        <v>0</v>
      </c>
      <c r="T1246" s="124">
        <v>0</v>
      </c>
      <c r="U1246" s="121">
        <f t="shared" si="483"/>
        <v>-11089.28016875</v>
      </c>
      <c r="V1246" s="121">
        <f t="shared" si="484"/>
        <v>0</v>
      </c>
      <c r="W1246" s="121">
        <f t="shared" si="485"/>
        <v>0</v>
      </c>
      <c r="X1246" s="121">
        <f t="shared" si="492"/>
        <v>-11089.28016875</v>
      </c>
      <c r="Y1246" s="121">
        <f t="shared" si="486"/>
        <v>-12535.764499999999</v>
      </c>
      <c r="Z1246" s="121">
        <f t="shared" si="487"/>
        <v>0</v>
      </c>
      <c r="AA1246" s="121">
        <f t="shared" si="488"/>
        <v>0</v>
      </c>
      <c r="AB1246" s="121">
        <f t="shared" si="493"/>
        <v>-12535.764499999997</v>
      </c>
      <c r="AC1246" s="121">
        <v>-9642.8601499999986</v>
      </c>
      <c r="AD1246" s="121">
        <v>-9883.9226500000004</v>
      </c>
      <c r="AE1246" s="121">
        <v>-10124.985149999999</v>
      </c>
      <c r="AF1246" s="121">
        <v>-10366.047649999999</v>
      </c>
      <c r="AG1246" s="121">
        <v>-10607.110149999999</v>
      </c>
      <c r="AH1246" s="121">
        <v>-10848.17265</v>
      </c>
      <c r="AI1246" s="161">
        <v>-11089.235149999999</v>
      </c>
      <c r="AJ1246" s="161">
        <v>-11330.297649999999</v>
      </c>
      <c r="AK1246" s="161">
        <v>-11571.360149999999</v>
      </c>
      <c r="AL1246" s="161">
        <v>-11812.576999999997</v>
      </c>
      <c r="AM1246" s="161">
        <v>-12053.639499999997</v>
      </c>
      <c r="AN1246" s="161">
        <v>-12294.701999999997</v>
      </c>
      <c r="AO1246" s="161">
        <v>-12535.764499999997</v>
      </c>
      <c r="AP1246" s="125" t="str">
        <f>CONCATENATE(A1246,M1246)</f>
        <v>Def TaxR</v>
      </c>
      <c r="AQ1246" s="125" t="str">
        <f>CONCATENATE(AP1246,L1246,H1246)</f>
        <v>Def TaxRR11Theoretical Reserve</v>
      </c>
      <c r="AS1246" s="125" t="str">
        <f>CONCATENATE(L1246,H1246,J1246)</f>
        <v>R11Theoretical Reserve</v>
      </c>
    </row>
    <row r="1247" spans="1:45" s="125" customFormat="1" ht="25.5" customHeight="1">
      <c r="A1247" s="216" t="s">
        <v>1996</v>
      </c>
      <c r="B1247" s="217" t="str">
        <f>CONCATENATE(A1247,C1247,D1247,E1247)</f>
        <v>Def Tax282200BT010031</v>
      </c>
      <c r="C1247" s="186">
        <v>282200</v>
      </c>
      <c r="D1247" s="201"/>
      <c r="E1247" s="162" t="s">
        <v>613</v>
      </c>
      <c r="F1247" s="169" t="s">
        <v>2944</v>
      </c>
      <c r="G1247" s="117" t="s">
        <v>4560</v>
      </c>
      <c r="H1247" s="118" t="s">
        <v>170</v>
      </c>
      <c r="I1247" s="119"/>
      <c r="J1247" s="120"/>
      <c r="K1247" s="120" t="str">
        <f t="shared" si="503"/>
        <v/>
      </c>
      <c r="L1247" s="170" t="s">
        <v>1895</v>
      </c>
      <c r="M1247" s="122" t="str">
        <f>LEFT(L1247,1)</f>
        <v>R</v>
      </c>
      <c r="N1247" s="116" t="str">
        <f>IF($L1247&lt;&gt;"",VLOOKUP($L1247,Categories!$E:$G,2,FALSE),IF($F1247&lt;&gt;"","NO CAT",""))</f>
        <v>Rate Base</v>
      </c>
      <c r="O1247" s="116" t="str">
        <f>IF($L1247&lt;&gt;"",VLOOKUP($L1247,Categories!$E:$G,3,FALSE),IF($F1247&lt;&gt;"","NO CAT",""))</f>
        <v>Deferred Income Taxes</v>
      </c>
      <c r="P1247" s="170" t="s">
        <v>1553</v>
      </c>
      <c r="Q1247" s="123" t="s">
        <v>2587</v>
      </c>
      <c r="R1247" s="124">
        <v>0.81899999999999995</v>
      </c>
      <c r="S1247" s="124">
        <v>0.18099999999999999</v>
      </c>
      <c r="T1247" s="124">
        <v>0</v>
      </c>
      <c r="U1247" s="121">
        <f t="shared" si="483"/>
        <v>2369.85181797001</v>
      </c>
      <c r="V1247" s="121">
        <f t="shared" si="484"/>
        <v>523.74014536333505</v>
      </c>
      <c r="W1247" s="121">
        <f t="shared" si="485"/>
        <v>0</v>
      </c>
      <c r="X1247" s="121">
        <f t="shared" si="492"/>
        <v>2893.5919633333401</v>
      </c>
      <c r="Y1247" s="121">
        <f t="shared" si="486"/>
        <v>2449.0098360000002</v>
      </c>
      <c r="Z1247" s="121">
        <f t="shared" si="487"/>
        <v>541.23416400000099</v>
      </c>
      <c r="AA1247" s="121">
        <f t="shared" si="488"/>
        <v>0</v>
      </c>
      <c r="AB1247" s="121">
        <f t="shared" si="493"/>
        <v>2990.2440000000029</v>
      </c>
      <c r="AC1247" s="121">
        <v>2796.940000000001</v>
      </c>
      <c r="AD1247" s="121">
        <v>2813.0486600000013</v>
      </c>
      <c r="AE1247" s="121">
        <v>2829.1573200000012</v>
      </c>
      <c r="AF1247" s="121">
        <v>2845.2659800000015</v>
      </c>
      <c r="AG1247" s="121">
        <v>2861.3746400000014</v>
      </c>
      <c r="AH1247" s="121">
        <v>2877.4833000000017</v>
      </c>
      <c r="AI1247" s="161">
        <v>2893.591960000002</v>
      </c>
      <c r="AJ1247" s="161">
        <v>2909.7006200000019</v>
      </c>
      <c r="AK1247" s="161">
        <v>2925.8092800000022</v>
      </c>
      <c r="AL1247" s="161">
        <v>2941.9179400000021</v>
      </c>
      <c r="AM1247" s="161">
        <v>2958.0266000000024</v>
      </c>
      <c r="AN1247" s="161">
        <v>2974.1352600000027</v>
      </c>
      <c r="AO1247" s="161">
        <v>2990.2440000000029</v>
      </c>
      <c r="AP1247" s="125" t="str">
        <f>CONCATENATE(A1247,M1247)</f>
        <v>Def TaxR</v>
      </c>
      <c r="AQ1247" s="125" t="str">
        <f>CONCATENATE(AP1247,L1247,H1247)</f>
        <v>Def TaxRR11OPEBs</v>
      </c>
      <c r="AS1247" s="125" t="str">
        <f>CONCATENATE(L1247,H1247,J1247)</f>
        <v>R11OPEBs</v>
      </c>
    </row>
    <row r="1248" spans="1:45" s="125" customFormat="1" ht="25.5" customHeight="1">
      <c r="A1248" s="216" t="s">
        <v>1996</v>
      </c>
      <c r="B1248" s="217" t="str">
        <f t="shared" si="504"/>
        <v>Def Tax282200Theoretical Reserve-bBT010378</v>
      </c>
      <c r="C1248" s="186">
        <v>282200</v>
      </c>
      <c r="D1248" s="201" t="s">
        <v>2346</v>
      </c>
      <c r="E1248" s="162" t="s">
        <v>1021</v>
      </c>
      <c r="F1248" s="169" t="s">
        <v>2944</v>
      </c>
      <c r="G1248" s="117" t="s">
        <v>1022</v>
      </c>
      <c r="H1248" s="118" t="s">
        <v>1436</v>
      </c>
      <c r="I1248" s="119"/>
      <c r="J1248" s="120"/>
      <c r="K1248" s="120" t="str">
        <f t="shared" si="503"/>
        <v/>
      </c>
      <c r="L1248" s="170" t="s">
        <v>1895</v>
      </c>
      <c r="M1248" s="122" t="str">
        <f t="shared" ref="M1248:M1324" si="505">LEFT(L1248,1)</f>
        <v>R</v>
      </c>
      <c r="N1248" s="116" t="str">
        <f>IF($L1248&lt;&gt;"",VLOOKUP($L1248,Categories!$E:$G,2,FALSE),IF($F1248&lt;&gt;"","NO CAT",""))</f>
        <v>Rate Base</v>
      </c>
      <c r="O1248" s="116" t="str">
        <f>IF($L1248&lt;&gt;"",VLOOKUP($L1248,Categories!$E:$G,3,FALSE),IF($F1248&lt;&gt;"","NO CAT",""))</f>
        <v>Deferred Income Taxes</v>
      </c>
      <c r="P1248" s="170" t="s">
        <v>1183</v>
      </c>
      <c r="Q1248" s="123" t="s">
        <v>1177</v>
      </c>
      <c r="R1248" s="124">
        <v>1</v>
      </c>
      <c r="S1248" s="124">
        <v>0</v>
      </c>
      <c r="T1248" s="124">
        <v>0</v>
      </c>
      <c r="U1248" s="121">
        <f t="shared" si="483"/>
        <v>77.355000000000004</v>
      </c>
      <c r="V1248" s="121">
        <f t="shared" si="484"/>
        <v>0</v>
      </c>
      <c r="W1248" s="121">
        <f t="shared" si="485"/>
        <v>0</v>
      </c>
      <c r="X1248" s="121">
        <f t="shared" si="492"/>
        <v>77.355000000000004</v>
      </c>
      <c r="Y1248" s="121">
        <f t="shared" si="486"/>
        <v>87.444100000000006</v>
      </c>
      <c r="Z1248" s="121">
        <f t="shared" si="487"/>
        <v>0</v>
      </c>
      <c r="AA1248" s="121">
        <f t="shared" si="488"/>
        <v>0</v>
      </c>
      <c r="AB1248" s="121">
        <f t="shared" si="493"/>
        <v>87.444099999999992</v>
      </c>
      <c r="AC1248" s="121">
        <v>67.265899999999974</v>
      </c>
      <c r="AD1248" s="121">
        <v>68.947419999999994</v>
      </c>
      <c r="AE1248" s="121">
        <v>70.628929999999983</v>
      </c>
      <c r="AF1248" s="121">
        <v>72.310449999999989</v>
      </c>
      <c r="AG1248" s="121">
        <v>73.991969999999981</v>
      </c>
      <c r="AH1248" s="121">
        <v>75.673479999999998</v>
      </c>
      <c r="AI1248" s="161">
        <v>77.35499999999999</v>
      </c>
      <c r="AJ1248" s="161">
        <v>79.036519999999996</v>
      </c>
      <c r="AK1248" s="161">
        <v>80.718029999999985</v>
      </c>
      <c r="AL1248" s="161">
        <v>82.399549999999991</v>
      </c>
      <c r="AM1248" s="161">
        <v>84.081069999999997</v>
      </c>
      <c r="AN1248" s="161">
        <v>85.762579999999986</v>
      </c>
      <c r="AO1248" s="161">
        <v>87.444099999999992</v>
      </c>
      <c r="AP1248" s="125" t="str">
        <f>CONCATENATE(A1248,M1248)</f>
        <v>Def TaxR</v>
      </c>
      <c r="AQ1248" s="125" t="str">
        <f>CONCATENATE(AP1248,L1248,H1248)</f>
        <v>Def TaxRR11Theoretical Reserve</v>
      </c>
      <c r="AS1248" s="125" t="str">
        <f>CONCATENATE(L1248,H1248,J1248)</f>
        <v>R11Theoretical Reserve</v>
      </c>
    </row>
    <row r="1249" spans="1:45" s="125" customFormat="1" ht="25.5" customHeight="1">
      <c r="A1249" s="216" t="s">
        <v>1996</v>
      </c>
      <c r="B1249" s="217" t="str">
        <f t="shared" si="504"/>
        <v>Def Tax282210AROBT010351</v>
      </c>
      <c r="C1249" s="186">
        <v>282210</v>
      </c>
      <c r="D1249" s="201" t="s">
        <v>993</v>
      </c>
      <c r="E1249" s="162" t="s">
        <v>70</v>
      </c>
      <c r="F1249" s="169" t="s">
        <v>1712</v>
      </c>
      <c r="G1249" s="117" t="s">
        <v>69</v>
      </c>
      <c r="H1249" s="118" t="s">
        <v>972</v>
      </c>
      <c r="I1249" s="119"/>
      <c r="J1249" s="120"/>
      <c r="K1249" s="120" t="str">
        <f t="shared" si="503"/>
        <v/>
      </c>
      <c r="L1249" s="170" t="s">
        <v>928</v>
      </c>
      <c r="M1249" s="122" t="str">
        <f t="shared" si="505"/>
        <v>N</v>
      </c>
      <c r="N1249" s="116" t="str">
        <f>IF($L1249&lt;&gt;"",VLOOKUP($L1249,Categories!$E:$G,2,FALSE),IF($F1249&lt;&gt;"","NO CAT",""))</f>
        <v>Not in Rate Base</v>
      </c>
      <c r="O1249" s="116" t="str">
        <f>IF($L1249&lt;&gt;"",VLOOKUP($L1249,Categories!$E:$G,3,FALSE),IF($F1249&lt;&gt;"","NO CAT",""))</f>
        <v>Direct Assign Items Not in RB</v>
      </c>
      <c r="P1249" s="170" t="s">
        <v>1186</v>
      </c>
      <c r="Q1249" s="123" t="s">
        <v>1187</v>
      </c>
      <c r="R1249" s="124">
        <v>0</v>
      </c>
      <c r="S1249" s="124">
        <v>0</v>
      </c>
      <c r="T1249" s="124">
        <v>1</v>
      </c>
      <c r="U1249" s="121">
        <f t="shared" si="483"/>
        <v>0</v>
      </c>
      <c r="V1249" s="121">
        <f t="shared" si="484"/>
        <v>0</v>
      </c>
      <c r="W1249" s="121">
        <f t="shared" si="485"/>
        <v>359.20118250000002</v>
      </c>
      <c r="X1249" s="121">
        <f t="shared" si="492"/>
        <v>359.20118250000002</v>
      </c>
      <c r="Y1249" s="121">
        <f t="shared" si="486"/>
        <v>0</v>
      </c>
      <c r="Z1249" s="121">
        <f t="shared" si="487"/>
        <v>0</v>
      </c>
      <c r="AA1249" s="121">
        <f t="shared" si="488"/>
        <v>-41.694109999999696</v>
      </c>
      <c r="AB1249" s="121">
        <f t="shared" si="493"/>
        <v>-41.694109999999718</v>
      </c>
      <c r="AC1249" s="121">
        <v>533.57655000000011</v>
      </c>
      <c r="AD1249" s="121">
        <v>531.42221000000018</v>
      </c>
      <c r="AE1249" s="121">
        <v>529.26786000000027</v>
      </c>
      <c r="AF1249" s="121">
        <v>527.11351000000025</v>
      </c>
      <c r="AG1249" s="121">
        <v>524.95917000000031</v>
      </c>
      <c r="AH1249" s="121">
        <v>522.80482000000029</v>
      </c>
      <c r="AI1249" s="161">
        <v>520.65048000000024</v>
      </c>
      <c r="AJ1249" s="161">
        <v>518.4961400000002</v>
      </c>
      <c r="AK1249" s="161">
        <v>516.34179000000029</v>
      </c>
      <c r="AL1249" s="161">
        <v>-42.444449999999719</v>
      </c>
      <c r="AM1249" s="161">
        <v>-42.19433999999972</v>
      </c>
      <c r="AN1249" s="161">
        <v>-41.944219999999717</v>
      </c>
      <c r="AO1249" s="161">
        <v>-41.694109999999718</v>
      </c>
      <c r="AP1249" s="125" t="str">
        <f>CONCATENATE(A1249,M1249)</f>
        <v>Def TaxN</v>
      </c>
      <c r="AQ1249" s="125" t="str">
        <f>CONCATENATE(AP1249,L1249,H1249)</f>
        <v>Def TaxNN2Asset Retirement Obligation</v>
      </c>
      <c r="AS1249" s="125" t="str">
        <f>CONCATENATE(L1249,H1249,J1249)</f>
        <v>N2Asset Retirement Obligation</v>
      </c>
    </row>
    <row r="1250" spans="1:45" s="125" customFormat="1" ht="25.5" customHeight="1">
      <c r="A1250" s="216" t="s">
        <v>1996</v>
      </c>
      <c r="B1250" s="217" t="str">
        <f t="shared" ref="B1250:B1265" si="506">CONCATENATE(A1250,C1250,D1250,E1250)</f>
        <v>Def Tax282210R&amp;D CreditBT010177</v>
      </c>
      <c r="C1250" s="186">
        <v>282210</v>
      </c>
      <c r="D1250" s="201" t="s">
        <v>1467</v>
      </c>
      <c r="E1250" s="162" t="s">
        <v>398</v>
      </c>
      <c r="F1250" s="169" t="s">
        <v>1712</v>
      </c>
      <c r="G1250" s="117" t="s">
        <v>4499</v>
      </c>
      <c r="H1250" s="118" t="s">
        <v>341</v>
      </c>
      <c r="I1250" s="119"/>
      <c r="J1250" s="120"/>
      <c r="K1250" s="120" t="str">
        <f t="shared" ref="K1250:K1265" si="507">IF(L1250="N3","SFAS-109","")</f>
        <v/>
      </c>
      <c r="L1250" s="170" t="s">
        <v>928</v>
      </c>
      <c r="M1250" s="122" t="str">
        <f t="shared" si="505"/>
        <v>N</v>
      </c>
      <c r="N1250" s="116" t="str">
        <f>IF($L1250&lt;&gt;"",VLOOKUP($L1250,Categories!$E:$G,2,FALSE),IF($F1250&lt;&gt;"","NO CAT",""))</f>
        <v>Not in Rate Base</v>
      </c>
      <c r="O1250" s="116" t="str">
        <f>IF($L1250&lt;&gt;"",VLOOKUP($L1250,Categories!$E:$G,3,FALSE),IF($F1250&lt;&gt;"","NO CAT",""))</f>
        <v>Direct Assign Items Not in RB</v>
      </c>
      <c r="P1250" s="170" t="s">
        <v>1186</v>
      </c>
      <c r="Q1250" s="123" t="s">
        <v>1187</v>
      </c>
      <c r="R1250" s="124">
        <v>0</v>
      </c>
      <c r="S1250" s="124">
        <v>0</v>
      </c>
      <c r="T1250" s="124">
        <v>1</v>
      </c>
      <c r="U1250" s="121">
        <f t="shared" si="483"/>
        <v>0</v>
      </c>
      <c r="V1250" s="121">
        <f t="shared" si="484"/>
        <v>0</v>
      </c>
      <c r="W1250" s="121">
        <f t="shared" si="485"/>
        <v>186.80141</v>
      </c>
      <c r="X1250" s="121">
        <f t="shared" si="492"/>
        <v>186.80141</v>
      </c>
      <c r="Y1250" s="121">
        <f t="shared" si="486"/>
        <v>0</v>
      </c>
      <c r="Z1250" s="121">
        <f t="shared" si="487"/>
        <v>0</v>
      </c>
      <c r="AA1250" s="121">
        <f t="shared" si="488"/>
        <v>186.80141</v>
      </c>
      <c r="AB1250" s="121">
        <f t="shared" si="493"/>
        <v>186.80141</v>
      </c>
      <c r="AC1250" s="121">
        <v>186.80141</v>
      </c>
      <c r="AD1250" s="121">
        <v>186.80141</v>
      </c>
      <c r="AE1250" s="121">
        <v>186.80141</v>
      </c>
      <c r="AF1250" s="121">
        <v>186.80141</v>
      </c>
      <c r="AG1250" s="121">
        <v>186.80141</v>
      </c>
      <c r="AH1250" s="121">
        <v>186.80141</v>
      </c>
      <c r="AI1250" s="161">
        <v>186.80141</v>
      </c>
      <c r="AJ1250" s="161">
        <v>186.80141</v>
      </c>
      <c r="AK1250" s="161">
        <v>186.80141</v>
      </c>
      <c r="AL1250" s="161">
        <v>186.80141</v>
      </c>
      <c r="AM1250" s="161">
        <v>186.80141</v>
      </c>
      <c r="AN1250" s="161">
        <v>186.80141</v>
      </c>
      <c r="AO1250" s="161">
        <v>186.80141</v>
      </c>
      <c r="AP1250" s="125" t="str">
        <f>CONCATENATE(A1250,M1250)</f>
        <v>Def TaxN</v>
      </c>
      <c r="AQ1250" s="125" t="str">
        <f>CONCATENATE(AP1250,L1250,H1250)</f>
        <v>Def TaxNN2R&amp;D Tax Credit</v>
      </c>
      <c r="AS1250" s="125" t="str">
        <f>CONCATENATE(L1250,H1250,J1250)</f>
        <v>N2R&amp;D Tax Credit</v>
      </c>
    </row>
    <row r="1251" spans="1:45" s="125" customFormat="1" ht="25.5" customHeight="1">
      <c r="A1251" s="216" t="s">
        <v>1996</v>
      </c>
      <c r="B1251" s="217" t="str">
        <f t="shared" si="506"/>
        <v>Def Tax2822100-186.01.14BT010043</v>
      </c>
      <c r="C1251" s="186">
        <v>282210</v>
      </c>
      <c r="D1251" s="201" t="s">
        <v>824</v>
      </c>
      <c r="E1251" s="162" t="s">
        <v>615</v>
      </c>
      <c r="F1251" s="169" t="s">
        <v>1712</v>
      </c>
      <c r="G1251" s="117" t="s">
        <v>1474</v>
      </c>
      <c r="H1251" s="118" t="s">
        <v>218</v>
      </c>
      <c r="I1251" s="119"/>
      <c r="J1251" s="120"/>
      <c r="K1251" s="120" t="str">
        <f t="shared" si="507"/>
        <v/>
      </c>
      <c r="L1251" s="170" t="s">
        <v>1895</v>
      </c>
      <c r="M1251" s="122" t="str">
        <f t="shared" ref="M1251:M1265" si="508">LEFT(L1251,1)</f>
        <v>R</v>
      </c>
      <c r="N1251" s="116" t="str">
        <f>IF($L1251&lt;&gt;"",VLOOKUP($L1251,Categories!$E:$G,2,FALSE),IF($F1251&lt;&gt;"","NO CAT",""))</f>
        <v>Rate Base</v>
      </c>
      <c r="O1251" s="116" t="str">
        <f>IF($L1251&lt;&gt;"",VLOOKUP($L1251,Categories!$E:$G,3,FALSE),IF($F1251&lt;&gt;"","NO CAT",""))</f>
        <v>Deferred Income Taxes</v>
      </c>
      <c r="P1251" s="170" t="s">
        <v>1184</v>
      </c>
      <c r="Q1251" s="123" t="s">
        <v>1178</v>
      </c>
      <c r="R1251" s="124">
        <v>0</v>
      </c>
      <c r="S1251" s="124">
        <v>1</v>
      </c>
      <c r="T1251" s="124">
        <v>0</v>
      </c>
      <c r="U1251" s="121">
        <f t="shared" ref="U1251:U1265" si="509">IF(ABS(X1251)=0,"",IF($R1251="NO ALLOC","NO ALLOC",ROUND($R1251*X1251,15)))</f>
        <v>0</v>
      </c>
      <c r="V1251" s="121">
        <f t="shared" ref="V1251:V1265" si="510">IF(ABS(X1251)=0,"",IF($S1251="NO ALLOC","NO ALLOC",ROUND($S1251*X1251,15)))</f>
        <v>6079.6550625</v>
      </c>
      <c r="W1251" s="121">
        <f t="shared" ref="W1251:W1265" si="511">IF(ABS(X1251)=0,"",IF($T1251="NO ALLOC","NO ALLOC",ROUND($T1251*X1251,15)))</f>
        <v>0</v>
      </c>
      <c r="X1251" s="121">
        <f t="shared" si="492"/>
        <v>6079.6550625</v>
      </c>
      <c r="Y1251" s="121">
        <f t="shared" ref="Y1251:Y1265" si="512">IF(ABS(AB1251)=0,"",IF($R1251="NO ALLOC","NO ALLOC",ROUND($R1251*AB1251,15)))</f>
        <v>0</v>
      </c>
      <c r="Z1251" s="121">
        <f t="shared" ref="Z1251:Z1265" si="513">IF(ABS(AB1251)=0,"",IF($S1251="NO ALLOC","NO ALLOC",ROUND($S1251*AB1251,15)))</f>
        <v>6349.34746</v>
      </c>
      <c r="AA1251" s="121">
        <f t="shared" ref="AA1251:AA1265" si="514">IF(ABS(AB1251)=0,"",IF($T1251="NO ALLOC","NO ALLOC",ROUND($T1251*AB1251,15)))</f>
        <v>0</v>
      </c>
      <c r="AB1251" s="121">
        <f t="shared" si="493"/>
        <v>6349.347459999999</v>
      </c>
      <c r="AC1251" s="121">
        <v>5781.4554599999992</v>
      </c>
      <c r="AD1251" s="121">
        <v>5833.5840099999987</v>
      </c>
      <c r="AE1251" s="121">
        <v>5849.8648699999994</v>
      </c>
      <c r="AF1251" s="121">
        <v>5867.3279199999988</v>
      </c>
      <c r="AG1251" s="121">
        <v>5909.5266599999995</v>
      </c>
      <c r="AH1251" s="121">
        <v>5940.416659999999</v>
      </c>
      <c r="AI1251" s="161">
        <v>6159.8042499999992</v>
      </c>
      <c r="AJ1251" s="161">
        <v>6187.1505499999985</v>
      </c>
      <c r="AK1251" s="161">
        <v>6227.7712999999985</v>
      </c>
      <c r="AL1251" s="161">
        <v>6246.3469099999993</v>
      </c>
      <c r="AM1251" s="161">
        <v>6290.6335799999988</v>
      </c>
      <c r="AN1251" s="161">
        <v>6378.0325799999991</v>
      </c>
      <c r="AO1251" s="161">
        <v>6349.347459999999</v>
      </c>
      <c r="AP1251" s="125" t="str">
        <f>CONCATENATE(A1251,M1251)</f>
        <v>Def TaxR</v>
      </c>
      <c r="AQ1251" s="125" t="str">
        <f>CONCATENATE(AP1251,L1251,H1251)</f>
        <v>Def TaxRR11Contributions in Aid of Construction</v>
      </c>
      <c r="AS1251" s="125" t="str">
        <f>CONCATENATE(L1251,H1251,J1251)</f>
        <v>R11Contributions in Aid of Construction</v>
      </c>
    </row>
    <row r="1252" spans="1:45" s="125" customFormat="1" ht="25.5" customHeight="1">
      <c r="A1252" s="216" t="s">
        <v>1996</v>
      </c>
      <c r="B1252" s="217" t="str">
        <f t="shared" si="506"/>
        <v>Def Tax282210KatzBT010110</v>
      </c>
      <c r="C1252" s="186">
        <v>282210</v>
      </c>
      <c r="D1252" s="201" t="s">
        <v>241</v>
      </c>
      <c r="E1252" s="162" t="s">
        <v>285</v>
      </c>
      <c r="F1252" s="169" t="s">
        <v>1712</v>
      </c>
      <c r="G1252" s="117" t="s">
        <v>4500</v>
      </c>
      <c r="H1252" s="118" t="s">
        <v>4509</v>
      </c>
      <c r="I1252" s="119"/>
      <c r="J1252" s="120"/>
      <c r="K1252" s="120" t="str">
        <f t="shared" si="507"/>
        <v/>
      </c>
      <c r="L1252" s="170" t="s">
        <v>1895</v>
      </c>
      <c r="M1252" s="122" t="str">
        <f t="shared" si="508"/>
        <v>R</v>
      </c>
      <c r="N1252" s="116" t="str">
        <f>IF($L1252&lt;&gt;"",VLOOKUP($L1252,Categories!$E:$G,2,FALSE),IF($F1252&lt;&gt;"","NO CAT",""))</f>
        <v>Rate Base</v>
      </c>
      <c r="O1252" s="116" t="str">
        <f>IF($L1252&lt;&gt;"",VLOOKUP($L1252,Categories!$E:$G,3,FALSE),IF($F1252&lt;&gt;"","NO CAT",""))</f>
        <v>Deferred Income Taxes</v>
      </c>
      <c r="P1252" s="170" t="s">
        <v>1184</v>
      </c>
      <c r="Q1252" s="123" t="s">
        <v>1178</v>
      </c>
      <c r="R1252" s="124">
        <v>0</v>
      </c>
      <c r="S1252" s="124">
        <v>1</v>
      </c>
      <c r="T1252" s="124">
        <v>0</v>
      </c>
      <c r="U1252" s="121">
        <f t="shared" si="509"/>
        <v>0</v>
      </c>
      <c r="V1252" s="121">
        <f t="shared" si="510"/>
        <v>15.601369999999999</v>
      </c>
      <c r="W1252" s="121">
        <f t="shared" si="511"/>
        <v>0</v>
      </c>
      <c r="X1252" s="121">
        <f t="shared" si="492"/>
        <v>15.601369999999999</v>
      </c>
      <c r="Y1252" s="121">
        <f t="shared" si="512"/>
        <v>0</v>
      </c>
      <c r="Z1252" s="121">
        <f t="shared" si="513"/>
        <v>15.601369999999999</v>
      </c>
      <c r="AA1252" s="121">
        <f t="shared" si="514"/>
        <v>0</v>
      </c>
      <c r="AB1252" s="121">
        <f t="shared" si="493"/>
        <v>15.601370000000001</v>
      </c>
      <c r="AC1252" s="121">
        <v>15.601370000000001</v>
      </c>
      <c r="AD1252" s="121">
        <v>15.601370000000001</v>
      </c>
      <c r="AE1252" s="121">
        <v>15.601370000000001</v>
      </c>
      <c r="AF1252" s="121">
        <v>15.601370000000001</v>
      </c>
      <c r="AG1252" s="121">
        <v>15.601370000000001</v>
      </c>
      <c r="AH1252" s="121">
        <v>15.601370000000001</v>
      </c>
      <c r="AI1252" s="161">
        <v>15.601370000000001</v>
      </c>
      <c r="AJ1252" s="161">
        <v>15.601370000000001</v>
      </c>
      <c r="AK1252" s="161">
        <v>15.601370000000001</v>
      </c>
      <c r="AL1252" s="161">
        <v>15.601370000000001</v>
      </c>
      <c r="AM1252" s="161">
        <v>15.601370000000001</v>
      </c>
      <c r="AN1252" s="161">
        <v>15.601370000000001</v>
      </c>
      <c r="AO1252" s="161">
        <v>15.601370000000001</v>
      </c>
      <c r="AP1252" s="125" t="str">
        <f>CONCATENATE(A1252,M1252)</f>
        <v>Def TaxR</v>
      </c>
      <c r="AQ1252" s="125" t="str">
        <f>CONCATENATE(AP1252,L1252,H1252)</f>
        <v>Def TaxRR11Prepaid Software Licensing Amortization</v>
      </c>
      <c r="AS1252" s="125" t="str">
        <f>CONCATENATE(L1252,H1252,J1252)</f>
        <v>R11Prepaid Software Licensing Amortization</v>
      </c>
    </row>
    <row r="1253" spans="1:45" s="125" customFormat="1" ht="25.5" customHeight="1">
      <c r="A1253" s="216" t="s">
        <v>1996</v>
      </c>
      <c r="B1253" s="217" t="str">
        <f t="shared" si="506"/>
        <v>Def Tax2822100-183.96.00BT010029</v>
      </c>
      <c r="C1253" s="186">
        <v>282210</v>
      </c>
      <c r="D1253" s="201" t="s">
        <v>2977</v>
      </c>
      <c r="E1253" s="162" t="s">
        <v>611</v>
      </c>
      <c r="F1253" s="169" t="s">
        <v>1712</v>
      </c>
      <c r="G1253" s="117" t="s">
        <v>2976</v>
      </c>
      <c r="H1253" s="118" t="s">
        <v>2976</v>
      </c>
      <c r="I1253" s="119"/>
      <c r="J1253" s="120"/>
      <c r="K1253" s="120" t="str">
        <f t="shared" si="507"/>
        <v/>
      </c>
      <c r="L1253" s="170" t="s">
        <v>1895</v>
      </c>
      <c r="M1253" s="122" t="str">
        <f t="shared" si="508"/>
        <v>R</v>
      </c>
      <c r="N1253" s="116" t="str">
        <f>IF($L1253&lt;&gt;"",VLOOKUP($L1253,Categories!$E:$G,2,FALSE),IF($F1253&lt;&gt;"","NO CAT",""))</f>
        <v>Rate Base</v>
      </c>
      <c r="O1253" s="116" t="str">
        <f>IF($L1253&lt;&gt;"",VLOOKUP($L1253,Categories!$E:$G,3,FALSE),IF($F1253&lt;&gt;"","NO CAT",""))</f>
        <v>Deferred Income Taxes</v>
      </c>
      <c r="P1253" s="170" t="s">
        <v>1184</v>
      </c>
      <c r="Q1253" s="123" t="s">
        <v>1178</v>
      </c>
      <c r="R1253" s="124">
        <v>0</v>
      </c>
      <c r="S1253" s="124">
        <v>1</v>
      </c>
      <c r="T1253" s="124">
        <v>0</v>
      </c>
      <c r="U1253" s="121">
        <f t="shared" si="509"/>
        <v>0</v>
      </c>
      <c r="V1253" s="121">
        <f t="shared" si="510"/>
        <v>120.00980958333299</v>
      </c>
      <c r="W1253" s="121">
        <f t="shared" si="511"/>
        <v>0</v>
      </c>
      <c r="X1253" s="121">
        <f t="shared" si="492"/>
        <v>120.00980958333299</v>
      </c>
      <c r="Y1253" s="121">
        <f t="shared" si="512"/>
        <v>0</v>
      </c>
      <c r="Z1253" s="121">
        <f t="shared" si="513"/>
        <v>172.37717000000001</v>
      </c>
      <c r="AA1253" s="121">
        <f t="shared" si="514"/>
        <v>0</v>
      </c>
      <c r="AB1253" s="121">
        <f t="shared" si="493"/>
        <v>172.37716999999998</v>
      </c>
      <c r="AC1253" s="121">
        <v>82.912199999999999</v>
      </c>
      <c r="AD1253" s="121">
        <v>88.807860000000005</v>
      </c>
      <c r="AE1253" s="121">
        <v>93.666290000000004</v>
      </c>
      <c r="AF1253" s="121">
        <v>97.27149</v>
      </c>
      <c r="AG1253" s="121">
        <v>102.19419000000001</v>
      </c>
      <c r="AH1253" s="121">
        <v>106.91636</v>
      </c>
      <c r="AI1253" s="161">
        <v>113.13611999999999</v>
      </c>
      <c r="AJ1253" s="161">
        <v>121.85069</v>
      </c>
      <c r="AK1253" s="161">
        <v>131.39431999999999</v>
      </c>
      <c r="AL1253" s="161">
        <v>141.86942999999999</v>
      </c>
      <c r="AM1253" s="161">
        <v>152.16763</v>
      </c>
      <c r="AN1253" s="161">
        <v>163.19864999999999</v>
      </c>
      <c r="AO1253" s="161">
        <v>172.37716999999998</v>
      </c>
      <c r="AP1253" s="125" t="str">
        <f>CONCATENATE(A1253,M1253)</f>
        <v>Def TaxR</v>
      </c>
      <c r="AQ1253" s="125" t="str">
        <f>CONCATENATE(AP1253,L1253,H1253)</f>
        <v>Def TaxRR11Capitalized Interest</v>
      </c>
      <c r="AS1253" s="125" t="str">
        <f>CONCATENATE(L1253,H1253,J1253)</f>
        <v>R11Capitalized Interest</v>
      </c>
    </row>
    <row r="1254" spans="1:45" s="125" customFormat="1" ht="25.5" customHeight="1">
      <c r="A1254" s="216" t="s">
        <v>1996</v>
      </c>
      <c r="B1254" s="217" t="str">
        <f t="shared" si="506"/>
        <v>Def Tax282210Repr Allow-aBT010181</v>
      </c>
      <c r="C1254" s="186">
        <v>282210</v>
      </c>
      <c r="D1254" s="201" t="s">
        <v>2352</v>
      </c>
      <c r="E1254" s="162" t="s">
        <v>288</v>
      </c>
      <c r="F1254" s="169" t="s">
        <v>1712</v>
      </c>
      <c r="G1254" s="117" t="s">
        <v>970</v>
      </c>
      <c r="H1254" s="118" t="s">
        <v>970</v>
      </c>
      <c r="I1254" s="119"/>
      <c r="J1254" s="120"/>
      <c r="K1254" s="120" t="str">
        <f t="shared" si="507"/>
        <v/>
      </c>
      <c r="L1254" s="170" t="s">
        <v>1895</v>
      </c>
      <c r="M1254" s="122" t="str">
        <f t="shared" si="508"/>
        <v>R</v>
      </c>
      <c r="N1254" s="116" t="str">
        <f>IF($L1254&lt;&gt;"",VLOOKUP($L1254,Categories!$E:$G,2,FALSE),IF($F1254&lt;&gt;"","NO CAT",""))</f>
        <v>Rate Base</v>
      </c>
      <c r="O1254" s="116" t="str">
        <f>IF($L1254&lt;&gt;"",VLOOKUP($L1254,Categories!$E:$G,3,FALSE),IF($F1254&lt;&gt;"","NO CAT",""))</f>
        <v>Deferred Income Taxes</v>
      </c>
      <c r="P1254" s="170" t="s">
        <v>1184</v>
      </c>
      <c r="Q1254" s="123" t="s">
        <v>1178</v>
      </c>
      <c r="R1254" s="124">
        <v>0</v>
      </c>
      <c r="S1254" s="124">
        <v>1</v>
      </c>
      <c r="T1254" s="124">
        <v>0</v>
      </c>
      <c r="U1254" s="121">
        <f t="shared" si="509"/>
        <v>0</v>
      </c>
      <c r="V1254" s="121">
        <f t="shared" si="510"/>
        <v>-407.34535</v>
      </c>
      <c r="W1254" s="121">
        <f t="shared" si="511"/>
        <v>0</v>
      </c>
      <c r="X1254" s="121">
        <f t="shared" si="492"/>
        <v>-407.34535</v>
      </c>
      <c r="Y1254" s="121">
        <f t="shared" si="512"/>
        <v>0</v>
      </c>
      <c r="Z1254" s="121">
        <f t="shared" si="513"/>
        <v>-407.34535</v>
      </c>
      <c r="AA1254" s="121">
        <f t="shared" si="514"/>
        <v>0</v>
      </c>
      <c r="AB1254" s="121">
        <f t="shared" si="493"/>
        <v>-407.34535000000005</v>
      </c>
      <c r="AC1254" s="121">
        <v>-407.34535000000005</v>
      </c>
      <c r="AD1254" s="121">
        <v>-407.34535000000005</v>
      </c>
      <c r="AE1254" s="121">
        <v>-407.34535000000005</v>
      </c>
      <c r="AF1254" s="121">
        <v>-407.34535000000005</v>
      </c>
      <c r="AG1254" s="121">
        <v>-407.34535000000005</v>
      </c>
      <c r="AH1254" s="121">
        <v>-407.34535000000005</v>
      </c>
      <c r="AI1254" s="161">
        <v>-407.34535000000005</v>
      </c>
      <c r="AJ1254" s="161">
        <v>-407.34535000000005</v>
      </c>
      <c r="AK1254" s="161">
        <v>-407.34535000000005</v>
      </c>
      <c r="AL1254" s="161">
        <v>-407.34535000000005</v>
      </c>
      <c r="AM1254" s="161">
        <v>-407.34535000000005</v>
      </c>
      <c r="AN1254" s="161">
        <v>-407.34535000000005</v>
      </c>
      <c r="AO1254" s="161">
        <v>-407.34535000000005</v>
      </c>
      <c r="AP1254" s="125" t="str">
        <f>CONCATENATE(A1254,M1254)</f>
        <v>Def TaxR</v>
      </c>
      <c r="AQ1254" s="125" t="str">
        <f>CONCATENATE(AP1254,L1254,H1254)</f>
        <v>Def TaxRR11Repair Allowance</v>
      </c>
      <c r="AS1254" s="125" t="str">
        <f>CONCATENATE(L1254,H1254,J1254)</f>
        <v>R11Repair Allowance</v>
      </c>
    </row>
    <row r="1255" spans="1:45" s="125" customFormat="1" ht="25.5" customHeight="1">
      <c r="A1255" s="216" t="s">
        <v>1996</v>
      </c>
      <c r="B1255" s="217" t="str">
        <f t="shared" si="506"/>
        <v>Def Tax282210Unit of Property-cBT010354</v>
      </c>
      <c r="C1255" s="186">
        <v>282210</v>
      </c>
      <c r="D1255" s="201" t="s">
        <v>2351</v>
      </c>
      <c r="E1255" s="162" t="s">
        <v>651</v>
      </c>
      <c r="F1255" s="169" t="s">
        <v>1712</v>
      </c>
      <c r="G1255" s="117" t="s">
        <v>4501</v>
      </c>
      <c r="H1255" s="118" t="s">
        <v>649</v>
      </c>
      <c r="I1255" s="119"/>
      <c r="J1255" s="120"/>
      <c r="K1255" s="120" t="str">
        <f t="shared" si="507"/>
        <v/>
      </c>
      <c r="L1255" s="170" t="s">
        <v>1895</v>
      </c>
      <c r="M1255" s="122" t="str">
        <f t="shared" si="508"/>
        <v>R</v>
      </c>
      <c r="N1255" s="116" t="str">
        <f>IF($L1255&lt;&gt;"",VLOOKUP($L1255,Categories!$E:$G,2,FALSE),IF($F1255&lt;&gt;"","NO CAT",""))</f>
        <v>Rate Base</v>
      </c>
      <c r="O1255" s="116" t="str">
        <f>IF($L1255&lt;&gt;"",VLOOKUP($L1255,Categories!$E:$G,3,FALSE),IF($F1255&lt;&gt;"","NO CAT",""))</f>
        <v>Deferred Income Taxes</v>
      </c>
      <c r="P1255" s="170" t="s">
        <v>1184</v>
      </c>
      <c r="Q1255" s="123" t="s">
        <v>1178</v>
      </c>
      <c r="R1255" s="124">
        <v>0</v>
      </c>
      <c r="S1255" s="124">
        <v>1</v>
      </c>
      <c r="T1255" s="124">
        <v>0</v>
      </c>
      <c r="U1255" s="121">
        <f t="shared" si="509"/>
        <v>0</v>
      </c>
      <c r="V1255" s="121">
        <f t="shared" si="510"/>
        <v>-17150.57</v>
      </c>
      <c r="W1255" s="121">
        <f t="shared" si="511"/>
        <v>0</v>
      </c>
      <c r="X1255" s="121">
        <f t="shared" si="492"/>
        <v>-17150.57</v>
      </c>
      <c r="Y1255" s="121">
        <f t="shared" si="512"/>
        <v>0</v>
      </c>
      <c r="Z1255" s="121">
        <f t="shared" si="513"/>
        <v>-17150.57</v>
      </c>
      <c r="AA1255" s="121">
        <f t="shared" si="514"/>
        <v>0</v>
      </c>
      <c r="AB1255" s="121">
        <f t="shared" si="493"/>
        <v>-17150.57</v>
      </c>
      <c r="AC1255" s="121">
        <v>-17150.57</v>
      </c>
      <c r="AD1255" s="121">
        <v>-17150.57</v>
      </c>
      <c r="AE1255" s="121">
        <v>-17150.57</v>
      </c>
      <c r="AF1255" s="121">
        <v>-17150.57</v>
      </c>
      <c r="AG1255" s="121">
        <v>-17150.57</v>
      </c>
      <c r="AH1255" s="121">
        <v>-17150.57</v>
      </c>
      <c r="AI1255" s="161">
        <v>-17150.57</v>
      </c>
      <c r="AJ1255" s="161">
        <v>-17150.57</v>
      </c>
      <c r="AK1255" s="161">
        <v>-17150.57</v>
      </c>
      <c r="AL1255" s="161">
        <v>-17150.57</v>
      </c>
      <c r="AM1255" s="161">
        <v>-17150.57</v>
      </c>
      <c r="AN1255" s="161">
        <v>-17150.57</v>
      </c>
      <c r="AO1255" s="161">
        <v>-17150.57</v>
      </c>
      <c r="AP1255" s="125" t="str">
        <f>CONCATENATE(A1255,M1255)</f>
        <v>Def TaxR</v>
      </c>
      <c r="AQ1255" s="125" t="str">
        <f>CONCATENATE(AP1255,L1255,H1255)</f>
        <v>Def TaxRR11Unit of Property</v>
      </c>
      <c r="AS1255" s="125" t="str">
        <f>CONCATENATE(L1255,H1255,J1255)</f>
        <v>R11Unit of Property</v>
      </c>
    </row>
    <row r="1256" spans="1:45" s="125" customFormat="1" ht="25.5" customHeight="1">
      <c r="A1256" s="216" t="s">
        <v>1996</v>
      </c>
      <c r="B1256" s="217" t="str">
        <f t="shared" si="506"/>
        <v>Def Tax282210Mixed Use 263(a)-aBT010390</v>
      </c>
      <c r="C1256" s="186">
        <v>282210</v>
      </c>
      <c r="D1256" s="201" t="s">
        <v>3817</v>
      </c>
      <c r="E1256" s="162" t="s">
        <v>2235</v>
      </c>
      <c r="F1256" s="169" t="s">
        <v>1712</v>
      </c>
      <c r="G1256" s="117" t="s">
        <v>2233</v>
      </c>
      <c r="H1256" s="118" t="s">
        <v>2675</v>
      </c>
      <c r="I1256" s="119"/>
      <c r="J1256" s="231" t="s">
        <v>105</v>
      </c>
      <c r="K1256" s="120" t="str">
        <f t="shared" si="507"/>
        <v/>
      </c>
      <c r="L1256" s="170" t="s">
        <v>2821</v>
      </c>
      <c r="M1256" s="122" t="str">
        <f t="shared" si="508"/>
        <v>N</v>
      </c>
      <c r="N1256" s="116" t="str">
        <f>IF($L1256&lt;&gt;"",VLOOKUP($L1256,Categories!$E:$G,2,FALSE),IF($F1256&lt;&gt;"","NO CAT",""))</f>
        <v>Not in Rate Base</v>
      </c>
      <c r="O1256" s="116" t="str">
        <f>IF($L1256&lt;&gt;"",VLOOKUP($L1256,Categories!$E:$G,3,FALSE),IF($F1256&lt;&gt;"","NO CAT",""))</f>
        <v>Deferrals Accruing Non-Cash Return   (other than ASGA)</v>
      </c>
      <c r="P1256" s="170" t="s">
        <v>1186</v>
      </c>
      <c r="Q1256" s="123" t="s">
        <v>1187</v>
      </c>
      <c r="R1256" s="124">
        <v>0</v>
      </c>
      <c r="S1256" s="124">
        <v>0</v>
      </c>
      <c r="T1256" s="124">
        <v>1</v>
      </c>
      <c r="U1256" s="121">
        <f t="shared" si="509"/>
        <v>0</v>
      </c>
      <c r="V1256" s="121">
        <f t="shared" si="510"/>
        <v>0</v>
      </c>
      <c r="W1256" s="121">
        <f t="shared" si="511"/>
        <v>-10363.7511291667</v>
      </c>
      <c r="X1256" s="121">
        <f t="shared" si="492"/>
        <v>-10363.7511291667</v>
      </c>
      <c r="Y1256" s="121">
        <f t="shared" si="512"/>
        <v>0</v>
      </c>
      <c r="Z1256" s="121">
        <f t="shared" si="513"/>
        <v>0</v>
      </c>
      <c r="AA1256" s="121">
        <f t="shared" si="514"/>
        <v>-12435.65408</v>
      </c>
      <c r="AB1256" s="121">
        <f t="shared" si="493"/>
        <v>-12435.654079999998</v>
      </c>
      <c r="AC1256" s="121">
        <v>-10229.263479999998</v>
      </c>
      <c r="AD1256" s="121">
        <v>-10105.096819999999</v>
      </c>
      <c r="AE1256" s="121">
        <v>-9980.9301599999981</v>
      </c>
      <c r="AF1256" s="121">
        <v>-9856.7634999999973</v>
      </c>
      <c r="AG1256" s="121">
        <v>-9732.5968399999983</v>
      </c>
      <c r="AH1256" s="121">
        <v>-9608.4301799999994</v>
      </c>
      <c r="AI1256" s="161">
        <v>-9484.2635199999968</v>
      </c>
      <c r="AJ1256" s="161">
        <v>-9360.0968599999978</v>
      </c>
      <c r="AK1256" s="161">
        <v>-9235.9301999999971</v>
      </c>
      <c r="AL1256" s="161">
        <v>-10901.341539999998</v>
      </c>
      <c r="AM1256" s="161">
        <v>-12366.185379999997</v>
      </c>
      <c r="AN1256" s="161">
        <v>-12400.919769999997</v>
      </c>
      <c r="AO1256" s="161">
        <v>-12435.654079999998</v>
      </c>
      <c r="AP1256" s="125" t="str">
        <f>CONCATENATE(A1256,M1256)</f>
        <v>Def TaxN</v>
      </c>
      <c r="AQ1256" s="125" t="str">
        <f>CONCATENATE(AP1256,L1256,H1256)</f>
        <v>Def TaxNN10Mixed Use 263(a)</v>
      </c>
      <c r="AS1256" s="125" t="str">
        <f>CONCATENATE(L1256,H1256,J1256)</f>
        <v>N10Mixed Use 263(a)NCR</v>
      </c>
    </row>
    <row r="1257" spans="1:45" s="125" customFormat="1" ht="25.5" customHeight="1">
      <c r="A1257" s="216" t="s">
        <v>1996</v>
      </c>
      <c r="B1257" s="217" t="str">
        <f t="shared" si="506"/>
        <v>Def Tax282210Mixed Use 263(a)-bBT010390</v>
      </c>
      <c r="C1257" s="186">
        <v>282210</v>
      </c>
      <c r="D1257" s="201" t="s">
        <v>3818</v>
      </c>
      <c r="E1257" s="162" t="s">
        <v>2235</v>
      </c>
      <c r="F1257" s="169" t="s">
        <v>1712</v>
      </c>
      <c r="G1257" s="117" t="s">
        <v>2234</v>
      </c>
      <c r="H1257" s="118" t="s">
        <v>2675</v>
      </c>
      <c r="I1257" s="119"/>
      <c r="J1257" s="231" t="s">
        <v>105</v>
      </c>
      <c r="K1257" s="120" t="str">
        <f t="shared" si="507"/>
        <v/>
      </c>
      <c r="L1257" s="170" t="s">
        <v>2821</v>
      </c>
      <c r="M1257" s="122" t="str">
        <f t="shared" si="508"/>
        <v>N</v>
      </c>
      <c r="N1257" s="116" t="str">
        <f>IF($L1257&lt;&gt;"",VLOOKUP($L1257,Categories!$E:$G,2,FALSE),IF($F1257&lt;&gt;"","NO CAT",""))</f>
        <v>Not in Rate Base</v>
      </c>
      <c r="O1257" s="116" t="str">
        <f>IF($L1257&lt;&gt;"",VLOOKUP($L1257,Categories!$E:$G,3,FALSE),IF($F1257&lt;&gt;"","NO CAT",""))</f>
        <v>Deferrals Accruing Non-Cash Return   (other than ASGA)</v>
      </c>
      <c r="P1257" s="170" t="s">
        <v>1186</v>
      </c>
      <c r="Q1257" s="123" t="s">
        <v>1187</v>
      </c>
      <c r="R1257" s="124">
        <v>0</v>
      </c>
      <c r="S1257" s="124">
        <v>0</v>
      </c>
      <c r="T1257" s="124">
        <v>1</v>
      </c>
      <c r="U1257" s="121">
        <f t="shared" si="509"/>
        <v>0</v>
      </c>
      <c r="V1257" s="121">
        <f t="shared" si="510"/>
        <v>0</v>
      </c>
      <c r="W1257" s="121">
        <f t="shared" si="511"/>
        <v>31.190833333333298</v>
      </c>
      <c r="X1257" s="121">
        <f t="shared" si="492"/>
        <v>31.190833333333298</v>
      </c>
      <c r="Y1257" s="121">
        <f t="shared" si="512"/>
        <v>0</v>
      </c>
      <c r="Z1257" s="121">
        <f t="shared" si="513"/>
        <v>0</v>
      </c>
      <c r="AA1257" s="121">
        <f t="shared" si="514"/>
        <v>231.19560999999999</v>
      </c>
      <c r="AB1257" s="121">
        <f t="shared" si="493"/>
        <v>231.19560999999999</v>
      </c>
      <c r="AC1257" s="121">
        <v>-31.254710000000006</v>
      </c>
      <c r="AD1257" s="121">
        <v>-31.254710000000006</v>
      </c>
      <c r="AE1257" s="121">
        <v>-31.254710000000006</v>
      </c>
      <c r="AF1257" s="121">
        <v>-31.254710000000006</v>
      </c>
      <c r="AG1257" s="121">
        <v>-31.254710000000006</v>
      </c>
      <c r="AH1257" s="121">
        <v>-31.254710000000006</v>
      </c>
      <c r="AI1257" s="161">
        <v>-31.254710000000006</v>
      </c>
      <c r="AJ1257" s="161">
        <v>-31.254710000000006</v>
      </c>
      <c r="AK1257" s="161">
        <v>-31.254710000000006</v>
      </c>
      <c r="AL1257" s="161">
        <v>95.811920000000001</v>
      </c>
      <c r="AM1257" s="161">
        <v>208.63166999999999</v>
      </c>
      <c r="AN1257" s="161">
        <v>219.91363999999999</v>
      </c>
      <c r="AO1257" s="161">
        <v>231.19560999999999</v>
      </c>
      <c r="AP1257" s="125" t="str">
        <f>CONCATENATE(A1257,M1257)</f>
        <v>Def TaxN</v>
      </c>
      <c r="AQ1257" s="125" t="str">
        <f>CONCATENATE(AP1257,L1257,H1257)</f>
        <v>Def TaxNN10Mixed Use 263(a)</v>
      </c>
      <c r="AS1257" s="125" t="str">
        <f>CONCATENATE(L1257,H1257,J1257)</f>
        <v>N10Mixed Use 263(a)NCR</v>
      </c>
    </row>
    <row r="1258" spans="1:45" s="125" customFormat="1" ht="25.5" customHeight="1">
      <c r="A1258" s="216" t="s">
        <v>1996</v>
      </c>
      <c r="B1258" s="217" t="str">
        <f t="shared" si="506"/>
        <v>Def Tax2822100-183.96.00BT010030</v>
      </c>
      <c r="C1258" s="186">
        <v>282210</v>
      </c>
      <c r="D1258" s="201" t="s">
        <v>2977</v>
      </c>
      <c r="E1258" s="162" t="s">
        <v>612</v>
      </c>
      <c r="F1258" s="169" t="s">
        <v>1712</v>
      </c>
      <c r="G1258" s="117" t="s">
        <v>1472</v>
      </c>
      <c r="H1258" s="118" t="s">
        <v>2976</v>
      </c>
      <c r="I1258" s="119"/>
      <c r="J1258" s="120"/>
      <c r="K1258" s="120" t="str">
        <f t="shared" si="507"/>
        <v/>
      </c>
      <c r="L1258" s="170" t="s">
        <v>1895</v>
      </c>
      <c r="M1258" s="122" t="str">
        <f t="shared" si="508"/>
        <v>R</v>
      </c>
      <c r="N1258" s="116" t="str">
        <f>IF($L1258&lt;&gt;"",VLOOKUP($L1258,Categories!$E:$G,2,FALSE),IF($F1258&lt;&gt;"","NO CAT",""))</f>
        <v>Rate Base</v>
      </c>
      <c r="O1258" s="116" t="str">
        <f>IF($L1258&lt;&gt;"",VLOOKUP($L1258,Categories!$E:$G,3,FALSE),IF($F1258&lt;&gt;"","NO CAT",""))</f>
        <v>Deferred Income Taxes</v>
      </c>
      <c r="P1258" s="170" t="s">
        <v>1184</v>
      </c>
      <c r="Q1258" s="123" t="s">
        <v>1178</v>
      </c>
      <c r="R1258" s="124">
        <v>0</v>
      </c>
      <c r="S1258" s="124">
        <v>1</v>
      </c>
      <c r="T1258" s="124">
        <v>0</v>
      </c>
      <c r="U1258" s="121">
        <f t="shared" si="509"/>
        <v>0</v>
      </c>
      <c r="V1258" s="121">
        <f t="shared" si="510"/>
        <v>-1567.4839999999999</v>
      </c>
      <c r="W1258" s="121">
        <f t="shared" si="511"/>
        <v>0</v>
      </c>
      <c r="X1258" s="121">
        <f t="shared" si="492"/>
        <v>-1567.4839999999999</v>
      </c>
      <c r="Y1258" s="121">
        <f t="shared" si="512"/>
        <v>0</v>
      </c>
      <c r="Z1258" s="121">
        <f t="shared" si="513"/>
        <v>-1671.9839999999999</v>
      </c>
      <c r="AA1258" s="121">
        <f t="shared" si="514"/>
        <v>0</v>
      </c>
      <c r="AB1258" s="121">
        <f t="shared" si="493"/>
        <v>-1671.9839999999981</v>
      </c>
      <c r="AC1258" s="121">
        <v>-1462.983999999999</v>
      </c>
      <c r="AD1258" s="121">
        <v>-1480.4006699999991</v>
      </c>
      <c r="AE1258" s="121">
        <v>-1497.8173299999989</v>
      </c>
      <c r="AF1258" s="121">
        <v>-1515.2339999999988</v>
      </c>
      <c r="AG1258" s="121">
        <v>-1532.6506699999989</v>
      </c>
      <c r="AH1258" s="121">
        <v>-1550.0673299999987</v>
      </c>
      <c r="AI1258" s="161">
        <v>-1567.4839999999986</v>
      </c>
      <c r="AJ1258" s="161">
        <v>-1584.9006699999986</v>
      </c>
      <c r="AK1258" s="161">
        <v>-1602.3173299999985</v>
      </c>
      <c r="AL1258" s="161">
        <v>-1619.7339999999983</v>
      </c>
      <c r="AM1258" s="161">
        <v>-1637.1506699999984</v>
      </c>
      <c r="AN1258" s="161">
        <v>-1654.5673299999983</v>
      </c>
      <c r="AO1258" s="161">
        <v>-1671.9839999999981</v>
      </c>
      <c r="AP1258" s="125" t="str">
        <f>CONCATENATE(A1258,M1258)</f>
        <v>Def TaxR</v>
      </c>
      <c r="AQ1258" s="125" t="str">
        <f>CONCATENATE(AP1258,L1258,H1258)</f>
        <v>Def TaxRR11Capitalized Interest</v>
      </c>
      <c r="AS1258" s="125" t="str">
        <f>CONCATENATE(L1258,H1258,J1258)</f>
        <v>R11Capitalized Interest</v>
      </c>
    </row>
    <row r="1259" spans="1:45" s="125" customFormat="1" ht="25.5" customHeight="1">
      <c r="A1259" s="216" t="s">
        <v>1996</v>
      </c>
      <c r="B1259" s="217" t="str">
        <f t="shared" si="506"/>
        <v>Def Tax2822100-283.21.76BT010033</v>
      </c>
      <c r="C1259" s="186">
        <v>282210</v>
      </c>
      <c r="D1259" s="201" t="s">
        <v>1834</v>
      </c>
      <c r="E1259" s="162" t="s">
        <v>223</v>
      </c>
      <c r="F1259" s="169" t="s">
        <v>1712</v>
      </c>
      <c r="G1259" s="117" t="s">
        <v>1600</v>
      </c>
      <c r="H1259" s="118" t="s">
        <v>1799</v>
      </c>
      <c r="I1259" s="119"/>
      <c r="J1259" s="120"/>
      <c r="K1259" s="120" t="str">
        <f t="shared" si="507"/>
        <v/>
      </c>
      <c r="L1259" s="170" t="s">
        <v>1895</v>
      </c>
      <c r="M1259" s="122" t="str">
        <f t="shared" si="508"/>
        <v>R</v>
      </c>
      <c r="N1259" s="116" t="str">
        <f>IF($L1259&lt;&gt;"",VLOOKUP($L1259,Categories!$E:$G,2,FALSE),IF($F1259&lt;&gt;"","NO CAT",""))</f>
        <v>Rate Base</v>
      </c>
      <c r="O1259" s="116" t="str">
        <f>IF($L1259&lt;&gt;"",VLOOKUP($L1259,Categories!$E:$G,3,FALSE),IF($F1259&lt;&gt;"","NO CAT",""))</f>
        <v>Deferred Income Taxes</v>
      </c>
      <c r="P1259" s="170" t="s">
        <v>1184</v>
      </c>
      <c r="Q1259" s="123" t="s">
        <v>1178</v>
      </c>
      <c r="R1259" s="124">
        <v>0</v>
      </c>
      <c r="S1259" s="124">
        <v>1</v>
      </c>
      <c r="T1259" s="124">
        <v>0</v>
      </c>
      <c r="U1259" s="121">
        <f t="shared" si="509"/>
        <v>0</v>
      </c>
      <c r="V1259" s="121">
        <f t="shared" si="510"/>
        <v>-2265.1179999999999</v>
      </c>
      <c r="W1259" s="121">
        <f t="shared" si="511"/>
        <v>0</v>
      </c>
      <c r="X1259" s="121">
        <f t="shared" si="492"/>
        <v>-2265.1179999999999</v>
      </c>
      <c r="Y1259" s="121">
        <f t="shared" si="512"/>
        <v>0</v>
      </c>
      <c r="Z1259" s="121">
        <f t="shared" si="513"/>
        <v>-2358.1179999999999</v>
      </c>
      <c r="AA1259" s="121">
        <f t="shared" si="514"/>
        <v>0</v>
      </c>
      <c r="AB1259" s="121">
        <f t="shared" si="493"/>
        <v>-2358.1179999999999</v>
      </c>
      <c r="AC1259" s="121">
        <v>-2172.1179999999999</v>
      </c>
      <c r="AD1259" s="121">
        <v>-2187.6179999999999</v>
      </c>
      <c r="AE1259" s="121">
        <v>-2203.1179999999999</v>
      </c>
      <c r="AF1259" s="121">
        <v>-2218.6179999999999</v>
      </c>
      <c r="AG1259" s="121">
        <v>-2234.1179999999999</v>
      </c>
      <c r="AH1259" s="121">
        <v>-2249.6179999999999</v>
      </c>
      <c r="AI1259" s="161">
        <v>-2265.1179999999999</v>
      </c>
      <c r="AJ1259" s="161">
        <v>-2280.6179999999999</v>
      </c>
      <c r="AK1259" s="161">
        <v>-2296.1179999999999</v>
      </c>
      <c r="AL1259" s="161">
        <v>-2311.6179999999999</v>
      </c>
      <c r="AM1259" s="161">
        <v>-2327.1179999999999</v>
      </c>
      <c r="AN1259" s="161">
        <v>-2342.6179999999999</v>
      </c>
      <c r="AO1259" s="161">
        <v>-2358.1179999999999</v>
      </c>
      <c r="AP1259" s="125" t="str">
        <f>CONCATENATE(A1259,M1259)</f>
        <v>Def TaxR</v>
      </c>
      <c r="AQ1259" s="125" t="str">
        <f>CONCATENATE(AP1259,L1259,H1259)</f>
        <v>Def TaxRR11Capitalized Pension</v>
      </c>
      <c r="AS1259" s="125" t="str">
        <f>CONCATENATE(L1259,H1259,J1259)</f>
        <v>R11Capitalized Pension</v>
      </c>
    </row>
    <row r="1260" spans="1:45" s="125" customFormat="1" ht="25.5" customHeight="1">
      <c r="A1260" s="216" t="s">
        <v>1996</v>
      </c>
      <c r="B1260" s="217" t="str">
        <f t="shared" si="506"/>
        <v>Def Tax2822100-183.89.00BT010024</v>
      </c>
      <c r="C1260" s="186">
        <v>282210</v>
      </c>
      <c r="D1260" s="201" t="s">
        <v>219</v>
      </c>
      <c r="E1260" s="162" t="s">
        <v>614</v>
      </c>
      <c r="F1260" s="169" t="s">
        <v>1712</v>
      </c>
      <c r="G1260" s="117" t="s">
        <v>1473</v>
      </c>
      <c r="H1260" s="118" t="s">
        <v>218</v>
      </c>
      <c r="I1260" s="119"/>
      <c r="J1260" s="120"/>
      <c r="K1260" s="120" t="str">
        <f t="shared" si="507"/>
        <v/>
      </c>
      <c r="L1260" s="170" t="s">
        <v>1895</v>
      </c>
      <c r="M1260" s="122" t="str">
        <f t="shared" si="508"/>
        <v>R</v>
      </c>
      <c r="N1260" s="116" t="str">
        <f>IF($L1260&lt;&gt;"",VLOOKUP($L1260,Categories!$E:$G,2,FALSE),IF($F1260&lt;&gt;"","NO CAT",""))</f>
        <v>Rate Base</v>
      </c>
      <c r="O1260" s="116" t="str">
        <f>IF($L1260&lt;&gt;"",VLOOKUP($L1260,Categories!$E:$G,3,FALSE),IF($F1260&lt;&gt;"","NO CAT",""))</f>
        <v>Deferred Income Taxes</v>
      </c>
      <c r="P1260" s="170" t="s">
        <v>1184</v>
      </c>
      <c r="Q1260" s="123" t="s">
        <v>1178</v>
      </c>
      <c r="R1260" s="124">
        <v>0</v>
      </c>
      <c r="S1260" s="124">
        <v>1</v>
      </c>
      <c r="T1260" s="124">
        <v>0</v>
      </c>
      <c r="U1260" s="121">
        <f t="shared" si="509"/>
        <v>0</v>
      </c>
      <c r="V1260" s="121">
        <f t="shared" si="510"/>
        <v>-877.94998166666596</v>
      </c>
      <c r="W1260" s="121">
        <f t="shared" si="511"/>
        <v>0</v>
      </c>
      <c r="X1260" s="121">
        <f t="shared" si="492"/>
        <v>-877.94998166666596</v>
      </c>
      <c r="Y1260" s="121">
        <f t="shared" si="512"/>
        <v>0</v>
      </c>
      <c r="Z1260" s="121">
        <f t="shared" si="513"/>
        <v>-912.94999999999902</v>
      </c>
      <c r="AA1260" s="121">
        <f t="shared" si="514"/>
        <v>0</v>
      </c>
      <c r="AB1260" s="121">
        <f t="shared" si="493"/>
        <v>-912.94999999999902</v>
      </c>
      <c r="AC1260" s="121">
        <v>-842.94999999999959</v>
      </c>
      <c r="AD1260" s="121">
        <v>-848.78332999999952</v>
      </c>
      <c r="AE1260" s="121">
        <v>-854.61665999999946</v>
      </c>
      <c r="AF1260" s="121">
        <v>-860.44998999999939</v>
      </c>
      <c r="AG1260" s="121">
        <v>-866.28331999999932</v>
      </c>
      <c r="AH1260" s="121">
        <v>-872.11664999999937</v>
      </c>
      <c r="AI1260" s="161">
        <v>-877.9499799999993</v>
      </c>
      <c r="AJ1260" s="161">
        <v>-883.78330999999923</v>
      </c>
      <c r="AK1260" s="161">
        <v>-889.61663999999917</v>
      </c>
      <c r="AL1260" s="161">
        <v>-895.44996999999921</v>
      </c>
      <c r="AM1260" s="161">
        <v>-901.28329999999914</v>
      </c>
      <c r="AN1260" s="161">
        <v>-907.11662999999908</v>
      </c>
      <c r="AO1260" s="161">
        <v>-912.94999999999902</v>
      </c>
      <c r="AP1260" s="125" t="str">
        <f>CONCATENATE(A1260,M1260)</f>
        <v>Def TaxR</v>
      </c>
      <c r="AQ1260" s="125" t="str">
        <f>CONCATENATE(AP1260,L1260,H1260)</f>
        <v>Def TaxRR11Contributions in Aid of Construction</v>
      </c>
      <c r="AS1260" s="125" t="str">
        <f>CONCATENATE(L1260,H1260,J1260)</f>
        <v>R11Contributions in Aid of Construction</v>
      </c>
    </row>
    <row r="1261" spans="1:45" s="125" customFormat="1" ht="25.5" customHeight="1">
      <c r="A1261" s="216" t="s">
        <v>1996</v>
      </c>
      <c r="B1261" s="217" t="str">
        <f t="shared" si="506"/>
        <v>Def Tax2822100-282.20.83BT010038</v>
      </c>
      <c r="C1261" s="186">
        <v>282210</v>
      </c>
      <c r="D1261" s="201" t="s">
        <v>1565</v>
      </c>
      <c r="E1261" s="162" t="s">
        <v>226</v>
      </c>
      <c r="F1261" s="169" t="s">
        <v>1712</v>
      </c>
      <c r="G1261" s="117" t="s">
        <v>1630</v>
      </c>
      <c r="H1261" s="118" t="s">
        <v>2369</v>
      </c>
      <c r="I1261" s="119"/>
      <c r="J1261" s="120"/>
      <c r="K1261" s="120" t="str">
        <f t="shared" si="507"/>
        <v/>
      </c>
      <c r="L1261" s="170" t="s">
        <v>928</v>
      </c>
      <c r="M1261" s="122" t="str">
        <f t="shared" si="508"/>
        <v>N</v>
      </c>
      <c r="N1261" s="116" t="str">
        <f>IF($L1261&lt;&gt;"",VLOOKUP($L1261,Categories!$E:$G,2,FALSE),IF($F1261&lt;&gt;"","NO CAT",""))</f>
        <v>Not in Rate Base</v>
      </c>
      <c r="O1261" s="116" t="str">
        <f>IF($L1261&lt;&gt;"",VLOOKUP($L1261,Categories!$E:$G,3,FALSE),IF($F1261&lt;&gt;"","NO CAT",""))</f>
        <v>Direct Assign Items Not in RB</v>
      </c>
      <c r="P1261" s="170" t="s">
        <v>1186</v>
      </c>
      <c r="Q1261" s="123" t="s">
        <v>1187</v>
      </c>
      <c r="R1261" s="124">
        <v>0</v>
      </c>
      <c r="S1261" s="124">
        <v>0</v>
      </c>
      <c r="T1261" s="124">
        <v>1</v>
      </c>
      <c r="U1261" s="121">
        <f t="shared" si="509"/>
        <v>0</v>
      </c>
      <c r="V1261" s="121">
        <f t="shared" si="510"/>
        <v>0</v>
      </c>
      <c r="W1261" s="121">
        <f t="shared" si="511"/>
        <v>-9.5259999999999998</v>
      </c>
      <c r="X1261" s="121">
        <f t="shared" si="492"/>
        <v>-9.5259999999999998</v>
      </c>
      <c r="Y1261" s="121">
        <f t="shared" si="512"/>
        <v>0</v>
      </c>
      <c r="Z1261" s="121">
        <f t="shared" si="513"/>
        <v>0</v>
      </c>
      <c r="AA1261" s="121">
        <f t="shared" si="514"/>
        <v>-9.5259999999999998</v>
      </c>
      <c r="AB1261" s="121">
        <f t="shared" si="493"/>
        <v>-9.5259999999999998</v>
      </c>
      <c r="AC1261" s="121">
        <v>-9.5259999999999998</v>
      </c>
      <c r="AD1261" s="121">
        <v>-9.5259999999999998</v>
      </c>
      <c r="AE1261" s="121">
        <v>-9.5259999999999998</v>
      </c>
      <c r="AF1261" s="121">
        <v>-9.5259999999999998</v>
      </c>
      <c r="AG1261" s="121">
        <v>-9.5259999999999998</v>
      </c>
      <c r="AH1261" s="121">
        <v>-9.5259999999999998</v>
      </c>
      <c r="AI1261" s="161">
        <v>-9.5259999999999998</v>
      </c>
      <c r="AJ1261" s="161">
        <v>-9.5259999999999998</v>
      </c>
      <c r="AK1261" s="161">
        <v>-9.5259999999999998</v>
      </c>
      <c r="AL1261" s="161">
        <v>-9.5259999999999998</v>
      </c>
      <c r="AM1261" s="161">
        <v>-9.5259999999999998</v>
      </c>
      <c r="AN1261" s="161">
        <v>-9.5259999999999998</v>
      </c>
      <c r="AO1261" s="161">
        <v>-9.5259999999999998</v>
      </c>
      <c r="AP1261" s="125" t="str">
        <f>CONCATENATE(A1261,M1261)</f>
        <v>Def TaxN</v>
      </c>
      <c r="AQ1261" s="125" t="str">
        <f>CONCATENATE(AP1261,L1261,H1261)</f>
        <v>Def TaxNN2Environmental</v>
      </c>
      <c r="AS1261" s="125" t="str">
        <f>CONCATENATE(L1261,H1261,J1261)</f>
        <v>N2Environmental</v>
      </c>
    </row>
    <row r="1262" spans="1:45" s="125" customFormat="1" ht="25.5" customHeight="1">
      <c r="A1262" s="216" t="s">
        <v>1996</v>
      </c>
      <c r="B1262" s="217" t="str">
        <f t="shared" si="506"/>
        <v>Def Tax282210Repr Allow-bBT010181</v>
      </c>
      <c r="C1262" s="186">
        <v>282210</v>
      </c>
      <c r="D1262" s="201" t="s">
        <v>2353</v>
      </c>
      <c r="E1262" s="162" t="s">
        <v>288</v>
      </c>
      <c r="F1262" s="169" t="s">
        <v>1712</v>
      </c>
      <c r="G1262" s="117" t="s">
        <v>1391</v>
      </c>
      <c r="H1262" s="118" t="s">
        <v>970</v>
      </c>
      <c r="I1262" s="119"/>
      <c r="J1262" s="120"/>
      <c r="K1262" s="120" t="str">
        <f t="shared" si="507"/>
        <v/>
      </c>
      <c r="L1262" s="170" t="s">
        <v>1895</v>
      </c>
      <c r="M1262" s="122" t="str">
        <f t="shared" si="508"/>
        <v>R</v>
      </c>
      <c r="N1262" s="116" t="str">
        <f>IF($L1262&lt;&gt;"",VLOOKUP($L1262,Categories!$E:$G,2,FALSE),IF($F1262&lt;&gt;"","NO CAT",""))</f>
        <v>Rate Base</v>
      </c>
      <c r="O1262" s="116" t="str">
        <f>IF($L1262&lt;&gt;"",VLOOKUP($L1262,Categories!$E:$G,3,FALSE),IF($F1262&lt;&gt;"","NO CAT",""))</f>
        <v>Deferred Income Taxes</v>
      </c>
      <c r="P1262" s="170" t="s">
        <v>1184</v>
      </c>
      <c r="Q1262" s="123" t="s">
        <v>1178</v>
      </c>
      <c r="R1262" s="124">
        <v>0</v>
      </c>
      <c r="S1262" s="124">
        <v>1</v>
      </c>
      <c r="T1262" s="124">
        <v>0</v>
      </c>
      <c r="U1262" s="121">
        <f t="shared" si="509"/>
        <v>0</v>
      </c>
      <c r="V1262" s="121">
        <f t="shared" si="510"/>
        <v>35.235889999999998</v>
      </c>
      <c r="W1262" s="121">
        <f t="shared" si="511"/>
        <v>0</v>
      </c>
      <c r="X1262" s="121">
        <f t="shared" si="492"/>
        <v>35.235889999999998</v>
      </c>
      <c r="Y1262" s="121">
        <f t="shared" si="512"/>
        <v>0</v>
      </c>
      <c r="Z1262" s="121">
        <f t="shared" si="513"/>
        <v>35.235889999999998</v>
      </c>
      <c r="AA1262" s="121">
        <f t="shared" si="514"/>
        <v>0</v>
      </c>
      <c r="AB1262" s="121">
        <f t="shared" si="493"/>
        <v>35.235889999999998</v>
      </c>
      <c r="AC1262" s="121">
        <v>35.235889999999998</v>
      </c>
      <c r="AD1262" s="121">
        <v>35.235889999999998</v>
      </c>
      <c r="AE1262" s="121">
        <v>35.235889999999998</v>
      </c>
      <c r="AF1262" s="121">
        <v>35.235889999999998</v>
      </c>
      <c r="AG1262" s="121">
        <v>35.235889999999998</v>
      </c>
      <c r="AH1262" s="121">
        <v>35.235889999999998</v>
      </c>
      <c r="AI1262" s="161">
        <v>35.235889999999998</v>
      </c>
      <c r="AJ1262" s="161">
        <v>35.235889999999998</v>
      </c>
      <c r="AK1262" s="161">
        <v>35.235889999999998</v>
      </c>
      <c r="AL1262" s="161">
        <v>35.235889999999998</v>
      </c>
      <c r="AM1262" s="161">
        <v>35.235889999999998</v>
      </c>
      <c r="AN1262" s="161">
        <v>35.235889999999998</v>
      </c>
      <c r="AO1262" s="161">
        <v>35.235889999999998</v>
      </c>
      <c r="AP1262" s="125" t="str">
        <f>CONCATENATE(A1262,M1262)</f>
        <v>Def TaxR</v>
      </c>
      <c r="AQ1262" s="125" t="str">
        <f>CONCATENATE(AP1262,L1262,H1262)</f>
        <v>Def TaxRR11Repair Allowance</v>
      </c>
      <c r="AS1262" s="125" t="str">
        <f>CONCATENATE(L1262,H1262,J1262)</f>
        <v>R11Repair Allowance</v>
      </c>
    </row>
    <row r="1263" spans="1:45" s="125" customFormat="1" ht="25.5" customHeight="1">
      <c r="A1263" s="216" t="s">
        <v>1996</v>
      </c>
      <c r="B1263" s="217" t="str">
        <f t="shared" si="506"/>
        <v>Def Tax2822100-283.21.85BT010207</v>
      </c>
      <c r="C1263" s="186">
        <v>282210</v>
      </c>
      <c r="D1263" s="201" t="s">
        <v>1835</v>
      </c>
      <c r="E1263" s="162" t="s">
        <v>496</v>
      </c>
      <c r="F1263" s="169" t="s">
        <v>1712</v>
      </c>
      <c r="G1263" s="117" t="s">
        <v>2890</v>
      </c>
      <c r="H1263" s="118">
        <v>0</v>
      </c>
      <c r="I1263" s="119"/>
      <c r="J1263" s="120"/>
      <c r="K1263" s="120" t="str">
        <f t="shared" si="507"/>
        <v/>
      </c>
      <c r="L1263" s="170" t="s">
        <v>1895</v>
      </c>
      <c r="M1263" s="122" t="str">
        <f t="shared" si="508"/>
        <v>R</v>
      </c>
      <c r="N1263" s="116" t="str">
        <f>IF($L1263&lt;&gt;"",VLOOKUP($L1263,Categories!$E:$G,2,FALSE),IF($F1263&lt;&gt;"","NO CAT",""))</f>
        <v>Rate Base</v>
      </c>
      <c r="O1263" s="116" t="str">
        <f>IF($L1263&lt;&gt;"",VLOOKUP($L1263,Categories!$E:$G,3,FALSE),IF($F1263&lt;&gt;"","NO CAT",""))</f>
        <v>Deferred Income Taxes</v>
      </c>
      <c r="P1263" s="170" t="s">
        <v>1184</v>
      </c>
      <c r="Q1263" s="123" t="s">
        <v>1178</v>
      </c>
      <c r="R1263" s="124">
        <v>0</v>
      </c>
      <c r="S1263" s="124">
        <v>1</v>
      </c>
      <c r="T1263" s="124">
        <v>0</v>
      </c>
      <c r="U1263" s="121">
        <f t="shared" si="509"/>
        <v>0</v>
      </c>
      <c r="V1263" s="121">
        <f t="shared" si="510"/>
        <v>-145.20699999999999</v>
      </c>
      <c r="W1263" s="121">
        <f t="shared" si="511"/>
        <v>0</v>
      </c>
      <c r="X1263" s="121">
        <f t="shared" si="492"/>
        <v>-145.20699999999999</v>
      </c>
      <c r="Y1263" s="121">
        <f t="shared" si="512"/>
        <v>0</v>
      </c>
      <c r="Z1263" s="121">
        <f t="shared" si="513"/>
        <v>-138.06700000000001</v>
      </c>
      <c r="AA1263" s="121">
        <f t="shared" si="514"/>
        <v>0</v>
      </c>
      <c r="AB1263" s="121">
        <f t="shared" si="493"/>
        <v>-138.06700000000001</v>
      </c>
      <c r="AC1263" s="121">
        <v>-152.34700000000001</v>
      </c>
      <c r="AD1263" s="121">
        <v>-151.15700000000001</v>
      </c>
      <c r="AE1263" s="121">
        <v>-149.96700000000001</v>
      </c>
      <c r="AF1263" s="121">
        <v>-148.77699999999999</v>
      </c>
      <c r="AG1263" s="121">
        <v>-147.58699999999999</v>
      </c>
      <c r="AH1263" s="121">
        <v>-146.39699999999999</v>
      </c>
      <c r="AI1263" s="161">
        <v>-145.20699999999999</v>
      </c>
      <c r="AJ1263" s="161">
        <v>-144.017</v>
      </c>
      <c r="AK1263" s="161">
        <v>-142.827</v>
      </c>
      <c r="AL1263" s="161">
        <v>-141.637</v>
      </c>
      <c r="AM1263" s="161">
        <v>-140.447</v>
      </c>
      <c r="AN1263" s="161">
        <v>-139.25700000000001</v>
      </c>
      <c r="AO1263" s="161">
        <v>-138.06700000000001</v>
      </c>
      <c r="AP1263" s="125" t="str">
        <f>CONCATENATE(A1263,M1263)</f>
        <v>Def TaxR</v>
      </c>
      <c r="AQ1263" s="125" t="str">
        <f>CONCATENATE(AP1263,L1263,H1263)</f>
        <v>Def TaxRR110</v>
      </c>
      <c r="AS1263" s="125" t="str">
        <f>CONCATENATE(L1263,H1263,J1263)</f>
        <v>R110</v>
      </c>
    </row>
    <row r="1264" spans="1:45" s="125" customFormat="1" ht="25.5" customHeight="1">
      <c r="A1264" s="216" t="s">
        <v>1996</v>
      </c>
      <c r="B1264" s="217" t="str">
        <f t="shared" si="506"/>
        <v>Def Tax282210Unit of Property-aBT010354</v>
      </c>
      <c r="C1264" s="186">
        <v>282210</v>
      </c>
      <c r="D1264" s="201" t="s">
        <v>2349</v>
      </c>
      <c r="E1264" s="162" t="s">
        <v>651</v>
      </c>
      <c r="F1264" s="169" t="s">
        <v>1712</v>
      </c>
      <c r="G1264" s="117" t="s">
        <v>1628</v>
      </c>
      <c r="H1264" s="118" t="s">
        <v>649</v>
      </c>
      <c r="I1264" s="119"/>
      <c r="J1264" s="120"/>
      <c r="K1264" s="120" t="str">
        <f t="shared" si="507"/>
        <v/>
      </c>
      <c r="L1264" s="170" t="s">
        <v>1895</v>
      </c>
      <c r="M1264" s="122" t="str">
        <f t="shared" si="508"/>
        <v>R</v>
      </c>
      <c r="N1264" s="116" t="str">
        <f>IF($L1264&lt;&gt;"",VLOOKUP($L1264,Categories!$E:$G,2,FALSE),IF($F1264&lt;&gt;"","NO CAT",""))</f>
        <v>Rate Base</v>
      </c>
      <c r="O1264" s="116" t="str">
        <f>IF($L1264&lt;&gt;"",VLOOKUP($L1264,Categories!$E:$G,3,FALSE),IF($F1264&lt;&gt;"","NO CAT",""))</f>
        <v>Deferred Income Taxes</v>
      </c>
      <c r="P1264" s="170" t="s">
        <v>1184</v>
      </c>
      <c r="Q1264" s="123" t="s">
        <v>1178</v>
      </c>
      <c r="R1264" s="124">
        <v>0</v>
      </c>
      <c r="S1264" s="124">
        <v>1</v>
      </c>
      <c r="T1264" s="124">
        <v>0</v>
      </c>
      <c r="U1264" s="121">
        <f t="shared" si="509"/>
        <v>0</v>
      </c>
      <c r="V1264" s="121">
        <f t="shared" si="510"/>
        <v>51.123970833333999</v>
      </c>
      <c r="W1264" s="121">
        <f t="shared" si="511"/>
        <v>0</v>
      </c>
      <c r="X1264" s="121">
        <f t="shared" si="492"/>
        <v>51.123970833333999</v>
      </c>
      <c r="Y1264" s="121">
        <f t="shared" si="512"/>
        <v>0</v>
      </c>
      <c r="Z1264" s="121">
        <f t="shared" si="513"/>
        <v>241.04366000000101</v>
      </c>
      <c r="AA1264" s="121">
        <f t="shared" si="514"/>
        <v>0</v>
      </c>
      <c r="AB1264" s="121">
        <f t="shared" si="493"/>
        <v>241.04366000000056</v>
      </c>
      <c r="AC1264" s="121">
        <v>-827.68113999999923</v>
      </c>
      <c r="AD1264" s="121">
        <v>-695.59780999999919</v>
      </c>
      <c r="AE1264" s="121">
        <v>-563.51447999999925</v>
      </c>
      <c r="AF1264" s="121">
        <v>-431.43114999999932</v>
      </c>
      <c r="AG1264" s="121">
        <v>-299.34781999999939</v>
      </c>
      <c r="AH1264" s="121">
        <v>-167.264489999999</v>
      </c>
      <c r="AI1264" s="161">
        <v>-35.181159999999394</v>
      </c>
      <c r="AJ1264" s="161">
        <v>96.902170000000595</v>
      </c>
      <c r="AK1264" s="161">
        <v>228.98550000000057</v>
      </c>
      <c r="AL1264" s="161">
        <v>2118.8934300000005</v>
      </c>
      <c r="AM1264" s="161">
        <v>355.89359000000053</v>
      </c>
      <c r="AN1264" s="161">
        <v>298.46861000000058</v>
      </c>
      <c r="AO1264" s="161">
        <v>241.04366000000056</v>
      </c>
      <c r="AP1264" s="125" t="str">
        <f>CONCATENATE(A1264,M1264)</f>
        <v>Def TaxR</v>
      </c>
      <c r="AQ1264" s="125" t="str">
        <f>CONCATENATE(AP1264,L1264,H1264)</f>
        <v>Def TaxRR11Unit of Property</v>
      </c>
      <c r="AS1264" s="125" t="str">
        <f>CONCATENATE(L1264,H1264,J1264)</f>
        <v>R11Unit of Property</v>
      </c>
    </row>
    <row r="1265" spans="1:45" s="125" customFormat="1" ht="25.5" customHeight="1">
      <c r="A1265" s="216" t="s">
        <v>1996</v>
      </c>
      <c r="B1265" s="217" t="str">
        <f t="shared" si="506"/>
        <v>Def Tax282210Unit of Property-bBT010354</v>
      </c>
      <c r="C1265" s="186">
        <v>282210</v>
      </c>
      <c r="D1265" s="201" t="s">
        <v>2350</v>
      </c>
      <c r="E1265" s="162" t="s">
        <v>651</v>
      </c>
      <c r="F1265" s="169" t="s">
        <v>1712</v>
      </c>
      <c r="G1265" s="117" t="s">
        <v>1629</v>
      </c>
      <c r="H1265" s="118" t="s">
        <v>649</v>
      </c>
      <c r="I1265" s="119"/>
      <c r="J1265" s="120"/>
      <c r="K1265" s="120" t="str">
        <f t="shared" si="507"/>
        <v/>
      </c>
      <c r="L1265" s="170" t="s">
        <v>1895</v>
      </c>
      <c r="M1265" s="122" t="str">
        <f t="shared" si="508"/>
        <v>R</v>
      </c>
      <c r="N1265" s="116" t="str">
        <f>IF($L1265&lt;&gt;"",VLOOKUP($L1265,Categories!$E:$G,2,FALSE),IF($F1265&lt;&gt;"","NO CAT",""))</f>
        <v>Rate Base</v>
      </c>
      <c r="O1265" s="116" t="str">
        <f>IF($L1265&lt;&gt;"",VLOOKUP($L1265,Categories!$E:$G,3,FALSE),IF($F1265&lt;&gt;"","NO CAT",""))</f>
        <v>Deferred Income Taxes</v>
      </c>
      <c r="P1265" s="170" t="s">
        <v>1184</v>
      </c>
      <c r="Q1265" s="123" t="s">
        <v>1178</v>
      </c>
      <c r="R1265" s="124">
        <v>0</v>
      </c>
      <c r="S1265" s="124">
        <v>1</v>
      </c>
      <c r="T1265" s="124">
        <v>0</v>
      </c>
      <c r="U1265" s="121">
        <f t="shared" si="509"/>
        <v>0</v>
      </c>
      <c r="V1265" s="121">
        <f t="shared" si="510"/>
        <v>642.39052458333299</v>
      </c>
      <c r="W1265" s="121">
        <f t="shared" si="511"/>
        <v>0</v>
      </c>
      <c r="X1265" s="121">
        <f t="shared" si="492"/>
        <v>642.39052458333299</v>
      </c>
      <c r="Y1265" s="121">
        <f t="shared" si="512"/>
        <v>0</v>
      </c>
      <c r="Z1265" s="121">
        <f t="shared" si="513"/>
        <v>595.22370000000001</v>
      </c>
      <c r="AA1265" s="121">
        <f t="shared" si="514"/>
        <v>0</v>
      </c>
      <c r="AB1265" s="121">
        <f t="shared" si="493"/>
        <v>595.22369999999967</v>
      </c>
      <c r="AC1265" s="121">
        <v>738.46815000000004</v>
      </c>
      <c r="AD1265" s="121">
        <v>723.47649000000001</v>
      </c>
      <c r="AE1265" s="121">
        <v>708.48482999999999</v>
      </c>
      <c r="AF1265" s="121">
        <v>693.49316999999996</v>
      </c>
      <c r="AG1265" s="121">
        <v>678.50150999999994</v>
      </c>
      <c r="AH1265" s="121">
        <v>663.50985000000003</v>
      </c>
      <c r="AI1265" s="161">
        <v>648.51818999999978</v>
      </c>
      <c r="AJ1265" s="161">
        <v>633.52652999999975</v>
      </c>
      <c r="AK1265" s="161">
        <v>618.53486999999973</v>
      </c>
      <c r="AL1265" s="161">
        <v>478.73766999999975</v>
      </c>
      <c r="AM1265" s="161">
        <v>598.2969099999998</v>
      </c>
      <c r="AN1265" s="161">
        <v>596.76034999999979</v>
      </c>
      <c r="AO1265" s="161">
        <v>595.22369999999967</v>
      </c>
      <c r="AP1265" s="125" t="str">
        <f>CONCATENATE(A1265,M1265)</f>
        <v>Def TaxR</v>
      </c>
      <c r="AQ1265" s="125" t="str">
        <f>CONCATENATE(AP1265,L1265,H1265)</f>
        <v>Def TaxRR11Unit of Property</v>
      </c>
      <c r="AS1265" s="125" t="str">
        <f>CONCATENATE(L1265,H1265,J1265)</f>
        <v>R11Unit of Property</v>
      </c>
    </row>
    <row r="1266" spans="1:45" s="125" customFormat="1" ht="25.5" customHeight="1">
      <c r="A1266" s="216" t="s">
        <v>1996</v>
      </c>
      <c r="B1266" s="217" t="str">
        <f t="shared" si="504"/>
        <v>Def Tax282210Multiple: 282.11.10/282.11.06/282.11.04/IBO Costs/NIRP Costs/WM CostsBT010020</v>
      </c>
      <c r="C1266" s="186">
        <v>282210</v>
      </c>
      <c r="D1266" s="201" t="s">
        <v>329</v>
      </c>
      <c r="E1266" s="162" t="s">
        <v>96</v>
      </c>
      <c r="F1266" s="169" t="s">
        <v>1712</v>
      </c>
      <c r="G1266" s="117" t="s">
        <v>1357</v>
      </c>
      <c r="H1266" s="118" t="s">
        <v>1364</v>
      </c>
      <c r="I1266" s="119"/>
      <c r="J1266" s="120"/>
      <c r="K1266" s="120" t="str">
        <f t="shared" ref="K1266:K1278" si="515">IF(L1266="N3","SFAS-109","")</f>
        <v/>
      </c>
      <c r="L1266" s="170" t="s">
        <v>1895</v>
      </c>
      <c r="M1266" s="122" t="str">
        <f t="shared" si="505"/>
        <v>R</v>
      </c>
      <c r="N1266" s="116" t="str">
        <f>IF($L1266&lt;&gt;"",VLOOKUP($L1266,Categories!$E:$G,2,FALSE),IF($F1266&lt;&gt;"","NO CAT",""))</f>
        <v>Rate Base</v>
      </c>
      <c r="O1266" s="116" t="str">
        <f>IF($L1266&lt;&gt;"",VLOOKUP($L1266,Categories!$E:$G,3,FALSE),IF($F1266&lt;&gt;"","NO CAT",""))</f>
        <v>Deferred Income Taxes</v>
      </c>
      <c r="P1266" s="170" t="s">
        <v>1184</v>
      </c>
      <c r="Q1266" s="123" t="s">
        <v>1178</v>
      </c>
      <c r="R1266" s="124">
        <v>0</v>
      </c>
      <c r="S1266" s="124">
        <v>1</v>
      </c>
      <c r="T1266" s="124">
        <v>0</v>
      </c>
      <c r="U1266" s="121">
        <f t="shared" si="483"/>
        <v>0</v>
      </c>
      <c r="V1266" s="121">
        <f t="shared" si="484"/>
        <v>-4634.2595104166703</v>
      </c>
      <c r="W1266" s="121">
        <f t="shared" si="485"/>
        <v>0</v>
      </c>
      <c r="X1266" s="121">
        <f t="shared" si="492"/>
        <v>-4634.2595104166703</v>
      </c>
      <c r="Y1266" s="121">
        <f t="shared" si="486"/>
        <v>0</v>
      </c>
      <c r="Z1266" s="121">
        <f t="shared" si="487"/>
        <v>-4951.9828100000004</v>
      </c>
      <c r="AA1266" s="121">
        <f t="shared" si="488"/>
        <v>0</v>
      </c>
      <c r="AB1266" s="121">
        <f t="shared" si="493"/>
        <v>-4951.9828100000004</v>
      </c>
      <c r="AC1266" s="121">
        <v>-4320.5152600000001</v>
      </c>
      <c r="AD1266" s="121">
        <v>-4371.3146699999998</v>
      </c>
      <c r="AE1266" s="121">
        <v>-4427.4358300000004</v>
      </c>
      <c r="AF1266" s="121">
        <v>-4479.2034800000001</v>
      </c>
      <c r="AG1266" s="121">
        <v>-4530.4369500000003</v>
      </c>
      <c r="AH1266" s="121">
        <v>-4581.7918399999999</v>
      </c>
      <c r="AI1266" s="161">
        <v>-4633.6463200000007</v>
      </c>
      <c r="AJ1266" s="161">
        <v>-4685.6355000000003</v>
      </c>
      <c r="AK1266" s="161">
        <v>-4738.2084000000004</v>
      </c>
      <c r="AL1266" s="161">
        <v>-4790.3269900000005</v>
      </c>
      <c r="AM1266" s="161">
        <v>-4842.4374400000006</v>
      </c>
      <c r="AN1266" s="161">
        <v>-4894.4276700000009</v>
      </c>
      <c r="AO1266" s="161">
        <v>-4951.9828100000004</v>
      </c>
      <c r="AP1266" s="125" t="str">
        <f>CONCATENATE(A1266,M1266)</f>
        <v>Def TaxR</v>
      </c>
      <c r="AQ1266" s="125" t="str">
        <f>CONCATENATE(AP1266,L1266,H1266)</f>
        <v>Def TaxRR11Accelerated Depreciation</v>
      </c>
      <c r="AS1266" s="125" t="str">
        <f>CONCATENATE(L1266,H1266,J1266)</f>
        <v>R11Accelerated Depreciation</v>
      </c>
    </row>
    <row r="1267" spans="1:45" s="125" customFormat="1" ht="25.5" customHeight="1">
      <c r="A1267" s="216" t="s">
        <v>1996</v>
      </c>
      <c r="B1267" s="217" t="str">
        <f t="shared" si="504"/>
        <v>Def Tax2822100-282.11.10BT010190</v>
      </c>
      <c r="C1267" s="186">
        <v>282210</v>
      </c>
      <c r="D1267" s="201" t="s">
        <v>2893</v>
      </c>
      <c r="E1267" s="162" t="s">
        <v>98</v>
      </c>
      <c r="F1267" s="169" t="s">
        <v>1712</v>
      </c>
      <c r="G1267" s="117" t="s">
        <v>97</v>
      </c>
      <c r="H1267" s="118" t="s">
        <v>1364</v>
      </c>
      <c r="I1267" s="119"/>
      <c r="J1267" s="120"/>
      <c r="K1267" s="120" t="str">
        <f t="shared" si="515"/>
        <v/>
      </c>
      <c r="L1267" s="170" t="s">
        <v>1895</v>
      </c>
      <c r="M1267" s="122" t="str">
        <f t="shared" si="505"/>
        <v>R</v>
      </c>
      <c r="N1267" s="116" t="str">
        <f>IF($L1267&lt;&gt;"",VLOOKUP($L1267,Categories!$E:$G,2,FALSE),IF($F1267&lt;&gt;"","NO CAT",""))</f>
        <v>Rate Base</v>
      </c>
      <c r="O1267" s="116" t="str">
        <f>IF($L1267&lt;&gt;"",VLOOKUP($L1267,Categories!$E:$G,3,FALSE),IF($F1267&lt;&gt;"","NO CAT",""))</f>
        <v>Deferred Income Taxes</v>
      </c>
      <c r="P1267" s="170" t="s">
        <v>1184</v>
      </c>
      <c r="Q1267" s="123" t="s">
        <v>1178</v>
      </c>
      <c r="R1267" s="124">
        <v>0</v>
      </c>
      <c r="S1267" s="124">
        <v>1</v>
      </c>
      <c r="T1267" s="124">
        <v>0</v>
      </c>
      <c r="U1267" s="121">
        <f t="shared" si="483"/>
        <v>0</v>
      </c>
      <c r="V1267" s="121">
        <f t="shared" si="484"/>
        <v>-2659.4509200000002</v>
      </c>
      <c r="W1267" s="121">
        <f t="shared" si="485"/>
        <v>0</v>
      </c>
      <c r="X1267" s="121">
        <f t="shared" si="492"/>
        <v>-2659.4509200000002</v>
      </c>
      <c r="Y1267" s="121">
        <f t="shared" si="486"/>
        <v>0</v>
      </c>
      <c r="Z1267" s="121">
        <f t="shared" si="487"/>
        <v>-2346.0099599999999</v>
      </c>
      <c r="AA1267" s="121">
        <f t="shared" si="488"/>
        <v>0</v>
      </c>
      <c r="AB1267" s="121">
        <f t="shared" si="493"/>
        <v>-2346.0099599999999</v>
      </c>
      <c r="AC1267" s="121">
        <v>-2937.0099599999999</v>
      </c>
      <c r="AD1267" s="121">
        <v>-2923.6418799999997</v>
      </c>
      <c r="AE1267" s="121">
        <v>-2910.2737999999999</v>
      </c>
      <c r="AF1267" s="121">
        <v>-2896.9057199999997</v>
      </c>
      <c r="AG1267" s="121">
        <v>-2740.0099599999999</v>
      </c>
      <c r="AH1267" s="121">
        <v>-2690.7599599999999</v>
      </c>
      <c r="AI1267" s="161">
        <v>-2641.5099599999999</v>
      </c>
      <c r="AJ1267" s="161">
        <v>-2592.2599599999999</v>
      </c>
      <c r="AK1267" s="161">
        <v>-2543.0099599999999</v>
      </c>
      <c r="AL1267" s="161">
        <v>-2493.7599599999999</v>
      </c>
      <c r="AM1267" s="161">
        <v>-2444.5099599999999</v>
      </c>
      <c r="AN1267" s="161">
        <v>-2395.2599599999999</v>
      </c>
      <c r="AO1267" s="161">
        <v>-2346.0099599999999</v>
      </c>
      <c r="AP1267" s="125" t="str">
        <f>CONCATENATE(A1267,M1267)</f>
        <v>Def TaxR</v>
      </c>
      <c r="AQ1267" s="125" t="str">
        <f>CONCATENATE(AP1267,L1267,H1267)</f>
        <v>Def TaxRR11Accelerated Depreciation</v>
      </c>
      <c r="AS1267" s="125" t="str">
        <f>CONCATENATE(L1267,H1267,J1267)</f>
        <v>R11Accelerated Depreciation</v>
      </c>
    </row>
    <row r="1268" spans="1:45" s="125" customFormat="1" ht="25.5" customHeight="1">
      <c r="A1268" s="216" t="s">
        <v>1996</v>
      </c>
      <c r="B1268" s="217" t="str">
        <f t="shared" si="504"/>
        <v>Def Tax2822100BT010190</v>
      </c>
      <c r="C1268" s="186">
        <v>282210</v>
      </c>
      <c r="D1268" s="201">
        <v>0</v>
      </c>
      <c r="E1268" s="162" t="s">
        <v>98</v>
      </c>
      <c r="F1268" s="169" t="s">
        <v>1712</v>
      </c>
      <c r="G1268" s="117" t="s">
        <v>1320</v>
      </c>
      <c r="H1268" s="118" t="s">
        <v>1364</v>
      </c>
      <c r="I1268" s="119"/>
      <c r="J1268" s="120"/>
      <c r="K1268" s="120" t="str">
        <f t="shared" si="515"/>
        <v/>
      </c>
      <c r="L1268" s="170" t="s">
        <v>1895</v>
      </c>
      <c r="M1268" s="122" t="str">
        <f t="shared" si="505"/>
        <v>R</v>
      </c>
      <c r="N1268" s="116" t="str">
        <f>IF($L1268&lt;&gt;"",VLOOKUP($L1268,Categories!$E:$G,2,FALSE),IF($F1268&lt;&gt;"","NO CAT",""))</f>
        <v>Rate Base</v>
      </c>
      <c r="O1268" s="116" t="str">
        <f>IF($L1268&lt;&gt;"",VLOOKUP($L1268,Categories!$E:$G,3,FALSE),IF($F1268&lt;&gt;"","NO CAT",""))</f>
        <v>Deferred Income Taxes</v>
      </c>
      <c r="P1268" s="170" t="s">
        <v>1184</v>
      </c>
      <c r="Q1268" s="123" t="s">
        <v>1178</v>
      </c>
      <c r="R1268" s="124">
        <v>0</v>
      </c>
      <c r="S1268" s="124">
        <v>1</v>
      </c>
      <c r="T1268" s="124">
        <v>0</v>
      </c>
      <c r="U1268" s="121">
        <f t="shared" ref="U1268:U1326" si="516">IF(ABS(X1268)=0,"",IF($R1268="NO ALLOC","NO ALLOC",ROUND($R1268*X1268,15)))</f>
        <v>0</v>
      </c>
      <c r="V1268" s="121">
        <f t="shared" ref="V1268:V1326" si="517">IF(ABS(X1268)=0,"",IF($S1268="NO ALLOC","NO ALLOC",ROUND($S1268*X1268,15)))</f>
        <v>40.267850000000003</v>
      </c>
      <c r="W1268" s="121">
        <f t="shared" ref="W1268:W1326" si="518">IF(ABS(X1268)=0,"",IF($T1268="NO ALLOC","NO ALLOC",ROUND($T1268*X1268,15)))</f>
        <v>0</v>
      </c>
      <c r="X1268" s="121">
        <f t="shared" ref="X1268:X1323" si="519">IF(ISERROR(ROUND((SUM(AC1268:AO1268)-((AC1268+AO1268))/2)/12,15)),"",ROUND((SUM(AC1268:AO1268)-((AC1268+AO1268))/2)/12,15))</f>
        <v>40.267850000000003</v>
      </c>
      <c r="Y1268" s="121">
        <f t="shared" ref="Y1268:Y1326" si="520">IF(ABS(AB1268)=0,"",IF($R1268="NO ALLOC","NO ALLOC",ROUND($R1268*AB1268,15)))</f>
        <v>0</v>
      </c>
      <c r="Z1268" s="121">
        <f t="shared" ref="Z1268:Z1326" si="521">IF(ABS(AB1268)=0,"",IF($S1268="NO ALLOC","NO ALLOC",ROUND($S1268*AB1268,15)))</f>
        <v>34.492849999999997</v>
      </c>
      <c r="AA1268" s="121">
        <f t="shared" ref="AA1268:AA1326" si="522">IF(ABS(AB1268)=0,"",IF($T1268="NO ALLOC","NO ALLOC",ROUND($T1268*AB1268,15)))</f>
        <v>0</v>
      </c>
      <c r="AB1268" s="121">
        <f t="shared" ref="AB1268:AB1323" si="523">IF(AO1268="",0,+AO1268)</f>
        <v>34.492850000000004</v>
      </c>
      <c r="AC1268" s="121">
        <v>46.042850000000008</v>
      </c>
      <c r="AD1268" s="121">
        <v>45.080350000000003</v>
      </c>
      <c r="AE1268" s="121">
        <v>44.117850000000004</v>
      </c>
      <c r="AF1268" s="121">
        <v>43.155350000000006</v>
      </c>
      <c r="AG1268" s="121">
        <v>42.192850000000007</v>
      </c>
      <c r="AH1268" s="121">
        <v>41.230350000000001</v>
      </c>
      <c r="AI1268" s="161">
        <v>40.267850000000003</v>
      </c>
      <c r="AJ1268" s="161">
        <v>39.305350000000004</v>
      </c>
      <c r="AK1268" s="161">
        <v>38.342850000000006</v>
      </c>
      <c r="AL1268" s="161">
        <v>37.380350000000007</v>
      </c>
      <c r="AM1268" s="161">
        <v>36.417850000000008</v>
      </c>
      <c r="AN1268" s="161">
        <v>35.455350000000003</v>
      </c>
      <c r="AO1268" s="161">
        <v>34.492850000000004</v>
      </c>
      <c r="AP1268" s="125" t="str">
        <f>CONCATENATE(A1268,M1268)</f>
        <v>Def TaxR</v>
      </c>
      <c r="AQ1268" s="125" t="str">
        <f>CONCATENATE(AP1268,L1268,H1268)</f>
        <v>Def TaxRR11Accelerated Depreciation</v>
      </c>
      <c r="AS1268" s="125" t="str">
        <f>CONCATENATE(L1268,H1268,J1268)</f>
        <v>R11Accelerated Depreciation</v>
      </c>
    </row>
    <row r="1269" spans="1:45" s="125" customFormat="1" ht="25.5" customHeight="1">
      <c r="A1269" s="216" t="s">
        <v>1996</v>
      </c>
      <c r="B1269" s="217" t="str">
        <f t="shared" si="504"/>
        <v>Def Tax282210Multiple: 282.11.10/282.11.06/282.11.04/IBO Costs/NIRP Costs/WM CostsBT010197</v>
      </c>
      <c r="C1269" s="186">
        <v>282210</v>
      </c>
      <c r="D1269" s="201" t="s">
        <v>329</v>
      </c>
      <c r="E1269" s="162" t="s">
        <v>1321</v>
      </c>
      <c r="F1269" s="169" t="s">
        <v>1712</v>
      </c>
      <c r="G1269" s="117" t="s">
        <v>1358</v>
      </c>
      <c r="H1269" s="118" t="s">
        <v>1364</v>
      </c>
      <c r="I1269" s="119"/>
      <c r="J1269" s="120"/>
      <c r="K1269" s="120" t="str">
        <f t="shared" si="515"/>
        <v/>
      </c>
      <c r="L1269" s="170" t="s">
        <v>1895</v>
      </c>
      <c r="M1269" s="122" t="str">
        <f t="shared" si="505"/>
        <v>R</v>
      </c>
      <c r="N1269" s="116" t="str">
        <f>IF($L1269&lt;&gt;"",VLOOKUP($L1269,Categories!$E:$G,2,FALSE),IF($F1269&lt;&gt;"","NO CAT",""))</f>
        <v>Rate Base</v>
      </c>
      <c r="O1269" s="116" t="str">
        <f>IF($L1269&lt;&gt;"",VLOOKUP($L1269,Categories!$E:$G,3,FALSE),IF($F1269&lt;&gt;"","NO CAT",""))</f>
        <v>Deferred Income Taxes</v>
      </c>
      <c r="P1269" s="170" t="s">
        <v>1184</v>
      </c>
      <c r="Q1269" s="123" t="s">
        <v>1178</v>
      </c>
      <c r="R1269" s="124">
        <v>0</v>
      </c>
      <c r="S1269" s="124">
        <v>1</v>
      </c>
      <c r="T1269" s="124">
        <v>0</v>
      </c>
      <c r="U1269" s="121">
        <f t="shared" si="516"/>
        <v>0</v>
      </c>
      <c r="V1269" s="121">
        <f t="shared" si="517"/>
        <v>5305.8693412499997</v>
      </c>
      <c r="W1269" s="121">
        <f t="shared" si="518"/>
        <v>0</v>
      </c>
      <c r="X1269" s="121">
        <f t="shared" si="519"/>
        <v>5305.8693412499997</v>
      </c>
      <c r="Y1269" s="121">
        <f t="shared" si="520"/>
        <v>0</v>
      </c>
      <c r="Z1269" s="121">
        <f t="shared" si="521"/>
        <v>5549.74071</v>
      </c>
      <c r="AA1269" s="121">
        <f t="shared" si="522"/>
        <v>0</v>
      </c>
      <c r="AB1269" s="121">
        <f t="shared" si="523"/>
        <v>5549.7407099999991</v>
      </c>
      <c r="AC1269" s="121">
        <v>5063.6614599999984</v>
      </c>
      <c r="AD1269" s="121">
        <v>5095.9684099999986</v>
      </c>
      <c r="AE1269" s="121">
        <v>5128.2753599999987</v>
      </c>
      <c r="AF1269" s="121">
        <v>5160.5823099999989</v>
      </c>
      <c r="AG1269" s="121">
        <v>5232.3013499999988</v>
      </c>
      <c r="AH1269" s="121">
        <v>5274.4613299999992</v>
      </c>
      <c r="AI1269" s="161">
        <v>5316.6212999999989</v>
      </c>
      <c r="AJ1269" s="161">
        <v>5358.7812799999992</v>
      </c>
      <c r="AK1269" s="161">
        <v>5399.0857799999994</v>
      </c>
      <c r="AL1269" s="161">
        <v>5423.9565899999989</v>
      </c>
      <c r="AM1269" s="161">
        <v>5465.8846299999987</v>
      </c>
      <c r="AN1269" s="161">
        <v>5507.8126699999993</v>
      </c>
      <c r="AO1269" s="161">
        <v>5549.7407099999991</v>
      </c>
      <c r="AP1269" s="125" t="str">
        <f>CONCATENATE(A1269,M1269)</f>
        <v>Def TaxR</v>
      </c>
      <c r="AQ1269" s="125" t="str">
        <f>CONCATENATE(AP1269,L1269,H1269)</f>
        <v>Def TaxRR11Accelerated Depreciation</v>
      </c>
      <c r="AS1269" s="125" t="str">
        <f>CONCATENATE(L1269,H1269,J1269)</f>
        <v>R11Accelerated Depreciation</v>
      </c>
    </row>
    <row r="1270" spans="1:45" s="125" customFormat="1" ht="25.5" customHeight="1">
      <c r="A1270" s="216" t="s">
        <v>1996</v>
      </c>
      <c r="B1270" s="217" t="str">
        <f t="shared" si="504"/>
        <v>Def Tax282210Multiple: 282.11.10/282.11.06/282.11.04/IBO Costs/NIRP Costs/WM CostsBT010198</v>
      </c>
      <c r="C1270" s="186">
        <v>282210</v>
      </c>
      <c r="D1270" s="201" t="s">
        <v>329</v>
      </c>
      <c r="E1270" s="162" t="s">
        <v>1322</v>
      </c>
      <c r="F1270" s="169" t="s">
        <v>1712</v>
      </c>
      <c r="G1270" s="117" t="s">
        <v>1359</v>
      </c>
      <c r="H1270" s="118" t="s">
        <v>1364</v>
      </c>
      <c r="I1270" s="119"/>
      <c r="J1270" s="120"/>
      <c r="K1270" s="120" t="str">
        <f t="shared" si="515"/>
        <v/>
      </c>
      <c r="L1270" s="170" t="s">
        <v>1895</v>
      </c>
      <c r="M1270" s="122" t="str">
        <f t="shared" si="505"/>
        <v>R</v>
      </c>
      <c r="N1270" s="116" t="str">
        <f>IF($L1270&lt;&gt;"",VLOOKUP($L1270,Categories!$E:$G,2,FALSE),IF($F1270&lt;&gt;"","NO CAT",""))</f>
        <v>Rate Base</v>
      </c>
      <c r="O1270" s="116" t="str">
        <f>IF($L1270&lt;&gt;"",VLOOKUP($L1270,Categories!$E:$G,3,FALSE),IF($F1270&lt;&gt;"","NO CAT",""))</f>
        <v>Deferred Income Taxes</v>
      </c>
      <c r="P1270" s="170" t="s">
        <v>1184</v>
      </c>
      <c r="Q1270" s="123" t="s">
        <v>1178</v>
      </c>
      <c r="R1270" s="124">
        <v>0</v>
      </c>
      <c r="S1270" s="124">
        <v>1</v>
      </c>
      <c r="T1270" s="124">
        <v>0</v>
      </c>
      <c r="U1270" s="121">
        <f t="shared" si="516"/>
        <v>0</v>
      </c>
      <c r="V1270" s="121">
        <f t="shared" si="517"/>
        <v>2357.38133666667</v>
      </c>
      <c r="W1270" s="121">
        <f t="shared" si="518"/>
        <v>0</v>
      </c>
      <c r="X1270" s="121">
        <f t="shared" si="519"/>
        <v>2357.38133666667</v>
      </c>
      <c r="Y1270" s="121">
        <f t="shared" si="520"/>
        <v>0</v>
      </c>
      <c r="Z1270" s="121">
        <f t="shared" si="521"/>
        <v>2517.9259499999998</v>
      </c>
      <c r="AA1270" s="121">
        <f t="shared" si="522"/>
        <v>0</v>
      </c>
      <c r="AB1270" s="121">
        <f t="shared" si="523"/>
        <v>2517.9259500000003</v>
      </c>
      <c r="AC1270" s="121">
        <v>2183.4179899999986</v>
      </c>
      <c r="AD1270" s="121">
        <v>2213.9773999999984</v>
      </c>
      <c r="AE1270" s="121">
        <v>2244.5368099999987</v>
      </c>
      <c r="AF1270" s="121">
        <v>2275.096219999999</v>
      </c>
      <c r="AG1270" s="121">
        <v>2305.6556299999988</v>
      </c>
      <c r="AH1270" s="121">
        <v>2336.2150399999991</v>
      </c>
      <c r="AI1270" s="161">
        <v>2366.7744499999994</v>
      </c>
      <c r="AJ1270" s="161">
        <v>2397.3338599999993</v>
      </c>
      <c r="AK1270" s="161">
        <v>2427.8932699999996</v>
      </c>
      <c r="AL1270" s="161">
        <v>2426.2477199999998</v>
      </c>
      <c r="AM1270" s="161">
        <v>2456.8071299999997</v>
      </c>
      <c r="AN1270" s="161">
        <v>2487.36654</v>
      </c>
      <c r="AO1270" s="161">
        <v>2517.9259500000003</v>
      </c>
      <c r="AP1270" s="125" t="str">
        <f>CONCATENATE(A1270,M1270)</f>
        <v>Def TaxR</v>
      </c>
      <c r="AQ1270" s="125" t="str">
        <f>CONCATENATE(AP1270,L1270,H1270)</f>
        <v>Def TaxRR11Accelerated Depreciation</v>
      </c>
      <c r="AS1270" s="125" t="str">
        <f>CONCATENATE(L1270,H1270,J1270)</f>
        <v>R11Accelerated Depreciation</v>
      </c>
    </row>
    <row r="1271" spans="1:45" s="125" customFormat="1" ht="25.5" customHeight="1">
      <c r="A1271" s="216" t="s">
        <v>1996</v>
      </c>
      <c r="B1271" s="217" t="str">
        <f t="shared" si="504"/>
        <v>Def Tax282210Multiple: 282.11.10/282.11.06/282.11.04/IBO Costs/NIRP Costs/WM Costs-aBT010229</v>
      </c>
      <c r="C1271" s="186">
        <v>282210</v>
      </c>
      <c r="D1271" s="201" t="s">
        <v>2347</v>
      </c>
      <c r="E1271" s="162" t="s">
        <v>1323</v>
      </c>
      <c r="F1271" s="169" t="s">
        <v>1712</v>
      </c>
      <c r="G1271" s="117" t="s">
        <v>366</v>
      </c>
      <c r="H1271" s="118" t="s">
        <v>1364</v>
      </c>
      <c r="I1271" s="119"/>
      <c r="J1271" s="120"/>
      <c r="K1271" s="120" t="str">
        <f t="shared" si="515"/>
        <v/>
      </c>
      <c r="L1271" s="170" t="s">
        <v>1895</v>
      </c>
      <c r="M1271" s="122" t="str">
        <f t="shared" si="505"/>
        <v>R</v>
      </c>
      <c r="N1271" s="116" t="str">
        <f>IF($L1271&lt;&gt;"",VLOOKUP($L1271,Categories!$E:$G,2,FALSE),IF($F1271&lt;&gt;"","NO CAT",""))</f>
        <v>Rate Base</v>
      </c>
      <c r="O1271" s="116" t="str">
        <f>IF($L1271&lt;&gt;"",VLOOKUP($L1271,Categories!$E:$G,3,FALSE),IF($F1271&lt;&gt;"","NO CAT",""))</f>
        <v>Deferred Income Taxes</v>
      </c>
      <c r="P1271" s="170" t="s">
        <v>1184</v>
      </c>
      <c r="Q1271" s="123" t="s">
        <v>1178</v>
      </c>
      <c r="R1271" s="124">
        <v>0</v>
      </c>
      <c r="S1271" s="124">
        <v>1</v>
      </c>
      <c r="T1271" s="124">
        <v>0</v>
      </c>
      <c r="U1271" s="121">
        <f t="shared" si="516"/>
        <v>0</v>
      </c>
      <c r="V1271" s="121">
        <f t="shared" si="517"/>
        <v>-162183.80139833299</v>
      </c>
      <c r="W1271" s="121">
        <f t="shared" si="518"/>
        <v>0</v>
      </c>
      <c r="X1271" s="121">
        <f t="shared" si="519"/>
        <v>-162183.80139833299</v>
      </c>
      <c r="Y1271" s="121">
        <f t="shared" si="520"/>
        <v>0</v>
      </c>
      <c r="Z1271" s="121">
        <f t="shared" si="521"/>
        <v>-164292.82563000001</v>
      </c>
      <c r="AA1271" s="121">
        <f t="shared" si="522"/>
        <v>0</v>
      </c>
      <c r="AB1271" s="121">
        <f t="shared" si="523"/>
        <v>-164292.82562999989</v>
      </c>
      <c r="AC1271" s="121">
        <v>-158649.56592999995</v>
      </c>
      <c r="AD1271" s="121">
        <v>-159259.12859999994</v>
      </c>
      <c r="AE1271" s="121">
        <v>-159868.69125999993</v>
      </c>
      <c r="AF1271" s="121">
        <v>-160478.25392999992</v>
      </c>
      <c r="AG1271" s="121">
        <v>-160290.49459999992</v>
      </c>
      <c r="AH1271" s="121">
        <v>-160700.72675999999</v>
      </c>
      <c r="AI1271" s="161">
        <v>-161110.95892999988</v>
      </c>
      <c r="AJ1271" s="161">
        <v>-161521.19109999988</v>
      </c>
      <c r="AK1271" s="161">
        <v>-161856.0899299999</v>
      </c>
      <c r="AL1271" s="161">
        <v>-164982.16012999989</v>
      </c>
      <c r="AM1271" s="161">
        <v>-167049.62262999988</v>
      </c>
      <c r="AN1271" s="161">
        <v>-167617.10312999989</v>
      </c>
      <c r="AO1271" s="161">
        <v>-164292.82562999989</v>
      </c>
      <c r="AP1271" s="125" t="str">
        <f>CONCATENATE(A1271,M1271)</f>
        <v>Def TaxR</v>
      </c>
      <c r="AQ1271" s="125" t="str">
        <f>CONCATENATE(AP1271,L1271,H1271)</f>
        <v>Def TaxRR11Accelerated Depreciation</v>
      </c>
      <c r="AS1271" s="125" t="str">
        <f>CONCATENATE(L1271,H1271,J1271)</f>
        <v>R11Accelerated Depreciation</v>
      </c>
    </row>
    <row r="1272" spans="1:45" s="125" customFormat="1" ht="25.5" customHeight="1">
      <c r="A1272" s="216" t="s">
        <v>1996</v>
      </c>
      <c r="B1272" s="217" t="str">
        <f t="shared" si="504"/>
        <v>Def Tax282210Multiple: 282.11.10/282.11.06/282.11.04/IBO Costs/NIRP Costs/WM Costs-bBT010229</v>
      </c>
      <c r="C1272" s="186">
        <v>282210</v>
      </c>
      <c r="D1272" s="201" t="s">
        <v>2348</v>
      </c>
      <c r="E1272" s="162" t="s">
        <v>1323</v>
      </c>
      <c r="F1272" s="169" t="s">
        <v>1712</v>
      </c>
      <c r="G1272" s="117" t="s">
        <v>1360</v>
      </c>
      <c r="H1272" s="118" t="s">
        <v>1364</v>
      </c>
      <c r="I1272" s="119"/>
      <c r="J1272" s="120"/>
      <c r="K1272" s="120" t="str">
        <f t="shared" si="515"/>
        <v/>
      </c>
      <c r="L1272" s="170" t="s">
        <v>1895</v>
      </c>
      <c r="M1272" s="122" t="str">
        <f t="shared" si="505"/>
        <v>R</v>
      </c>
      <c r="N1272" s="116" t="str">
        <f>IF($L1272&lt;&gt;"",VLOOKUP($L1272,Categories!$E:$G,2,FALSE),IF($F1272&lt;&gt;"","NO CAT",""))</f>
        <v>Rate Base</v>
      </c>
      <c r="O1272" s="116" t="str">
        <f>IF($L1272&lt;&gt;"",VLOOKUP($L1272,Categories!$E:$G,3,FALSE),IF($F1272&lt;&gt;"","NO CAT",""))</f>
        <v>Deferred Income Taxes</v>
      </c>
      <c r="P1272" s="170" t="s">
        <v>1184</v>
      </c>
      <c r="Q1272" s="123" t="s">
        <v>1178</v>
      </c>
      <c r="R1272" s="124">
        <v>0</v>
      </c>
      <c r="S1272" s="124">
        <v>1</v>
      </c>
      <c r="T1272" s="124">
        <v>0</v>
      </c>
      <c r="U1272" s="121">
        <f t="shared" si="516"/>
        <v>0</v>
      </c>
      <c r="V1272" s="121">
        <f t="shared" si="517"/>
        <v>1302.3139699999999</v>
      </c>
      <c r="W1272" s="121">
        <f t="shared" si="518"/>
        <v>0</v>
      </c>
      <c r="X1272" s="121">
        <f t="shared" si="519"/>
        <v>1302.3139699999999</v>
      </c>
      <c r="Y1272" s="121">
        <f t="shared" si="520"/>
        <v>0</v>
      </c>
      <c r="Z1272" s="121">
        <f t="shared" si="521"/>
        <v>1302.3139699999999</v>
      </c>
      <c r="AA1272" s="121">
        <f t="shared" si="522"/>
        <v>0</v>
      </c>
      <c r="AB1272" s="121">
        <f t="shared" si="523"/>
        <v>1302.3139699999999</v>
      </c>
      <c r="AC1272" s="121">
        <v>1302.3139699999999</v>
      </c>
      <c r="AD1272" s="121">
        <v>1302.3139699999999</v>
      </c>
      <c r="AE1272" s="121">
        <v>1302.3139699999999</v>
      </c>
      <c r="AF1272" s="121">
        <v>1302.3139699999999</v>
      </c>
      <c r="AG1272" s="121">
        <v>1302.3139699999999</v>
      </c>
      <c r="AH1272" s="121">
        <v>1302.3139699999999</v>
      </c>
      <c r="AI1272" s="161">
        <v>1302.3139699999999</v>
      </c>
      <c r="AJ1272" s="161">
        <v>1302.3139699999999</v>
      </c>
      <c r="AK1272" s="161">
        <v>1302.3139699999999</v>
      </c>
      <c r="AL1272" s="161">
        <v>1302.3139699999999</v>
      </c>
      <c r="AM1272" s="161">
        <v>1302.3139699999999</v>
      </c>
      <c r="AN1272" s="161">
        <v>1302.3139699999999</v>
      </c>
      <c r="AO1272" s="161">
        <v>1302.3139699999999</v>
      </c>
      <c r="AP1272" s="125" t="str">
        <f>CONCATENATE(A1272,M1272)</f>
        <v>Def TaxR</v>
      </c>
      <c r="AQ1272" s="125" t="str">
        <f>CONCATENATE(AP1272,L1272,H1272)</f>
        <v>Def TaxRR11Accelerated Depreciation</v>
      </c>
      <c r="AS1272" s="125" t="str">
        <f>CONCATENATE(L1272,H1272,J1272)</f>
        <v>R11Accelerated Depreciation</v>
      </c>
    </row>
    <row r="1273" spans="1:45" s="125" customFormat="1" ht="25.5" customHeight="1">
      <c r="A1273" s="216" t="s">
        <v>1996</v>
      </c>
      <c r="B1273" s="217" t="str">
        <f>CONCATENATE(A1273,C1273,D1273,E1273)</f>
        <v>Def Tax282210BT010031</v>
      </c>
      <c r="C1273" s="186">
        <v>282210</v>
      </c>
      <c r="D1273" s="201"/>
      <c r="E1273" s="162" t="s">
        <v>613</v>
      </c>
      <c r="F1273" s="169" t="s">
        <v>1712</v>
      </c>
      <c r="G1273" s="117" t="s">
        <v>4560</v>
      </c>
      <c r="H1273" s="118" t="s">
        <v>170</v>
      </c>
      <c r="I1273" s="119"/>
      <c r="J1273" s="120"/>
      <c r="K1273" s="120" t="str">
        <f t="shared" si="515"/>
        <v/>
      </c>
      <c r="L1273" s="170" t="s">
        <v>1895</v>
      </c>
      <c r="M1273" s="122" t="str">
        <f t="shared" si="505"/>
        <v>R</v>
      </c>
      <c r="N1273" s="116" t="str">
        <f>IF($L1273&lt;&gt;"",VLOOKUP($L1273,Categories!$E:$G,2,FALSE),IF($F1273&lt;&gt;"","NO CAT",""))</f>
        <v>Rate Base</v>
      </c>
      <c r="O1273" s="116" t="str">
        <f>IF($L1273&lt;&gt;"",VLOOKUP($L1273,Categories!$E:$G,3,FALSE),IF($F1273&lt;&gt;"","NO CAT",""))</f>
        <v>Deferred Income Taxes</v>
      </c>
      <c r="P1273" s="170" t="s">
        <v>1553</v>
      </c>
      <c r="Q1273" s="123" t="s">
        <v>2587</v>
      </c>
      <c r="R1273" s="124">
        <v>0.81899999999999995</v>
      </c>
      <c r="S1273" s="124">
        <v>0.18099999999999999</v>
      </c>
      <c r="T1273" s="124">
        <v>0</v>
      </c>
      <c r="U1273" s="121">
        <f t="shared" si="516"/>
        <v>653.84865000000002</v>
      </c>
      <c r="V1273" s="121">
        <f t="shared" si="517"/>
        <v>144.50135</v>
      </c>
      <c r="W1273" s="121">
        <f t="shared" si="518"/>
        <v>0</v>
      </c>
      <c r="X1273" s="121">
        <f t="shared" si="519"/>
        <v>798.35</v>
      </c>
      <c r="Y1273" s="121">
        <f t="shared" si="520"/>
        <v>675.96164999999996</v>
      </c>
      <c r="Z1273" s="121">
        <f t="shared" si="521"/>
        <v>149.38835</v>
      </c>
      <c r="AA1273" s="121">
        <f t="shared" si="522"/>
        <v>0</v>
      </c>
      <c r="AB1273" s="121">
        <f t="shared" si="523"/>
        <v>825.35</v>
      </c>
      <c r="AC1273" s="121">
        <v>771.35</v>
      </c>
      <c r="AD1273" s="121">
        <v>775.85</v>
      </c>
      <c r="AE1273" s="121">
        <v>780.35</v>
      </c>
      <c r="AF1273" s="121">
        <v>784.85</v>
      </c>
      <c r="AG1273" s="121">
        <v>789.35</v>
      </c>
      <c r="AH1273" s="121">
        <v>793.85</v>
      </c>
      <c r="AI1273" s="161">
        <v>798.35</v>
      </c>
      <c r="AJ1273" s="161">
        <v>802.85</v>
      </c>
      <c r="AK1273" s="161">
        <v>807.35</v>
      </c>
      <c r="AL1273" s="161">
        <v>811.85</v>
      </c>
      <c r="AM1273" s="161">
        <v>816.35</v>
      </c>
      <c r="AN1273" s="161">
        <v>820.85</v>
      </c>
      <c r="AO1273" s="161">
        <v>825.35</v>
      </c>
      <c r="AP1273" s="125" t="str">
        <f>CONCATENATE(A1273,M1273)</f>
        <v>Def TaxR</v>
      </c>
      <c r="AQ1273" s="125" t="str">
        <f>CONCATENATE(AP1273,L1273,H1273)</f>
        <v>Def TaxRR11OPEBs</v>
      </c>
      <c r="AS1273" s="125" t="str">
        <f>CONCATENATE(L1273,H1273,J1273)</f>
        <v>R11OPEBs</v>
      </c>
    </row>
    <row r="1274" spans="1:45" s="125" customFormat="1" ht="25.5" customHeight="1">
      <c r="A1274" s="216" t="s">
        <v>1996</v>
      </c>
      <c r="B1274" s="217" t="str">
        <f t="shared" si="504"/>
        <v>Def Tax2822300-282.11.18BT010229</v>
      </c>
      <c r="C1274" s="186">
        <v>282230</v>
      </c>
      <c r="D1274" s="201" t="s">
        <v>978</v>
      </c>
      <c r="E1274" s="162" t="s">
        <v>1323</v>
      </c>
      <c r="F1274" s="169" t="s">
        <v>1489</v>
      </c>
      <c r="G1274" s="117" t="s">
        <v>272</v>
      </c>
      <c r="H1274" s="118" t="s">
        <v>1364</v>
      </c>
      <c r="I1274" s="119"/>
      <c r="J1274" s="120"/>
      <c r="K1274" s="120" t="str">
        <f t="shared" si="515"/>
        <v/>
      </c>
      <c r="L1274" s="170" t="s">
        <v>928</v>
      </c>
      <c r="M1274" s="122" t="str">
        <f t="shared" si="505"/>
        <v>N</v>
      </c>
      <c r="N1274" s="116" t="str">
        <f>IF($L1274&lt;&gt;"",VLOOKUP($L1274,Categories!$E:$G,2,FALSE),IF($F1274&lt;&gt;"","NO CAT",""))</f>
        <v>Not in Rate Base</v>
      </c>
      <c r="O1274" s="116" t="str">
        <f>IF($L1274&lt;&gt;"",VLOOKUP($L1274,Categories!$E:$G,3,FALSE),IF($F1274&lt;&gt;"","NO CAT",""))</f>
        <v>Direct Assign Items Not in RB</v>
      </c>
      <c r="P1274" s="170" t="s">
        <v>1186</v>
      </c>
      <c r="Q1274" s="123" t="s">
        <v>1187</v>
      </c>
      <c r="R1274" s="124">
        <v>0</v>
      </c>
      <c r="S1274" s="124">
        <v>0</v>
      </c>
      <c r="T1274" s="124">
        <v>1</v>
      </c>
      <c r="U1274" s="121">
        <f t="shared" si="516"/>
        <v>0</v>
      </c>
      <c r="V1274" s="121">
        <f t="shared" si="517"/>
        <v>0</v>
      </c>
      <c r="W1274" s="121">
        <f t="shared" si="518"/>
        <v>-8094.5280000000002</v>
      </c>
      <c r="X1274" s="121">
        <f t="shared" si="519"/>
        <v>-8094.5280000000002</v>
      </c>
      <c r="Y1274" s="121">
        <f t="shared" si="520"/>
        <v>0</v>
      </c>
      <c r="Z1274" s="121">
        <f t="shared" si="521"/>
        <v>0</v>
      </c>
      <c r="AA1274" s="121">
        <f t="shared" si="522"/>
        <v>-8274.5280000000002</v>
      </c>
      <c r="AB1274" s="121">
        <f t="shared" si="523"/>
        <v>-8274.5280000000002</v>
      </c>
      <c r="AC1274" s="121">
        <v>-7914.5280000000002</v>
      </c>
      <c r="AD1274" s="121">
        <v>-7944.5280000000002</v>
      </c>
      <c r="AE1274" s="121">
        <v>-7974.5280000000002</v>
      </c>
      <c r="AF1274" s="121">
        <v>-8004.5280000000002</v>
      </c>
      <c r="AG1274" s="121">
        <v>-8034.5280000000002</v>
      </c>
      <c r="AH1274" s="121">
        <v>-8064.5280000000002</v>
      </c>
      <c r="AI1274" s="161">
        <v>-8094.5280000000002</v>
      </c>
      <c r="AJ1274" s="161">
        <v>-8124.5280000000002</v>
      </c>
      <c r="AK1274" s="161">
        <v>-8154.5280000000002</v>
      </c>
      <c r="AL1274" s="161">
        <v>-8184.5280000000002</v>
      </c>
      <c r="AM1274" s="161">
        <v>-8214.5280000000002</v>
      </c>
      <c r="AN1274" s="161">
        <v>-8244.5280000000002</v>
      </c>
      <c r="AO1274" s="161">
        <v>-8274.5280000000002</v>
      </c>
      <c r="AP1274" s="125" t="str">
        <f>CONCATENATE(A1274,M1274)</f>
        <v>Def TaxN</v>
      </c>
      <c r="AQ1274" s="125" t="str">
        <f>CONCATENATE(AP1274,L1274,H1274)</f>
        <v>Def TaxNN2Accelerated Depreciation</v>
      </c>
      <c r="AS1274" s="125" t="str">
        <f>CONCATENATE(L1274,H1274,J1274)</f>
        <v>N2Accelerated Depreciation</v>
      </c>
    </row>
    <row r="1275" spans="1:45" s="125" customFormat="1" ht="25.5" customHeight="1">
      <c r="A1275" s="216" t="s">
        <v>1996</v>
      </c>
      <c r="B1275" s="217" t="str">
        <f>CONCATENATE(A1275,C1275,D1275,E1275)</f>
        <v>Def Tax2822300-182.20.01BT010192</v>
      </c>
      <c r="C1275" s="186">
        <v>282230</v>
      </c>
      <c r="D1275" s="201" t="s">
        <v>843</v>
      </c>
      <c r="E1275" s="162" t="s">
        <v>2254</v>
      </c>
      <c r="F1275" s="169" t="s">
        <v>1489</v>
      </c>
      <c r="G1275" s="117" t="s">
        <v>4504</v>
      </c>
      <c r="H1275" s="118">
        <v>0</v>
      </c>
      <c r="I1275" s="119"/>
      <c r="J1275" s="120"/>
      <c r="K1275" s="120" t="str">
        <f t="shared" si="515"/>
        <v/>
      </c>
      <c r="L1275" s="170" t="s">
        <v>928</v>
      </c>
      <c r="M1275" s="122" t="str">
        <f t="shared" si="505"/>
        <v>N</v>
      </c>
      <c r="N1275" s="116" t="str">
        <f>IF($L1275&lt;&gt;"",VLOOKUP($L1275,Categories!$E:$G,2,FALSE),IF($F1275&lt;&gt;"","NO CAT",""))</f>
        <v>Not in Rate Base</v>
      </c>
      <c r="O1275" s="116" t="str">
        <f>IF($L1275&lt;&gt;"",VLOOKUP($L1275,Categories!$E:$G,3,FALSE),IF($F1275&lt;&gt;"","NO CAT",""))</f>
        <v>Direct Assign Items Not in RB</v>
      </c>
      <c r="P1275" s="170" t="s">
        <v>1186</v>
      </c>
      <c r="Q1275" s="123" t="s">
        <v>1187</v>
      </c>
      <c r="R1275" s="124">
        <v>0</v>
      </c>
      <c r="S1275" s="124">
        <v>0</v>
      </c>
      <c r="T1275" s="124">
        <v>1</v>
      </c>
      <c r="U1275" s="121">
        <f t="shared" si="516"/>
        <v>0</v>
      </c>
      <c r="V1275" s="121">
        <f t="shared" si="517"/>
        <v>0</v>
      </c>
      <c r="W1275" s="121">
        <f t="shared" si="518"/>
        <v>-1410.723</v>
      </c>
      <c r="X1275" s="121">
        <f t="shared" si="519"/>
        <v>-1410.723</v>
      </c>
      <c r="Y1275" s="121">
        <f t="shared" si="520"/>
        <v>0</v>
      </c>
      <c r="Z1275" s="121">
        <f t="shared" si="521"/>
        <v>0</v>
      </c>
      <c r="AA1275" s="121">
        <f t="shared" si="522"/>
        <v>-1567.47</v>
      </c>
      <c r="AB1275" s="121">
        <f t="shared" si="523"/>
        <v>-1567.47</v>
      </c>
      <c r="AC1275" s="121">
        <v>-1253.9760000000001</v>
      </c>
      <c r="AD1275" s="121">
        <v>-1280.1005</v>
      </c>
      <c r="AE1275" s="121">
        <v>-1306.2249999999999</v>
      </c>
      <c r="AF1275" s="121">
        <v>-1332.3495</v>
      </c>
      <c r="AG1275" s="121">
        <v>-1358.4739999999999</v>
      </c>
      <c r="AH1275" s="121">
        <v>-1384.5985000000001</v>
      </c>
      <c r="AI1275" s="161">
        <v>-1410.723</v>
      </c>
      <c r="AJ1275" s="161">
        <v>-1436.8475000000001</v>
      </c>
      <c r="AK1275" s="161">
        <v>-1462.972</v>
      </c>
      <c r="AL1275" s="161">
        <v>-1489.0965000000001</v>
      </c>
      <c r="AM1275" s="161">
        <v>-1515.221</v>
      </c>
      <c r="AN1275" s="161">
        <v>-1541.3454999999999</v>
      </c>
      <c r="AO1275" s="161">
        <v>-1567.47</v>
      </c>
      <c r="AP1275" s="125" t="str">
        <f>CONCATENATE(A1275,M1275)</f>
        <v>Def TaxN</v>
      </c>
      <c r="AQ1275" s="125" t="str">
        <f>CONCATENATE(AP1275,L1275,H1275)</f>
        <v>Def TaxNN20</v>
      </c>
      <c r="AS1275" s="125" t="str">
        <f>CONCATENATE(L1275,H1275,J1275)</f>
        <v>N20</v>
      </c>
    </row>
    <row r="1276" spans="1:45" s="125" customFormat="1" ht="25.5" customHeight="1">
      <c r="A1276" s="216" t="s">
        <v>1996</v>
      </c>
      <c r="B1276" s="217" t="str">
        <f t="shared" si="504"/>
        <v>Def Tax2822300-282.11.16BT010388</v>
      </c>
      <c r="C1276" s="186">
        <v>282230</v>
      </c>
      <c r="D1276" s="201" t="s">
        <v>1457</v>
      </c>
      <c r="E1276" s="162" t="s">
        <v>1456</v>
      </c>
      <c r="F1276" s="169" t="s">
        <v>1489</v>
      </c>
      <c r="G1276" s="117" t="s">
        <v>1454</v>
      </c>
      <c r="H1276" s="118" t="s">
        <v>1722</v>
      </c>
      <c r="I1276" s="119"/>
      <c r="J1276" s="120"/>
      <c r="K1276" s="120" t="str">
        <f t="shared" si="515"/>
        <v/>
      </c>
      <c r="L1276" s="170" t="s">
        <v>1895</v>
      </c>
      <c r="M1276" s="122" t="str">
        <f t="shared" si="505"/>
        <v>R</v>
      </c>
      <c r="N1276" s="116" t="str">
        <f>IF($L1276&lt;&gt;"",VLOOKUP($L1276,Categories!$E:$G,2,FALSE),IF($F1276&lt;&gt;"","NO CAT",""))</f>
        <v>Rate Base</v>
      </c>
      <c r="O1276" s="116" t="str">
        <f>IF($L1276&lt;&gt;"",VLOOKUP($L1276,Categories!$E:$G,3,FALSE),IF($F1276&lt;&gt;"","NO CAT",""))</f>
        <v>Deferred Income Taxes</v>
      </c>
      <c r="P1276" s="170" t="s">
        <v>1184</v>
      </c>
      <c r="Q1276" s="123" t="s">
        <v>1178</v>
      </c>
      <c r="R1276" s="124">
        <v>0</v>
      </c>
      <c r="S1276" s="124">
        <v>1</v>
      </c>
      <c r="T1276" s="124">
        <v>0</v>
      </c>
      <c r="U1276" s="121">
        <f t="shared" si="516"/>
        <v>0</v>
      </c>
      <c r="V1276" s="121">
        <f t="shared" si="517"/>
        <v>-1.30827</v>
      </c>
      <c r="W1276" s="121">
        <f t="shared" si="518"/>
        <v>0</v>
      </c>
      <c r="X1276" s="121">
        <f t="shared" si="519"/>
        <v>-1.30827</v>
      </c>
      <c r="Y1276" s="121">
        <f t="shared" si="520"/>
        <v>0</v>
      </c>
      <c r="Z1276" s="121">
        <f t="shared" si="521"/>
        <v>-1.30827</v>
      </c>
      <c r="AA1276" s="121">
        <f t="shared" si="522"/>
        <v>0</v>
      </c>
      <c r="AB1276" s="121">
        <f t="shared" si="523"/>
        <v>-1.30827</v>
      </c>
      <c r="AC1276" s="121">
        <v>-1.30827</v>
      </c>
      <c r="AD1276" s="121">
        <v>-1.30827</v>
      </c>
      <c r="AE1276" s="121">
        <v>-1.30827</v>
      </c>
      <c r="AF1276" s="121">
        <v>-1.30827</v>
      </c>
      <c r="AG1276" s="121">
        <v>-1.30827</v>
      </c>
      <c r="AH1276" s="121">
        <v>-1.30827</v>
      </c>
      <c r="AI1276" s="161">
        <v>-1.30827</v>
      </c>
      <c r="AJ1276" s="161">
        <v>-1.30827</v>
      </c>
      <c r="AK1276" s="161">
        <v>-1.30827</v>
      </c>
      <c r="AL1276" s="161">
        <v>-1.30827</v>
      </c>
      <c r="AM1276" s="161">
        <v>-1.30827</v>
      </c>
      <c r="AN1276" s="161">
        <v>-1.30827</v>
      </c>
      <c r="AO1276" s="161">
        <v>-1.30827</v>
      </c>
      <c r="AP1276" s="125" t="str">
        <f>CONCATENATE(A1276,M1276)</f>
        <v>Def TaxR</v>
      </c>
      <c r="AQ1276" s="125" t="str">
        <f>CONCATENATE(AP1276,L1276,H1276)</f>
        <v>Def TaxRR11Seneca ADIT Offset</v>
      </c>
      <c r="AS1276" s="125" t="str">
        <f>CONCATENATE(L1276,H1276,J1276)</f>
        <v>R11Seneca ADIT Offset</v>
      </c>
    </row>
    <row r="1277" spans="1:45" s="125" customFormat="1" ht="25.5" customHeight="1">
      <c r="A1277" s="216" t="s">
        <v>1996</v>
      </c>
      <c r="B1277" s="217" t="str">
        <f t="shared" si="504"/>
        <v>Def Tax2822300-282.11.17BT010389</v>
      </c>
      <c r="C1277" s="186">
        <v>282230</v>
      </c>
      <c r="D1277" s="201" t="s">
        <v>2631</v>
      </c>
      <c r="E1277" s="162" t="s">
        <v>1666</v>
      </c>
      <c r="F1277" s="169" t="s">
        <v>1489</v>
      </c>
      <c r="G1277" s="117" t="s">
        <v>1455</v>
      </c>
      <c r="H1277" s="118" t="s">
        <v>1722</v>
      </c>
      <c r="I1277" s="119"/>
      <c r="J1277" s="120"/>
      <c r="K1277" s="120" t="str">
        <f t="shared" si="515"/>
        <v/>
      </c>
      <c r="L1277" s="170" t="s">
        <v>1895</v>
      </c>
      <c r="M1277" s="122" t="str">
        <f t="shared" si="505"/>
        <v>R</v>
      </c>
      <c r="N1277" s="116" t="str">
        <f>IF($L1277&lt;&gt;"",VLOOKUP($L1277,Categories!$E:$G,2,FALSE),IF($F1277&lt;&gt;"","NO CAT",""))</f>
        <v>Rate Base</v>
      </c>
      <c r="O1277" s="116" t="str">
        <f>IF($L1277&lt;&gt;"",VLOOKUP($L1277,Categories!$E:$G,3,FALSE),IF($F1277&lt;&gt;"","NO CAT",""))</f>
        <v>Deferred Income Taxes</v>
      </c>
      <c r="P1277" s="170" t="s">
        <v>1184</v>
      </c>
      <c r="Q1277" s="123" t="s">
        <v>1178</v>
      </c>
      <c r="R1277" s="124">
        <v>0</v>
      </c>
      <c r="S1277" s="124">
        <v>1</v>
      </c>
      <c r="T1277" s="124">
        <v>0</v>
      </c>
      <c r="U1277" s="121">
        <f t="shared" si="516"/>
        <v>0</v>
      </c>
      <c r="V1277" s="121">
        <f t="shared" si="517"/>
        <v>11556.088519999999</v>
      </c>
      <c r="W1277" s="121">
        <f t="shared" si="518"/>
        <v>0</v>
      </c>
      <c r="X1277" s="121">
        <f t="shared" si="519"/>
        <v>11556.088519999999</v>
      </c>
      <c r="Y1277" s="121">
        <f t="shared" si="520"/>
        <v>0</v>
      </c>
      <c r="Z1277" s="121">
        <f t="shared" si="521"/>
        <v>11556.088519999999</v>
      </c>
      <c r="AA1277" s="121">
        <f t="shared" si="522"/>
        <v>0</v>
      </c>
      <c r="AB1277" s="121">
        <f t="shared" si="523"/>
        <v>11556.088519999999</v>
      </c>
      <c r="AC1277" s="121">
        <v>11556.088519999999</v>
      </c>
      <c r="AD1277" s="121">
        <v>11556.088519999999</v>
      </c>
      <c r="AE1277" s="121">
        <v>11556.088519999999</v>
      </c>
      <c r="AF1277" s="121">
        <v>11556.088519999999</v>
      </c>
      <c r="AG1277" s="121">
        <v>11556.088519999999</v>
      </c>
      <c r="AH1277" s="121">
        <v>11556.088519999999</v>
      </c>
      <c r="AI1277" s="161">
        <v>11556.088519999999</v>
      </c>
      <c r="AJ1277" s="161">
        <v>11556.088519999999</v>
      </c>
      <c r="AK1277" s="161">
        <v>11556.088519999999</v>
      </c>
      <c r="AL1277" s="161">
        <v>11556.088519999999</v>
      </c>
      <c r="AM1277" s="161">
        <v>11556.088519999999</v>
      </c>
      <c r="AN1277" s="161">
        <v>11556.088519999999</v>
      </c>
      <c r="AO1277" s="161">
        <v>11556.088519999999</v>
      </c>
      <c r="AP1277" s="125" t="str">
        <f>CONCATENATE(A1277,M1277)</f>
        <v>Def TaxR</v>
      </c>
      <c r="AQ1277" s="125" t="str">
        <f>CONCATENATE(AP1277,L1277,H1277)</f>
        <v>Def TaxRR11Seneca ADIT Offset</v>
      </c>
      <c r="AS1277" s="125" t="str">
        <f>CONCATENATE(L1277,H1277,J1277)</f>
        <v>R11Seneca ADIT Offset</v>
      </c>
    </row>
    <row r="1278" spans="1:45" s="125" customFormat="1" ht="25.5" customHeight="1">
      <c r="A1278" s="216" t="s">
        <v>1996</v>
      </c>
      <c r="B1278" s="217" t="str">
        <f t="shared" si="504"/>
        <v>Def Tax282240AROBT010351</v>
      </c>
      <c r="C1278" s="186">
        <v>282240</v>
      </c>
      <c r="D1278" s="201" t="s">
        <v>993</v>
      </c>
      <c r="E1278" s="162" t="s">
        <v>70</v>
      </c>
      <c r="F1278" s="169" t="s">
        <v>297</v>
      </c>
      <c r="G1278" s="117" t="s">
        <v>71</v>
      </c>
      <c r="H1278" s="118" t="s">
        <v>972</v>
      </c>
      <c r="I1278" s="119"/>
      <c r="J1278" s="120"/>
      <c r="K1278" s="120" t="str">
        <f t="shared" si="515"/>
        <v/>
      </c>
      <c r="L1278" s="170" t="s">
        <v>928</v>
      </c>
      <c r="M1278" s="122" t="str">
        <f t="shared" si="505"/>
        <v>N</v>
      </c>
      <c r="N1278" s="116" t="str">
        <f>IF($L1278&lt;&gt;"",VLOOKUP($L1278,Categories!$E:$G,2,FALSE),IF($F1278&lt;&gt;"","NO CAT",""))</f>
        <v>Not in Rate Base</v>
      </c>
      <c r="O1278" s="116" t="str">
        <f>IF($L1278&lt;&gt;"",VLOOKUP($L1278,Categories!$E:$G,3,FALSE),IF($F1278&lt;&gt;"","NO CAT",""))</f>
        <v>Direct Assign Items Not in RB</v>
      </c>
      <c r="P1278" s="170" t="s">
        <v>1186</v>
      </c>
      <c r="Q1278" s="123" t="s">
        <v>1187</v>
      </c>
      <c r="R1278" s="124">
        <v>0</v>
      </c>
      <c r="S1278" s="124">
        <v>0</v>
      </c>
      <c r="T1278" s="124">
        <v>1</v>
      </c>
      <c r="U1278" s="121">
        <f t="shared" si="516"/>
        <v>0</v>
      </c>
      <c r="V1278" s="121">
        <f t="shared" si="517"/>
        <v>0</v>
      </c>
      <c r="W1278" s="121">
        <f t="shared" si="518"/>
        <v>-62.864192499999902</v>
      </c>
      <c r="X1278" s="121">
        <f t="shared" si="519"/>
        <v>-62.864192499999902</v>
      </c>
      <c r="Y1278" s="121">
        <f t="shared" si="520"/>
        <v>0</v>
      </c>
      <c r="Z1278" s="121">
        <f t="shared" si="521"/>
        <v>0</v>
      </c>
      <c r="AA1278" s="121">
        <f t="shared" si="522"/>
        <v>-61.704059999999899</v>
      </c>
      <c r="AB1278" s="121">
        <f t="shared" si="523"/>
        <v>-61.70405999999992</v>
      </c>
      <c r="AC1278" s="121">
        <v>-64.024319999999918</v>
      </c>
      <c r="AD1278" s="121">
        <v>-63.830969999999915</v>
      </c>
      <c r="AE1278" s="121">
        <v>-63.63760999999991</v>
      </c>
      <c r="AF1278" s="121">
        <v>-63.444259999999915</v>
      </c>
      <c r="AG1278" s="121">
        <v>-63.250899999999916</v>
      </c>
      <c r="AH1278" s="121">
        <v>-63.057549999999914</v>
      </c>
      <c r="AI1278" s="161">
        <v>-62.864189999999915</v>
      </c>
      <c r="AJ1278" s="161">
        <v>-62.670839999999913</v>
      </c>
      <c r="AK1278" s="161">
        <v>-62.477479999999915</v>
      </c>
      <c r="AL1278" s="161">
        <v>-62.284129999999919</v>
      </c>
      <c r="AM1278" s="161">
        <v>-62.090769999999914</v>
      </c>
      <c r="AN1278" s="161">
        <v>-61.897419999999919</v>
      </c>
      <c r="AO1278" s="161">
        <v>-61.70405999999992</v>
      </c>
      <c r="AP1278" s="125" t="str">
        <f>CONCATENATE(A1278,M1278)</f>
        <v>Def TaxN</v>
      </c>
      <c r="AQ1278" s="125" t="str">
        <f>CONCATENATE(AP1278,L1278,H1278)</f>
        <v>Def TaxNN2Asset Retirement Obligation</v>
      </c>
      <c r="AS1278" s="125" t="str">
        <f>CONCATENATE(L1278,H1278,J1278)</f>
        <v>N2Asset Retirement Obligation</v>
      </c>
    </row>
    <row r="1279" spans="1:45" s="125" customFormat="1" ht="25.5" customHeight="1">
      <c r="A1279" s="216" t="s">
        <v>1996</v>
      </c>
      <c r="B1279" s="217" t="str">
        <f t="shared" ref="B1279:B1287" si="524">CONCATENATE(A1279,C1279,D1279,E1279)</f>
        <v>Def Tax282240R&amp;D CreditBT010177</v>
      </c>
      <c r="C1279" s="186">
        <v>282240</v>
      </c>
      <c r="D1279" s="201" t="s">
        <v>1467</v>
      </c>
      <c r="E1279" s="162" t="s">
        <v>398</v>
      </c>
      <c r="F1279" s="169" t="s">
        <v>297</v>
      </c>
      <c r="G1279" s="117" t="s">
        <v>4499</v>
      </c>
      <c r="H1279" s="118" t="s">
        <v>341</v>
      </c>
      <c r="I1279" s="119"/>
      <c r="J1279" s="120"/>
      <c r="K1279" s="120" t="str">
        <f t="shared" ref="K1279:K1287" si="525">IF(L1279="N3","SFAS-109","")</f>
        <v/>
      </c>
      <c r="L1279" s="170" t="s">
        <v>1895</v>
      </c>
      <c r="M1279" s="122" t="str">
        <f t="shared" si="505"/>
        <v>R</v>
      </c>
      <c r="N1279" s="116" t="str">
        <f>IF($L1279&lt;&gt;"",VLOOKUP($L1279,Categories!$E:$G,2,FALSE),IF($F1279&lt;&gt;"","NO CAT",""))</f>
        <v>Rate Base</v>
      </c>
      <c r="O1279" s="116" t="str">
        <f>IF($L1279&lt;&gt;"",VLOOKUP($L1279,Categories!$E:$G,3,FALSE),IF($F1279&lt;&gt;"","NO CAT",""))</f>
        <v>Deferred Income Taxes</v>
      </c>
      <c r="P1279" s="170" t="s">
        <v>1183</v>
      </c>
      <c r="Q1279" s="123" t="s">
        <v>1177</v>
      </c>
      <c r="R1279" s="124">
        <v>1</v>
      </c>
      <c r="S1279" s="124">
        <v>0</v>
      </c>
      <c r="T1279" s="124">
        <v>0</v>
      </c>
      <c r="U1279" s="121">
        <f t="shared" si="516"/>
        <v>305.74507</v>
      </c>
      <c r="V1279" s="121">
        <f t="shared" si="517"/>
        <v>0</v>
      </c>
      <c r="W1279" s="121">
        <f t="shared" si="518"/>
        <v>0</v>
      </c>
      <c r="X1279" s="121">
        <f t="shared" si="519"/>
        <v>305.74507</v>
      </c>
      <c r="Y1279" s="121">
        <f t="shared" si="520"/>
        <v>445.24507</v>
      </c>
      <c r="Z1279" s="121">
        <f t="shared" si="521"/>
        <v>0</v>
      </c>
      <c r="AA1279" s="121">
        <f t="shared" si="522"/>
        <v>0</v>
      </c>
      <c r="AB1279" s="121">
        <f t="shared" si="523"/>
        <v>445.24507</v>
      </c>
      <c r="AC1279" s="121">
        <v>166.24507</v>
      </c>
      <c r="AD1279" s="121">
        <v>189.49507</v>
      </c>
      <c r="AE1279" s="121">
        <v>212.74507</v>
      </c>
      <c r="AF1279" s="121">
        <v>235.99507</v>
      </c>
      <c r="AG1279" s="121">
        <v>259.24507</v>
      </c>
      <c r="AH1279" s="121">
        <v>282.49507</v>
      </c>
      <c r="AI1279" s="161">
        <v>305.74507</v>
      </c>
      <c r="AJ1279" s="161">
        <v>328.99507</v>
      </c>
      <c r="AK1279" s="161">
        <v>352.24507</v>
      </c>
      <c r="AL1279" s="161">
        <v>375.49507</v>
      </c>
      <c r="AM1279" s="161">
        <v>398.74507</v>
      </c>
      <c r="AN1279" s="161">
        <v>421.99507</v>
      </c>
      <c r="AO1279" s="161">
        <v>445.24507</v>
      </c>
      <c r="AP1279" s="125" t="str">
        <f>CONCATENATE(A1279,M1279)</f>
        <v>Def TaxR</v>
      </c>
      <c r="AQ1279" s="125" t="str">
        <f>CONCATENATE(AP1279,L1279,H1279)</f>
        <v>Def TaxRR11R&amp;D Tax Credit</v>
      </c>
      <c r="AS1279" s="125" t="str">
        <f>CONCATENATE(L1279,H1279,J1279)</f>
        <v>R11R&amp;D Tax Credit</v>
      </c>
    </row>
    <row r="1280" spans="1:45" s="125" customFormat="1" ht="25.5" customHeight="1">
      <c r="A1280" s="216" t="s">
        <v>1996</v>
      </c>
      <c r="B1280" s="217" t="str">
        <f t="shared" si="524"/>
        <v>Def Tax2822400-186.01.13BT010043</v>
      </c>
      <c r="C1280" s="186">
        <v>282240</v>
      </c>
      <c r="D1280" s="201" t="s">
        <v>823</v>
      </c>
      <c r="E1280" s="162" t="s">
        <v>615</v>
      </c>
      <c r="F1280" s="169" t="s">
        <v>297</v>
      </c>
      <c r="G1280" s="117" t="s">
        <v>1474</v>
      </c>
      <c r="H1280" s="118" t="s">
        <v>218</v>
      </c>
      <c r="I1280" s="119"/>
      <c r="J1280" s="120"/>
      <c r="K1280" s="120" t="str">
        <f t="shared" si="525"/>
        <v/>
      </c>
      <c r="L1280" s="170" t="s">
        <v>1895</v>
      </c>
      <c r="M1280" s="122" t="str">
        <f t="shared" si="505"/>
        <v>R</v>
      </c>
      <c r="N1280" s="116" t="str">
        <f>IF($L1280&lt;&gt;"",VLOOKUP($L1280,Categories!$E:$G,2,FALSE),IF($F1280&lt;&gt;"","NO CAT",""))</f>
        <v>Rate Base</v>
      </c>
      <c r="O1280" s="116" t="str">
        <f>IF($L1280&lt;&gt;"",VLOOKUP($L1280,Categories!$E:$G,3,FALSE),IF($F1280&lt;&gt;"","NO CAT",""))</f>
        <v>Deferred Income Taxes</v>
      </c>
      <c r="P1280" s="170" t="s">
        <v>1183</v>
      </c>
      <c r="Q1280" s="123" t="s">
        <v>1177</v>
      </c>
      <c r="R1280" s="124">
        <v>1</v>
      </c>
      <c r="S1280" s="124">
        <v>0</v>
      </c>
      <c r="T1280" s="124">
        <v>0</v>
      </c>
      <c r="U1280" s="121">
        <f t="shared" ref="U1280:U1288" si="526">IF(ABS(X1280)=0,"",IF($R1280="NO ALLOC","NO ALLOC",ROUND($R1280*X1280,15)))</f>
        <v>5644.4345979166701</v>
      </c>
      <c r="V1280" s="121">
        <f t="shared" ref="V1280:V1288" si="527">IF(ABS(X1280)=0,"",IF($S1280="NO ALLOC","NO ALLOC",ROUND($S1280*X1280,15)))</f>
        <v>0</v>
      </c>
      <c r="W1280" s="121">
        <f t="shared" ref="W1280:W1288" si="528">IF(ABS(X1280)=0,"",IF($T1280="NO ALLOC","NO ALLOC",ROUND($T1280*X1280,15)))</f>
        <v>0</v>
      </c>
      <c r="X1280" s="121">
        <f t="shared" si="519"/>
        <v>5644.4345979166701</v>
      </c>
      <c r="Y1280" s="121">
        <f t="shared" ref="Y1280:Y1288" si="529">IF(ABS(AB1280)=0,"",IF($R1280="NO ALLOC","NO ALLOC",ROUND($R1280*AB1280,15)))</f>
        <v>5867.3158199999998</v>
      </c>
      <c r="Z1280" s="121">
        <f t="shared" ref="Z1280:Z1288" si="530">IF(ABS(AB1280)=0,"",IF($S1280="NO ALLOC","NO ALLOC",ROUND($S1280*AB1280,15)))</f>
        <v>0</v>
      </c>
      <c r="AA1280" s="121">
        <f t="shared" ref="AA1280:AA1288" si="531">IF(ABS(AB1280)=0,"",IF($T1280="NO ALLOC","NO ALLOC",ROUND($T1280*AB1280,15)))</f>
        <v>0</v>
      </c>
      <c r="AB1280" s="121">
        <f t="shared" si="523"/>
        <v>5867.3158200000016</v>
      </c>
      <c r="AC1280" s="121">
        <v>5397.9942299999993</v>
      </c>
      <c r="AD1280" s="121">
        <v>5441.0746899999995</v>
      </c>
      <c r="AE1280" s="121">
        <v>5454.5296499999995</v>
      </c>
      <c r="AF1280" s="121">
        <v>5468.9615999999996</v>
      </c>
      <c r="AG1280" s="121">
        <v>5503.8357999999998</v>
      </c>
      <c r="AH1280" s="121">
        <v>5529.3641499999994</v>
      </c>
      <c r="AI1280" s="161">
        <v>5710.6720999999998</v>
      </c>
      <c r="AJ1280" s="161">
        <v>5733.2718299999997</v>
      </c>
      <c r="AK1280" s="161">
        <v>5766.8419400000002</v>
      </c>
      <c r="AL1280" s="161">
        <v>5782.1933300000001</v>
      </c>
      <c r="AM1280" s="161">
        <v>5818.7930600000009</v>
      </c>
      <c r="AN1280" s="161">
        <v>5891.0220000000008</v>
      </c>
      <c r="AO1280" s="161">
        <v>5867.3158200000016</v>
      </c>
      <c r="AP1280" s="125" t="str">
        <f>CONCATENATE(A1280,M1280)</f>
        <v>Def TaxR</v>
      </c>
      <c r="AQ1280" s="125" t="str">
        <f>CONCATENATE(AP1280,L1280,H1280)</f>
        <v>Def TaxRR11Contributions in Aid of Construction</v>
      </c>
      <c r="AS1280" s="125" t="str">
        <f>CONCATENATE(L1280,H1280,J1280)</f>
        <v>R11Contributions in Aid of Construction</v>
      </c>
    </row>
    <row r="1281" spans="1:45" s="125" customFormat="1" ht="25.5" customHeight="1">
      <c r="A1281" s="216" t="s">
        <v>1996</v>
      </c>
      <c r="B1281" s="217" t="str">
        <f t="shared" si="524"/>
        <v>Def Tax282240KatzBT010110</v>
      </c>
      <c r="C1281" s="186">
        <v>282240</v>
      </c>
      <c r="D1281" s="201" t="s">
        <v>241</v>
      </c>
      <c r="E1281" s="162" t="s">
        <v>285</v>
      </c>
      <c r="F1281" s="169" t="s">
        <v>297</v>
      </c>
      <c r="G1281" s="117" t="s">
        <v>4500</v>
      </c>
      <c r="H1281" s="118" t="s">
        <v>4509</v>
      </c>
      <c r="I1281" s="119"/>
      <c r="J1281" s="120"/>
      <c r="K1281" s="120" t="str">
        <f t="shared" si="525"/>
        <v/>
      </c>
      <c r="L1281" s="170" t="s">
        <v>1895</v>
      </c>
      <c r="M1281" s="122" t="str">
        <f t="shared" si="505"/>
        <v>R</v>
      </c>
      <c r="N1281" s="116" t="str">
        <f>IF($L1281&lt;&gt;"",VLOOKUP($L1281,Categories!$E:$G,2,FALSE),IF($F1281&lt;&gt;"","NO CAT",""))</f>
        <v>Rate Base</v>
      </c>
      <c r="O1281" s="116" t="str">
        <f>IF($L1281&lt;&gt;"",VLOOKUP($L1281,Categories!$E:$G,3,FALSE),IF($F1281&lt;&gt;"","NO CAT",""))</f>
        <v>Deferred Income Taxes</v>
      </c>
      <c r="P1281" s="170" t="s">
        <v>1183</v>
      </c>
      <c r="Q1281" s="123" t="s">
        <v>1177</v>
      </c>
      <c r="R1281" s="124">
        <v>1</v>
      </c>
      <c r="S1281" s="124">
        <v>0</v>
      </c>
      <c r="T1281" s="124">
        <v>0</v>
      </c>
      <c r="U1281" s="121">
        <f t="shared" si="526"/>
        <v>23.001539999999999</v>
      </c>
      <c r="V1281" s="121">
        <f t="shared" si="527"/>
        <v>0</v>
      </c>
      <c r="W1281" s="121">
        <f t="shared" si="528"/>
        <v>0</v>
      </c>
      <c r="X1281" s="121">
        <f t="shared" si="519"/>
        <v>23.001539999999999</v>
      </c>
      <c r="Y1281" s="121">
        <f t="shared" si="529"/>
        <v>23.001539999999999</v>
      </c>
      <c r="Z1281" s="121">
        <f t="shared" si="530"/>
        <v>0</v>
      </c>
      <c r="AA1281" s="121">
        <f t="shared" si="531"/>
        <v>0</v>
      </c>
      <c r="AB1281" s="121">
        <f t="shared" si="523"/>
        <v>23.001540000000002</v>
      </c>
      <c r="AC1281" s="121">
        <v>23.001540000000002</v>
      </c>
      <c r="AD1281" s="121">
        <v>23.001540000000002</v>
      </c>
      <c r="AE1281" s="121">
        <v>23.001540000000002</v>
      </c>
      <c r="AF1281" s="121">
        <v>23.001540000000002</v>
      </c>
      <c r="AG1281" s="121">
        <v>23.001540000000002</v>
      </c>
      <c r="AH1281" s="121">
        <v>23.001540000000002</v>
      </c>
      <c r="AI1281" s="161">
        <v>23.001540000000002</v>
      </c>
      <c r="AJ1281" s="161">
        <v>23.001540000000002</v>
      </c>
      <c r="AK1281" s="161">
        <v>23.001540000000002</v>
      </c>
      <c r="AL1281" s="161">
        <v>23.001540000000002</v>
      </c>
      <c r="AM1281" s="161">
        <v>23.001540000000002</v>
      </c>
      <c r="AN1281" s="161">
        <v>23.001540000000002</v>
      </c>
      <c r="AO1281" s="161">
        <v>23.001540000000002</v>
      </c>
      <c r="AP1281" s="125" t="str">
        <f>CONCATENATE(A1281,M1281)</f>
        <v>Def TaxR</v>
      </c>
      <c r="AQ1281" s="125" t="str">
        <f>CONCATENATE(AP1281,L1281,H1281)</f>
        <v>Def TaxRR11Prepaid Software Licensing Amortization</v>
      </c>
      <c r="AS1281" s="125" t="str">
        <f>CONCATENATE(L1281,H1281,J1281)</f>
        <v>R11Prepaid Software Licensing Amortization</v>
      </c>
    </row>
    <row r="1282" spans="1:45" s="125" customFormat="1" ht="25.5" customHeight="1">
      <c r="A1282" s="216" t="s">
        <v>1996</v>
      </c>
      <c r="B1282" s="217" t="str">
        <f t="shared" si="524"/>
        <v>Def Tax2822400-186.01.17BT010029</v>
      </c>
      <c r="C1282" s="186">
        <v>282240</v>
      </c>
      <c r="D1282" s="201" t="s">
        <v>827</v>
      </c>
      <c r="E1282" s="162" t="s">
        <v>611</v>
      </c>
      <c r="F1282" s="169" t="s">
        <v>297</v>
      </c>
      <c r="G1282" s="117" t="s">
        <v>2976</v>
      </c>
      <c r="H1282" s="118" t="s">
        <v>2976</v>
      </c>
      <c r="I1282" s="119"/>
      <c r="J1282" s="120"/>
      <c r="K1282" s="120" t="str">
        <f t="shared" si="525"/>
        <v/>
      </c>
      <c r="L1282" s="170" t="s">
        <v>1895</v>
      </c>
      <c r="M1282" s="122" t="str">
        <f t="shared" si="505"/>
        <v>R</v>
      </c>
      <c r="N1282" s="116" t="str">
        <f>IF($L1282&lt;&gt;"",VLOOKUP($L1282,Categories!$E:$G,2,FALSE),IF($F1282&lt;&gt;"","NO CAT",""))</f>
        <v>Rate Base</v>
      </c>
      <c r="O1282" s="116" t="str">
        <f>IF($L1282&lt;&gt;"",VLOOKUP($L1282,Categories!$E:$G,3,FALSE),IF($F1282&lt;&gt;"","NO CAT",""))</f>
        <v>Deferred Income Taxes</v>
      </c>
      <c r="P1282" s="170" t="s">
        <v>1183</v>
      </c>
      <c r="Q1282" s="123" t="s">
        <v>1177</v>
      </c>
      <c r="R1282" s="124">
        <v>1</v>
      </c>
      <c r="S1282" s="124">
        <v>0</v>
      </c>
      <c r="T1282" s="124">
        <v>0</v>
      </c>
      <c r="U1282" s="121">
        <f t="shared" si="526"/>
        <v>1269.61171625</v>
      </c>
      <c r="V1282" s="121">
        <f t="shared" si="527"/>
        <v>0</v>
      </c>
      <c r="W1282" s="121">
        <f t="shared" si="528"/>
        <v>0</v>
      </c>
      <c r="X1282" s="121">
        <f t="shared" si="519"/>
        <v>1269.61171625</v>
      </c>
      <c r="Y1282" s="121">
        <f t="shared" si="529"/>
        <v>1398.0892799999999</v>
      </c>
      <c r="Z1282" s="121">
        <f t="shared" si="530"/>
        <v>0</v>
      </c>
      <c r="AA1282" s="121">
        <f t="shared" si="531"/>
        <v>0</v>
      </c>
      <c r="AB1282" s="121">
        <f t="shared" si="523"/>
        <v>1398.0892799999997</v>
      </c>
      <c r="AC1282" s="121">
        <v>1163.11121</v>
      </c>
      <c r="AD1282" s="121">
        <v>1180.5693100000001</v>
      </c>
      <c r="AE1282" s="121">
        <v>1197.2177199999999</v>
      </c>
      <c r="AF1282" s="121">
        <v>1212.68696</v>
      </c>
      <c r="AG1282" s="121">
        <v>1229.8379399999999</v>
      </c>
      <c r="AH1282" s="121">
        <v>1244.8563999999999</v>
      </c>
      <c r="AI1282" s="161">
        <v>1259.0188599999999</v>
      </c>
      <c r="AJ1282" s="161">
        <v>1280.13697</v>
      </c>
      <c r="AK1282" s="161">
        <v>1302.2418499999999</v>
      </c>
      <c r="AL1282" s="161">
        <v>1325.2317799999998</v>
      </c>
      <c r="AM1282" s="161">
        <v>1348.6663199999998</v>
      </c>
      <c r="AN1282" s="161">
        <v>1374.2762399999997</v>
      </c>
      <c r="AO1282" s="161">
        <v>1398.0892799999997</v>
      </c>
      <c r="AP1282" s="125" t="str">
        <f>CONCATENATE(A1282,M1282)</f>
        <v>Def TaxR</v>
      </c>
      <c r="AQ1282" s="125" t="str">
        <f>CONCATENATE(AP1282,L1282,H1282)</f>
        <v>Def TaxRR11Capitalized Interest</v>
      </c>
      <c r="AS1282" s="125" t="str">
        <f>CONCATENATE(L1282,H1282,J1282)</f>
        <v>R11Capitalized Interest</v>
      </c>
    </row>
    <row r="1283" spans="1:45" s="125" customFormat="1" ht="25.5" customHeight="1">
      <c r="A1283" s="216" t="s">
        <v>1996</v>
      </c>
      <c r="B1283" s="217" t="str">
        <f t="shared" si="524"/>
        <v>Def Tax282240Unit of Property-bBT010354</v>
      </c>
      <c r="C1283" s="186">
        <v>282240</v>
      </c>
      <c r="D1283" s="201" t="s">
        <v>2350</v>
      </c>
      <c r="E1283" s="162" t="s">
        <v>651</v>
      </c>
      <c r="F1283" s="169" t="s">
        <v>297</v>
      </c>
      <c r="G1283" s="117" t="s">
        <v>4501</v>
      </c>
      <c r="H1283" s="118" t="s">
        <v>649</v>
      </c>
      <c r="I1283" s="119"/>
      <c r="J1283" s="120"/>
      <c r="K1283" s="120" t="str">
        <f t="shared" si="525"/>
        <v/>
      </c>
      <c r="L1283" s="170" t="s">
        <v>1895</v>
      </c>
      <c r="M1283" s="122" t="str">
        <f t="shared" si="505"/>
        <v>R</v>
      </c>
      <c r="N1283" s="116" t="str">
        <f>IF($L1283&lt;&gt;"",VLOOKUP($L1283,Categories!$E:$G,2,FALSE),IF($F1283&lt;&gt;"","NO CAT",""))</f>
        <v>Rate Base</v>
      </c>
      <c r="O1283" s="116" t="str">
        <f>IF($L1283&lt;&gt;"",VLOOKUP($L1283,Categories!$E:$G,3,FALSE),IF($F1283&lt;&gt;"","NO CAT",""))</f>
        <v>Deferred Income Taxes</v>
      </c>
      <c r="P1283" s="170" t="s">
        <v>1183</v>
      </c>
      <c r="Q1283" s="123" t="s">
        <v>1177</v>
      </c>
      <c r="R1283" s="124">
        <v>1</v>
      </c>
      <c r="S1283" s="124">
        <v>0</v>
      </c>
      <c r="T1283" s="124">
        <v>0</v>
      </c>
      <c r="U1283" s="121">
        <f t="shared" si="526"/>
        <v>-6475.3232500000004</v>
      </c>
      <c r="V1283" s="121">
        <f t="shared" si="527"/>
        <v>0</v>
      </c>
      <c r="W1283" s="121">
        <f t="shared" si="528"/>
        <v>0</v>
      </c>
      <c r="X1283" s="121">
        <f t="shared" si="519"/>
        <v>-6475.3232500000004</v>
      </c>
      <c r="Y1283" s="121">
        <f t="shared" si="529"/>
        <v>-6475.3232500000004</v>
      </c>
      <c r="Z1283" s="121">
        <f t="shared" si="530"/>
        <v>0</v>
      </c>
      <c r="AA1283" s="121">
        <f t="shared" si="531"/>
        <v>0</v>
      </c>
      <c r="AB1283" s="121">
        <f t="shared" si="523"/>
        <v>-6475.3232500000004</v>
      </c>
      <c r="AC1283" s="121">
        <v>-6475.3232500000004</v>
      </c>
      <c r="AD1283" s="121">
        <v>-6475.3232500000004</v>
      </c>
      <c r="AE1283" s="121">
        <v>-6475.3232500000004</v>
      </c>
      <c r="AF1283" s="121">
        <v>-6475.3232500000004</v>
      </c>
      <c r="AG1283" s="121">
        <v>-6475.3232500000004</v>
      </c>
      <c r="AH1283" s="121">
        <v>-6475.3232500000004</v>
      </c>
      <c r="AI1283" s="161">
        <v>-6475.3232500000004</v>
      </c>
      <c r="AJ1283" s="161">
        <v>-6475.3232500000004</v>
      </c>
      <c r="AK1283" s="161">
        <v>-6475.3232500000004</v>
      </c>
      <c r="AL1283" s="161">
        <v>-6475.3232500000004</v>
      </c>
      <c r="AM1283" s="161">
        <v>-6475.3232500000004</v>
      </c>
      <c r="AN1283" s="161">
        <v>-6475.3232500000004</v>
      </c>
      <c r="AO1283" s="161">
        <v>-6475.3232500000004</v>
      </c>
      <c r="AP1283" s="125" t="str">
        <f>CONCATENATE(A1283,M1283)</f>
        <v>Def TaxR</v>
      </c>
      <c r="AQ1283" s="125" t="str">
        <f>CONCATENATE(AP1283,L1283,H1283)</f>
        <v>Def TaxRR11Unit of Property</v>
      </c>
      <c r="AS1283" s="125" t="str">
        <f>CONCATENATE(L1283,H1283,J1283)</f>
        <v>R11Unit of Property</v>
      </c>
    </row>
    <row r="1284" spans="1:45" s="125" customFormat="1" ht="25.5" customHeight="1">
      <c r="A1284" s="216" t="s">
        <v>1996</v>
      </c>
      <c r="B1284" s="217" t="str">
        <f t="shared" si="524"/>
        <v>Def Tax282240Mixed Use 263(a)BT010390</v>
      </c>
      <c r="C1284" s="186">
        <v>282240</v>
      </c>
      <c r="D1284" s="201" t="s">
        <v>2675</v>
      </c>
      <c r="E1284" s="162" t="s">
        <v>2235</v>
      </c>
      <c r="F1284" s="169" t="s">
        <v>297</v>
      </c>
      <c r="G1284" s="117" t="s">
        <v>2234</v>
      </c>
      <c r="H1284" s="118" t="s">
        <v>2675</v>
      </c>
      <c r="I1284" s="119"/>
      <c r="J1284" s="231" t="s">
        <v>105</v>
      </c>
      <c r="K1284" s="120" t="str">
        <f t="shared" si="525"/>
        <v/>
      </c>
      <c r="L1284" s="170" t="s">
        <v>2821</v>
      </c>
      <c r="M1284" s="122" t="str">
        <f t="shared" si="505"/>
        <v>N</v>
      </c>
      <c r="N1284" s="116" t="str">
        <f>IF($L1284&lt;&gt;"",VLOOKUP($L1284,Categories!$E:$G,2,FALSE),IF($F1284&lt;&gt;"","NO CAT",""))</f>
        <v>Not in Rate Base</v>
      </c>
      <c r="O1284" s="116" t="str">
        <f>IF($L1284&lt;&gt;"",VLOOKUP($L1284,Categories!$E:$G,3,FALSE),IF($F1284&lt;&gt;"","NO CAT",""))</f>
        <v>Deferrals Accruing Non-Cash Return   (other than ASGA)</v>
      </c>
      <c r="P1284" s="170" t="s">
        <v>1186</v>
      </c>
      <c r="Q1284" s="123" t="s">
        <v>1187</v>
      </c>
      <c r="R1284" s="124">
        <v>0</v>
      </c>
      <c r="S1284" s="124">
        <v>0</v>
      </c>
      <c r="T1284" s="124">
        <v>1</v>
      </c>
      <c r="U1284" s="121">
        <f t="shared" si="526"/>
        <v>0</v>
      </c>
      <c r="V1284" s="121">
        <f t="shared" si="527"/>
        <v>0</v>
      </c>
      <c r="W1284" s="121">
        <f t="shared" si="528"/>
        <v>-2131.28728166667</v>
      </c>
      <c r="X1284" s="121">
        <f t="shared" si="519"/>
        <v>-2131.28728166667</v>
      </c>
      <c r="Y1284" s="121">
        <f t="shared" si="529"/>
        <v>0</v>
      </c>
      <c r="Z1284" s="121">
        <f t="shared" si="530"/>
        <v>0</v>
      </c>
      <c r="AA1284" s="121">
        <f t="shared" si="531"/>
        <v>-3621.6096600000001</v>
      </c>
      <c r="AB1284" s="121">
        <f t="shared" si="523"/>
        <v>-3621.6096600000001</v>
      </c>
      <c r="AC1284" s="121">
        <v>-1874.2583999999999</v>
      </c>
      <c r="AD1284" s="121">
        <v>-1828.79243</v>
      </c>
      <c r="AE1284" s="121">
        <v>-1783.32646</v>
      </c>
      <c r="AF1284" s="121">
        <v>-1737.86049</v>
      </c>
      <c r="AG1284" s="121">
        <v>-1668.5917299999999</v>
      </c>
      <c r="AH1284" s="121">
        <v>-1617.17506</v>
      </c>
      <c r="AI1284" s="161">
        <v>-1565.7583900000002</v>
      </c>
      <c r="AJ1284" s="161">
        <v>-1514.3417200000001</v>
      </c>
      <c r="AK1284" s="161">
        <v>-1462.9250500000003</v>
      </c>
      <c r="AL1284" s="161">
        <v>-2556.1901200000002</v>
      </c>
      <c r="AM1284" s="161">
        <v>-3521.1647200000002</v>
      </c>
      <c r="AN1284" s="161">
        <v>-3571.3871800000002</v>
      </c>
      <c r="AO1284" s="161">
        <v>-3621.6096600000001</v>
      </c>
      <c r="AP1284" s="125" t="str">
        <f>CONCATENATE(A1284,M1284)</f>
        <v>Def TaxN</v>
      </c>
      <c r="AQ1284" s="125" t="str">
        <f>CONCATENATE(AP1284,L1284,H1284)</f>
        <v>Def TaxNN10Mixed Use 263(a)</v>
      </c>
      <c r="AS1284" s="125" t="str">
        <f>CONCATENATE(L1284,H1284,J1284)</f>
        <v>N10Mixed Use 263(a)NCR</v>
      </c>
    </row>
    <row r="1285" spans="1:45" s="125" customFormat="1" ht="25.5" customHeight="1">
      <c r="A1285" s="216" t="s">
        <v>1996</v>
      </c>
      <c r="B1285" s="217" t="str">
        <f t="shared" si="524"/>
        <v>Def Tax282240Caslty LossBT010264</v>
      </c>
      <c r="C1285" s="186">
        <v>282240</v>
      </c>
      <c r="D1285" s="201" t="s">
        <v>2280</v>
      </c>
      <c r="E1285" s="162" t="s">
        <v>225</v>
      </c>
      <c r="F1285" s="169" t="s">
        <v>297</v>
      </c>
      <c r="G1285" s="117" t="s">
        <v>4503</v>
      </c>
      <c r="H1285" s="118" t="s">
        <v>968</v>
      </c>
      <c r="I1285" s="119"/>
      <c r="J1285" s="120"/>
      <c r="K1285" s="120" t="str">
        <f t="shared" si="525"/>
        <v/>
      </c>
      <c r="L1285" s="170" t="s">
        <v>1895</v>
      </c>
      <c r="M1285" s="122" t="str">
        <f>LEFT(L1285,1)</f>
        <v>R</v>
      </c>
      <c r="N1285" s="116" t="str">
        <f>IF($L1285&lt;&gt;"",VLOOKUP($L1285,Categories!$E:$G,2,FALSE),IF($F1285&lt;&gt;"","NO CAT",""))</f>
        <v>Rate Base</v>
      </c>
      <c r="O1285" s="116" t="str">
        <f>IF($L1285&lt;&gt;"",VLOOKUP($L1285,Categories!$E:$G,3,FALSE),IF($F1285&lt;&gt;"","NO CAT",""))</f>
        <v>Deferred Income Taxes</v>
      </c>
      <c r="P1285" s="170" t="s">
        <v>1183</v>
      </c>
      <c r="Q1285" s="123" t="s">
        <v>1177</v>
      </c>
      <c r="R1285" s="124">
        <v>1</v>
      </c>
      <c r="S1285" s="124">
        <v>0</v>
      </c>
      <c r="T1285" s="124">
        <v>0</v>
      </c>
      <c r="U1285" s="121">
        <f t="shared" si="526"/>
        <v>-2933.2790799999998</v>
      </c>
      <c r="V1285" s="121">
        <f t="shared" si="527"/>
        <v>0</v>
      </c>
      <c r="W1285" s="121">
        <f t="shared" si="528"/>
        <v>0</v>
      </c>
      <c r="X1285" s="121">
        <f t="shared" si="519"/>
        <v>-2933.2790799999998</v>
      </c>
      <c r="Y1285" s="121">
        <f t="shared" si="529"/>
        <v>-1785.38742</v>
      </c>
      <c r="Z1285" s="121">
        <f t="shared" si="530"/>
        <v>0</v>
      </c>
      <c r="AA1285" s="121">
        <f t="shared" si="531"/>
        <v>0</v>
      </c>
      <c r="AB1285" s="121">
        <f t="shared" si="523"/>
        <v>-1785.3874200000012</v>
      </c>
      <c r="AC1285" s="121">
        <v>-4081.1707399999996</v>
      </c>
      <c r="AD1285" s="121">
        <v>-3889.8554599999998</v>
      </c>
      <c r="AE1285" s="121">
        <v>-3698.5401900000002</v>
      </c>
      <c r="AF1285" s="121">
        <v>-3507.2249100000004</v>
      </c>
      <c r="AG1285" s="121">
        <v>-3315.9096300000006</v>
      </c>
      <c r="AH1285" s="121">
        <v>-3124.5943600000005</v>
      </c>
      <c r="AI1285" s="161">
        <v>-2933.2790800000007</v>
      </c>
      <c r="AJ1285" s="161">
        <v>-2741.9638000000009</v>
      </c>
      <c r="AK1285" s="161">
        <v>-2550.6485300000008</v>
      </c>
      <c r="AL1285" s="161">
        <v>-2359.333250000001</v>
      </c>
      <c r="AM1285" s="161">
        <v>-2168.0179700000012</v>
      </c>
      <c r="AN1285" s="161">
        <v>-1976.7027000000012</v>
      </c>
      <c r="AO1285" s="161">
        <v>-1785.3874200000012</v>
      </c>
      <c r="AP1285" s="125" t="str">
        <f>CONCATENATE(A1285,M1285)</f>
        <v>Def TaxR</v>
      </c>
      <c r="AQ1285" s="125" t="str">
        <f>CONCATENATE(AP1285,L1285,H1285)</f>
        <v>Def TaxRR11Casualty Loss</v>
      </c>
      <c r="AS1285" s="125" t="str">
        <f>CONCATENATE(L1285,H1285,J1285)</f>
        <v>R11Casualty Loss</v>
      </c>
    </row>
    <row r="1286" spans="1:45" s="125" customFormat="1" ht="25.5" customHeight="1">
      <c r="A1286" s="216" t="s">
        <v>1996</v>
      </c>
      <c r="B1286" s="217" t="str">
        <f t="shared" si="524"/>
        <v>Def Tax282240Repr AllowBT010181</v>
      </c>
      <c r="C1286" s="186">
        <v>282240</v>
      </c>
      <c r="D1286" s="201" t="s">
        <v>2284</v>
      </c>
      <c r="E1286" s="162" t="s">
        <v>288</v>
      </c>
      <c r="F1286" s="169" t="s">
        <v>297</v>
      </c>
      <c r="G1286" s="117" t="s">
        <v>1391</v>
      </c>
      <c r="H1286" s="118" t="s">
        <v>970</v>
      </c>
      <c r="I1286" s="119"/>
      <c r="J1286" s="120"/>
      <c r="K1286" s="120" t="str">
        <f t="shared" si="525"/>
        <v/>
      </c>
      <c r="L1286" s="170" t="s">
        <v>1895</v>
      </c>
      <c r="M1286" s="122" t="str">
        <f>LEFT(L1286,1)</f>
        <v>R</v>
      </c>
      <c r="N1286" s="116" t="str">
        <f>IF($L1286&lt;&gt;"",VLOOKUP($L1286,Categories!$E:$G,2,FALSE),IF($F1286&lt;&gt;"","NO CAT",""))</f>
        <v>Rate Base</v>
      </c>
      <c r="O1286" s="116" t="str">
        <f>IF($L1286&lt;&gt;"",VLOOKUP($L1286,Categories!$E:$G,3,FALSE),IF($F1286&lt;&gt;"","NO CAT",""))</f>
        <v>Deferred Income Taxes</v>
      </c>
      <c r="P1286" s="170" t="s">
        <v>1183</v>
      </c>
      <c r="Q1286" s="123" t="s">
        <v>1177</v>
      </c>
      <c r="R1286" s="124">
        <v>1</v>
      </c>
      <c r="S1286" s="124">
        <v>0</v>
      </c>
      <c r="T1286" s="124">
        <v>0</v>
      </c>
      <c r="U1286" s="121">
        <f t="shared" si="526"/>
        <v>-2201.9363266666701</v>
      </c>
      <c r="V1286" s="121">
        <f t="shared" si="527"/>
        <v>0</v>
      </c>
      <c r="W1286" s="121">
        <f t="shared" si="528"/>
        <v>0</v>
      </c>
      <c r="X1286" s="121">
        <f t="shared" si="519"/>
        <v>-2201.9363266666701</v>
      </c>
      <c r="Y1286" s="121">
        <f t="shared" si="529"/>
        <v>-2198.1446500000002</v>
      </c>
      <c r="Z1286" s="121">
        <f t="shared" si="530"/>
        <v>0</v>
      </c>
      <c r="AA1286" s="121">
        <f t="shared" si="531"/>
        <v>0</v>
      </c>
      <c r="AB1286" s="121">
        <f t="shared" si="523"/>
        <v>-2198.1446499999988</v>
      </c>
      <c r="AC1286" s="121">
        <v>-2205.1446499999993</v>
      </c>
      <c r="AD1286" s="121">
        <v>-2205.1446499999993</v>
      </c>
      <c r="AE1286" s="121">
        <v>-2205.1446499999993</v>
      </c>
      <c r="AF1286" s="121">
        <v>-2205.1446499999993</v>
      </c>
      <c r="AG1286" s="121">
        <v>-2202.8113199999993</v>
      </c>
      <c r="AH1286" s="121">
        <v>-2202.2279899999994</v>
      </c>
      <c r="AI1286" s="161">
        <v>-2201.644659999999</v>
      </c>
      <c r="AJ1286" s="161">
        <v>-2201.0613299999991</v>
      </c>
      <c r="AK1286" s="161">
        <v>-2200.4779999999992</v>
      </c>
      <c r="AL1286" s="161">
        <v>-2199.8946699999988</v>
      </c>
      <c r="AM1286" s="161">
        <v>-2199.3113399999988</v>
      </c>
      <c r="AN1286" s="161">
        <v>-2198.7280099999989</v>
      </c>
      <c r="AO1286" s="161">
        <v>-2198.1446499999988</v>
      </c>
      <c r="AP1286" s="125" t="str">
        <f>CONCATENATE(A1286,M1286)</f>
        <v>Def TaxR</v>
      </c>
      <c r="AQ1286" s="125" t="str">
        <f>CONCATENATE(AP1286,L1286,H1286)</f>
        <v>Def TaxRR11Repair Allowance</v>
      </c>
      <c r="AS1286" s="125" t="str">
        <f>CONCATENATE(L1286,H1286,J1286)</f>
        <v>R11Repair Allowance</v>
      </c>
    </row>
    <row r="1287" spans="1:45" s="125" customFormat="1" ht="25.5" customHeight="1">
      <c r="A1287" s="216" t="s">
        <v>1996</v>
      </c>
      <c r="B1287" s="217" t="str">
        <f t="shared" si="524"/>
        <v>Def Tax282240Unit of Property-bBT010354</v>
      </c>
      <c r="C1287" s="186">
        <v>282240</v>
      </c>
      <c r="D1287" s="201" t="s">
        <v>2350</v>
      </c>
      <c r="E1287" s="162" t="s">
        <v>651</v>
      </c>
      <c r="F1287" s="169" t="s">
        <v>297</v>
      </c>
      <c r="G1287" s="117" t="s">
        <v>1629</v>
      </c>
      <c r="H1287" s="118" t="s">
        <v>649</v>
      </c>
      <c r="I1287" s="119"/>
      <c r="J1287" s="120"/>
      <c r="K1287" s="120" t="str">
        <f t="shared" si="525"/>
        <v/>
      </c>
      <c r="L1287" s="170" t="s">
        <v>1895</v>
      </c>
      <c r="M1287" s="122" t="str">
        <f>LEFT(L1287,1)</f>
        <v>R</v>
      </c>
      <c r="N1287" s="116" t="str">
        <f>IF($L1287&lt;&gt;"",VLOOKUP($L1287,Categories!$E:$G,2,FALSE),IF($F1287&lt;&gt;"","NO CAT",""))</f>
        <v>Rate Base</v>
      </c>
      <c r="O1287" s="116" t="str">
        <f>IF($L1287&lt;&gt;"",VLOOKUP($L1287,Categories!$E:$G,3,FALSE),IF($F1287&lt;&gt;"","NO CAT",""))</f>
        <v>Deferred Income Taxes</v>
      </c>
      <c r="P1287" s="170" t="s">
        <v>1183</v>
      </c>
      <c r="Q1287" s="123" t="s">
        <v>1177</v>
      </c>
      <c r="R1287" s="124">
        <v>1</v>
      </c>
      <c r="S1287" s="124">
        <v>0</v>
      </c>
      <c r="T1287" s="124">
        <v>0</v>
      </c>
      <c r="U1287" s="121">
        <f t="shared" si="526"/>
        <v>-2572.0818466666701</v>
      </c>
      <c r="V1287" s="121">
        <f t="shared" si="527"/>
        <v>0</v>
      </c>
      <c r="W1287" s="121">
        <f t="shared" si="528"/>
        <v>0</v>
      </c>
      <c r="X1287" s="121">
        <f t="shared" si="519"/>
        <v>-2572.0818466666701</v>
      </c>
      <c r="Y1287" s="121">
        <f t="shared" si="529"/>
        <v>-3164.0478499999999</v>
      </c>
      <c r="Z1287" s="121">
        <f t="shared" si="530"/>
        <v>0</v>
      </c>
      <c r="AA1287" s="121">
        <f t="shared" si="531"/>
        <v>0</v>
      </c>
      <c r="AB1287" s="121">
        <f t="shared" si="523"/>
        <v>-3164.0478499999995</v>
      </c>
      <c r="AC1287" s="121">
        <v>-2686.6407300000005</v>
      </c>
      <c r="AD1287" s="121">
        <v>-2649.3074000000006</v>
      </c>
      <c r="AE1287" s="121">
        <v>-2611.9740700000002</v>
      </c>
      <c r="AF1287" s="121">
        <v>-2574.6407400000003</v>
      </c>
      <c r="AG1287" s="121">
        <v>-2537.3074100000003</v>
      </c>
      <c r="AH1287" s="121">
        <v>-2499.97408</v>
      </c>
      <c r="AI1287" s="161">
        <v>-2462.64075</v>
      </c>
      <c r="AJ1287" s="161">
        <v>-2425.3074200000001</v>
      </c>
      <c r="AK1287" s="161">
        <v>-2387.9740899999997</v>
      </c>
      <c r="AL1287" s="161">
        <v>-1735.5424899999998</v>
      </c>
      <c r="AM1287" s="161">
        <v>-2981.9636499999992</v>
      </c>
      <c r="AN1287" s="161">
        <v>-3073.0057699999998</v>
      </c>
      <c r="AO1287" s="161">
        <v>-3164.0478499999995</v>
      </c>
      <c r="AP1287" s="125" t="str">
        <f>CONCATENATE(A1287,M1287)</f>
        <v>Def TaxR</v>
      </c>
      <c r="AQ1287" s="125" t="str">
        <f>CONCATENATE(AP1287,L1287,H1287)</f>
        <v>Def TaxRR11Unit of Property</v>
      </c>
      <c r="AS1287" s="125" t="str">
        <f>CONCATENATE(L1287,H1287,J1287)</f>
        <v>R11Unit of Property</v>
      </c>
    </row>
    <row r="1288" spans="1:45" s="125" customFormat="1" ht="25.5" customHeight="1">
      <c r="A1288" s="216" t="s">
        <v>1996</v>
      </c>
      <c r="B1288" s="217" t="str">
        <f>CONCATENATE(A1288,C1288,D1288,E1288)</f>
        <v>Def Tax282240BT010379</v>
      </c>
      <c r="C1288" s="186">
        <v>282240</v>
      </c>
      <c r="D1288" s="201"/>
      <c r="E1288" s="162" t="s">
        <v>4595</v>
      </c>
      <c r="F1288" s="169" t="s">
        <v>297</v>
      </c>
      <c r="G1288" s="117" t="s">
        <v>4593</v>
      </c>
      <c r="H1288" s="118" t="s">
        <v>4604</v>
      </c>
      <c r="I1288" s="119"/>
      <c r="J1288" s="120"/>
      <c r="K1288" s="120" t="str">
        <f t="shared" ref="K1288:K1295" si="532">IF(L1288="N3","SFAS-109","")</f>
        <v/>
      </c>
      <c r="L1288" s="170" t="s">
        <v>1895</v>
      </c>
      <c r="M1288" s="122" t="str">
        <f>LEFT(L1288,1)</f>
        <v>R</v>
      </c>
      <c r="N1288" s="116" t="str">
        <f>IF($L1288&lt;&gt;"",VLOOKUP($L1288,Categories!$E:$G,2,FALSE),IF($F1288&lt;&gt;"","NO CAT",""))</f>
        <v>Rate Base</v>
      </c>
      <c r="O1288" s="116" t="str">
        <f>IF($L1288&lt;&gt;"",VLOOKUP($L1288,Categories!$E:$G,3,FALSE),IF($F1288&lt;&gt;"","NO CAT",""))</f>
        <v>Deferred Income Taxes</v>
      </c>
      <c r="P1288" s="170" t="s">
        <v>1183</v>
      </c>
      <c r="Q1288" s="123" t="s">
        <v>1177</v>
      </c>
      <c r="R1288" s="124">
        <v>1</v>
      </c>
      <c r="S1288" s="124">
        <v>0</v>
      </c>
      <c r="T1288" s="124">
        <v>0</v>
      </c>
      <c r="U1288" s="121">
        <f t="shared" si="526"/>
        <v>15.186999999999999</v>
      </c>
      <c r="V1288" s="121">
        <f t="shared" si="527"/>
        <v>0</v>
      </c>
      <c r="W1288" s="121">
        <f t="shared" si="528"/>
        <v>0</v>
      </c>
      <c r="X1288" s="121">
        <f t="shared" si="519"/>
        <v>15.186999999999999</v>
      </c>
      <c r="Y1288" s="121">
        <f t="shared" si="529"/>
        <v>15.186999999999999</v>
      </c>
      <c r="Z1288" s="121">
        <f t="shared" si="530"/>
        <v>0</v>
      </c>
      <c r="AA1288" s="121">
        <f t="shared" si="531"/>
        <v>0</v>
      </c>
      <c r="AB1288" s="121">
        <f t="shared" si="523"/>
        <v>15.186999999999999</v>
      </c>
      <c r="AC1288" s="121">
        <v>15.186999999999999</v>
      </c>
      <c r="AD1288" s="121">
        <v>15.186999999999999</v>
      </c>
      <c r="AE1288" s="121">
        <v>15.186999999999999</v>
      </c>
      <c r="AF1288" s="121">
        <v>15.186999999999999</v>
      </c>
      <c r="AG1288" s="121">
        <v>15.186999999999999</v>
      </c>
      <c r="AH1288" s="121">
        <v>15.186999999999999</v>
      </c>
      <c r="AI1288" s="161">
        <v>15.186999999999999</v>
      </c>
      <c r="AJ1288" s="161">
        <v>15.186999999999999</v>
      </c>
      <c r="AK1288" s="161">
        <v>15.186999999999999</v>
      </c>
      <c r="AL1288" s="161">
        <v>15.186999999999999</v>
      </c>
      <c r="AM1288" s="161">
        <v>15.186999999999999</v>
      </c>
      <c r="AN1288" s="161">
        <v>15.186999999999999</v>
      </c>
      <c r="AO1288" s="161">
        <v>15.186999999999999</v>
      </c>
      <c r="AP1288" s="125" t="str">
        <f>CONCATENATE(A1288,M1288)</f>
        <v>Def TaxR</v>
      </c>
      <c r="AQ1288" s="125" t="str">
        <f>CONCATENATE(AP1288,L1288,H1288)</f>
        <v>Def TaxRR11Street Lighting Sale</v>
      </c>
      <c r="AS1288" s="125" t="str">
        <f>CONCATENATE(L1288,H1288,J1288)</f>
        <v>R11Street Lighting Sale</v>
      </c>
    </row>
    <row r="1289" spans="1:45" s="125" customFormat="1" ht="25.5" customHeight="1">
      <c r="A1289" s="216" t="s">
        <v>1996</v>
      </c>
      <c r="B1289" s="217" t="str">
        <f t="shared" si="504"/>
        <v>Def Tax282240Multiple: 283.21.44/283.21.45/286.01.01/282.11.09/IBO Costs/NIRP CostsBT010020</v>
      </c>
      <c r="C1289" s="186">
        <v>282240</v>
      </c>
      <c r="D1289" s="201" t="s">
        <v>1368</v>
      </c>
      <c r="E1289" s="162" t="s">
        <v>96</v>
      </c>
      <c r="F1289" s="169" t="s">
        <v>297</v>
      </c>
      <c r="G1289" s="117" t="s">
        <v>1357</v>
      </c>
      <c r="H1289" s="118" t="s">
        <v>1364</v>
      </c>
      <c r="I1289" s="119"/>
      <c r="J1289" s="120"/>
      <c r="K1289" s="120" t="str">
        <f t="shared" si="532"/>
        <v/>
      </c>
      <c r="L1289" s="170" t="s">
        <v>1895</v>
      </c>
      <c r="M1289" s="122" t="str">
        <f t="shared" si="505"/>
        <v>R</v>
      </c>
      <c r="N1289" s="116" t="str">
        <f>IF($L1289&lt;&gt;"",VLOOKUP($L1289,Categories!$E:$G,2,FALSE),IF($F1289&lt;&gt;"","NO CAT",""))</f>
        <v>Rate Base</v>
      </c>
      <c r="O1289" s="116" t="str">
        <f>IF($L1289&lt;&gt;"",VLOOKUP($L1289,Categories!$E:$G,3,FALSE),IF($F1289&lt;&gt;"","NO CAT",""))</f>
        <v>Deferred Income Taxes</v>
      </c>
      <c r="P1289" s="170" t="s">
        <v>1183</v>
      </c>
      <c r="Q1289" s="123" t="s">
        <v>1177</v>
      </c>
      <c r="R1289" s="124">
        <v>1</v>
      </c>
      <c r="S1289" s="124">
        <v>0</v>
      </c>
      <c r="T1289" s="124">
        <v>0</v>
      </c>
      <c r="U1289" s="121">
        <f t="shared" si="516"/>
        <v>52951.790390000002</v>
      </c>
      <c r="V1289" s="121">
        <f t="shared" si="517"/>
        <v>0</v>
      </c>
      <c r="W1289" s="121">
        <f t="shared" si="518"/>
        <v>0</v>
      </c>
      <c r="X1289" s="121">
        <f t="shared" si="519"/>
        <v>52951.790390000002</v>
      </c>
      <c r="Y1289" s="121">
        <f t="shared" si="520"/>
        <v>56770.661169999999</v>
      </c>
      <c r="Z1289" s="121">
        <f t="shared" si="521"/>
        <v>0</v>
      </c>
      <c r="AA1289" s="121">
        <f t="shared" si="522"/>
        <v>0</v>
      </c>
      <c r="AB1289" s="121">
        <f t="shared" si="523"/>
        <v>56770.661169999985</v>
      </c>
      <c r="AC1289" s="121">
        <v>49141.238849999987</v>
      </c>
      <c r="AD1289" s="121">
        <v>49777.260659999985</v>
      </c>
      <c r="AE1289" s="121">
        <v>50397.612779999989</v>
      </c>
      <c r="AF1289" s="121">
        <v>51033.66051999999</v>
      </c>
      <c r="AG1289" s="121">
        <v>51674.267939999991</v>
      </c>
      <c r="AH1289" s="121">
        <v>52308.663439999989</v>
      </c>
      <c r="AI1289" s="161">
        <v>52949.879039999993</v>
      </c>
      <c r="AJ1289" s="161">
        <v>53592.337339999991</v>
      </c>
      <c r="AK1289" s="161">
        <v>54234.276509999989</v>
      </c>
      <c r="AL1289" s="161">
        <v>54864.80958999999</v>
      </c>
      <c r="AM1289" s="161">
        <v>55498.122119999993</v>
      </c>
      <c r="AN1289" s="161">
        <v>56134.644729999993</v>
      </c>
      <c r="AO1289" s="161">
        <v>56770.661169999985</v>
      </c>
      <c r="AP1289" s="125" t="str">
        <f>CONCATENATE(A1289,M1289)</f>
        <v>Def TaxR</v>
      </c>
      <c r="AQ1289" s="125" t="str">
        <f>CONCATENATE(AP1289,L1289,H1289)</f>
        <v>Def TaxRR11Accelerated Depreciation</v>
      </c>
      <c r="AS1289" s="125" t="str">
        <f>CONCATENATE(L1289,H1289,J1289)</f>
        <v>R11Accelerated Depreciation</v>
      </c>
    </row>
    <row r="1290" spans="1:45" s="125" customFormat="1" ht="25.5" customHeight="1">
      <c r="A1290" s="216" t="s">
        <v>1996</v>
      </c>
      <c r="B1290" s="217" t="str">
        <f t="shared" si="504"/>
        <v>Def Tax2822400BT010190</v>
      </c>
      <c r="C1290" s="186">
        <v>282240</v>
      </c>
      <c r="D1290" s="201">
        <v>0</v>
      </c>
      <c r="E1290" s="162" t="s">
        <v>98</v>
      </c>
      <c r="F1290" s="169" t="s">
        <v>297</v>
      </c>
      <c r="G1290" s="117" t="s">
        <v>1320</v>
      </c>
      <c r="H1290" s="118" t="s">
        <v>1364</v>
      </c>
      <c r="I1290" s="119"/>
      <c r="J1290" s="120"/>
      <c r="K1290" s="120" t="str">
        <f t="shared" si="532"/>
        <v/>
      </c>
      <c r="L1290" s="170" t="s">
        <v>1895</v>
      </c>
      <c r="M1290" s="122" t="str">
        <f t="shared" si="505"/>
        <v>R</v>
      </c>
      <c r="N1290" s="116" t="str">
        <f>IF($L1290&lt;&gt;"",VLOOKUP($L1290,Categories!$E:$G,2,FALSE),IF($F1290&lt;&gt;"","NO CAT",""))</f>
        <v>Rate Base</v>
      </c>
      <c r="O1290" s="116" t="str">
        <f>IF($L1290&lt;&gt;"",VLOOKUP($L1290,Categories!$E:$G,3,FALSE),IF($F1290&lt;&gt;"","NO CAT",""))</f>
        <v>Deferred Income Taxes</v>
      </c>
      <c r="P1290" s="170" t="s">
        <v>1183</v>
      </c>
      <c r="Q1290" s="123" t="s">
        <v>1177</v>
      </c>
      <c r="R1290" s="124">
        <v>1</v>
      </c>
      <c r="S1290" s="124">
        <v>0</v>
      </c>
      <c r="T1290" s="124">
        <v>0</v>
      </c>
      <c r="U1290" s="121">
        <f t="shared" si="516"/>
        <v>2370.0685033333398</v>
      </c>
      <c r="V1290" s="121">
        <f t="shared" si="517"/>
        <v>0</v>
      </c>
      <c r="W1290" s="121">
        <f t="shared" si="518"/>
        <v>0</v>
      </c>
      <c r="X1290" s="121">
        <f t="shared" si="519"/>
        <v>2370.0685033333398</v>
      </c>
      <c r="Y1290" s="121">
        <f t="shared" si="520"/>
        <v>2506.0685400000002</v>
      </c>
      <c r="Z1290" s="121">
        <f t="shared" si="521"/>
        <v>0</v>
      </c>
      <c r="AA1290" s="121">
        <f t="shared" si="522"/>
        <v>0</v>
      </c>
      <c r="AB1290" s="121">
        <f t="shared" si="523"/>
        <v>2506.0685400000029</v>
      </c>
      <c r="AC1290" s="121">
        <v>2234.0685400000011</v>
      </c>
      <c r="AD1290" s="121">
        <v>2256.735200000001</v>
      </c>
      <c r="AE1290" s="121">
        <v>2279.4018600000013</v>
      </c>
      <c r="AF1290" s="121">
        <v>2302.0685200000016</v>
      </c>
      <c r="AG1290" s="121">
        <v>2324.7351800000015</v>
      </c>
      <c r="AH1290" s="121">
        <v>2347.4018400000018</v>
      </c>
      <c r="AI1290" s="161">
        <v>2370.0685000000017</v>
      </c>
      <c r="AJ1290" s="161">
        <v>2392.735160000002</v>
      </c>
      <c r="AK1290" s="161">
        <v>2415.4018200000023</v>
      </c>
      <c r="AL1290" s="161">
        <v>2438.0684800000022</v>
      </c>
      <c r="AM1290" s="161">
        <v>2460.7351400000025</v>
      </c>
      <c r="AN1290" s="161">
        <v>2483.4018000000028</v>
      </c>
      <c r="AO1290" s="161">
        <v>2506.0685400000029</v>
      </c>
      <c r="AP1290" s="125" t="str">
        <f>CONCATENATE(A1290,M1290)</f>
        <v>Def TaxR</v>
      </c>
      <c r="AQ1290" s="125" t="str">
        <f>CONCATENATE(AP1290,L1290,H1290)</f>
        <v>Def TaxRR11Accelerated Depreciation</v>
      </c>
      <c r="AS1290" s="125" t="str">
        <f>CONCATENATE(L1290,H1290,J1290)</f>
        <v>R11Accelerated Depreciation</v>
      </c>
    </row>
    <row r="1291" spans="1:45" s="125" customFormat="1" ht="25.5" customHeight="1">
      <c r="A1291" s="216" t="s">
        <v>1996</v>
      </c>
      <c r="B1291" s="217" t="str">
        <f t="shared" si="504"/>
        <v>Def Tax282240Multiple: 283.21.44/283.21.45/286.01.01/282.11.09/IBO Costs/NIRP CostsBT010197</v>
      </c>
      <c r="C1291" s="186">
        <v>282240</v>
      </c>
      <c r="D1291" s="201" t="s">
        <v>1368</v>
      </c>
      <c r="E1291" s="162" t="s">
        <v>1321</v>
      </c>
      <c r="F1291" s="169" t="s">
        <v>297</v>
      </c>
      <c r="G1291" s="117" t="s">
        <v>1358</v>
      </c>
      <c r="H1291" s="118" t="s">
        <v>1364</v>
      </c>
      <c r="I1291" s="119"/>
      <c r="J1291" s="120"/>
      <c r="K1291" s="120" t="str">
        <f t="shared" si="532"/>
        <v/>
      </c>
      <c r="L1291" s="170" t="s">
        <v>1895</v>
      </c>
      <c r="M1291" s="122" t="str">
        <f t="shared" si="505"/>
        <v>R</v>
      </c>
      <c r="N1291" s="116" t="str">
        <f>IF($L1291&lt;&gt;"",VLOOKUP($L1291,Categories!$E:$G,2,FALSE),IF($F1291&lt;&gt;"","NO CAT",""))</f>
        <v>Rate Base</v>
      </c>
      <c r="O1291" s="116" t="str">
        <f>IF($L1291&lt;&gt;"",VLOOKUP($L1291,Categories!$E:$G,3,FALSE),IF($F1291&lt;&gt;"","NO CAT",""))</f>
        <v>Deferred Income Taxes</v>
      </c>
      <c r="P1291" s="170" t="s">
        <v>1183</v>
      </c>
      <c r="Q1291" s="123" t="s">
        <v>1177</v>
      </c>
      <c r="R1291" s="124">
        <v>1</v>
      </c>
      <c r="S1291" s="124">
        <v>0</v>
      </c>
      <c r="T1291" s="124">
        <v>0</v>
      </c>
      <c r="U1291" s="121">
        <f t="shared" si="516"/>
        <v>-27080.288602083299</v>
      </c>
      <c r="V1291" s="121">
        <f t="shared" si="517"/>
        <v>0</v>
      </c>
      <c r="W1291" s="121">
        <f t="shared" si="518"/>
        <v>0</v>
      </c>
      <c r="X1291" s="121">
        <f t="shared" si="519"/>
        <v>-27080.288602083299</v>
      </c>
      <c r="Y1291" s="121">
        <f t="shared" si="520"/>
        <v>-30087.424040000002</v>
      </c>
      <c r="Z1291" s="121">
        <f t="shared" si="521"/>
        <v>0</v>
      </c>
      <c r="AA1291" s="121">
        <f t="shared" si="522"/>
        <v>0</v>
      </c>
      <c r="AB1291" s="121">
        <f t="shared" si="523"/>
        <v>-30087.424040000005</v>
      </c>
      <c r="AC1291" s="121">
        <v>-24861.957589999998</v>
      </c>
      <c r="AD1291" s="121">
        <v>-25132.414190000003</v>
      </c>
      <c r="AE1291" s="121">
        <v>-25402.870780000001</v>
      </c>
      <c r="AF1291" s="121">
        <v>-25673.327380000002</v>
      </c>
      <c r="AG1291" s="121">
        <v>-25943.783970000004</v>
      </c>
      <c r="AH1291" s="121">
        <v>-26214.240570000005</v>
      </c>
      <c r="AI1291" s="161">
        <v>-26484.697170000007</v>
      </c>
      <c r="AJ1291" s="161">
        <v>-26755.153760000005</v>
      </c>
      <c r="AK1291" s="161">
        <v>-27894.177030000006</v>
      </c>
      <c r="AL1291" s="161">
        <v>-28950.341760000007</v>
      </c>
      <c r="AM1291" s="161">
        <v>-29329.369190000005</v>
      </c>
      <c r="AN1291" s="161">
        <v>-29708.396610000007</v>
      </c>
      <c r="AO1291" s="161">
        <v>-30087.424040000005</v>
      </c>
      <c r="AP1291" s="125" t="str">
        <f>CONCATENATE(A1291,M1291)</f>
        <v>Def TaxR</v>
      </c>
      <c r="AQ1291" s="125" t="str">
        <f>CONCATENATE(AP1291,L1291,H1291)</f>
        <v>Def TaxRR11Accelerated Depreciation</v>
      </c>
      <c r="AS1291" s="125" t="str">
        <f>CONCATENATE(L1291,H1291,J1291)</f>
        <v>R11Accelerated Depreciation</v>
      </c>
    </row>
    <row r="1292" spans="1:45" s="125" customFormat="1" ht="25.5" customHeight="1">
      <c r="A1292" s="216" t="s">
        <v>1996</v>
      </c>
      <c r="B1292" s="217" t="str">
        <f t="shared" si="504"/>
        <v>Def Tax282240Multiple: 283.21.44/283.21.45/286.01.01/282.11.09/IBO Costs/NIRP CostsBT010198</v>
      </c>
      <c r="C1292" s="186">
        <v>282240</v>
      </c>
      <c r="D1292" s="201" t="s">
        <v>1368</v>
      </c>
      <c r="E1292" s="162" t="s">
        <v>1322</v>
      </c>
      <c r="F1292" s="169" t="s">
        <v>297</v>
      </c>
      <c r="G1292" s="117" t="s">
        <v>1359</v>
      </c>
      <c r="H1292" s="118" t="s">
        <v>1364</v>
      </c>
      <c r="I1292" s="119"/>
      <c r="J1292" s="120"/>
      <c r="K1292" s="120" t="str">
        <f t="shared" si="532"/>
        <v/>
      </c>
      <c r="L1292" s="170" t="s">
        <v>1895</v>
      </c>
      <c r="M1292" s="122" t="str">
        <f t="shared" si="505"/>
        <v>R</v>
      </c>
      <c r="N1292" s="116" t="str">
        <f>IF($L1292&lt;&gt;"",VLOOKUP($L1292,Categories!$E:$G,2,FALSE),IF($F1292&lt;&gt;"","NO CAT",""))</f>
        <v>Rate Base</v>
      </c>
      <c r="O1292" s="116" t="str">
        <f>IF($L1292&lt;&gt;"",VLOOKUP($L1292,Categories!$E:$G,3,FALSE),IF($F1292&lt;&gt;"","NO CAT",""))</f>
        <v>Deferred Income Taxes</v>
      </c>
      <c r="P1292" s="170" t="s">
        <v>1183</v>
      </c>
      <c r="Q1292" s="123" t="s">
        <v>1177</v>
      </c>
      <c r="R1292" s="124">
        <v>1</v>
      </c>
      <c r="S1292" s="124">
        <v>0</v>
      </c>
      <c r="T1292" s="124">
        <v>0</v>
      </c>
      <c r="U1292" s="121">
        <f t="shared" si="516"/>
        <v>-31270.031589166701</v>
      </c>
      <c r="V1292" s="121">
        <f t="shared" si="517"/>
        <v>0</v>
      </c>
      <c r="W1292" s="121">
        <f t="shared" si="518"/>
        <v>0</v>
      </c>
      <c r="X1292" s="121">
        <f t="shared" si="519"/>
        <v>-31270.031589166701</v>
      </c>
      <c r="Y1292" s="121">
        <f t="shared" si="520"/>
        <v>-33041.688329999997</v>
      </c>
      <c r="Z1292" s="121">
        <f t="shared" si="521"/>
        <v>0</v>
      </c>
      <c r="AA1292" s="121">
        <f t="shared" si="522"/>
        <v>0</v>
      </c>
      <c r="AB1292" s="121">
        <f t="shared" si="523"/>
        <v>-33041.688330000019</v>
      </c>
      <c r="AC1292" s="121">
        <v>-29190.084450000017</v>
      </c>
      <c r="AD1292" s="121">
        <v>-29572.709520000019</v>
      </c>
      <c r="AE1292" s="121">
        <v>-29955.334590000017</v>
      </c>
      <c r="AF1292" s="121">
        <v>-30337.959660000019</v>
      </c>
      <c r="AG1292" s="121">
        <v>-30720.58473000002</v>
      </c>
      <c r="AH1292" s="121">
        <v>-31103.209800000019</v>
      </c>
      <c r="AI1292" s="161">
        <v>-31485.834870000021</v>
      </c>
      <c r="AJ1292" s="161">
        <v>-31868.459940000019</v>
      </c>
      <c r="AK1292" s="161">
        <v>-32251.085010000021</v>
      </c>
      <c r="AL1292" s="161">
        <v>-31893.813110000021</v>
      </c>
      <c r="AM1292" s="161">
        <v>-32276.438190000019</v>
      </c>
      <c r="AN1292" s="161">
        <v>-32659.063260000021</v>
      </c>
      <c r="AO1292" s="161">
        <v>-33041.688330000019</v>
      </c>
      <c r="AP1292" s="125" t="str">
        <f>CONCATENATE(A1292,M1292)</f>
        <v>Def TaxR</v>
      </c>
      <c r="AQ1292" s="125" t="str">
        <f>CONCATENATE(AP1292,L1292,H1292)</f>
        <v>Def TaxRR11Accelerated Depreciation</v>
      </c>
      <c r="AS1292" s="125" t="str">
        <f>CONCATENATE(L1292,H1292,J1292)</f>
        <v>R11Accelerated Depreciation</v>
      </c>
    </row>
    <row r="1293" spans="1:45" s="125" customFormat="1" ht="25.5" customHeight="1">
      <c r="A1293" s="216" t="s">
        <v>1996</v>
      </c>
      <c r="B1293" s="217" t="str">
        <f t="shared" si="504"/>
        <v>Def Tax282240Multiple: 283.21.44/283.21.45/286.01.01/282.11.09/IBO Costs/NIRP CostsBT010229</v>
      </c>
      <c r="C1293" s="186">
        <v>282240</v>
      </c>
      <c r="D1293" s="201" t="s">
        <v>1368</v>
      </c>
      <c r="E1293" s="162" t="s">
        <v>1323</v>
      </c>
      <c r="F1293" s="169" t="s">
        <v>297</v>
      </c>
      <c r="G1293" s="117" t="s">
        <v>1360</v>
      </c>
      <c r="H1293" s="118" t="s">
        <v>1364</v>
      </c>
      <c r="I1293" s="119"/>
      <c r="J1293" s="120"/>
      <c r="K1293" s="120" t="str">
        <f t="shared" si="532"/>
        <v/>
      </c>
      <c r="L1293" s="170" t="s">
        <v>1895</v>
      </c>
      <c r="M1293" s="122" t="str">
        <f t="shared" si="505"/>
        <v>R</v>
      </c>
      <c r="N1293" s="116" t="str">
        <f>IF($L1293&lt;&gt;"",VLOOKUP($L1293,Categories!$E:$G,2,FALSE),IF($F1293&lt;&gt;"","NO CAT",""))</f>
        <v>Rate Base</v>
      </c>
      <c r="O1293" s="116" t="str">
        <f>IF($L1293&lt;&gt;"",VLOOKUP($L1293,Categories!$E:$G,3,FALSE),IF($F1293&lt;&gt;"","NO CAT",""))</f>
        <v>Deferred Income Taxes</v>
      </c>
      <c r="P1293" s="170" t="s">
        <v>1183</v>
      </c>
      <c r="Q1293" s="123" t="s">
        <v>1177</v>
      </c>
      <c r="R1293" s="124">
        <v>1</v>
      </c>
      <c r="S1293" s="124">
        <v>0</v>
      </c>
      <c r="T1293" s="124">
        <v>0</v>
      </c>
      <c r="U1293" s="121">
        <f t="shared" si="516"/>
        <v>-10169.357</v>
      </c>
      <c r="V1293" s="121">
        <f t="shared" si="517"/>
        <v>0</v>
      </c>
      <c r="W1293" s="121">
        <f t="shared" si="518"/>
        <v>0</v>
      </c>
      <c r="X1293" s="121">
        <f t="shared" si="519"/>
        <v>-10169.357</v>
      </c>
      <c r="Y1293" s="121">
        <f t="shared" si="520"/>
        <v>-10169.357</v>
      </c>
      <c r="Z1293" s="121">
        <f t="shared" si="521"/>
        <v>0</v>
      </c>
      <c r="AA1293" s="121">
        <f t="shared" si="522"/>
        <v>0</v>
      </c>
      <c r="AB1293" s="121">
        <f t="shared" si="523"/>
        <v>-10169.357</v>
      </c>
      <c r="AC1293" s="121">
        <v>-10169.357</v>
      </c>
      <c r="AD1293" s="121">
        <v>-10169.357</v>
      </c>
      <c r="AE1293" s="121">
        <v>-10169.357</v>
      </c>
      <c r="AF1293" s="121">
        <v>-10169.357</v>
      </c>
      <c r="AG1293" s="121">
        <v>-10169.357</v>
      </c>
      <c r="AH1293" s="121">
        <v>-10169.357</v>
      </c>
      <c r="AI1293" s="161">
        <v>-10169.357</v>
      </c>
      <c r="AJ1293" s="161">
        <v>-10169.357</v>
      </c>
      <c r="AK1293" s="161">
        <v>-10169.357</v>
      </c>
      <c r="AL1293" s="161">
        <v>-10169.357</v>
      </c>
      <c r="AM1293" s="161">
        <v>-10169.357</v>
      </c>
      <c r="AN1293" s="161">
        <v>-10169.357</v>
      </c>
      <c r="AO1293" s="161">
        <v>-10169.357</v>
      </c>
      <c r="AP1293" s="125" t="str">
        <f>CONCATENATE(A1293,M1293)</f>
        <v>Def TaxR</v>
      </c>
      <c r="AQ1293" s="125" t="str">
        <f>CONCATENATE(AP1293,L1293,H1293)</f>
        <v>Def TaxRR11Accelerated Depreciation</v>
      </c>
      <c r="AS1293" s="125" t="str">
        <f>CONCATENATE(L1293,H1293,J1293)</f>
        <v>R11Accelerated Depreciation</v>
      </c>
    </row>
    <row r="1294" spans="1:45" s="125" customFormat="1" ht="25.5" customHeight="1">
      <c r="A1294" s="216" t="s">
        <v>1996</v>
      </c>
      <c r="B1294" s="217" t="str">
        <f t="shared" si="504"/>
        <v>Def Tax282240Theoretical ReserveBT010378</v>
      </c>
      <c r="C1294" s="186">
        <v>282240</v>
      </c>
      <c r="D1294" s="201" t="s">
        <v>1436</v>
      </c>
      <c r="E1294" s="162" t="s">
        <v>1021</v>
      </c>
      <c r="F1294" s="169" t="s">
        <v>297</v>
      </c>
      <c r="G1294" s="117" t="s">
        <v>1022</v>
      </c>
      <c r="H1294" s="118" t="s">
        <v>1436</v>
      </c>
      <c r="I1294" s="119"/>
      <c r="J1294" s="120"/>
      <c r="K1294" s="120" t="str">
        <f t="shared" si="532"/>
        <v/>
      </c>
      <c r="L1294" s="170" t="s">
        <v>1895</v>
      </c>
      <c r="M1294" s="122" t="str">
        <f t="shared" si="505"/>
        <v>R</v>
      </c>
      <c r="N1294" s="116" t="str">
        <f>IF($L1294&lt;&gt;"",VLOOKUP($L1294,Categories!$E:$G,2,FALSE),IF($F1294&lt;&gt;"","NO CAT",""))</f>
        <v>Rate Base</v>
      </c>
      <c r="O1294" s="116" t="str">
        <f>IF($L1294&lt;&gt;"",VLOOKUP($L1294,Categories!$E:$G,3,FALSE),IF($F1294&lt;&gt;"","NO CAT",""))</f>
        <v>Deferred Income Taxes</v>
      </c>
      <c r="P1294" s="170" t="s">
        <v>1183</v>
      </c>
      <c r="Q1294" s="123" t="s">
        <v>1177</v>
      </c>
      <c r="R1294" s="124">
        <v>1</v>
      </c>
      <c r="S1294" s="124">
        <v>0</v>
      </c>
      <c r="T1294" s="124">
        <v>0</v>
      </c>
      <c r="U1294" s="121">
        <f t="shared" si="516"/>
        <v>-221.01427000000001</v>
      </c>
      <c r="V1294" s="121">
        <f t="shared" si="517"/>
        <v>0</v>
      </c>
      <c r="W1294" s="121">
        <f t="shared" si="518"/>
        <v>0</v>
      </c>
      <c r="X1294" s="121">
        <f t="shared" si="519"/>
        <v>-221.01427000000001</v>
      </c>
      <c r="Y1294" s="121">
        <f t="shared" si="520"/>
        <v>-249.84027</v>
      </c>
      <c r="Z1294" s="121">
        <f t="shared" si="521"/>
        <v>0</v>
      </c>
      <c r="AA1294" s="121">
        <f t="shared" si="522"/>
        <v>0</v>
      </c>
      <c r="AB1294" s="121">
        <f t="shared" si="523"/>
        <v>-249.84026999999978</v>
      </c>
      <c r="AC1294" s="121">
        <v>-192.1882699999999</v>
      </c>
      <c r="AD1294" s="121">
        <v>-196.9925999999999</v>
      </c>
      <c r="AE1294" s="121">
        <v>-201.79693999999989</v>
      </c>
      <c r="AF1294" s="121">
        <v>-206.60126999999989</v>
      </c>
      <c r="AG1294" s="121">
        <v>-211.40559999999985</v>
      </c>
      <c r="AH1294" s="121">
        <v>-216.20993999999985</v>
      </c>
      <c r="AI1294" s="161">
        <v>-221.01426999999984</v>
      </c>
      <c r="AJ1294" s="161">
        <v>-225.81859999999983</v>
      </c>
      <c r="AK1294" s="161">
        <v>-230.62293999999983</v>
      </c>
      <c r="AL1294" s="161">
        <v>-235.42726999999982</v>
      </c>
      <c r="AM1294" s="161">
        <v>-240.23159999999982</v>
      </c>
      <c r="AN1294" s="161">
        <v>-245.03593999999981</v>
      </c>
      <c r="AO1294" s="161">
        <v>-249.84026999999978</v>
      </c>
      <c r="AP1294" s="125" t="str">
        <f>CONCATENATE(A1294,M1294)</f>
        <v>Def TaxR</v>
      </c>
      <c r="AQ1294" s="125" t="str">
        <f>CONCATENATE(AP1294,L1294,H1294)</f>
        <v>Def TaxRR11Theoretical Reserve</v>
      </c>
      <c r="AS1294" s="125" t="str">
        <f>CONCATENATE(L1294,H1294,J1294)</f>
        <v>R11Theoretical Reserve</v>
      </c>
    </row>
    <row r="1295" spans="1:45" s="125" customFormat="1" ht="25.5" customHeight="1">
      <c r="A1295" s="216" t="s">
        <v>1996</v>
      </c>
      <c r="B1295" s="217" t="str">
        <f t="shared" si="504"/>
        <v>Def Tax282250AROBT010351</v>
      </c>
      <c r="C1295" s="186">
        <v>282250</v>
      </c>
      <c r="D1295" s="201" t="s">
        <v>993</v>
      </c>
      <c r="E1295" s="162" t="s">
        <v>70</v>
      </c>
      <c r="F1295" s="169" t="s">
        <v>298</v>
      </c>
      <c r="G1295" s="117" t="s">
        <v>71</v>
      </c>
      <c r="H1295" s="118" t="s">
        <v>972</v>
      </c>
      <c r="I1295" s="119"/>
      <c r="J1295" s="120"/>
      <c r="K1295" s="120" t="str">
        <f t="shared" si="532"/>
        <v/>
      </c>
      <c r="L1295" s="170" t="s">
        <v>928</v>
      </c>
      <c r="M1295" s="122" t="str">
        <f t="shared" si="505"/>
        <v>N</v>
      </c>
      <c r="N1295" s="116" t="str">
        <f>IF($L1295&lt;&gt;"",VLOOKUP($L1295,Categories!$E:$G,2,FALSE),IF($F1295&lt;&gt;"","NO CAT",""))</f>
        <v>Not in Rate Base</v>
      </c>
      <c r="O1295" s="116" t="str">
        <f>IF($L1295&lt;&gt;"",VLOOKUP($L1295,Categories!$E:$G,3,FALSE),IF($F1295&lt;&gt;"","NO CAT",""))</f>
        <v>Direct Assign Items Not in RB</v>
      </c>
      <c r="P1295" s="170" t="s">
        <v>1186</v>
      </c>
      <c r="Q1295" s="123" t="s">
        <v>1187</v>
      </c>
      <c r="R1295" s="124">
        <v>0</v>
      </c>
      <c r="S1295" s="124">
        <v>0</v>
      </c>
      <c r="T1295" s="124">
        <v>1</v>
      </c>
      <c r="U1295" s="121">
        <f t="shared" si="516"/>
        <v>0</v>
      </c>
      <c r="V1295" s="121">
        <f t="shared" si="517"/>
        <v>0</v>
      </c>
      <c r="W1295" s="121">
        <f t="shared" si="518"/>
        <v>78.435442500000093</v>
      </c>
      <c r="X1295" s="121">
        <f t="shared" si="519"/>
        <v>78.435442500000093</v>
      </c>
      <c r="Y1295" s="121">
        <f t="shared" si="520"/>
        <v>0</v>
      </c>
      <c r="Z1295" s="121">
        <f t="shared" si="521"/>
        <v>0</v>
      </c>
      <c r="AA1295" s="121">
        <f t="shared" si="522"/>
        <v>-9.1043599999998808</v>
      </c>
      <c r="AB1295" s="121">
        <f t="shared" si="523"/>
        <v>-9.104359999999879</v>
      </c>
      <c r="AC1295" s="121">
        <v>116.51218000000009</v>
      </c>
      <c r="AD1295" s="121">
        <v>116.04176000000008</v>
      </c>
      <c r="AE1295" s="121">
        <v>115.57133000000009</v>
      </c>
      <c r="AF1295" s="121">
        <v>115.10091000000008</v>
      </c>
      <c r="AG1295" s="121">
        <v>114.63048000000009</v>
      </c>
      <c r="AH1295" s="121">
        <v>114.1600600000001</v>
      </c>
      <c r="AI1295" s="161">
        <v>113.68963000000011</v>
      </c>
      <c r="AJ1295" s="161">
        <v>113.2192100000001</v>
      </c>
      <c r="AK1295" s="161">
        <v>112.74878000000011</v>
      </c>
      <c r="AL1295" s="161">
        <v>-9.2681999999998812</v>
      </c>
      <c r="AM1295" s="161">
        <v>-9.2135899999998809</v>
      </c>
      <c r="AN1295" s="161">
        <v>-9.1589699999998793</v>
      </c>
      <c r="AO1295" s="161">
        <v>-9.104359999999879</v>
      </c>
      <c r="AP1295" s="125" t="str">
        <f>CONCATENATE(A1295,M1295)</f>
        <v>Def TaxN</v>
      </c>
      <c r="AQ1295" s="125" t="str">
        <f>CONCATENATE(AP1295,L1295,H1295)</f>
        <v>Def TaxNN2Asset Retirement Obligation</v>
      </c>
      <c r="AS1295" s="125" t="str">
        <f>CONCATENATE(L1295,H1295,J1295)</f>
        <v>N2Asset Retirement Obligation</v>
      </c>
    </row>
    <row r="1296" spans="1:45" s="125" customFormat="1" ht="25.5" customHeight="1">
      <c r="A1296" s="216" t="s">
        <v>1996</v>
      </c>
      <c r="B1296" s="217" t="str">
        <f t="shared" ref="B1296:B1303" si="533">CONCATENATE(A1296,C1296,D1296,E1296)</f>
        <v>Def Tax282250R&amp;D CreditBT010177</v>
      </c>
      <c r="C1296" s="186">
        <v>282250</v>
      </c>
      <c r="D1296" s="201" t="s">
        <v>1467</v>
      </c>
      <c r="E1296" s="162" t="s">
        <v>398</v>
      </c>
      <c r="F1296" s="169" t="s">
        <v>298</v>
      </c>
      <c r="G1296" s="117" t="s">
        <v>4499</v>
      </c>
      <c r="H1296" s="118" t="s">
        <v>341</v>
      </c>
      <c r="I1296" s="119"/>
      <c r="J1296" s="120"/>
      <c r="K1296" s="120" t="str">
        <f t="shared" ref="K1296:K1303" si="534">IF(L1296="N3","SFAS-109","")</f>
        <v/>
      </c>
      <c r="L1296" s="170" t="s">
        <v>928</v>
      </c>
      <c r="M1296" s="122" t="str">
        <f t="shared" si="505"/>
        <v>N</v>
      </c>
      <c r="N1296" s="116" t="str">
        <f>IF($L1296&lt;&gt;"",VLOOKUP($L1296,Categories!$E:$G,2,FALSE),IF($F1296&lt;&gt;"","NO CAT",""))</f>
        <v>Not in Rate Base</v>
      </c>
      <c r="O1296" s="116" t="str">
        <f>IF($L1296&lt;&gt;"",VLOOKUP($L1296,Categories!$E:$G,3,FALSE),IF($F1296&lt;&gt;"","NO CAT",""))</f>
        <v>Direct Assign Items Not in RB</v>
      </c>
      <c r="P1296" s="170" t="s">
        <v>1186</v>
      </c>
      <c r="Q1296" s="123" t="s">
        <v>1187</v>
      </c>
      <c r="R1296" s="124">
        <v>0</v>
      </c>
      <c r="S1296" s="124">
        <v>0</v>
      </c>
      <c r="T1296" s="124">
        <v>1</v>
      </c>
      <c r="U1296" s="121">
        <f t="shared" si="516"/>
        <v>0</v>
      </c>
      <c r="V1296" s="121">
        <f t="shared" si="517"/>
        <v>0</v>
      </c>
      <c r="W1296" s="121">
        <f t="shared" si="518"/>
        <v>-20.02946</v>
      </c>
      <c r="X1296" s="121">
        <f t="shared" si="519"/>
        <v>-20.02946</v>
      </c>
      <c r="Y1296" s="121">
        <f t="shared" si="520"/>
        <v>0</v>
      </c>
      <c r="Z1296" s="121">
        <f t="shared" si="521"/>
        <v>0</v>
      </c>
      <c r="AA1296" s="121">
        <f t="shared" si="522"/>
        <v>-20.02946</v>
      </c>
      <c r="AB1296" s="121">
        <f t="shared" si="523"/>
        <v>-20.02946</v>
      </c>
      <c r="AC1296" s="121">
        <v>-20.02946</v>
      </c>
      <c r="AD1296" s="121">
        <v>-20.02946</v>
      </c>
      <c r="AE1296" s="121">
        <v>-20.02946</v>
      </c>
      <c r="AF1296" s="121">
        <v>-20.02946</v>
      </c>
      <c r="AG1296" s="121">
        <v>-20.02946</v>
      </c>
      <c r="AH1296" s="121">
        <v>-20.02946</v>
      </c>
      <c r="AI1296" s="161">
        <v>-20.02946</v>
      </c>
      <c r="AJ1296" s="161">
        <v>-20.02946</v>
      </c>
      <c r="AK1296" s="161">
        <v>-20.02946</v>
      </c>
      <c r="AL1296" s="161">
        <v>-20.02946</v>
      </c>
      <c r="AM1296" s="161">
        <v>-20.02946</v>
      </c>
      <c r="AN1296" s="161">
        <v>-20.02946</v>
      </c>
      <c r="AO1296" s="161">
        <v>-20.02946</v>
      </c>
      <c r="AP1296" s="125" t="str">
        <f>CONCATENATE(A1296,M1296)</f>
        <v>Def TaxN</v>
      </c>
      <c r="AQ1296" s="125" t="str">
        <f>CONCATENATE(AP1296,L1296,H1296)</f>
        <v>Def TaxNN2R&amp;D Tax Credit</v>
      </c>
      <c r="AS1296" s="125" t="str">
        <f>CONCATENATE(L1296,H1296,J1296)</f>
        <v>N2R&amp;D Tax Credit</v>
      </c>
    </row>
    <row r="1297" spans="1:45" s="125" customFormat="1" ht="25.5" customHeight="1">
      <c r="A1297" s="216" t="s">
        <v>1996</v>
      </c>
      <c r="B1297" s="217" t="str">
        <f t="shared" si="533"/>
        <v>Def Tax2822500-186.01.14BT010043</v>
      </c>
      <c r="C1297" s="186">
        <v>282250</v>
      </c>
      <c r="D1297" s="201" t="s">
        <v>824</v>
      </c>
      <c r="E1297" s="162" t="s">
        <v>615</v>
      </c>
      <c r="F1297" s="169" t="s">
        <v>298</v>
      </c>
      <c r="G1297" s="117" t="s">
        <v>1474</v>
      </c>
      <c r="H1297" s="118" t="s">
        <v>218</v>
      </c>
      <c r="I1297" s="119"/>
      <c r="J1297" s="120"/>
      <c r="K1297" s="120" t="str">
        <f t="shared" si="534"/>
        <v/>
      </c>
      <c r="L1297" s="170" t="s">
        <v>1895</v>
      </c>
      <c r="M1297" s="122" t="str">
        <f t="shared" ref="M1297:M1303" si="535">LEFT(L1297,1)</f>
        <v>R</v>
      </c>
      <c r="N1297" s="116" t="str">
        <f>IF($L1297&lt;&gt;"",VLOOKUP($L1297,Categories!$E:$G,2,FALSE),IF($F1297&lt;&gt;"","NO CAT",""))</f>
        <v>Rate Base</v>
      </c>
      <c r="O1297" s="116" t="str">
        <f>IF($L1297&lt;&gt;"",VLOOKUP($L1297,Categories!$E:$G,3,FALSE),IF($F1297&lt;&gt;"","NO CAT",""))</f>
        <v>Deferred Income Taxes</v>
      </c>
      <c r="P1297" s="170" t="s">
        <v>1184</v>
      </c>
      <c r="Q1297" s="123" t="s">
        <v>1178</v>
      </c>
      <c r="R1297" s="124">
        <v>0</v>
      </c>
      <c r="S1297" s="124">
        <v>1</v>
      </c>
      <c r="T1297" s="124">
        <v>0</v>
      </c>
      <c r="U1297" s="121">
        <f t="shared" ref="U1297:U1303" si="536">IF(ABS(X1297)=0,"",IF($R1297="NO ALLOC","NO ALLOC",ROUND($R1297*X1297,15)))</f>
        <v>0</v>
      </c>
      <c r="V1297" s="121">
        <f t="shared" ref="V1297:V1303" si="537">IF(ABS(X1297)=0,"",IF($S1297="NO ALLOC","NO ALLOC",ROUND($S1297*X1297,15)))</f>
        <v>1304.86219125</v>
      </c>
      <c r="W1297" s="121">
        <f t="shared" ref="W1297:W1303" si="538">IF(ABS(X1297)=0,"",IF($T1297="NO ALLOC","NO ALLOC",ROUND($T1297*X1297,15)))</f>
        <v>0</v>
      </c>
      <c r="X1297" s="121">
        <f t="shared" si="519"/>
        <v>1304.86219125</v>
      </c>
      <c r="Y1297" s="121">
        <f t="shared" ref="Y1297:Y1303" si="539">IF(ABS(AB1297)=0,"",IF($R1297="NO ALLOC","NO ALLOC",ROUND($R1297*AB1297,15)))</f>
        <v>0</v>
      </c>
      <c r="Z1297" s="121">
        <f t="shared" ref="Z1297:Z1303" si="540">IF(ABS(AB1297)=0,"",IF($S1297="NO ALLOC","NO ALLOC",ROUND($S1297*AB1297,15)))</f>
        <v>1363.75243</v>
      </c>
      <c r="AA1297" s="121">
        <f t="shared" ref="AA1297:AA1303" si="541">IF(ABS(AB1297)=0,"",IF($T1297="NO ALLOC","NO ALLOC",ROUND($T1297*AB1297,15)))</f>
        <v>0</v>
      </c>
      <c r="AB1297" s="121">
        <f t="shared" si="523"/>
        <v>1363.7524300000002</v>
      </c>
      <c r="AC1297" s="121">
        <v>1239.7471</v>
      </c>
      <c r="AD1297" s="121">
        <v>1251.1299300000001</v>
      </c>
      <c r="AE1297" s="121">
        <v>1254.6850300000003</v>
      </c>
      <c r="AF1297" s="121">
        <v>1258.4982800000002</v>
      </c>
      <c r="AG1297" s="121">
        <v>1267.7128200000002</v>
      </c>
      <c r="AH1297" s="121">
        <v>1274.4579900000003</v>
      </c>
      <c r="AI1297" s="161">
        <v>1322.3636300000001</v>
      </c>
      <c r="AJ1297" s="161">
        <v>1328.3349900000003</v>
      </c>
      <c r="AK1297" s="161">
        <v>1337.2049600000003</v>
      </c>
      <c r="AL1297" s="161">
        <v>1341.26115</v>
      </c>
      <c r="AM1297" s="161">
        <v>1350.9316200000001</v>
      </c>
      <c r="AN1297" s="161">
        <v>1370.0161300000002</v>
      </c>
      <c r="AO1297" s="161">
        <v>1363.7524300000002</v>
      </c>
      <c r="AP1297" s="125" t="str">
        <f>CONCATENATE(A1297,M1297)</f>
        <v>Def TaxR</v>
      </c>
      <c r="AQ1297" s="125" t="str">
        <f>CONCATENATE(AP1297,L1297,H1297)</f>
        <v>Def TaxRR11Contributions in Aid of Construction</v>
      </c>
      <c r="AS1297" s="125" t="str">
        <f>CONCATENATE(L1297,H1297,J1297)</f>
        <v>R11Contributions in Aid of Construction</v>
      </c>
    </row>
    <row r="1298" spans="1:45" s="125" customFormat="1" ht="25.5" customHeight="1">
      <c r="A1298" s="216" t="s">
        <v>1996</v>
      </c>
      <c r="B1298" s="217" t="str">
        <f t="shared" si="533"/>
        <v>Def Tax282250KatzBT010110</v>
      </c>
      <c r="C1298" s="186">
        <v>282250</v>
      </c>
      <c r="D1298" s="201" t="s">
        <v>241</v>
      </c>
      <c r="E1298" s="162" t="s">
        <v>285</v>
      </c>
      <c r="F1298" s="169" t="s">
        <v>298</v>
      </c>
      <c r="G1298" s="117" t="s">
        <v>4500</v>
      </c>
      <c r="H1298" s="118" t="s">
        <v>4509</v>
      </c>
      <c r="I1298" s="119"/>
      <c r="J1298" s="120"/>
      <c r="K1298" s="120" t="str">
        <f t="shared" si="534"/>
        <v/>
      </c>
      <c r="L1298" s="170" t="s">
        <v>1895</v>
      </c>
      <c r="M1298" s="122" t="str">
        <f t="shared" si="535"/>
        <v>R</v>
      </c>
      <c r="N1298" s="116" t="str">
        <f>IF($L1298&lt;&gt;"",VLOOKUP($L1298,Categories!$E:$G,2,FALSE),IF($F1298&lt;&gt;"","NO CAT",""))</f>
        <v>Rate Base</v>
      </c>
      <c r="O1298" s="116" t="str">
        <f>IF($L1298&lt;&gt;"",VLOOKUP($L1298,Categories!$E:$G,3,FALSE),IF($F1298&lt;&gt;"","NO CAT",""))</f>
        <v>Deferred Income Taxes</v>
      </c>
      <c r="P1298" s="170" t="s">
        <v>1184</v>
      </c>
      <c r="Q1298" s="123" t="s">
        <v>1178</v>
      </c>
      <c r="R1298" s="124">
        <v>0</v>
      </c>
      <c r="S1298" s="124">
        <v>1</v>
      </c>
      <c r="T1298" s="124">
        <v>0</v>
      </c>
      <c r="U1298" s="121">
        <f t="shared" si="536"/>
        <v>0</v>
      </c>
      <c r="V1298" s="121">
        <f t="shared" si="537"/>
        <v>3.4065300000000001</v>
      </c>
      <c r="W1298" s="121">
        <f t="shared" si="538"/>
        <v>0</v>
      </c>
      <c r="X1298" s="121">
        <f t="shared" si="519"/>
        <v>3.4065300000000001</v>
      </c>
      <c r="Y1298" s="121">
        <f t="shared" si="539"/>
        <v>0</v>
      </c>
      <c r="Z1298" s="121">
        <f t="shared" si="540"/>
        <v>3.4065300000000001</v>
      </c>
      <c r="AA1298" s="121">
        <f t="shared" si="541"/>
        <v>0</v>
      </c>
      <c r="AB1298" s="121">
        <f t="shared" si="523"/>
        <v>3.4065300000000001</v>
      </c>
      <c r="AC1298" s="121">
        <v>3.4065300000000001</v>
      </c>
      <c r="AD1298" s="121">
        <v>3.4065300000000001</v>
      </c>
      <c r="AE1298" s="121">
        <v>3.4065300000000001</v>
      </c>
      <c r="AF1298" s="121">
        <v>3.4065300000000001</v>
      </c>
      <c r="AG1298" s="121">
        <v>3.4065300000000001</v>
      </c>
      <c r="AH1298" s="121">
        <v>3.4065300000000001</v>
      </c>
      <c r="AI1298" s="161">
        <v>3.4065300000000001</v>
      </c>
      <c r="AJ1298" s="161">
        <v>3.4065300000000001</v>
      </c>
      <c r="AK1298" s="161">
        <v>3.4065300000000001</v>
      </c>
      <c r="AL1298" s="161">
        <v>3.4065300000000001</v>
      </c>
      <c r="AM1298" s="161">
        <v>3.4065300000000001</v>
      </c>
      <c r="AN1298" s="161">
        <v>3.4065300000000001</v>
      </c>
      <c r="AO1298" s="161">
        <v>3.4065300000000001</v>
      </c>
      <c r="AP1298" s="125" t="str">
        <f>CONCATENATE(A1298,M1298)</f>
        <v>Def TaxR</v>
      </c>
      <c r="AQ1298" s="125" t="str">
        <f>CONCATENATE(AP1298,L1298,H1298)</f>
        <v>Def TaxRR11Prepaid Software Licensing Amortization</v>
      </c>
      <c r="AS1298" s="125" t="str">
        <f>CONCATENATE(L1298,H1298,J1298)</f>
        <v>R11Prepaid Software Licensing Amortization</v>
      </c>
    </row>
    <row r="1299" spans="1:45" s="125" customFormat="1" ht="25.5" customHeight="1">
      <c r="A1299" s="216" t="s">
        <v>1996</v>
      </c>
      <c r="B1299" s="217" t="str">
        <f t="shared" si="533"/>
        <v>Def Tax2822500-186.01.18BT010029</v>
      </c>
      <c r="C1299" s="186">
        <v>282250</v>
      </c>
      <c r="D1299" s="201" t="s">
        <v>2403</v>
      </c>
      <c r="E1299" s="162" t="s">
        <v>611</v>
      </c>
      <c r="F1299" s="169" t="s">
        <v>298</v>
      </c>
      <c r="G1299" s="117" t="s">
        <v>2976</v>
      </c>
      <c r="H1299" s="118" t="s">
        <v>2976</v>
      </c>
      <c r="I1299" s="119"/>
      <c r="J1299" s="120"/>
      <c r="K1299" s="120" t="str">
        <f t="shared" si="534"/>
        <v/>
      </c>
      <c r="L1299" s="170" t="s">
        <v>1895</v>
      </c>
      <c r="M1299" s="122" t="str">
        <f t="shared" si="535"/>
        <v>R</v>
      </c>
      <c r="N1299" s="116" t="str">
        <f>IF($L1299&lt;&gt;"",VLOOKUP($L1299,Categories!$E:$G,2,FALSE),IF($F1299&lt;&gt;"","NO CAT",""))</f>
        <v>Rate Base</v>
      </c>
      <c r="O1299" s="116" t="str">
        <f>IF($L1299&lt;&gt;"",VLOOKUP($L1299,Categories!$E:$G,3,FALSE),IF($F1299&lt;&gt;"","NO CAT",""))</f>
        <v>Deferred Income Taxes</v>
      </c>
      <c r="P1299" s="170" t="s">
        <v>1184</v>
      </c>
      <c r="Q1299" s="123" t="s">
        <v>1178</v>
      </c>
      <c r="R1299" s="124">
        <v>0</v>
      </c>
      <c r="S1299" s="124">
        <v>1</v>
      </c>
      <c r="T1299" s="124">
        <v>0</v>
      </c>
      <c r="U1299" s="121">
        <f t="shared" si="536"/>
        <v>0</v>
      </c>
      <c r="V1299" s="121">
        <f t="shared" si="537"/>
        <v>146.884643333333</v>
      </c>
      <c r="W1299" s="121">
        <f t="shared" si="538"/>
        <v>0</v>
      </c>
      <c r="X1299" s="121">
        <f t="shared" si="519"/>
        <v>146.884643333333</v>
      </c>
      <c r="Y1299" s="121">
        <f t="shared" si="539"/>
        <v>0</v>
      </c>
      <c r="Z1299" s="121">
        <f t="shared" si="540"/>
        <v>158.31961999999999</v>
      </c>
      <c r="AA1299" s="121">
        <f t="shared" si="541"/>
        <v>0</v>
      </c>
      <c r="AB1299" s="121">
        <f t="shared" si="523"/>
        <v>158.31962000000001</v>
      </c>
      <c r="AC1299" s="121">
        <v>138.78397999999999</v>
      </c>
      <c r="AD1299" s="121">
        <v>140.07136</v>
      </c>
      <c r="AE1299" s="121">
        <v>141.13225</v>
      </c>
      <c r="AF1299" s="121">
        <v>141.91949</v>
      </c>
      <c r="AG1299" s="121">
        <v>142.99441000000002</v>
      </c>
      <c r="AH1299" s="121">
        <v>144.02555000000001</v>
      </c>
      <c r="AI1299" s="161">
        <v>145.3837</v>
      </c>
      <c r="AJ1299" s="161">
        <v>147.28662000000003</v>
      </c>
      <c r="AK1299" s="161">
        <v>149.37057000000004</v>
      </c>
      <c r="AL1299" s="161">
        <v>151.65793000000002</v>
      </c>
      <c r="AM1299" s="161">
        <v>153.90665000000001</v>
      </c>
      <c r="AN1299" s="161">
        <v>156.31539000000001</v>
      </c>
      <c r="AO1299" s="161">
        <v>158.31962000000001</v>
      </c>
      <c r="AP1299" s="125" t="str">
        <f>CONCATENATE(A1299,M1299)</f>
        <v>Def TaxR</v>
      </c>
      <c r="AQ1299" s="125" t="str">
        <f>CONCATENATE(AP1299,L1299,H1299)</f>
        <v>Def TaxRR11Capitalized Interest</v>
      </c>
      <c r="AS1299" s="125" t="str">
        <f>CONCATENATE(L1299,H1299,J1299)</f>
        <v>R11Capitalized Interest</v>
      </c>
    </row>
    <row r="1300" spans="1:45" s="125" customFormat="1" ht="25.5" customHeight="1">
      <c r="A1300" s="216" t="s">
        <v>1996</v>
      </c>
      <c r="B1300" s="217" t="str">
        <f t="shared" si="533"/>
        <v>Def Tax282250Unit of PropertyBT010354</v>
      </c>
      <c r="C1300" s="186">
        <v>282250</v>
      </c>
      <c r="D1300" s="201" t="s">
        <v>649</v>
      </c>
      <c r="E1300" s="162" t="s">
        <v>651</v>
      </c>
      <c r="F1300" s="169" t="s">
        <v>298</v>
      </c>
      <c r="G1300" s="117" t="s">
        <v>4501</v>
      </c>
      <c r="H1300" s="118" t="s">
        <v>649</v>
      </c>
      <c r="I1300" s="119"/>
      <c r="J1300" s="120"/>
      <c r="K1300" s="120" t="str">
        <f t="shared" si="534"/>
        <v/>
      </c>
      <c r="L1300" s="170" t="s">
        <v>1895</v>
      </c>
      <c r="M1300" s="122" t="str">
        <f t="shared" si="535"/>
        <v>R</v>
      </c>
      <c r="N1300" s="116" t="str">
        <f>IF($L1300&lt;&gt;"",VLOOKUP($L1300,Categories!$E:$G,2,FALSE),IF($F1300&lt;&gt;"","NO CAT",""))</f>
        <v>Rate Base</v>
      </c>
      <c r="O1300" s="116" t="str">
        <f>IF($L1300&lt;&gt;"",VLOOKUP($L1300,Categories!$E:$G,3,FALSE),IF($F1300&lt;&gt;"","NO CAT",""))</f>
        <v>Deferred Income Taxes</v>
      </c>
      <c r="P1300" s="170" t="s">
        <v>1184</v>
      </c>
      <c r="Q1300" s="123" t="s">
        <v>1178</v>
      </c>
      <c r="R1300" s="124">
        <v>0</v>
      </c>
      <c r="S1300" s="124">
        <v>1</v>
      </c>
      <c r="T1300" s="124">
        <v>0</v>
      </c>
      <c r="U1300" s="121">
        <f t="shared" si="536"/>
        <v>0</v>
      </c>
      <c r="V1300" s="121">
        <f t="shared" si="537"/>
        <v>-3745.0114400000002</v>
      </c>
      <c r="W1300" s="121">
        <f t="shared" si="538"/>
        <v>0</v>
      </c>
      <c r="X1300" s="121">
        <f t="shared" si="519"/>
        <v>-3745.0114400000002</v>
      </c>
      <c r="Y1300" s="121">
        <f t="shared" si="539"/>
        <v>0</v>
      </c>
      <c r="Z1300" s="121">
        <f t="shared" si="540"/>
        <v>-3745.0114400000002</v>
      </c>
      <c r="AA1300" s="121">
        <f t="shared" si="541"/>
        <v>0</v>
      </c>
      <c r="AB1300" s="121">
        <f t="shared" si="523"/>
        <v>-3745.0114399999998</v>
      </c>
      <c r="AC1300" s="121">
        <v>-3745.0114399999998</v>
      </c>
      <c r="AD1300" s="121">
        <v>-3745.0114399999998</v>
      </c>
      <c r="AE1300" s="121">
        <v>-3745.0114399999998</v>
      </c>
      <c r="AF1300" s="121">
        <v>-3745.0114399999998</v>
      </c>
      <c r="AG1300" s="121">
        <v>-3745.0114399999998</v>
      </c>
      <c r="AH1300" s="121">
        <v>-3745.0114399999998</v>
      </c>
      <c r="AI1300" s="161">
        <v>-3745.0114399999998</v>
      </c>
      <c r="AJ1300" s="161">
        <v>-3745.0114399999998</v>
      </c>
      <c r="AK1300" s="161">
        <v>-3745.0114399999998</v>
      </c>
      <c r="AL1300" s="161">
        <v>-3745.0114399999998</v>
      </c>
      <c r="AM1300" s="161">
        <v>-3745.0114399999998</v>
      </c>
      <c r="AN1300" s="161">
        <v>-3745.0114399999998</v>
      </c>
      <c r="AO1300" s="161">
        <v>-3745.0114399999998</v>
      </c>
      <c r="AP1300" s="125" t="str">
        <f>CONCATENATE(A1300,M1300)</f>
        <v>Def TaxR</v>
      </c>
      <c r="AQ1300" s="125" t="str">
        <f>CONCATENATE(AP1300,L1300,H1300)</f>
        <v>Def TaxRR11Unit of Property</v>
      </c>
      <c r="AS1300" s="125" t="str">
        <f>CONCATENATE(L1300,H1300,J1300)</f>
        <v>R11Unit of Property</v>
      </c>
    </row>
    <row r="1301" spans="1:45" s="125" customFormat="1" ht="25.5" customHeight="1">
      <c r="A1301" s="216" t="s">
        <v>1996</v>
      </c>
      <c r="B1301" s="217" t="str">
        <f t="shared" si="533"/>
        <v>Def Tax282250Mixed Use 263(a)BT010390</v>
      </c>
      <c r="C1301" s="186">
        <v>282250</v>
      </c>
      <c r="D1301" s="201" t="s">
        <v>2675</v>
      </c>
      <c r="E1301" s="162" t="s">
        <v>2235</v>
      </c>
      <c r="F1301" s="169" t="s">
        <v>298</v>
      </c>
      <c r="G1301" s="117" t="s">
        <v>2234</v>
      </c>
      <c r="H1301" s="118" t="s">
        <v>2675</v>
      </c>
      <c r="I1301" s="119"/>
      <c r="J1301" s="120" t="s">
        <v>105</v>
      </c>
      <c r="K1301" s="120" t="str">
        <f t="shared" si="534"/>
        <v/>
      </c>
      <c r="L1301" s="170" t="s">
        <v>2821</v>
      </c>
      <c r="M1301" s="122" t="str">
        <f t="shared" si="535"/>
        <v>N</v>
      </c>
      <c r="N1301" s="116" t="str">
        <f>IF($L1301&lt;&gt;"",VLOOKUP($L1301,Categories!$E:$G,2,FALSE),IF($F1301&lt;&gt;"","NO CAT",""))</f>
        <v>Not in Rate Base</v>
      </c>
      <c r="O1301" s="116" t="str">
        <f>IF($L1301&lt;&gt;"",VLOOKUP($L1301,Categories!$E:$G,3,FALSE),IF($F1301&lt;&gt;"","NO CAT",""))</f>
        <v>Deferrals Accruing Non-Cash Return   (other than ASGA)</v>
      </c>
      <c r="P1301" s="170" t="s">
        <v>1186</v>
      </c>
      <c r="Q1301" s="123" t="s">
        <v>1187</v>
      </c>
      <c r="R1301" s="124">
        <v>0</v>
      </c>
      <c r="S1301" s="124">
        <v>0</v>
      </c>
      <c r="T1301" s="124">
        <v>1</v>
      </c>
      <c r="U1301" s="121">
        <f t="shared" si="536"/>
        <v>0</v>
      </c>
      <c r="V1301" s="121">
        <f t="shared" si="537"/>
        <v>0</v>
      </c>
      <c r="W1301" s="121">
        <f t="shared" si="538"/>
        <v>-88.689653333333297</v>
      </c>
      <c r="X1301" s="121">
        <f t="shared" si="519"/>
        <v>-88.689653333333297</v>
      </c>
      <c r="Y1301" s="121">
        <f t="shared" si="539"/>
        <v>0</v>
      </c>
      <c r="Z1301" s="121">
        <f t="shared" si="540"/>
        <v>0</v>
      </c>
      <c r="AA1301" s="121">
        <f t="shared" si="541"/>
        <v>-660.13188000000002</v>
      </c>
      <c r="AB1301" s="121">
        <f t="shared" si="523"/>
        <v>-660.13187999999991</v>
      </c>
      <c r="AC1301" s="121">
        <v>89.726179999999999</v>
      </c>
      <c r="AD1301" s="121">
        <v>89.726179999999999</v>
      </c>
      <c r="AE1301" s="121">
        <v>89.726179999999999</v>
      </c>
      <c r="AF1301" s="121">
        <v>89.726179999999999</v>
      </c>
      <c r="AG1301" s="121">
        <v>89.726179999999999</v>
      </c>
      <c r="AH1301" s="121">
        <v>89.726179999999999</v>
      </c>
      <c r="AI1301" s="161">
        <v>89.726179999999999</v>
      </c>
      <c r="AJ1301" s="161">
        <v>89.726179999999999</v>
      </c>
      <c r="AK1301" s="161">
        <v>89.726179999999999</v>
      </c>
      <c r="AL1301" s="161">
        <v>-273.32132000000001</v>
      </c>
      <c r="AM1301" s="161">
        <v>-595.6634499999999</v>
      </c>
      <c r="AN1301" s="161">
        <v>-627.89765999999986</v>
      </c>
      <c r="AO1301" s="161">
        <v>-660.13187999999991</v>
      </c>
      <c r="AP1301" s="125" t="str">
        <f>CONCATENATE(A1301,M1301)</f>
        <v>Def TaxN</v>
      </c>
      <c r="AQ1301" s="125" t="str">
        <f>CONCATENATE(AP1301,L1301,H1301)</f>
        <v>Def TaxNN10Mixed Use 263(a)</v>
      </c>
      <c r="AS1301" s="125" t="str">
        <f>CONCATENATE(L1301,H1301,J1301)</f>
        <v>N10Mixed Use 263(a)NCR</v>
      </c>
    </row>
    <row r="1302" spans="1:45" s="125" customFormat="1" ht="25.5" customHeight="1">
      <c r="A1302" s="216" t="s">
        <v>1996</v>
      </c>
      <c r="B1302" s="217" t="str">
        <f t="shared" si="533"/>
        <v>Def Tax282250Repr AllowBT010181</v>
      </c>
      <c r="C1302" s="186">
        <v>282250</v>
      </c>
      <c r="D1302" s="201" t="s">
        <v>2284</v>
      </c>
      <c r="E1302" s="162" t="s">
        <v>288</v>
      </c>
      <c r="F1302" s="169" t="s">
        <v>298</v>
      </c>
      <c r="G1302" s="117" t="s">
        <v>1391</v>
      </c>
      <c r="H1302" s="118" t="s">
        <v>970</v>
      </c>
      <c r="I1302" s="119"/>
      <c r="J1302" s="120"/>
      <c r="K1302" s="120" t="str">
        <f t="shared" si="534"/>
        <v/>
      </c>
      <c r="L1302" s="170" t="s">
        <v>1895</v>
      </c>
      <c r="M1302" s="122" t="str">
        <f t="shared" si="535"/>
        <v>R</v>
      </c>
      <c r="N1302" s="116" t="str">
        <f>IF($L1302&lt;&gt;"",VLOOKUP($L1302,Categories!$E:$G,2,FALSE),IF($F1302&lt;&gt;"","NO CAT",""))</f>
        <v>Rate Base</v>
      </c>
      <c r="O1302" s="116" t="str">
        <f>IF($L1302&lt;&gt;"",VLOOKUP($L1302,Categories!$E:$G,3,FALSE),IF($F1302&lt;&gt;"","NO CAT",""))</f>
        <v>Deferred Income Taxes</v>
      </c>
      <c r="P1302" s="170" t="s">
        <v>1184</v>
      </c>
      <c r="Q1302" s="123" t="s">
        <v>1178</v>
      </c>
      <c r="R1302" s="124">
        <v>0</v>
      </c>
      <c r="S1302" s="124">
        <v>1</v>
      </c>
      <c r="T1302" s="124">
        <v>0</v>
      </c>
      <c r="U1302" s="121">
        <f t="shared" si="536"/>
        <v>0</v>
      </c>
      <c r="V1302" s="121">
        <f t="shared" si="537"/>
        <v>-96.397310000000004</v>
      </c>
      <c r="W1302" s="121">
        <f t="shared" si="538"/>
        <v>0</v>
      </c>
      <c r="X1302" s="121">
        <f t="shared" si="519"/>
        <v>-96.397310000000004</v>
      </c>
      <c r="Y1302" s="121">
        <f t="shared" si="539"/>
        <v>0</v>
      </c>
      <c r="Z1302" s="121">
        <f t="shared" si="540"/>
        <v>-96.397310000000004</v>
      </c>
      <c r="AA1302" s="121">
        <f t="shared" si="541"/>
        <v>0</v>
      </c>
      <c r="AB1302" s="121">
        <f t="shared" si="523"/>
        <v>-96.397310000000019</v>
      </c>
      <c r="AC1302" s="121">
        <v>-96.397310000000019</v>
      </c>
      <c r="AD1302" s="121">
        <v>-96.397310000000019</v>
      </c>
      <c r="AE1302" s="121">
        <v>-96.397310000000019</v>
      </c>
      <c r="AF1302" s="121">
        <v>-96.397310000000019</v>
      </c>
      <c r="AG1302" s="121">
        <v>-96.397310000000019</v>
      </c>
      <c r="AH1302" s="121">
        <v>-96.397310000000019</v>
      </c>
      <c r="AI1302" s="161">
        <v>-96.397310000000019</v>
      </c>
      <c r="AJ1302" s="161">
        <v>-96.397310000000019</v>
      </c>
      <c r="AK1302" s="161">
        <v>-96.397310000000019</v>
      </c>
      <c r="AL1302" s="161">
        <v>-96.397310000000019</v>
      </c>
      <c r="AM1302" s="161">
        <v>-96.397310000000019</v>
      </c>
      <c r="AN1302" s="161">
        <v>-96.397310000000019</v>
      </c>
      <c r="AO1302" s="161">
        <v>-96.397310000000019</v>
      </c>
      <c r="AP1302" s="125" t="str">
        <f>CONCATENATE(A1302,M1302)</f>
        <v>Def TaxR</v>
      </c>
      <c r="AQ1302" s="125" t="str">
        <f>CONCATENATE(AP1302,L1302,H1302)</f>
        <v>Def TaxRR11Repair Allowance</v>
      </c>
      <c r="AS1302" s="125" t="str">
        <f>CONCATENATE(L1302,H1302,J1302)</f>
        <v>R11Repair Allowance</v>
      </c>
    </row>
    <row r="1303" spans="1:45" s="125" customFormat="1" ht="25.5" customHeight="1">
      <c r="A1303" s="216" t="s">
        <v>1996</v>
      </c>
      <c r="B1303" s="217" t="str">
        <f t="shared" si="533"/>
        <v>Def Tax2822500BT010354</v>
      </c>
      <c r="C1303" s="186">
        <v>282250</v>
      </c>
      <c r="D1303" s="201">
        <v>0</v>
      </c>
      <c r="E1303" s="162" t="s">
        <v>651</v>
      </c>
      <c r="F1303" s="169" t="s">
        <v>298</v>
      </c>
      <c r="G1303" s="117" t="s">
        <v>1629</v>
      </c>
      <c r="H1303" s="118" t="s">
        <v>649</v>
      </c>
      <c r="I1303" s="119"/>
      <c r="J1303" s="120"/>
      <c r="K1303" s="120" t="str">
        <f t="shared" si="534"/>
        <v/>
      </c>
      <c r="L1303" s="170" t="s">
        <v>1895</v>
      </c>
      <c r="M1303" s="122" t="str">
        <f t="shared" si="535"/>
        <v>R</v>
      </c>
      <c r="N1303" s="116" t="str">
        <f>IF($L1303&lt;&gt;"",VLOOKUP($L1303,Categories!$E:$G,2,FALSE),IF($F1303&lt;&gt;"","NO CAT",""))</f>
        <v>Rate Base</v>
      </c>
      <c r="O1303" s="116" t="str">
        <f>IF($L1303&lt;&gt;"",VLOOKUP($L1303,Categories!$E:$G,3,FALSE),IF($F1303&lt;&gt;"","NO CAT",""))</f>
        <v>Deferred Income Taxes</v>
      </c>
      <c r="P1303" s="170" t="s">
        <v>1184</v>
      </c>
      <c r="Q1303" s="123" t="s">
        <v>1178</v>
      </c>
      <c r="R1303" s="124">
        <v>0</v>
      </c>
      <c r="S1303" s="124">
        <v>1</v>
      </c>
      <c r="T1303" s="124">
        <v>0</v>
      </c>
      <c r="U1303" s="121">
        <f t="shared" si="536"/>
        <v>0</v>
      </c>
      <c r="V1303" s="121">
        <f t="shared" si="537"/>
        <v>-528.48332541666696</v>
      </c>
      <c r="W1303" s="121">
        <f t="shared" si="538"/>
        <v>0</v>
      </c>
      <c r="X1303" s="121">
        <f t="shared" si="519"/>
        <v>-528.48332541666696</v>
      </c>
      <c r="Y1303" s="121">
        <f t="shared" si="539"/>
        <v>0</v>
      </c>
      <c r="Z1303" s="121">
        <f t="shared" si="540"/>
        <v>-393.72102999999998</v>
      </c>
      <c r="AA1303" s="121">
        <f t="shared" si="541"/>
        <v>0</v>
      </c>
      <c r="AB1303" s="121">
        <f t="shared" si="523"/>
        <v>-393.72103000000044</v>
      </c>
      <c r="AC1303" s="121">
        <v>-802.99092000000019</v>
      </c>
      <c r="AD1303" s="121">
        <v>-760.15759000000025</v>
      </c>
      <c r="AE1303" s="121">
        <v>-717.32426000000021</v>
      </c>
      <c r="AF1303" s="121">
        <v>-674.49093000000028</v>
      </c>
      <c r="AG1303" s="121">
        <v>-631.65760000000034</v>
      </c>
      <c r="AH1303" s="121">
        <v>-588.82426999999996</v>
      </c>
      <c r="AI1303" s="161">
        <v>-545.99094000000036</v>
      </c>
      <c r="AJ1303" s="161">
        <v>-503.15761000000037</v>
      </c>
      <c r="AK1303" s="161">
        <v>-460.32428000000039</v>
      </c>
      <c r="AL1303" s="161">
        <v>-60.903670000000389</v>
      </c>
      <c r="AM1303" s="161">
        <v>-402.50150000000042</v>
      </c>
      <c r="AN1303" s="161">
        <v>-398.11128000000042</v>
      </c>
      <c r="AO1303" s="161">
        <v>-393.72103000000044</v>
      </c>
      <c r="AP1303" s="125" t="str">
        <f>CONCATENATE(A1303,M1303)</f>
        <v>Def TaxR</v>
      </c>
      <c r="AQ1303" s="125" t="str">
        <f>CONCATENATE(AP1303,L1303,H1303)</f>
        <v>Def TaxRR11Unit of Property</v>
      </c>
      <c r="AS1303" s="125" t="str">
        <f>CONCATENATE(L1303,H1303,J1303)</f>
        <v>R11Unit of Property</v>
      </c>
    </row>
    <row r="1304" spans="1:45" s="125" customFormat="1" ht="25.5" customHeight="1">
      <c r="A1304" s="216" t="s">
        <v>1996</v>
      </c>
      <c r="B1304" s="217" t="str">
        <f t="shared" si="504"/>
        <v>Def Tax282250Multiple: 286.01.02/282.11.10/IBO Costs/NIRP Costs/WM CostsBT010020</v>
      </c>
      <c r="C1304" s="186">
        <v>282250</v>
      </c>
      <c r="D1304" s="201" t="s">
        <v>1369</v>
      </c>
      <c r="E1304" s="162" t="s">
        <v>96</v>
      </c>
      <c r="F1304" s="169" t="s">
        <v>298</v>
      </c>
      <c r="G1304" s="117" t="s">
        <v>1357</v>
      </c>
      <c r="H1304" s="118" t="s">
        <v>1364</v>
      </c>
      <c r="I1304" s="119"/>
      <c r="J1304" s="120"/>
      <c r="K1304" s="120" t="str">
        <f t="shared" ref="K1304:K1309" si="542">IF(L1304="N3","SFAS-109","")</f>
        <v/>
      </c>
      <c r="L1304" s="170" t="s">
        <v>1895</v>
      </c>
      <c r="M1304" s="122" t="str">
        <f t="shared" si="505"/>
        <v>R</v>
      </c>
      <c r="N1304" s="116" t="str">
        <f>IF($L1304&lt;&gt;"",VLOOKUP($L1304,Categories!$E:$G,2,FALSE),IF($F1304&lt;&gt;"","NO CAT",""))</f>
        <v>Rate Base</v>
      </c>
      <c r="O1304" s="116" t="str">
        <f>IF($L1304&lt;&gt;"",VLOOKUP($L1304,Categories!$E:$G,3,FALSE),IF($F1304&lt;&gt;"","NO CAT",""))</f>
        <v>Deferred Income Taxes</v>
      </c>
      <c r="P1304" s="170" t="s">
        <v>1184</v>
      </c>
      <c r="Q1304" s="123" t="s">
        <v>1178</v>
      </c>
      <c r="R1304" s="124">
        <v>0</v>
      </c>
      <c r="S1304" s="124">
        <v>1</v>
      </c>
      <c r="T1304" s="124">
        <v>0</v>
      </c>
      <c r="U1304" s="121">
        <f t="shared" si="516"/>
        <v>0</v>
      </c>
      <c r="V1304" s="121">
        <f t="shared" si="517"/>
        <v>13240.742173750001</v>
      </c>
      <c r="W1304" s="121">
        <f t="shared" si="518"/>
        <v>0</v>
      </c>
      <c r="X1304" s="121">
        <f t="shared" si="519"/>
        <v>13240.742173750001</v>
      </c>
      <c r="Y1304" s="121">
        <f t="shared" si="520"/>
        <v>0</v>
      </c>
      <c r="Z1304" s="121">
        <f t="shared" si="521"/>
        <v>14148.523020000001</v>
      </c>
      <c r="AA1304" s="121">
        <f t="shared" si="522"/>
        <v>0</v>
      </c>
      <c r="AB1304" s="121">
        <f t="shared" si="523"/>
        <v>14148.523020000004</v>
      </c>
      <c r="AC1304" s="121">
        <v>12344.330030000005</v>
      </c>
      <c r="AD1304" s="121">
        <v>12489.471200000005</v>
      </c>
      <c r="AE1304" s="121">
        <v>12649.817370000004</v>
      </c>
      <c r="AF1304" s="121">
        <v>12797.724950000005</v>
      </c>
      <c r="AG1304" s="121">
        <v>12944.106270000006</v>
      </c>
      <c r="AH1304" s="121">
        <v>13090.834540000005</v>
      </c>
      <c r="AI1304" s="161">
        <v>13238.990210000005</v>
      </c>
      <c r="AJ1304" s="161">
        <v>13387.530710000005</v>
      </c>
      <c r="AK1304" s="161">
        <v>13537.739000000003</v>
      </c>
      <c r="AL1304" s="161">
        <v>13686.649270000004</v>
      </c>
      <c r="AM1304" s="161">
        <v>13835.536270000004</v>
      </c>
      <c r="AN1304" s="161">
        <v>13984.079770000004</v>
      </c>
      <c r="AO1304" s="161">
        <v>14148.523020000004</v>
      </c>
      <c r="AP1304" s="125" t="str">
        <f>CONCATENATE(A1304,M1304)</f>
        <v>Def TaxR</v>
      </c>
      <c r="AQ1304" s="125" t="str">
        <f>CONCATENATE(AP1304,L1304,H1304)</f>
        <v>Def TaxRR11Accelerated Depreciation</v>
      </c>
      <c r="AS1304" s="125" t="str">
        <f>CONCATENATE(L1304,H1304,J1304)</f>
        <v>R11Accelerated Depreciation</v>
      </c>
    </row>
    <row r="1305" spans="1:45" s="125" customFormat="1" ht="25.5" customHeight="1">
      <c r="A1305" s="216" t="s">
        <v>1996</v>
      </c>
      <c r="B1305" s="217" t="str">
        <f t="shared" si="504"/>
        <v>Def Tax2822500BT010190</v>
      </c>
      <c r="C1305" s="186">
        <v>282250</v>
      </c>
      <c r="D1305" s="201">
        <v>0</v>
      </c>
      <c r="E1305" s="162" t="s">
        <v>98</v>
      </c>
      <c r="F1305" s="169" t="s">
        <v>298</v>
      </c>
      <c r="G1305" s="117" t="s">
        <v>1320</v>
      </c>
      <c r="H1305" s="118" t="s">
        <v>1364</v>
      </c>
      <c r="I1305" s="119"/>
      <c r="J1305" s="120"/>
      <c r="K1305" s="120" t="str">
        <f t="shared" si="542"/>
        <v/>
      </c>
      <c r="L1305" s="170" t="s">
        <v>1895</v>
      </c>
      <c r="M1305" s="122" t="str">
        <f t="shared" si="505"/>
        <v>R</v>
      </c>
      <c r="N1305" s="116" t="str">
        <f>IF($L1305&lt;&gt;"",VLOOKUP($L1305,Categories!$E:$G,2,FALSE),IF($F1305&lt;&gt;"","NO CAT",""))</f>
        <v>Rate Base</v>
      </c>
      <c r="O1305" s="116" t="str">
        <f>IF($L1305&lt;&gt;"",VLOOKUP($L1305,Categories!$E:$G,3,FALSE),IF($F1305&lt;&gt;"","NO CAT",""))</f>
        <v>Deferred Income Taxes</v>
      </c>
      <c r="P1305" s="170" t="s">
        <v>1184</v>
      </c>
      <c r="Q1305" s="123" t="s">
        <v>1178</v>
      </c>
      <c r="R1305" s="124">
        <v>0</v>
      </c>
      <c r="S1305" s="124">
        <v>1</v>
      </c>
      <c r="T1305" s="124">
        <v>0</v>
      </c>
      <c r="U1305" s="121">
        <f t="shared" si="516"/>
        <v>0</v>
      </c>
      <c r="V1305" s="121">
        <f t="shared" si="517"/>
        <v>178.63499999999999</v>
      </c>
      <c r="W1305" s="121">
        <f t="shared" si="518"/>
        <v>0</v>
      </c>
      <c r="X1305" s="121">
        <f t="shared" si="519"/>
        <v>178.63499999999999</v>
      </c>
      <c r="Y1305" s="121">
        <f t="shared" si="520"/>
        <v>0</v>
      </c>
      <c r="Z1305" s="121">
        <f t="shared" si="521"/>
        <v>195.13499999999999</v>
      </c>
      <c r="AA1305" s="121">
        <f t="shared" si="522"/>
        <v>0</v>
      </c>
      <c r="AB1305" s="121">
        <f t="shared" si="523"/>
        <v>195.13499999999999</v>
      </c>
      <c r="AC1305" s="121">
        <v>162.13499999999999</v>
      </c>
      <c r="AD1305" s="121">
        <v>164.88499999999999</v>
      </c>
      <c r="AE1305" s="121">
        <v>167.63499999999999</v>
      </c>
      <c r="AF1305" s="121">
        <v>170.38499999999999</v>
      </c>
      <c r="AG1305" s="121">
        <v>173.13499999999999</v>
      </c>
      <c r="AH1305" s="121">
        <v>175.88499999999999</v>
      </c>
      <c r="AI1305" s="161">
        <v>178.63499999999999</v>
      </c>
      <c r="AJ1305" s="161">
        <v>181.38499999999999</v>
      </c>
      <c r="AK1305" s="161">
        <v>184.13499999999999</v>
      </c>
      <c r="AL1305" s="161">
        <v>186.88499999999999</v>
      </c>
      <c r="AM1305" s="161">
        <v>189.63499999999999</v>
      </c>
      <c r="AN1305" s="161">
        <v>192.38499999999999</v>
      </c>
      <c r="AO1305" s="161">
        <v>195.13499999999999</v>
      </c>
      <c r="AP1305" s="125" t="str">
        <f>CONCATENATE(A1305,M1305)</f>
        <v>Def TaxR</v>
      </c>
      <c r="AQ1305" s="125" t="str">
        <f>CONCATENATE(AP1305,L1305,H1305)</f>
        <v>Def TaxRR11Accelerated Depreciation</v>
      </c>
      <c r="AS1305" s="125" t="str">
        <f>CONCATENATE(L1305,H1305,J1305)</f>
        <v>R11Accelerated Depreciation</v>
      </c>
    </row>
    <row r="1306" spans="1:45" s="125" customFormat="1" ht="25.5" customHeight="1">
      <c r="A1306" s="216" t="s">
        <v>1996</v>
      </c>
      <c r="B1306" s="217" t="str">
        <f t="shared" si="504"/>
        <v>Def Tax282250Multiple: 286.01.02/282.11.10/IBO Costs/NIRP Costs/WM CostsBT010197</v>
      </c>
      <c r="C1306" s="186">
        <v>282250</v>
      </c>
      <c r="D1306" s="201" t="s">
        <v>1369</v>
      </c>
      <c r="E1306" s="162" t="s">
        <v>1321</v>
      </c>
      <c r="F1306" s="169" t="s">
        <v>298</v>
      </c>
      <c r="G1306" s="117" t="s">
        <v>1358</v>
      </c>
      <c r="H1306" s="118" t="s">
        <v>1364</v>
      </c>
      <c r="I1306" s="119"/>
      <c r="J1306" s="120"/>
      <c r="K1306" s="120" t="str">
        <f t="shared" si="542"/>
        <v/>
      </c>
      <c r="L1306" s="170" t="s">
        <v>1895</v>
      </c>
      <c r="M1306" s="122" t="str">
        <f t="shared" si="505"/>
        <v>R</v>
      </c>
      <c r="N1306" s="116" t="str">
        <f>IF($L1306&lt;&gt;"",VLOOKUP($L1306,Categories!$E:$G,2,FALSE),IF($F1306&lt;&gt;"","NO CAT",""))</f>
        <v>Rate Base</v>
      </c>
      <c r="O1306" s="116" t="str">
        <f>IF($L1306&lt;&gt;"",VLOOKUP($L1306,Categories!$E:$G,3,FALSE),IF($F1306&lt;&gt;"","NO CAT",""))</f>
        <v>Deferred Income Taxes</v>
      </c>
      <c r="P1306" s="170" t="s">
        <v>1184</v>
      </c>
      <c r="Q1306" s="123" t="s">
        <v>1178</v>
      </c>
      <c r="R1306" s="124">
        <v>0</v>
      </c>
      <c r="S1306" s="124">
        <v>1</v>
      </c>
      <c r="T1306" s="124">
        <v>0</v>
      </c>
      <c r="U1306" s="121">
        <f t="shared" si="516"/>
        <v>0</v>
      </c>
      <c r="V1306" s="121">
        <f t="shared" si="517"/>
        <v>-11953.875771666701</v>
      </c>
      <c r="W1306" s="121">
        <f t="shared" si="518"/>
        <v>0</v>
      </c>
      <c r="X1306" s="121">
        <f t="shared" si="519"/>
        <v>-11953.875771666701</v>
      </c>
      <c r="Y1306" s="121">
        <f t="shared" si="520"/>
        <v>0</v>
      </c>
      <c r="Z1306" s="121">
        <f t="shared" si="521"/>
        <v>-12650.651099999999</v>
      </c>
      <c r="AA1306" s="121">
        <f t="shared" si="522"/>
        <v>0</v>
      </c>
      <c r="AB1306" s="121">
        <f t="shared" si="523"/>
        <v>-12650.65110000001</v>
      </c>
      <c r="AC1306" s="121">
        <v>-11261.853260000007</v>
      </c>
      <c r="AD1306" s="121">
        <v>-11354.158830000008</v>
      </c>
      <c r="AE1306" s="121">
        <v>-11446.464390000008</v>
      </c>
      <c r="AF1306" s="121">
        <v>-11538.769960000009</v>
      </c>
      <c r="AG1306" s="121">
        <v>-11743.681530000009</v>
      </c>
      <c r="AH1306" s="121">
        <v>-11864.138600000009</v>
      </c>
      <c r="AI1306" s="161">
        <v>-11984.59567000001</v>
      </c>
      <c r="AJ1306" s="161">
        <v>-12105.05273000001</v>
      </c>
      <c r="AK1306" s="161">
        <v>-12220.20847000001</v>
      </c>
      <c r="AL1306" s="161">
        <v>-12291.26790000001</v>
      </c>
      <c r="AM1306" s="161">
        <v>-12411.062300000011</v>
      </c>
      <c r="AN1306" s="161">
        <v>-12530.856700000011</v>
      </c>
      <c r="AO1306" s="161">
        <v>-12650.65110000001</v>
      </c>
      <c r="AP1306" s="125" t="str">
        <f>CONCATENATE(A1306,M1306)</f>
        <v>Def TaxR</v>
      </c>
      <c r="AQ1306" s="125" t="str">
        <f>CONCATENATE(AP1306,L1306,H1306)</f>
        <v>Def TaxRR11Accelerated Depreciation</v>
      </c>
      <c r="AS1306" s="125" t="str">
        <f>CONCATENATE(L1306,H1306,J1306)</f>
        <v>R11Accelerated Depreciation</v>
      </c>
    </row>
    <row r="1307" spans="1:45" s="125" customFormat="1" ht="25.5" customHeight="1">
      <c r="A1307" s="216" t="s">
        <v>1996</v>
      </c>
      <c r="B1307" s="217" t="str">
        <f t="shared" si="504"/>
        <v>Def Tax282250Multiple: 286.01.02/282.11.10/IBO Costs/NIRP Costs/WM CostsBT010198</v>
      </c>
      <c r="C1307" s="186">
        <v>282250</v>
      </c>
      <c r="D1307" s="201" t="s">
        <v>1369</v>
      </c>
      <c r="E1307" s="162" t="s">
        <v>1322</v>
      </c>
      <c r="F1307" s="169" t="s">
        <v>298</v>
      </c>
      <c r="G1307" s="117" t="s">
        <v>1359</v>
      </c>
      <c r="H1307" s="118" t="s">
        <v>1364</v>
      </c>
      <c r="I1307" s="119"/>
      <c r="J1307" s="120"/>
      <c r="K1307" s="120" t="str">
        <f t="shared" si="542"/>
        <v/>
      </c>
      <c r="L1307" s="170" t="s">
        <v>1895</v>
      </c>
      <c r="M1307" s="122" t="str">
        <f t="shared" si="505"/>
        <v>R</v>
      </c>
      <c r="N1307" s="116" t="str">
        <f>IF($L1307&lt;&gt;"",VLOOKUP($L1307,Categories!$E:$G,2,FALSE),IF($F1307&lt;&gt;"","NO CAT",""))</f>
        <v>Rate Base</v>
      </c>
      <c r="O1307" s="116" t="str">
        <f>IF($L1307&lt;&gt;"",VLOOKUP($L1307,Categories!$E:$G,3,FALSE),IF($F1307&lt;&gt;"","NO CAT",""))</f>
        <v>Deferred Income Taxes</v>
      </c>
      <c r="P1307" s="170" t="s">
        <v>1184</v>
      </c>
      <c r="Q1307" s="123" t="s">
        <v>1178</v>
      </c>
      <c r="R1307" s="124">
        <v>0</v>
      </c>
      <c r="S1307" s="124">
        <v>1</v>
      </c>
      <c r="T1307" s="124">
        <v>0</v>
      </c>
      <c r="U1307" s="121">
        <f t="shared" si="516"/>
        <v>0</v>
      </c>
      <c r="V1307" s="121">
        <f t="shared" si="517"/>
        <v>-6735.3748041666504</v>
      </c>
      <c r="W1307" s="121">
        <f t="shared" si="518"/>
        <v>0</v>
      </c>
      <c r="X1307" s="121">
        <f t="shared" si="519"/>
        <v>-6735.3748041666504</v>
      </c>
      <c r="Y1307" s="121">
        <f t="shared" si="520"/>
        <v>0</v>
      </c>
      <c r="Z1307" s="121">
        <f t="shared" si="521"/>
        <v>-7194.0737099999897</v>
      </c>
      <c r="AA1307" s="121">
        <f t="shared" si="522"/>
        <v>0</v>
      </c>
      <c r="AB1307" s="121">
        <f t="shared" si="523"/>
        <v>-7194.0737099999869</v>
      </c>
      <c r="AC1307" s="121">
        <v>-6238.3366699999906</v>
      </c>
      <c r="AD1307" s="121">
        <v>-6325.6492699999899</v>
      </c>
      <c r="AE1307" s="121">
        <v>-6412.9618699999901</v>
      </c>
      <c r="AF1307" s="121">
        <v>-6500.2744699999894</v>
      </c>
      <c r="AG1307" s="121">
        <v>-6587.5870699999887</v>
      </c>
      <c r="AH1307" s="121">
        <v>-6674.8996699999889</v>
      </c>
      <c r="AI1307" s="161">
        <v>-6762.2122599999884</v>
      </c>
      <c r="AJ1307" s="161">
        <v>-6849.5248599999886</v>
      </c>
      <c r="AK1307" s="161">
        <v>-6936.8374599999879</v>
      </c>
      <c r="AL1307" s="161">
        <v>-6932.1359099999881</v>
      </c>
      <c r="AM1307" s="161">
        <v>-7019.4485099999874</v>
      </c>
      <c r="AN1307" s="161">
        <v>-7106.7611099999876</v>
      </c>
      <c r="AO1307" s="161">
        <v>-7194.0737099999869</v>
      </c>
      <c r="AP1307" s="125" t="str">
        <f>CONCATENATE(A1307,M1307)</f>
        <v>Def TaxR</v>
      </c>
      <c r="AQ1307" s="125" t="str">
        <f>CONCATENATE(AP1307,L1307,H1307)</f>
        <v>Def TaxRR11Accelerated Depreciation</v>
      </c>
      <c r="AS1307" s="125" t="str">
        <f>CONCATENATE(L1307,H1307,J1307)</f>
        <v>R11Accelerated Depreciation</v>
      </c>
    </row>
    <row r="1308" spans="1:45" s="125" customFormat="1" ht="25.5" customHeight="1">
      <c r="A1308" s="216" t="s">
        <v>1996</v>
      </c>
      <c r="B1308" s="217" t="str">
        <f t="shared" si="504"/>
        <v>Def Tax282250Multiple: 286.01.02/282.11.10/IBO Costs/NIRP Costs/WM CostsBT010229</v>
      </c>
      <c r="C1308" s="186">
        <v>282250</v>
      </c>
      <c r="D1308" s="201" t="s">
        <v>1369</v>
      </c>
      <c r="E1308" s="162" t="s">
        <v>1323</v>
      </c>
      <c r="F1308" s="169" t="s">
        <v>298</v>
      </c>
      <c r="G1308" s="117" t="s">
        <v>1360</v>
      </c>
      <c r="H1308" s="118" t="s">
        <v>1364</v>
      </c>
      <c r="I1308" s="119"/>
      <c r="J1308" s="120"/>
      <c r="K1308" s="120" t="str">
        <f t="shared" si="542"/>
        <v/>
      </c>
      <c r="L1308" s="170" t="s">
        <v>1895</v>
      </c>
      <c r="M1308" s="122" t="str">
        <f t="shared" si="505"/>
        <v>R</v>
      </c>
      <c r="N1308" s="116" t="str">
        <f>IF($L1308&lt;&gt;"",VLOOKUP($L1308,Categories!$E:$G,2,FALSE),IF($F1308&lt;&gt;"","NO CAT",""))</f>
        <v>Rate Base</v>
      </c>
      <c r="O1308" s="116" t="str">
        <f>IF($L1308&lt;&gt;"",VLOOKUP($L1308,Categories!$E:$G,3,FALSE),IF($F1308&lt;&gt;"","NO CAT",""))</f>
        <v>Deferred Income Taxes</v>
      </c>
      <c r="P1308" s="170" t="s">
        <v>1184</v>
      </c>
      <c r="Q1308" s="123" t="s">
        <v>1178</v>
      </c>
      <c r="R1308" s="124">
        <v>0</v>
      </c>
      <c r="S1308" s="124">
        <v>1</v>
      </c>
      <c r="T1308" s="124">
        <v>0</v>
      </c>
      <c r="U1308" s="121">
        <f t="shared" si="516"/>
        <v>0</v>
      </c>
      <c r="V1308" s="121">
        <f t="shared" si="517"/>
        <v>-4003.337</v>
      </c>
      <c r="W1308" s="121">
        <f t="shared" si="518"/>
        <v>0</v>
      </c>
      <c r="X1308" s="121">
        <f t="shared" si="519"/>
        <v>-4003.337</v>
      </c>
      <c r="Y1308" s="121">
        <f t="shared" si="520"/>
        <v>0</v>
      </c>
      <c r="Z1308" s="121">
        <f t="shared" si="521"/>
        <v>-4003.337</v>
      </c>
      <c r="AA1308" s="121">
        <f t="shared" si="522"/>
        <v>0</v>
      </c>
      <c r="AB1308" s="121">
        <f t="shared" si="523"/>
        <v>-4003.337</v>
      </c>
      <c r="AC1308" s="121">
        <v>-4003.337</v>
      </c>
      <c r="AD1308" s="121">
        <v>-4003.337</v>
      </c>
      <c r="AE1308" s="121">
        <v>-4003.337</v>
      </c>
      <c r="AF1308" s="121">
        <v>-4003.337</v>
      </c>
      <c r="AG1308" s="121">
        <v>-4003.337</v>
      </c>
      <c r="AH1308" s="121">
        <v>-4003.337</v>
      </c>
      <c r="AI1308" s="161">
        <v>-4003.337</v>
      </c>
      <c r="AJ1308" s="161">
        <v>-4003.337</v>
      </c>
      <c r="AK1308" s="161">
        <v>-4003.337</v>
      </c>
      <c r="AL1308" s="161">
        <v>-4003.337</v>
      </c>
      <c r="AM1308" s="161">
        <v>-4003.337</v>
      </c>
      <c r="AN1308" s="161">
        <v>-4003.337</v>
      </c>
      <c r="AO1308" s="161">
        <v>-4003.337</v>
      </c>
      <c r="AP1308" s="125" t="str">
        <f>CONCATENATE(A1308,M1308)</f>
        <v>Def TaxR</v>
      </c>
      <c r="AQ1308" s="125" t="str">
        <f>CONCATENATE(AP1308,L1308,H1308)</f>
        <v>Def TaxRR11Accelerated Depreciation</v>
      </c>
      <c r="AS1308" s="125" t="str">
        <f>CONCATENATE(L1308,H1308,J1308)</f>
        <v>R11Accelerated Depreciation</v>
      </c>
    </row>
    <row r="1309" spans="1:45" s="125" customFormat="1" ht="25.5" customHeight="1">
      <c r="A1309" s="216" t="s">
        <v>1996</v>
      </c>
      <c r="B1309" s="217" t="str">
        <f t="shared" si="504"/>
        <v>Def Tax282270BT010389</v>
      </c>
      <c r="C1309" s="186">
        <v>282270</v>
      </c>
      <c r="D1309" s="201"/>
      <c r="E1309" s="162" t="s">
        <v>1666</v>
      </c>
      <c r="F1309" s="169" t="s">
        <v>1091</v>
      </c>
      <c r="G1309" s="117" t="s">
        <v>1454</v>
      </c>
      <c r="H1309" s="118" t="s">
        <v>1722</v>
      </c>
      <c r="I1309" s="119"/>
      <c r="J1309" s="120"/>
      <c r="K1309" s="120" t="str">
        <f t="shared" si="542"/>
        <v/>
      </c>
      <c r="L1309" s="170" t="s">
        <v>1895</v>
      </c>
      <c r="M1309" s="122" t="str">
        <f t="shared" si="505"/>
        <v>R</v>
      </c>
      <c r="N1309" s="116" t="str">
        <f>IF($L1309&lt;&gt;"",VLOOKUP($L1309,Categories!$E:$G,2,FALSE),IF($F1309&lt;&gt;"","NO CAT",""))</f>
        <v>Rate Base</v>
      </c>
      <c r="O1309" s="116" t="str">
        <f>IF($L1309&lt;&gt;"",VLOOKUP($L1309,Categories!$E:$G,3,FALSE),IF($F1309&lt;&gt;"","NO CAT",""))</f>
        <v>Deferred Income Taxes</v>
      </c>
      <c r="P1309" s="170" t="s">
        <v>1184</v>
      </c>
      <c r="Q1309" s="123" t="s">
        <v>1178</v>
      </c>
      <c r="R1309" s="124">
        <v>0</v>
      </c>
      <c r="S1309" s="124">
        <v>1</v>
      </c>
      <c r="T1309" s="124">
        <v>0</v>
      </c>
      <c r="U1309" s="121">
        <f t="shared" si="516"/>
        <v>0</v>
      </c>
      <c r="V1309" s="121">
        <f t="shared" si="517"/>
        <v>3.7378999999999998</v>
      </c>
      <c r="W1309" s="121">
        <f t="shared" si="518"/>
        <v>0</v>
      </c>
      <c r="X1309" s="121">
        <f t="shared" si="519"/>
        <v>3.7378999999999998</v>
      </c>
      <c r="Y1309" s="121">
        <f t="shared" si="520"/>
        <v>0</v>
      </c>
      <c r="Z1309" s="121">
        <f t="shared" si="521"/>
        <v>3.7378999999999998</v>
      </c>
      <c r="AA1309" s="121">
        <f t="shared" si="522"/>
        <v>0</v>
      </c>
      <c r="AB1309" s="121">
        <f t="shared" si="523"/>
        <v>3.7379000000000002</v>
      </c>
      <c r="AC1309" s="121">
        <v>3.7379000000000002</v>
      </c>
      <c r="AD1309" s="121">
        <v>3.7379000000000002</v>
      </c>
      <c r="AE1309" s="121">
        <v>3.7379000000000002</v>
      </c>
      <c r="AF1309" s="121">
        <v>3.7379000000000002</v>
      </c>
      <c r="AG1309" s="121">
        <v>3.7379000000000002</v>
      </c>
      <c r="AH1309" s="121">
        <v>3.7379000000000002</v>
      </c>
      <c r="AI1309" s="161">
        <v>3.7379000000000002</v>
      </c>
      <c r="AJ1309" s="161">
        <v>3.7379000000000002</v>
      </c>
      <c r="AK1309" s="161">
        <v>3.7379000000000002</v>
      </c>
      <c r="AL1309" s="161">
        <v>3.7379000000000002</v>
      </c>
      <c r="AM1309" s="161">
        <v>3.7379000000000002</v>
      </c>
      <c r="AN1309" s="161">
        <v>3.7379000000000002</v>
      </c>
      <c r="AO1309" s="161">
        <v>3.7379000000000002</v>
      </c>
      <c r="AP1309" s="125" t="str">
        <f>CONCATENATE(A1309,M1309)</f>
        <v>Def TaxR</v>
      </c>
      <c r="AQ1309" s="125" t="str">
        <f>CONCATENATE(AP1309,L1309,H1309)</f>
        <v>Def TaxRR11Seneca ADIT Offset</v>
      </c>
      <c r="AS1309" s="125" t="str">
        <f>CONCATENATE(L1309,H1309,J1309)</f>
        <v>R11Seneca ADIT Offset</v>
      </c>
    </row>
    <row r="1310" spans="1:45" s="125" customFormat="1" ht="25.5" customHeight="1">
      <c r="A1310" s="216" t="s">
        <v>1996</v>
      </c>
      <c r="B1310" s="217" t="str">
        <f t="shared" si="504"/>
        <v>Def Tax2830000-283.20.80BC030422</v>
      </c>
      <c r="C1310" s="186">
        <v>283000</v>
      </c>
      <c r="D1310" s="201" t="s">
        <v>1093</v>
      </c>
      <c r="E1310" s="162" t="s">
        <v>42</v>
      </c>
      <c r="F1310" s="169" t="s">
        <v>299</v>
      </c>
      <c r="G1310" s="117" t="s">
        <v>152</v>
      </c>
      <c r="H1310" s="118" t="s">
        <v>521</v>
      </c>
      <c r="I1310" s="119"/>
      <c r="J1310" s="120" t="s">
        <v>105</v>
      </c>
      <c r="K1310" s="120" t="str">
        <f t="shared" ref="K1310:K1325" si="543">IF(L1310="N3","SFAS-109","")</f>
        <v/>
      </c>
      <c r="L1310" s="170" t="s">
        <v>2817</v>
      </c>
      <c r="M1310" s="122" t="str">
        <f t="shared" si="505"/>
        <v>N</v>
      </c>
      <c r="N1310" s="116" t="str">
        <f>IF($L1310&lt;&gt;"",VLOOKUP($L1310,Categories!$E:$G,2,FALSE),IF($F1310&lt;&gt;"","NO CAT",""))</f>
        <v>Not in Rate Base</v>
      </c>
      <c r="O1310" s="116" t="str">
        <f>IF($L1310&lt;&gt;"",VLOOKUP($L1310,Categories!$E:$G,3,FALSE),IF($F1310&lt;&gt;"","NO CAT",""))</f>
        <v>NM-2 ASGA</v>
      </c>
      <c r="P1310" s="170" t="s">
        <v>1186</v>
      </c>
      <c r="Q1310" s="123" t="s">
        <v>1187</v>
      </c>
      <c r="R1310" s="124">
        <v>0</v>
      </c>
      <c r="S1310" s="124">
        <v>0</v>
      </c>
      <c r="T1310" s="124">
        <v>1</v>
      </c>
      <c r="U1310" s="121" t="str">
        <f t="shared" si="516"/>
        <v/>
      </c>
      <c r="V1310" s="121" t="str">
        <f t="shared" si="517"/>
        <v/>
      </c>
      <c r="W1310" s="121" t="str">
        <f t="shared" si="518"/>
        <v/>
      </c>
      <c r="X1310" s="121">
        <f t="shared" si="519"/>
        <v>0</v>
      </c>
      <c r="Y1310" s="121" t="str">
        <f t="shared" si="520"/>
        <v/>
      </c>
      <c r="Z1310" s="121" t="str">
        <f t="shared" si="521"/>
        <v/>
      </c>
      <c r="AA1310" s="121" t="str">
        <f t="shared" si="522"/>
        <v/>
      </c>
      <c r="AB1310" s="121">
        <f t="shared" si="523"/>
        <v>0</v>
      </c>
      <c r="AC1310" s="121">
        <v>0</v>
      </c>
      <c r="AD1310" s="121">
        <v>0</v>
      </c>
      <c r="AE1310" s="121">
        <v>0</v>
      </c>
      <c r="AF1310" s="121">
        <v>0</v>
      </c>
      <c r="AG1310" s="121">
        <v>0</v>
      </c>
      <c r="AH1310" s="121">
        <v>0</v>
      </c>
      <c r="AI1310" s="161">
        <v>0</v>
      </c>
      <c r="AJ1310" s="161">
        <f>IF(AI1310=0,0,0)</f>
        <v>0</v>
      </c>
      <c r="AK1310" s="161">
        <v>0</v>
      </c>
      <c r="AL1310" s="161">
        <v>0</v>
      </c>
      <c r="AM1310" s="161">
        <v>0</v>
      </c>
      <c r="AN1310" s="161">
        <v>0</v>
      </c>
      <c r="AO1310" s="161">
        <v>0</v>
      </c>
      <c r="AP1310" s="125" t="str">
        <f>CONCATENATE(A1310,M1310)</f>
        <v>Def TaxN</v>
      </c>
      <c r="AQ1310" s="125" t="str">
        <f>CONCATENATE(AP1310,L1310,H1310)</f>
        <v>Def TaxNN8ASGA</v>
      </c>
      <c r="AS1310" s="125" t="str">
        <f>CONCATENATE(L1310,H1310,J1310)</f>
        <v>N8ASGANCR</v>
      </c>
    </row>
    <row r="1311" spans="1:45" s="125" customFormat="1" ht="25.5" customHeight="1">
      <c r="A1311" s="216" t="s">
        <v>1996</v>
      </c>
      <c r="B1311" s="217" t="str">
        <f t="shared" si="504"/>
        <v>Def Tax283006ASGA RefBT010010</v>
      </c>
      <c r="C1311" s="186">
        <v>283006</v>
      </c>
      <c r="D1311" s="201" t="s">
        <v>1755</v>
      </c>
      <c r="E1311" s="162" t="s">
        <v>879</v>
      </c>
      <c r="F1311" s="169" t="s">
        <v>1136</v>
      </c>
      <c r="G1311" s="117" t="s">
        <v>1757</v>
      </c>
      <c r="H1311" s="118" t="s">
        <v>521</v>
      </c>
      <c r="I1311" s="119"/>
      <c r="J1311" s="120" t="s">
        <v>105</v>
      </c>
      <c r="K1311" s="120" t="str">
        <f t="shared" si="543"/>
        <v/>
      </c>
      <c r="L1311" s="170" t="s">
        <v>2817</v>
      </c>
      <c r="M1311" s="122" t="str">
        <f t="shared" si="505"/>
        <v>N</v>
      </c>
      <c r="N1311" s="116" t="str">
        <f>IF($L1311&lt;&gt;"",VLOOKUP($L1311,Categories!$E:$G,2,FALSE),IF($F1311&lt;&gt;"","NO CAT",""))</f>
        <v>Not in Rate Base</v>
      </c>
      <c r="O1311" s="116" t="str">
        <f>IF($L1311&lt;&gt;"",VLOOKUP($L1311,Categories!$E:$G,3,FALSE),IF($F1311&lt;&gt;"","NO CAT",""))</f>
        <v>NM-2 ASGA</v>
      </c>
      <c r="P1311" s="170" t="s">
        <v>1186</v>
      </c>
      <c r="Q1311" s="123" t="s">
        <v>1187</v>
      </c>
      <c r="R1311" s="124">
        <v>0</v>
      </c>
      <c r="S1311" s="124">
        <v>0</v>
      </c>
      <c r="T1311" s="124">
        <v>1</v>
      </c>
      <c r="U1311" s="121">
        <f t="shared" si="516"/>
        <v>0</v>
      </c>
      <c r="V1311" s="121">
        <f t="shared" si="517"/>
        <v>0</v>
      </c>
      <c r="W1311" s="121">
        <f t="shared" si="518"/>
        <v>-16517.62</v>
      </c>
      <c r="X1311" s="121">
        <f t="shared" si="519"/>
        <v>-16517.62</v>
      </c>
      <c r="Y1311" s="121">
        <f t="shared" si="520"/>
        <v>0</v>
      </c>
      <c r="Z1311" s="121">
        <f t="shared" si="521"/>
        <v>0</v>
      </c>
      <c r="AA1311" s="121">
        <f t="shared" si="522"/>
        <v>-16517.62</v>
      </c>
      <c r="AB1311" s="121">
        <f t="shared" si="523"/>
        <v>-16517.62</v>
      </c>
      <c r="AC1311" s="121">
        <v>-16517.62</v>
      </c>
      <c r="AD1311" s="121">
        <v>-16517.62</v>
      </c>
      <c r="AE1311" s="121">
        <v>-16517.62</v>
      </c>
      <c r="AF1311" s="121">
        <v>-16517.62</v>
      </c>
      <c r="AG1311" s="121">
        <v>-16517.62</v>
      </c>
      <c r="AH1311" s="121">
        <v>-16517.62</v>
      </c>
      <c r="AI1311" s="161">
        <v>-16517.62</v>
      </c>
      <c r="AJ1311" s="161">
        <v>-16517.62</v>
      </c>
      <c r="AK1311" s="161">
        <v>-16517.62</v>
      </c>
      <c r="AL1311" s="161">
        <v>-16517.62</v>
      </c>
      <c r="AM1311" s="161">
        <v>-16517.62</v>
      </c>
      <c r="AN1311" s="161">
        <v>-16517.62</v>
      </c>
      <c r="AO1311" s="161">
        <v>-16517.62</v>
      </c>
      <c r="AP1311" s="125" t="str">
        <f>CONCATENATE(A1311,M1311)</f>
        <v>Def TaxN</v>
      </c>
      <c r="AQ1311" s="125" t="str">
        <f>CONCATENATE(AP1311,L1311,H1311)</f>
        <v>Def TaxNN8ASGA</v>
      </c>
      <c r="AS1311" s="125" t="str">
        <f>CONCATENATE(L1311,H1311,J1311)</f>
        <v>N8ASGANCR</v>
      </c>
    </row>
    <row r="1312" spans="1:45" s="125" customFormat="1" ht="25.5" customHeight="1">
      <c r="A1312" s="216" t="s">
        <v>1996</v>
      </c>
      <c r="B1312" s="217" t="str">
        <f t="shared" si="504"/>
        <v>Def Tax283006DerivativeBT010057</v>
      </c>
      <c r="C1312" s="186">
        <v>283006</v>
      </c>
      <c r="D1312" s="201" t="s">
        <v>1028</v>
      </c>
      <c r="E1312" s="162" t="s">
        <v>498</v>
      </c>
      <c r="F1312" s="169" t="s">
        <v>1136</v>
      </c>
      <c r="G1312" s="117" t="s">
        <v>1826</v>
      </c>
      <c r="H1312" s="118" t="s">
        <v>1149</v>
      </c>
      <c r="I1312" s="119"/>
      <c r="J1312" s="120"/>
      <c r="K1312" s="120" t="str">
        <f t="shared" si="543"/>
        <v>SFAS-109</v>
      </c>
      <c r="L1312" s="170" t="s">
        <v>930</v>
      </c>
      <c r="M1312" s="122" t="str">
        <f t="shared" si="505"/>
        <v>N</v>
      </c>
      <c r="N1312" s="116" t="str">
        <f>IF($L1312&lt;&gt;"",VLOOKUP($L1312,Categories!$E:$G,2,FALSE),IF($F1312&lt;&gt;"","NO CAT",""))</f>
        <v>Not in Rate Base</v>
      </c>
      <c r="O1312" s="116" t="str">
        <f>IF($L1312&lt;&gt;"",VLOOKUP($L1312,Categories!$E:$G,3,FALSE),IF($F1312&lt;&gt;"","NO CAT",""))</f>
        <v>SFAS-109   (offsetting)</v>
      </c>
      <c r="P1312" s="170" t="s">
        <v>1186</v>
      </c>
      <c r="Q1312" s="123" t="s">
        <v>1187</v>
      </c>
      <c r="R1312" s="124">
        <v>0</v>
      </c>
      <c r="S1312" s="124">
        <v>0</v>
      </c>
      <c r="T1312" s="124">
        <v>1</v>
      </c>
      <c r="U1312" s="121">
        <f t="shared" si="516"/>
        <v>0</v>
      </c>
      <c r="V1312" s="121">
        <f t="shared" si="517"/>
        <v>0</v>
      </c>
      <c r="W1312" s="121">
        <f t="shared" si="518"/>
        <v>-33600.204541666601</v>
      </c>
      <c r="X1312" s="121">
        <f t="shared" si="519"/>
        <v>-33600.204541666601</v>
      </c>
      <c r="Y1312" s="121">
        <f t="shared" si="520"/>
        <v>0</v>
      </c>
      <c r="Z1312" s="121">
        <f t="shared" si="521"/>
        <v>0</v>
      </c>
      <c r="AA1312" s="121">
        <f t="shared" si="522"/>
        <v>-37010.739000000001</v>
      </c>
      <c r="AB1312" s="121">
        <f t="shared" si="523"/>
        <v>-37010.739000000001</v>
      </c>
      <c r="AC1312" s="121">
        <v>-26293.284</v>
      </c>
      <c r="AD1312" s="121">
        <v>-30048.294000000002</v>
      </c>
      <c r="AE1312" s="121">
        <v>-31426.080000000002</v>
      </c>
      <c r="AF1312" s="121">
        <v>-31426.080000000002</v>
      </c>
      <c r="AG1312" s="121">
        <v>-33291.771999999997</v>
      </c>
      <c r="AH1312" s="121">
        <v>-33291.771999999997</v>
      </c>
      <c r="AI1312" s="161">
        <v>-33291.771999999997</v>
      </c>
      <c r="AJ1312" s="161">
        <v>-33291.771999999997</v>
      </c>
      <c r="AK1312" s="161">
        <v>-34894.624000000003</v>
      </c>
      <c r="AL1312" s="161">
        <v>-36788.769</v>
      </c>
      <c r="AM1312" s="161">
        <v>-36788.769</v>
      </c>
      <c r="AN1312" s="161">
        <v>-37010.739000000001</v>
      </c>
      <c r="AO1312" s="161">
        <v>-37010.739000000001</v>
      </c>
      <c r="AP1312" s="125" t="str">
        <f>CONCATENATE(A1312,M1312)</f>
        <v>Def TaxN</v>
      </c>
      <c r="AQ1312" s="125" t="str">
        <f>CONCATENATE(AP1312,L1312,H1312)</f>
        <v>Def TaxNN3SFAS-109</v>
      </c>
      <c r="AS1312" s="125" t="str">
        <f>CONCATENATE(L1312,H1312,J1312)</f>
        <v>N3SFAS-109</v>
      </c>
    </row>
    <row r="1313" spans="1:45" s="125" customFormat="1" ht="25.5" customHeight="1">
      <c r="A1313" s="216" t="s">
        <v>1996</v>
      </c>
      <c r="B1313" s="217" t="str">
        <f t="shared" si="504"/>
        <v>Def Tax283007DerivativeBT010057</v>
      </c>
      <c r="C1313" s="186">
        <v>283007</v>
      </c>
      <c r="D1313" s="201" t="s">
        <v>1028</v>
      </c>
      <c r="E1313" s="162" t="s">
        <v>498</v>
      </c>
      <c r="F1313" s="169" t="s">
        <v>723</v>
      </c>
      <c r="G1313" s="117" t="s">
        <v>2371</v>
      </c>
      <c r="H1313" s="118" t="s">
        <v>1149</v>
      </c>
      <c r="I1313" s="119"/>
      <c r="J1313" s="120"/>
      <c r="K1313" s="120" t="str">
        <f t="shared" si="543"/>
        <v>SFAS-109</v>
      </c>
      <c r="L1313" s="170" t="s">
        <v>930</v>
      </c>
      <c r="M1313" s="122" t="str">
        <f t="shared" si="505"/>
        <v>N</v>
      </c>
      <c r="N1313" s="116" t="str">
        <f>IF($L1313&lt;&gt;"",VLOOKUP($L1313,Categories!$E:$G,2,FALSE),IF($F1313&lt;&gt;"","NO CAT",""))</f>
        <v>Not in Rate Base</v>
      </c>
      <c r="O1313" s="116" t="str">
        <f>IF($L1313&lt;&gt;"",VLOOKUP($L1313,Categories!$E:$G,3,FALSE),IF($F1313&lt;&gt;"","NO CAT",""))</f>
        <v>SFAS-109   (offsetting)</v>
      </c>
      <c r="P1313" s="170" t="s">
        <v>1186</v>
      </c>
      <c r="Q1313" s="123" t="s">
        <v>1187</v>
      </c>
      <c r="R1313" s="124">
        <v>0</v>
      </c>
      <c r="S1313" s="124">
        <v>0</v>
      </c>
      <c r="T1313" s="124">
        <v>1</v>
      </c>
      <c r="U1313" s="121">
        <f t="shared" si="516"/>
        <v>0</v>
      </c>
      <c r="V1313" s="121">
        <f t="shared" si="517"/>
        <v>0</v>
      </c>
      <c r="W1313" s="121">
        <f t="shared" si="518"/>
        <v>-29777.289333333301</v>
      </c>
      <c r="X1313" s="121">
        <f t="shared" si="519"/>
        <v>-29777.289333333301</v>
      </c>
      <c r="Y1313" s="121">
        <f t="shared" si="520"/>
        <v>0</v>
      </c>
      <c r="Z1313" s="121">
        <f t="shared" si="521"/>
        <v>0</v>
      </c>
      <c r="AA1313" s="121">
        <f t="shared" si="522"/>
        <v>-29612.058000000001</v>
      </c>
      <c r="AB1313" s="121">
        <f t="shared" si="523"/>
        <v>-29612.058000000001</v>
      </c>
      <c r="AC1313" s="121">
        <v>-33577.61</v>
      </c>
      <c r="AD1313" s="121">
        <v>-29612.058000000001</v>
      </c>
      <c r="AE1313" s="121">
        <v>-29612.058000000001</v>
      </c>
      <c r="AF1313" s="121">
        <v>-29612.058000000001</v>
      </c>
      <c r="AG1313" s="121">
        <v>-29612.058000000001</v>
      </c>
      <c r="AH1313" s="121">
        <v>-29612.058000000001</v>
      </c>
      <c r="AI1313" s="161">
        <v>-29612.058000000001</v>
      </c>
      <c r="AJ1313" s="161">
        <v>-29612.058000000001</v>
      </c>
      <c r="AK1313" s="161">
        <v>-29612.058000000001</v>
      </c>
      <c r="AL1313" s="161">
        <v>-29612.058000000001</v>
      </c>
      <c r="AM1313" s="161">
        <v>-29612.058000000001</v>
      </c>
      <c r="AN1313" s="161">
        <v>-29612.058000000001</v>
      </c>
      <c r="AO1313" s="161">
        <v>-29612.058000000001</v>
      </c>
      <c r="AP1313" s="125" t="str">
        <f>CONCATENATE(A1313,M1313)</f>
        <v>Def TaxN</v>
      </c>
      <c r="AQ1313" s="125" t="str">
        <f>CONCATENATE(AP1313,L1313,H1313)</f>
        <v>Def TaxNN3SFAS-109</v>
      </c>
      <c r="AS1313" s="125" t="str">
        <f>CONCATENATE(L1313,H1313,J1313)</f>
        <v>N3SFAS-109</v>
      </c>
    </row>
    <row r="1314" spans="1:45" s="125" customFormat="1" ht="25.5" customHeight="1">
      <c r="A1314" s="216" t="s">
        <v>1996</v>
      </c>
      <c r="B1314" s="217" t="str">
        <f t="shared" si="504"/>
        <v>Def Tax283007Other CurrBC999998</v>
      </c>
      <c r="C1314" s="186">
        <v>283007</v>
      </c>
      <c r="D1314" s="201" t="s">
        <v>1137</v>
      </c>
      <c r="E1314" s="162" t="s">
        <v>2692</v>
      </c>
      <c r="F1314" s="169" t="s">
        <v>723</v>
      </c>
      <c r="G1314" s="117" t="s">
        <v>2691</v>
      </c>
      <c r="H1314" s="118" t="s">
        <v>1149</v>
      </c>
      <c r="I1314" s="119"/>
      <c r="J1314" s="120"/>
      <c r="K1314" s="120" t="str">
        <f t="shared" si="543"/>
        <v>SFAS-109</v>
      </c>
      <c r="L1314" s="170" t="s">
        <v>930</v>
      </c>
      <c r="M1314" s="122" t="str">
        <f t="shared" si="505"/>
        <v>N</v>
      </c>
      <c r="N1314" s="116" t="str">
        <f>IF($L1314&lt;&gt;"",VLOOKUP($L1314,Categories!$E:$G,2,FALSE),IF($F1314&lt;&gt;"","NO CAT",""))</f>
        <v>Not in Rate Base</v>
      </c>
      <c r="O1314" s="116" t="str">
        <f>IF($L1314&lt;&gt;"",VLOOKUP($L1314,Categories!$E:$G,3,FALSE),IF($F1314&lt;&gt;"","NO CAT",""))</f>
        <v>SFAS-109   (offsetting)</v>
      </c>
      <c r="P1314" s="170" t="s">
        <v>1186</v>
      </c>
      <c r="Q1314" s="123" t="s">
        <v>1187</v>
      </c>
      <c r="R1314" s="124">
        <v>0</v>
      </c>
      <c r="S1314" s="124">
        <v>0</v>
      </c>
      <c r="T1314" s="124">
        <v>1</v>
      </c>
      <c r="U1314" s="121">
        <f t="shared" si="516"/>
        <v>0</v>
      </c>
      <c r="V1314" s="121">
        <f t="shared" si="517"/>
        <v>0</v>
      </c>
      <c r="W1314" s="121">
        <f t="shared" si="518"/>
        <v>-5677.7721666666703</v>
      </c>
      <c r="X1314" s="121">
        <f t="shared" si="519"/>
        <v>-5677.7721666666703</v>
      </c>
      <c r="Y1314" s="121">
        <f t="shared" si="520"/>
        <v>0</v>
      </c>
      <c r="Z1314" s="121">
        <f t="shared" si="521"/>
        <v>0</v>
      </c>
      <c r="AA1314" s="121">
        <f t="shared" si="522"/>
        <v>-6840.7240000000002</v>
      </c>
      <c r="AB1314" s="121">
        <f t="shared" si="523"/>
        <v>-6840.7240000000002</v>
      </c>
      <c r="AC1314" s="121">
        <v>0</v>
      </c>
      <c r="AD1314" s="121">
        <v>-4904.3040000000001</v>
      </c>
      <c r="AE1314" s="121">
        <v>-5248.75</v>
      </c>
      <c r="AF1314" s="121">
        <v>-5248.75</v>
      </c>
      <c r="AG1314" s="121">
        <v>-5715.174</v>
      </c>
      <c r="AH1314" s="121">
        <v>-5715.174</v>
      </c>
      <c r="AI1314" s="161">
        <v>-5715.174</v>
      </c>
      <c r="AJ1314" s="161">
        <v>-5715.174</v>
      </c>
      <c r="AK1314" s="161">
        <v>-6224.3180000000002</v>
      </c>
      <c r="AL1314" s="161">
        <v>-6692.6809999999996</v>
      </c>
      <c r="AM1314" s="161">
        <v>-6692.6809999999996</v>
      </c>
      <c r="AN1314" s="161">
        <v>-6840.7240000000002</v>
      </c>
      <c r="AO1314" s="161">
        <v>-6840.7240000000002</v>
      </c>
      <c r="AP1314" s="125" t="str">
        <f>CONCATENATE(A1314,M1314)</f>
        <v>Def TaxN</v>
      </c>
      <c r="AQ1314" s="125" t="str">
        <f>CONCATENATE(AP1314,L1314,H1314)</f>
        <v>Def TaxNN3SFAS-109</v>
      </c>
      <c r="AS1314" s="125" t="str">
        <f>CONCATENATE(L1314,H1314,J1314)</f>
        <v>N3SFAS-109</v>
      </c>
    </row>
    <row r="1315" spans="1:45" s="125" customFormat="1" ht="25.5" customHeight="1">
      <c r="A1315" s="216" t="s">
        <v>1996</v>
      </c>
      <c r="B1315" s="217" t="str">
        <f t="shared" si="504"/>
        <v>Def Tax283008ASGA RefBT010010</v>
      </c>
      <c r="C1315" s="186">
        <v>283008</v>
      </c>
      <c r="D1315" s="201" t="s">
        <v>1755</v>
      </c>
      <c r="E1315" s="162" t="s">
        <v>879</v>
      </c>
      <c r="F1315" s="169" t="s">
        <v>1139</v>
      </c>
      <c r="G1315" s="117" t="s">
        <v>923</v>
      </c>
      <c r="H1315" s="118" t="s">
        <v>521</v>
      </c>
      <c r="I1315" s="119"/>
      <c r="J1315" s="120" t="s">
        <v>105</v>
      </c>
      <c r="K1315" s="120" t="str">
        <f t="shared" si="543"/>
        <v/>
      </c>
      <c r="L1315" s="170" t="s">
        <v>2817</v>
      </c>
      <c r="M1315" s="122" t="str">
        <f t="shared" si="505"/>
        <v>N</v>
      </c>
      <c r="N1315" s="116" t="str">
        <f>IF($L1315&lt;&gt;"",VLOOKUP($L1315,Categories!$E:$G,2,FALSE),IF($F1315&lt;&gt;"","NO CAT",""))</f>
        <v>Not in Rate Base</v>
      </c>
      <c r="O1315" s="116" t="str">
        <f>IF($L1315&lt;&gt;"",VLOOKUP($L1315,Categories!$E:$G,3,FALSE),IF($F1315&lt;&gt;"","NO CAT",""))</f>
        <v>NM-2 ASGA</v>
      </c>
      <c r="P1315" s="170" t="s">
        <v>1186</v>
      </c>
      <c r="Q1315" s="123" t="s">
        <v>1187</v>
      </c>
      <c r="R1315" s="124">
        <v>0</v>
      </c>
      <c r="S1315" s="124">
        <v>0</v>
      </c>
      <c r="T1315" s="124">
        <v>1</v>
      </c>
      <c r="U1315" s="121">
        <f t="shared" si="516"/>
        <v>0</v>
      </c>
      <c r="V1315" s="121">
        <f t="shared" si="517"/>
        <v>0</v>
      </c>
      <c r="W1315" s="121">
        <f t="shared" si="518"/>
        <v>16517.62</v>
      </c>
      <c r="X1315" s="121">
        <f t="shared" si="519"/>
        <v>16517.62</v>
      </c>
      <c r="Y1315" s="121">
        <f t="shared" si="520"/>
        <v>0</v>
      </c>
      <c r="Z1315" s="121">
        <f t="shared" si="521"/>
        <v>0</v>
      </c>
      <c r="AA1315" s="121">
        <f t="shared" si="522"/>
        <v>16517.62</v>
      </c>
      <c r="AB1315" s="121">
        <f t="shared" si="523"/>
        <v>16517.62</v>
      </c>
      <c r="AC1315" s="121">
        <v>16517.62</v>
      </c>
      <c r="AD1315" s="121">
        <v>16517.62</v>
      </c>
      <c r="AE1315" s="121">
        <v>16517.62</v>
      </c>
      <c r="AF1315" s="121">
        <v>16517.62</v>
      </c>
      <c r="AG1315" s="121">
        <v>16517.62</v>
      </c>
      <c r="AH1315" s="121">
        <v>16517.62</v>
      </c>
      <c r="AI1315" s="161">
        <v>16517.62</v>
      </c>
      <c r="AJ1315" s="161">
        <v>16517.62</v>
      </c>
      <c r="AK1315" s="161">
        <v>16517.62</v>
      </c>
      <c r="AL1315" s="161">
        <v>16517.62</v>
      </c>
      <c r="AM1315" s="161">
        <v>16517.62</v>
      </c>
      <c r="AN1315" s="161">
        <v>16517.62</v>
      </c>
      <c r="AO1315" s="161">
        <v>16517.62</v>
      </c>
      <c r="AP1315" s="125" t="str">
        <f>CONCATENATE(A1315,M1315)</f>
        <v>Def TaxN</v>
      </c>
      <c r="AQ1315" s="125" t="str">
        <f>CONCATENATE(AP1315,L1315,H1315)</f>
        <v>Def TaxNN8ASGA</v>
      </c>
      <c r="AS1315" s="125" t="str">
        <f>CONCATENATE(L1315,H1315,J1315)</f>
        <v>N8ASGANCR</v>
      </c>
    </row>
    <row r="1316" spans="1:45" s="125" customFormat="1" ht="25.5" customHeight="1">
      <c r="A1316" s="216" t="s">
        <v>1996</v>
      </c>
      <c r="B1316" s="217" t="str">
        <f t="shared" si="504"/>
        <v>Def Tax283008DerivativeBT010057</v>
      </c>
      <c r="C1316" s="186">
        <v>283008</v>
      </c>
      <c r="D1316" s="201" t="s">
        <v>1028</v>
      </c>
      <c r="E1316" s="162" t="s">
        <v>498</v>
      </c>
      <c r="F1316" s="169" t="s">
        <v>1139</v>
      </c>
      <c r="G1316" s="117" t="s">
        <v>135</v>
      </c>
      <c r="H1316" s="118" t="s">
        <v>1149</v>
      </c>
      <c r="I1316" s="119"/>
      <c r="J1316" s="120"/>
      <c r="K1316" s="120" t="str">
        <f t="shared" si="543"/>
        <v>SFAS-109</v>
      </c>
      <c r="L1316" s="170" t="s">
        <v>930</v>
      </c>
      <c r="M1316" s="122" t="str">
        <f t="shared" si="505"/>
        <v>N</v>
      </c>
      <c r="N1316" s="116" t="str">
        <f>IF($L1316&lt;&gt;"",VLOOKUP($L1316,Categories!$E:$G,2,FALSE),IF($F1316&lt;&gt;"","NO CAT",""))</f>
        <v>Not in Rate Base</v>
      </c>
      <c r="O1316" s="116" t="str">
        <f>IF($L1316&lt;&gt;"",VLOOKUP($L1316,Categories!$E:$G,3,FALSE),IF($F1316&lt;&gt;"","NO CAT",""))</f>
        <v>SFAS-109   (offsetting)</v>
      </c>
      <c r="P1316" s="170" t="s">
        <v>1186</v>
      </c>
      <c r="Q1316" s="123" t="s">
        <v>1187</v>
      </c>
      <c r="R1316" s="124">
        <v>0</v>
      </c>
      <c r="S1316" s="124">
        <v>0</v>
      </c>
      <c r="T1316" s="124">
        <v>1</v>
      </c>
      <c r="U1316" s="121">
        <f t="shared" si="516"/>
        <v>0</v>
      </c>
      <c r="V1316" s="121">
        <f t="shared" si="517"/>
        <v>0</v>
      </c>
      <c r="W1316" s="121">
        <f t="shared" si="518"/>
        <v>-68893.380999999994</v>
      </c>
      <c r="X1316" s="121">
        <f t="shared" si="519"/>
        <v>-68893.380999999994</v>
      </c>
      <c r="Y1316" s="121">
        <f t="shared" si="520"/>
        <v>0</v>
      </c>
      <c r="Z1316" s="121">
        <f t="shared" si="521"/>
        <v>0</v>
      </c>
      <c r="AA1316" s="121">
        <f t="shared" si="522"/>
        <v>-68893.380999999994</v>
      </c>
      <c r="AB1316" s="121">
        <f t="shared" si="523"/>
        <v>-68893.380999999994</v>
      </c>
      <c r="AC1316" s="121">
        <v>-68893.380999999994</v>
      </c>
      <c r="AD1316" s="121">
        <v>-68893.380999999994</v>
      </c>
      <c r="AE1316" s="121">
        <v>-68893.380999999994</v>
      </c>
      <c r="AF1316" s="121">
        <v>-68893.380999999994</v>
      </c>
      <c r="AG1316" s="121">
        <v>-68893.380999999994</v>
      </c>
      <c r="AH1316" s="121">
        <v>-68893.380999999994</v>
      </c>
      <c r="AI1316" s="161">
        <v>-68893.380999999994</v>
      </c>
      <c r="AJ1316" s="161">
        <v>-68893.380999999994</v>
      </c>
      <c r="AK1316" s="161">
        <v>-68893.380999999994</v>
      </c>
      <c r="AL1316" s="161">
        <v>-68893.380999999994</v>
      </c>
      <c r="AM1316" s="161">
        <v>-68893.380999999994</v>
      </c>
      <c r="AN1316" s="161">
        <v>-68893.380999999994</v>
      </c>
      <c r="AO1316" s="161">
        <v>-68893.380999999994</v>
      </c>
      <c r="AP1316" s="125" t="str">
        <f>CONCATENATE(A1316,M1316)</f>
        <v>Def TaxN</v>
      </c>
      <c r="AQ1316" s="125" t="str">
        <f>CONCATENATE(AP1316,L1316,H1316)</f>
        <v>Def TaxNN3SFAS-109</v>
      </c>
      <c r="AS1316" s="125" t="str">
        <f>CONCATENATE(L1316,H1316,J1316)</f>
        <v>N3SFAS-109</v>
      </c>
    </row>
    <row r="1317" spans="1:45" s="125" customFormat="1" ht="25.5" customHeight="1">
      <c r="A1317" s="216" t="s">
        <v>1996</v>
      </c>
      <c r="B1317" s="217" t="str">
        <f t="shared" si="504"/>
        <v>Def Tax283015DerivativeBT010057</v>
      </c>
      <c r="C1317" s="186">
        <v>283015</v>
      </c>
      <c r="D1317" s="201" t="s">
        <v>1028</v>
      </c>
      <c r="E1317" s="162" t="s">
        <v>498</v>
      </c>
      <c r="F1317" s="169" t="s">
        <v>142</v>
      </c>
      <c r="G1317" s="117" t="s">
        <v>752</v>
      </c>
      <c r="H1317" s="118" t="s">
        <v>1149</v>
      </c>
      <c r="I1317" s="119"/>
      <c r="J1317" s="120"/>
      <c r="K1317" s="120" t="str">
        <f t="shared" si="543"/>
        <v>SFAS-109</v>
      </c>
      <c r="L1317" s="170" t="s">
        <v>930</v>
      </c>
      <c r="M1317" s="122" t="str">
        <f t="shared" si="505"/>
        <v>N</v>
      </c>
      <c r="N1317" s="116" t="str">
        <f>IF($L1317&lt;&gt;"",VLOOKUP($L1317,Categories!$E:$G,2,FALSE),IF($F1317&lt;&gt;"","NO CAT",""))</f>
        <v>Not in Rate Base</v>
      </c>
      <c r="O1317" s="116" t="str">
        <f>IF($L1317&lt;&gt;"",VLOOKUP($L1317,Categories!$E:$G,3,FALSE),IF($F1317&lt;&gt;"","NO CAT",""))</f>
        <v>SFAS-109   (offsetting)</v>
      </c>
      <c r="P1317" s="170" t="s">
        <v>1186</v>
      </c>
      <c r="Q1317" s="123" t="s">
        <v>1187</v>
      </c>
      <c r="R1317" s="124">
        <v>0</v>
      </c>
      <c r="S1317" s="124">
        <v>0</v>
      </c>
      <c r="T1317" s="124">
        <v>1</v>
      </c>
      <c r="U1317" s="121">
        <f t="shared" si="516"/>
        <v>0</v>
      </c>
      <c r="V1317" s="121">
        <f t="shared" si="517"/>
        <v>0</v>
      </c>
      <c r="W1317" s="121">
        <f t="shared" si="518"/>
        <v>-27066.077000000001</v>
      </c>
      <c r="X1317" s="121">
        <f t="shared" si="519"/>
        <v>-27066.077000000001</v>
      </c>
      <c r="Y1317" s="121">
        <f t="shared" si="520"/>
        <v>0</v>
      </c>
      <c r="Z1317" s="121">
        <f t="shared" si="521"/>
        <v>0</v>
      </c>
      <c r="AA1317" s="121">
        <f t="shared" si="522"/>
        <v>-27066.077000000001</v>
      </c>
      <c r="AB1317" s="121">
        <f t="shared" si="523"/>
        <v>-27066.077000000001</v>
      </c>
      <c r="AC1317" s="121">
        <v>-27066.077000000001</v>
      </c>
      <c r="AD1317" s="121">
        <v>-27066.077000000001</v>
      </c>
      <c r="AE1317" s="121">
        <v>-27066.077000000001</v>
      </c>
      <c r="AF1317" s="121">
        <v>-27066.077000000001</v>
      </c>
      <c r="AG1317" s="121">
        <v>-27066.077000000001</v>
      </c>
      <c r="AH1317" s="121">
        <v>-27066.077000000001</v>
      </c>
      <c r="AI1317" s="161">
        <v>-27066.077000000001</v>
      </c>
      <c r="AJ1317" s="161">
        <v>-27066.077000000001</v>
      </c>
      <c r="AK1317" s="161">
        <v>-27066.077000000001</v>
      </c>
      <c r="AL1317" s="161">
        <v>-27066.077000000001</v>
      </c>
      <c r="AM1317" s="161">
        <v>-27066.077000000001</v>
      </c>
      <c r="AN1317" s="161">
        <v>-27066.077000000001</v>
      </c>
      <c r="AO1317" s="161">
        <v>-27066.077000000001</v>
      </c>
      <c r="AP1317" s="125" t="str">
        <f>CONCATENATE(A1317,M1317)</f>
        <v>Def TaxN</v>
      </c>
      <c r="AQ1317" s="125" t="str">
        <f>CONCATENATE(AP1317,L1317,H1317)</f>
        <v>Def TaxNN3SFAS-109</v>
      </c>
      <c r="AS1317" s="125" t="str">
        <f>CONCATENATE(L1317,H1317,J1317)</f>
        <v>N3SFAS-109</v>
      </c>
    </row>
    <row r="1318" spans="1:45" s="125" customFormat="1" ht="25.5" customHeight="1">
      <c r="A1318" s="216" t="s">
        <v>1996</v>
      </c>
      <c r="B1318" s="217" t="str">
        <f>CONCATENATE(A1318,C1318,D1318,E1318)</f>
        <v>Def Tax283015BC999998</v>
      </c>
      <c r="C1318" s="186">
        <v>283015</v>
      </c>
      <c r="D1318" s="201"/>
      <c r="E1318" s="162" t="s">
        <v>2692</v>
      </c>
      <c r="F1318" s="169" t="s">
        <v>142</v>
      </c>
      <c r="G1318" s="117" t="s">
        <v>2371</v>
      </c>
      <c r="H1318" s="118" t="s">
        <v>1149</v>
      </c>
      <c r="I1318" s="119"/>
      <c r="J1318" s="120"/>
      <c r="K1318" s="120" t="str">
        <f>IF(L1318="N3","SFAS-109","")</f>
        <v>SFAS-109</v>
      </c>
      <c r="L1318" s="170" t="s">
        <v>930</v>
      </c>
      <c r="M1318" s="122" t="str">
        <f>LEFT(L1318,1)</f>
        <v>N</v>
      </c>
      <c r="N1318" s="116" t="str">
        <f>IF($L1318&lt;&gt;"",VLOOKUP($L1318,Categories!$E:$G,2,FALSE),IF($F1318&lt;&gt;"","NO CAT",""))</f>
        <v>Not in Rate Base</v>
      </c>
      <c r="O1318" s="116" t="str">
        <f>IF($L1318&lt;&gt;"",VLOOKUP($L1318,Categories!$E:$G,3,FALSE),IF($F1318&lt;&gt;"","NO CAT",""))</f>
        <v>SFAS-109   (offsetting)</v>
      </c>
      <c r="P1318" s="170" t="s">
        <v>1186</v>
      </c>
      <c r="Q1318" s="123" t="s">
        <v>1187</v>
      </c>
      <c r="R1318" s="124">
        <v>0</v>
      </c>
      <c r="S1318" s="124">
        <v>0</v>
      </c>
      <c r="T1318" s="124">
        <v>1</v>
      </c>
      <c r="U1318" s="121">
        <f>IF(ABS(X1318)=0,"",IF($R1318="NO ALLOC","NO ALLOC",ROUND($R1318*X1318,15)))</f>
        <v>0</v>
      </c>
      <c r="V1318" s="121">
        <f>IF(ABS(X1318)=0,"",IF($S1318="NO ALLOC","NO ALLOC",ROUND($S1318*X1318,15)))</f>
        <v>0</v>
      </c>
      <c r="W1318" s="121">
        <f>IF(ABS(X1318)=0,"",IF($T1318="NO ALLOC","NO ALLOC",ROUND($T1318*X1318,15)))</f>
        <v>100</v>
      </c>
      <c r="X1318" s="121">
        <f t="shared" si="519"/>
        <v>100</v>
      </c>
      <c r="Y1318" s="121">
        <f>IF(ABS(AB1318)=0,"",IF($R1318="NO ALLOC","NO ALLOC",ROUND($R1318*AB1318,15)))</f>
        <v>0</v>
      </c>
      <c r="Z1318" s="121">
        <f>IF(ABS(AB1318)=0,"",IF($S1318="NO ALLOC","NO ALLOC",ROUND($S1318*AB1318,15)))</f>
        <v>0</v>
      </c>
      <c r="AA1318" s="121">
        <f>IF(ABS(AB1318)=0,"",IF($T1318="NO ALLOC","NO ALLOC",ROUND($T1318*AB1318,15)))</f>
        <v>100</v>
      </c>
      <c r="AB1318" s="121">
        <f t="shared" si="523"/>
        <v>100</v>
      </c>
      <c r="AC1318" s="121">
        <v>100</v>
      </c>
      <c r="AD1318" s="121">
        <v>100</v>
      </c>
      <c r="AE1318" s="121">
        <v>100</v>
      </c>
      <c r="AF1318" s="121">
        <v>100</v>
      </c>
      <c r="AG1318" s="121">
        <v>100</v>
      </c>
      <c r="AH1318" s="121">
        <v>100</v>
      </c>
      <c r="AI1318" s="161">
        <v>100</v>
      </c>
      <c r="AJ1318" s="161">
        <v>100</v>
      </c>
      <c r="AK1318" s="161">
        <v>100</v>
      </c>
      <c r="AL1318" s="161">
        <v>100</v>
      </c>
      <c r="AM1318" s="161">
        <v>100</v>
      </c>
      <c r="AN1318" s="161">
        <v>100</v>
      </c>
      <c r="AO1318" s="161">
        <v>100</v>
      </c>
      <c r="AP1318" s="125" t="str">
        <f>CONCATENATE(A1318,M1318)</f>
        <v>Def TaxN</v>
      </c>
      <c r="AQ1318" s="125" t="str">
        <f>CONCATENATE(AP1318,L1318,H1318)</f>
        <v>Def TaxNN3SFAS-109</v>
      </c>
      <c r="AS1318" s="125" t="str">
        <f>CONCATENATE(L1318,H1318,J1318)</f>
        <v>N3SFAS-109</v>
      </c>
    </row>
    <row r="1319" spans="1:45" s="125" customFormat="1" ht="25.5" customHeight="1">
      <c r="A1319" s="216" t="s">
        <v>1996</v>
      </c>
      <c r="B1319" s="217" t="str">
        <f t="shared" si="504"/>
        <v>Def Tax283015Other CurrBT010057</v>
      </c>
      <c r="C1319" s="186">
        <v>283015</v>
      </c>
      <c r="D1319" s="201" t="s">
        <v>1137</v>
      </c>
      <c r="E1319" s="162" t="s">
        <v>498</v>
      </c>
      <c r="F1319" s="169" t="s">
        <v>142</v>
      </c>
      <c r="G1319" s="117" t="s">
        <v>2691</v>
      </c>
      <c r="H1319" s="118" t="s">
        <v>1149</v>
      </c>
      <c r="I1319" s="119"/>
      <c r="J1319" s="120"/>
      <c r="K1319" s="120" t="str">
        <f t="shared" si="543"/>
        <v>SFAS-109</v>
      </c>
      <c r="L1319" s="170" t="s">
        <v>930</v>
      </c>
      <c r="M1319" s="122" t="str">
        <f t="shared" si="505"/>
        <v>N</v>
      </c>
      <c r="N1319" s="116" t="str">
        <f>IF($L1319&lt;&gt;"",VLOOKUP($L1319,Categories!$E:$G,2,FALSE),IF($F1319&lt;&gt;"","NO CAT",""))</f>
        <v>Not in Rate Base</v>
      </c>
      <c r="O1319" s="116" t="str">
        <f>IF($L1319&lt;&gt;"",VLOOKUP($L1319,Categories!$E:$G,3,FALSE),IF($F1319&lt;&gt;"","NO CAT",""))</f>
        <v>SFAS-109   (offsetting)</v>
      </c>
      <c r="P1319" s="170" t="s">
        <v>1186</v>
      </c>
      <c r="Q1319" s="123" t="s">
        <v>1187</v>
      </c>
      <c r="R1319" s="124">
        <v>0</v>
      </c>
      <c r="S1319" s="124">
        <v>0</v>
      </c>
      <c r="T1319" s="124">
        <v>1</v>
      </c>
      <c r="U1319" s="121">
        <f t="shared" si="516"/>
        <v>0</v>
      </c>
      <c r="V1319" s="121">
        <f t="shared" si="517"/>
        <v>0</v>
      </c>
      <c r="W1319" s="121">
        <f t="shared" si="518"/>
        <v>-200</v>
      </c>
      <c r="X1319" s="121">
        <f t="shared" si="519"/>
        <v>-200</v>
      </c>
      <c r="Y1319" s="121">
        <f t="shared" si="520"/>
        <v>0</v>
      </c>
      <c r="Z1319" s="121">
        <f t="shared" si="521"/>
        <v>0</v>
      </c>
      <c r="AA1319" s="121">
        <f t="shared" si="522"/>
        <v>-200</v>
      </c>
      <c r="AB1319" s="121">
        <f t="shared" si="523"/>
        <v>-200</v>
      </c>
      <c r="AC1319" s="121">
        <v>-200</v>
      </c>
      <c r="AD1319" s="121">
        <v>-200</v>
      </c>
      <c r="AE1319" s="121">
        <v>-200</v>
      </c>
      <c r="AF1319" s="121">
        <v>-200</v>
      </c>
      <c r="AG1319" s="121">
        <v>-200</v>
      </c>
      <c r="AH1319" s="121">
        <v>-200</v>
      </c>
      <c r="AI1319" s="161">
        <v>-200</v>
      </c>
      <c r="AJ1319" s="161">
        <v>-200</v>
      </c>
      <c r="AK1319" s="161">
        <v>-200</v>
      </c>
      <c r="AL1319" s="161">
        <v>-200</v>
      </c>
      <c r="AM1319" s="161">
        <v>-200</v>
      </c>
      <c r="AN1319" s="161">
        <v>-200</v>
      </c>
      <c r="AO1319" s="161">
        <v>-200</v>
      </c>
      <c r="AP1319" s="125" t="str">
        <f>CONCATENATE(A1319,M1319)</f>
        <v>Def TaxN</v>
      </c>
      <c r="AQ1319" s="125" t="str">
        <f>CONCATENATE(AP1319,L1319,H1319)</f>
        <v>Def TaxNN3SFAS-109</v>
      </c>
      <c r="AS1319" s="125" t="str">
        <f>CONCATENATE(L1319,H1319,J1319)</f>
        <v>N3SFAS-109</v>
      </c>
    </row>
    <row r="1320" spans="1:45" s="125" customFormat="1" ht="25.5" customHeight="1">
      <c r="A1320" s="216" t="s">
        <v>1996</v>
      </c>
      <c r="B1320" s="217" t="str">
        <f t="shared" si="504"/>
        <v>Def Tax283016ASGA RefBT010010</v>
      </c>
      <c r="C1320" s="186">
        <v>283016</v>
      </c>
      <c r="D1320" s="201" t="s">
        <v>1755</v>
      </c>
      <c r="E1320" s="162" t="s">
        <v>879</v>
      </c>
      <c r="F1320" s="169" t="s">
        <v>1138</v>
      </c>
      <c r="G1320" s="117" t="s">
        <v>1757</v>
      </c>
      <c r="H1320" s="118" t="s">
        <v>521</v>
      </c>
      <c r="I1320" s="119"/>
      <c r="J1320" s="120" t="s">
        <v>105</v>
      </c>
      <c r="K1320" s="120" t="str">
        <f t="shared" si="543"/>
        <v/>
      </c>
      <c r="L1320" s="170" t="s">
        <v>2817</v>
      </c>
      <c r="M1320" s="122" t="str">
        <f t="shared" si="505"/>
        <v>N</v>
      </c>
      <c r="N1320" s="116" t="str">
        <f>IF($L1320&lt;&gt;"",VLOOKUP($L1320,Categories!$E:$G,2,FALSE),IF($F1320&lt;&gt;"","NO CAT",""))</f>
        <v>Not in Rate Base</v>
      </c>
      <c r="O1320" s="116" t="str">
        <f>IF($L1320&lt;&gt;"",VLOOKUP($L1320,Categories!$E:$G,3,FALSE),IF($F1320&lt;&gt;"","NO CAT",""))</f>
        <v>NM-2 ASGA</v>
      </c>
      <c r="P1320" s="170" t="s">
        <v>1186</v>
      </c>
      <c r="Q1320" s="123" t="s">
        <v>1187</v>
      </c>
      <c r="R1320" s="124">
        <v>0</v>
      </c>
      <c r="S1320" s="124">
        <v>0</v>
      </c>
      <c r="T1320" s="124">
        <v>1</v>
      </c>
      <c r="U1320" s="121">
        <f t="shared" si="516"/>
        <v>0</v>
      </c>
      <c r="V1320" s="121">
        <f t="shared" si="517"/>
        <v>0</v>
      </c>
      <c r="W1320" s="121">
        <f t="shared" si="518"/>
        <v>-3606.8</v>
      </c>
      <c r="X1320" s="121">
        <f t="shared" si="519"/>
        <v>-3606.8</v>
      </c>
      <c r="Y1320" s="121">
        <f t="shared" si="520"/>
        <v>0</v>
      </c>
      <c r="Z1320" s="121">
        <f t="shared" si="521"/>
        <v>0</v>
      </c>
      <c r="AA1320" s="121">
        <f t="shared" si="522"/>
        <v>-3606.8</v>
      </c>
      <c r="AB1320" s="121">
        <f t="shared" si="523"/>
        <v>-3606.8</v>
      </c>
      <c r="AC1320" s="121">
        <v>-3606.8</v>
      </c>
      <c r="AD1320" s="121">
        <v>-3606.8</v>
      </c>
      <c r="AE1320" s="121">
        <v>-3606.8</v>
      </c>
      <c r="AF1320" s="121">
        <v>-3606.8</v>
      </c>
      <c r="AG1320" s="121">
        <v>-3606.8</v>
      </c>
      <c r="AH1320" s="121">
        <v>-3606.8</v>
      </c>
      <c r="AI1320" s="161">
        <v>-3606.8</v>
      </c>
      <c r="AJ1320" s="161">
        <v>-3606.8</v>
      </c>
      <c r="AK1320" s="161">
        <v>-3606.8</v>
      </c>
      <c r="AL1320" s="161">
        <v>-3606.8</v>
      </c>
      <c r="AM1320" s="161">
        <v>-3606.8</v>
      </c>
      <c r="AN1320" s="161">
        <v>-3606.8</v>
      </c>
      <c r="AO1320" s="161">
        <v>-3606.8</v>
      </c>
      <c r="AP1320" s="125" t="str">
        <f>CONCATENATE(A1320,M1320)</f>
        <v>Def TaxN</v>
      </c>
      <c r="AQ1320" s="125" t="str">
        <f>CONCATENATE(AP1320,L1320,H1320)</f>
        <v>Def TaxNN8ASGA</v>
      </c>
      <c r="AS1320" s="125" t="str">
        <f>CONCATENATE(L1320,H1320,J1320)</f>
        <v>N8ASGANCR</v>
      </c>
    </row>
    <row r="1321" spans="1:45" s="125" customFormat="1" ht="25.5" customHeight="1">
      <c r="A1321" s="216" t="s">
        <v>1996</v>
      </c>
      <c r="B1321" s="217" t="str">
        <f t="shared" si="504"/>
        <v>Def Tax283016DerivativeBT010057</v>
      </c>
      <c r="C1321" s="186">
        <v>283016</v>
      </c>
      <c r="D1321" s="201" t="s">
        <v>1028</v>
      </c>
      <c r="E1321" s="162" t="s">
        <v>498</v>
      </c>
      <c r="F1321" s="169" t="s">
        <v>1138</v>
      </c>
      <c r="G1321" s="117" t="s">
        <v>1826</v>
      </c>
      <c r="H1321" s="118" t="s">
        <v>1149</v>
      </c>
      <c r="I1321" s="119"/>
      <c r="J1321" s="120"/>
      <c r="K1321" s="120" t="str">
        <f t="shared" si="543"/>
        <v>SFAS-109</v>
      </c>
      <c r="L1321" s="170" t="s">
        <v>930</v>
      </c>
      <c r="M1321" s="122" t="str">
        <f t="shared" si="505"/>
        <v>N</v>
      </c>
      <c r="N1321" s="116" t="str">
        <f>IF($L1321&lt;&gt;"",VLOOKUP($L1321,Categories!$E:$G,2,FALSE),IF($F1321&lt;&gt;"","NO CAT",""))</f>
        <v>Not in Rate Base</v>
      </c>
      <c r="O1321" s="116" t="str">
        <f>IF($L1321&lt;&gt;"",VLOOKUP($L1321,Categories!$E:$G,3,FALSE),IF($F1321&lt;&gt;"","NO CAT",""))</f>
        <v>SFAS-109   (offsetting)</v>
      </c>
      <c r="P1321" s="170" t="s">
        <v>1186</v>
      </c>
      <c r="Q1321" s="123" t="s">
        <v>1187</v>
      </c>
      <c r="R1321" s="124">
        <v>0</v>
      </c>
      <c r="S1321" s="124">
        <v>0</v>
      </c>
      <c r="T1321" s="124">
        <v>1</v>
      </c>
      <c r="U1321" s="121">
        <f t="shared" si="516"/>
        <v>0</v>
      </c>
      <c r="V1321" s="121">
        <f t="shared" si="517"/>
        <v>0</v>
      </c>
      <c r="W1321" s="121">
        <f t="shared" si="518"/>
        <v>-7336.9635416666697</v>
      </c>
      <c r="X1321" s="121">
        <f t="shared" si="519"/>
        <v>-7336.9635416666697</v>
      </c>
      <c r="Y1321" s="121">
        <f t="shared" si="520"/>
        <v>0</v>
      </c>
      <c r="Z1321" s="121">
        <f t="shared" si="521"/>
        <v>0</v>
      </c>
      <c r="AA1321" s="121">
        <f t="shared" si="522"/>
        <v>-8081.69</v>
      </c>
      <c r="AB1321" s="121">
        <f t="shared" si="523"/>
        <v>-8081.69</v>
      </c>
      <c r="AC1321" s="121">
        <v>-5741.4189999999999</v>
      </c>
      <c r="AD1321" s="121">
        <v>-6561.366</v>
      </c>
      <c r="AE1321" s="121">
        <v>-6862.22</v>
      </c>
      <c r="AF1321" s="121">
        <v>-6862.22</v>
      </c>
      <c r="AG1321" s="121">
        <v>-7269.6139999999996</v>
      </c>
      <c r="AH1321" s="121">
        <v>-7269.6139999999996</v>
      </c>
      <c r="AI1321" s="161">
        <v>-7269.6139999999996</v>
      </c>
      <c r="AJ1321" s="161">
        <v>-7269.6139999999996</v>
      </c>
      <c r="AK1321" s="161">
        <v>-7619.6139999999996</v>
      </c>
      <c r="AL1321" s="161">
        <v>-8033.2209999999995</v>
      </c>
      <c r="AM1321" s="161">
        <v>-8033.2209999999995</v>
      </c>
      <c r="AN1321" s="161">
        <v>-8081.69</v>
      </c>
      <c r="AO1321" s="161">
        <v>-8081.69</v>
      </c>
      <c r="AP1321" s="125" t="str">
        <f>CONCATENATE(A1321,M1321)</f>
        <v>Def TaxN</v>
      </c>
      <c r="AQ1321" s="125" t="str">
        <f>CONCATENATE(AP1321,L1321,H1321)</f>
        <v>Def TaxNN3SFAS-109</v>
      </c>
      <c r="AS1321" s="125" t="str">
        <f>CONCATENATE(L1321,H1321,J1321)</f>
        <v>N3SFAS-109</v>
      </c>
    </row>
    <row r="1322" spans="1:45" s="125" customFormat="1" ht="25.5" customHeight="1">
      <c r="A1322" s="216" t="s">
        <v>1996</v>
      </c>
      <c r="B1322" s="217" t="str">
        <f t="shared" si="504"/>
        <v>Def Tax283017DerivativeBT010057</v>
      </c>
      <c r="C1322" s="186">
        <v>283017</v>
      </c>
      <c r="D1322" s="201" t="s">
        <v>1028</v>
      </c>
      <c r="E1322" s="162" t="s">
        <v>498</v>
      </c>
      <c r="F1322" s="169" t="s">
        <v>724</v>
      </c>
      <c r="G1322" s="117" t="s">
        <v>2371</v>
      </c>
      <c r="H1322" s="118" t="s">
        <v>1149</v>
      </c>
      <c r="I1322" s="119"/>
      <c r="J1322" s="120"/>
      <c r="K1322" s="120" t="str">
        <f t="shared" si="543"/>
        <v>SFAS-109</v>
      </c>
      <c r="L1322" s="170" t="s">
        <v>930</v>
      </c>
      <c r="M1322" s="122" t="str">
        <f t="shared" si="505"/>
        <v>N</v>
      </c>
      <c r="N1322" s="116" t="str">
        <f>IF($L1322&lt;&gt;"",VLOOKUP($L1322,Categories!$E:$G,2,FALSE),IF($F1322&lt;&gt;"","NO CAT",""))</f>
        <v>Not in Rate Base</v>
      </c>
      <c r="O1322" s="116" t="str">
        <f>IF($L1322&lt;&gt;"",VLOOKUP($L1322,Categories!$E:$G,3,FALSE),IF($F1322&lt;&gt;"","NO CAT",""))</f>
        <v>SFAS-109   (offsetting)</v>
      </c>
      <c r="P1322" s="170" t="s">
        <v>1186</v>
      </c>
      <c r="Q1322" s="123" t="s">
        <v>1187</v>
      </c>
      <c r="R1322" s="124">
        <v>0</v>
      </c>
      <c r="S1322" s="124">
        <v>0</v>
      </c>
      <c r="T1322" s="124">
        <v>1</v>
      </c>
      <c r="U1322" s="121">
        <f t="shared" si="516"/>
        <v>0</v>
      </c>
      <c r="V1322" s="121">
        <f t="shared" si="517"/>
        <v>0</v>
      </c>
      <c r="W1322" s="121">
        <f t="shared" si="518"/>
        <v>-7741.9940416666695</v>
      </c>
      <c r="X1322" s="121">
        <f t="shared" si="519"/>
        <v>-7741.9940416666695</v>
      </c>
      <c r="Y1322" s="121">
        <f t="shared" si="520"/>
        <v>0</v>
      </c>
      <c r="Z1322" s="121">
        <f t="shared" si="521"/>
        <v>0</v>
      </c>
      <c r="AA1322" s="121">
        <f t="shared" si="522"/>
        <v>-7959.857</v>
      </c>
      <c r="AB1322" s="121">
        <f t="shared" si="523"/>
        <v>-7959.857</v>
      </c>
      <c r="AC1322" s="121">
        <v>-7332.0320000000002</v>
      </c>
      <c r="AD1322" s="121">
        <v>-7537.0190000000002</v>
      </c>
      <c r="AE1322" s="121">
        <v>-7612.2330000000002</v>
      </c>
      <c r="AF1322" s="121">
        <v>-7612.2330000000002</v>
      </c>
      <c r="AG1322" s="121">
        <v>-7714.0810000000001</v>
      </c>
      <c r="AH1322" s="121">
        <v>-7714.0810000000001</v>
      </c>
      <c r="AI1322" s="161">
        <v>-7714.0810000000001</v>
      </c>
      <c r="AJ1322" s="161">
        <v>-7714.0810000000001</v>
      </c>
      <c r="AK1322" s="161">
        <v>-7825.2579999999998</v>
      </c>
      <c r="AL1322" s="161">
        <v>-7927.53</v>
      </c>
      <c r="AM1322" s="161">
        <v>-7927.53</v>
      </c>
      <c r="AN1322" s="161">
        <v>-7959.857</v>
      </c>
      <c r="AO1322" s="161">
        <v>-7959.857</v>
      </c>
      <c r="AP1322" s="125" t="str">
        <f>CONCATENATE(A1322,M1322)</f>
        <v>Def TaxN</v>
      </c>
      <c r="AQ1322" s="125" t="str">
        <f>CONCATENATE(AP1322,L1322,H1322)</f>
        <v>Def TaxNN3SFAS-109</v>
      </c>
      <c r="AS1322" s="125" t="str">
        <f>CONCATENATE(L1322,H1322,J1322)</f>
        <v>N3SFAS-109</v>
      </c>
    </row>
    <row r="1323" spans="1:45" s="125" customFormat="1" ht="25.5" customHeight="1">
      <c r="A1323" s="216" t="s">
        <v>1996</v>
      </c>
      <c r="B1323" s="217" t="str">
        <f t="shared" si="504"/>
        <v>Def Tax283018ASGA RefBT010010</v>
      </c>
      <c r="C1323" s="186">
        <v>283018</v>
      </c>
      <c r="D1323" s="201" t="s">
        <v>1755</v>
      </c>
      <c r="E1323" s="162" t="s">
        <v>879</v>
      </c>
      <c r="F1323" s="169" t="s">
        <v>1140</v>
      </c>
      <c r="G1323" s="117" t="s">
        <v>1757</v>
      </c>
      <c r="H1323" s="118" t="s">
        <v>521</v>
      </c>
      <c r="I1323" s="119"/>
      <c r="J1323" s="120" t="s">
        <v>105</v>
      </c>
      <c r="K1323" s="120" t="str">
        <f t="shared" si="543"/>
        <v/>
      </c>
      <c r="L1323" s="170" t="s">
        <v>2817</v>
      </c>
      <c r="M1323" s="122" t="str">
        <f t="shared" si="505"/>
        <v>N</v>
      </c>
      <c r="N1323" s="116" t="str">
        <f>IF($L1323&lt;&gt;"",VLOOKUP($L1323,Categories!$E:$G,2,FALSE),IF($F1323&lt;&gt;"","NO CAT",""))</f>
        <v>Not in Rate Base</v>
      </c>
      <c r="O1323" s="116" t="str">
        <f>IF($L1323&lt;&gt;"",VLOOKUP($L1323,Categories!$E:$G,3,FALSE),IF($F1323&lt;&gt;"","NO CAT",""))</f>
        <v>NM-2 ASGA</v>
      </c>
      <c r="P1323" s="170" t="s">
        <v>1186</v>
      </c>
      <c r="Q1323" s="123" t="s">
        <v>1187</v>
      </c>
      <c r="R1323" s="124">
        <v>0</v>
      </c>
      <c r="S1323" s="124">
        <v>0</v>
      </c>
      <c r="T1323" s="124">
        <v>1</v>
      </c>
      <c r="U1323" s="121">
        <f t="shared" si="516"/>
        <v>0</v>
      </c>
      <c r="V1323" s="121">
        <f t="shared" si="517"/>
        <v>0</v>
      </c>
      <c r="W1323" s="121">
        <f t="shared" si="518"/>
        <v>3606.8</v>
      </c>
      <c r="X1323" s="121">
        <f t="shared" si="519"/>
        <v>3606.8</v>
      </c>
      <c r="Y1323" s="121">
        <f t="shared" si="520"/>
        <v>0</v>
      </c>
      <c r="Z1323" s="121">
        <f t="shared" si="521"/>
        <v>0</v>
      </c>
      <c r="AA1323" s="121">
        <f t="shared" si="522"/>
        <v>3606.8</v>
      </c>
      <c r="AB1323" s="121">
        <f t="shared" si="523"/>
        <v>3606.8</v>
      </c>
      <c r="AC1323" s="121">
        <v>3606.8</v>
      </c>
      <c r="AD1323" s="121">
        <v>3606.8</v>
      </c>
      <c r="AE1323" s="121">
        <v>3606.8</v>
      </c>
      <c r="AF1323" s="121">
        <v>3606.8</v>
      </c>
      <c r="AG1323" s="121">
        <v>3606.8</v>
      </c>
      <c r="AH1323" s="121">
        <v>3606.8</v>
      </c>
      <c r="AI1323" s="161">
        <v>3606.8</v>
      </c>
      <c r="AJ1323" s="161">
        <v>3606.8</v>
      </c>
      <c r="AK1323" s="161">
        <v>3606.8</v>
      </c>
      <c r="AL1323" s="161">
        <v>3606.8</v>
      </c>
      <c r="AM1323" s="161">
        <v>3606.8</v>
      </c>
      <c r="AN1323" s="161">
        <v>3606.8</v>
      </c>
      <c r="AO1323" s="161">
        <v>3606.8</v>
      </c>
      <c r="AP1323" s="125" t="str">
        <f>CONCATENATE(A1323,M1323)</f>
        <v>Def TaxN</v>
      </c>
      <c r="AQ1323" s="125" t="str">
        <f>CONCATENATE(AP1323,L1323,H1323)</f>
        <v>Def TaxNN8ASGA</v>
      </c>
      <c r="AS1323" s="125" t="str">
        <f>CONCATENATE(L1323,H1323,J1323)</f>
        <v>N8ASGANCR</v>
      </c>
    </row>
    <row r="1324" spans="1:45" s="125" customFormat="1" ht="25.5" customHeight="1">
      <c r="A1324" s="216" t="s">
        <v>1996</v>
      </c>
      <c r="B1324" s="217" t="str">
        <f t="shared" ref="B1324:B1350" si="544">CONCATENATE(A1324,C1324,D1324,E1324)</f>
        <v>Def Tax283018DerivativeBT010057</v>
      </c>
      <c r="C1324" s="186">
        <v>283018</v>
      </c>
      <c r="D1324" s="201" t="s">
        <v>1028</v>
      </c>
      <c r="E1324" s="162" t="s">
        <v>498</v>
      </c>
      <c r="F1324" s="169" t="s">
        <v>1140</v>
      </c>
      <c r="G1324" s="117" t="s">
        <v>1959</v>
      </c>
      <c r="H1324" s="118" t="s">
        <v>1149</v>
      </c>
      <c r="I1324" s="119"/>
      <c r="J1324" s="120"/>
      <c r="K1324" s="120" t="str">
        <f t="shared" si="543"/>
        <v>SFAS-109</v>
      </c>
      <c r="L1324" s="170" t="s">
        <v>930</v>
      </c>
      <c r="M1324" s="122" t="str">
        <f t="shared" si="505"/>
        <v>N</v>
      </c>
      <c r="N1324" s="116" t="str">
        <f>IF($L1324&lt;&gt;"",VLOOKUP($L1324,Categories!$E:$G,2,FALSE),IF($F1324&lt;&gt;"","NO CAT",""))</f>
        <v>Not in Rate Base</v>
      </c>
      <c r="O1324" s="116" t="str">
        <f>IF($L1324&lt;&gt;"",VLOOKUP($L1324,Categories!$E:$G,3,FALSE),IF($F1324&lt;&gt;"","NO CAT",""))</f>
        <v>SFAS-109   (offsetting)</v>
      </c>
      <c r="P1324" s="170" t="s">
        <v>1186</v>
      </c>
      <c r="Q1324" s="123" t="s">
        <v>1187</v>
      </c>
      <c r="R1324" s="124">
        <v>0</v>
      </c>
      <c r="S1324" s="124">
        <v>0</v>
      </c>
      <c r="T1324" s="124">
        <v>1</v>
      </c>
      <c r="U1324" s="121">
        <f t="shared" si="516"/>
        <v>0</v>
      </c>
      <c r="V1324" s="121">
        <f t="shared" si="517"/>
        <v>0</v>
      </c>
      <c r="W1324" s="121">
        <f t="shared" si="518"/>
        <v>-47106.750999999997</v>
      </c>
      <c r="X1324" s="121">
        <f t="shared" ref="X1324:X1350" si="545">IF(ISERROR(ROUND((SUM(AC1324:AO1324)-((AC1324+AO1324))/2)/12,15)),"",ROUND((SUM(AC1324:AO1324)-((AC1324+AO1324))/2)/12,15))</f>
        <v>-47106.750999999997</v>
      </c>
      <c r="Y1324" s="121">
        <f t="shared" si="520"/>
        <v>0</v>
      </c>
      <c r="Z1324" s="121">
        <f t="shared" si="521"/>
        <v>0</v>
      </c>
      <c r="AA1324" s="121">
        <f t="shared" si="522"/>
        <v>-47106.750999999997</v>
      </c>
      <c r="AB1324" s="121">
        <f t="shared" ref="AB1324:AB1350" si="546">IF(AO1324="",0,+AO1324)</f>
        <v>-47106.750999999997</v>
      </c>
      <c r="AC1324" s="121">
        <v>-47106.750999999997</v>
      </c>
      <c r="AD1324" s="121">
        <v>-47106.750999999997</v>
      </c>
      <c r="AE1324" s="121">
        <v>-47106.750999999997</v>
      </c>
      <c r="AF1324" s="121">
        <v>-47106.750999999997</v>
      </c>
      <c r="AG1324" s="121">
        <v>-47106.750999999997</v>
      </c>
      <c r="AH1324" s="121">
        <v>-47106.750999999997</v>
      </c>
      <c r="AI1324" s="161">
        <v>-47106.750999999997</v>
      </c>
      <c r="AJ1324" s="161">
        <v>-47106.750999999997</v>
      </c>
      <c r="AK1324" s="161">
        <v>-47106.750999999997</v>
      </c>
      <c r="AL1324" s="161">
        <v>-47106.750999999997</v>
      </c>
      <c r="AM1324" s="161">
        <v>-47106.750999999997</v>
      </c>
      <c r="AN1324" s="161">
        <v>-47106.750999999997</v>
      </c>
      <c r="AO1324" s="161">
        <v>-47106.750999999997</v>
      </c>
      <c r="AP1324" s="125" t="str">
        <f>CONCATENATE(A1324,M1324)</f>
        <v>Def TaxN</v>
      </c>
      <c r="AQ1324" s="125" t="str">
        <f>CONCATENATE(AP1324,L1324,H1324)</f>
        <v>Def TaxNN3SFAS-109</v>
      </c>
      <c r="AS1324" s="125" t="str">
        <f>CONCATENATE(L1324,H1324,J1324)</f>
        <v>N3SFAS-109</v>
      </c>
    </row>
    <row r="1325" spans="1:45" s="125" customFormat="1" ht="25.5" customHeight="1">
      <c r="A1325" s="216" t="s">
        <v>1996</v>
      </c>
      <c r="B1325" s="217" t="str">
        <f t="shared" si="544"/>
        <v>Def Tax283019DerivativeBT010057</v>
      </c>
      <c r="C1325" s="186">
        <v>283019</v>
      </c>
      <c r="D1325" s="201" t="s">
        <v>1028</v>
      </c>
      <c r="E1325" s="162" t="s">
        <v>498</v>
      </c>
      <c r="F1325" s="169" t="s">
        <v>143</v>
      </c>
      <c r="G1325" s="117" t="s">
        <v>752</v>
      </c>
      <c r="H1325" s="118" t="s">
        <v>1149</v>
      </c>
      <c r="I1325" s="119"/>
      <c r="J1325" s="120"/>
      <c r="K1325" s="120" t="str">
        <f t="shared" si="543"/>
        <v>SFAS-109</v>
      </c>
      <c r="L1325" s="170" t="s">
        <v>930</v>
      </c>
      <c r="M1325" s="122" t="str">
        <f t="shared" ref="M1325:M1339" si="547">LEFT(L1325,1)</f>
        <v>N</v>
      </c>
      <c r="N1325" s="116" t="str">
        <f>IF($L1325&lt;&gt;"",VLOOKUP($L1325,Categories!$E:$G,2,FALSE),IF($F1325&lt;&gt;"","NO CAT",""))</f>
        <v>Not in Rate Base</v>
      </c>
      <c r="O1325" s="116" t="str">
        <f>IF($L1325&lt;&gt;"",VLOOKUP($L1325,Categories!$E:$G,3,FALSE),IF($F1325&lt;&gt;"","NO CAT",""))</f>
        <v>SFAS-109   (offsetting)</v>
      </c>
      <c r="P1325" s="170" t="s">
        <v>1186</v>
      </c>
      <c r="Q1325" s="123" t="s">
        <v>1187</v>
      </c>
      <c r="R1325" s="124">
        <v>0</v>
      </c>
      <c r="S1325" s="124">
        <v>0</v>
      </c>
      <c r="T1325" s="124">
        <v>1</v>
      </c>
      <c r="U1325" s="121">
        <f t="shared" si="516"/>
        <v>0</v>
      </c>
      <c r="V1325" s="121">
        <f t="shared" si="517"/>
        <v>0</v>
      </c>
      <c r="W1325" s="121">
        <f t="shared" si="518"/>
        <v>-6028.3509999999997</v>
      </c>
      <c r="X1325" s="121">
        <f t="shared" si="545"/>
        <v>-6028.3509999999997</v>
      </c>
      <c r="Y1325" s="121">
        <f t="shared" si="520"/>
        <v>0</v>
      </c>
      <c r="Z1325" s="121">
        <f t="shared" si="521"/>
        <v>0</v>
      </c>
      <c r="AA1325" s="121">
        <f t="shared" si="522"/>
        <v>-6028.3509999999997</v>
      </c>
      <c r="AB1325" s="121">
        <f t="shared" si="546"/>
        <v>-6028.3509999999997</v>
      </c>
      <c r="AC1325" s="121">
        <v>-6028.3509999999997</v>
      </c>
      <c r="AD1325" s="121">
        <v>-6028.3509999999997</v>
      </c>
      <c r="AE1325" s="121">
        <v>-6028.3509999999997</v>
      </c>
      <c r="AF1325" s="121">
        <v>-6028.3509999999997</v>
      </c>
      <c r="AG1325" s="121">
        <v>-6028.3509999999997</v>
      </c>
      <c r="AH1325" s="121">
        <v>-6028.3509999999997</v>
      </c>
      <c r="AI1325" s="161">
        <v>-6028.3509999999997</v>
      </c>
      <c r="AJ1325" s="161">
        <v>-6028.3509999999997</v>
      </c>
      <c r="AK1325" s="161">
        <v>-6028.3509999999997</v>
      </c>
      <c r="AL1325" s="161">
        <v>-6028.3509999999997</v>
      </c>
      <c r="AM1325" s="161">
        <v>-6028.3509999999997</v>
      </c>
      <c r="AN1325" s="161">
        <v>-6028.3509999999997</v>
      </c>
      <c r="AO1325" s="161">
        <v>-6028.3509999999997</v>
      </c>
      <c r="AP1325" s="125" t="str">
        <f>CONCATENATE(A1325,M1325)</f>
        <v>Def TaxN</v>
      </c>
      <c r="AQ1325" s="125" t="str">
        <f>CONCATENATE(AP1325,L1325,H1325)</f>
        <v>Def TaxNN3SFAS-109</v>
      </c>
      <c r="AS1325" s="125" t="str">
        <f>CONCATENATE(L1325,H1325,J1325)</f>
        <v>N3SFAS-109</v>
      </c>
    </row>
    <row r="1326" spans="1:45" s="125" customFormat="1" ht="25.5" customHeight="1">
      <c r="A1326" s="216" t="s">
        <v>1996</v>
      </c>
      <c r="B1326" s="217" t="str">
        <f t="shared" si="544"/>
        <v>Def Tax2831610FAS109</v>
      </c>
      <c r="C1326" s="186">
        <v>283161</v>
      </c>
      <c r="D1326" s="201">
        <v>0</v>
      </c>
      <c r="E1326" s="162" t="s">
        <v>4707</v>
      </c>
      <c r="F1326" s="169" t="s">
        <v>880</v>
      </c>
      <c r="G1326" s="117" t="s">
        <v>880</v>
      </c>
      <c r="H1326" s="118" t="s">
        <v>1149</v>
      </c>
      <c r="I1326" s="119"/>
      <c r="J1326" s="120"/>
      <c r="K1326" s="120" t="str">
        <f t="shared" ref="K1326:K1338" si="548">IF(L1326="N3","SFAS-109","")</f>
        <v>SFAS-109</v>
      </c>
      <c r="L1326" s="170" t="s">
        <v>930</v>
      </c>
      <c r="M1326" s="122" t="str">
        <f t="shared" si="547"/>
        <v>N</v>
      </c>
      <c r="N1326" s="116" t="str">
        <f>IF($L1326&lt;&gt;"",VLOOKUP($L1326,Categories!$E:$G,2,FALSE),IF($F1326&lt;&gt;"","NO CAT",""))</f>
        <v>Not in Rate Base</v>
      </c>
      <c r="O1326" s="116" t="str">
        <f>IF($L1326&lt;&gt;"",VLOOKUP($L1326,Categories!$E:$G,3,FALSE),IF($F1326&lt;&gt;"","NO CAT",""))</f>
        <v>SFAS-109   (offsetting)</v>
      </c>
      <c r="P1326" s="170" t="s">
        <v>1186</v>
      </c>
      <c r="Q1326" s="123" t="s">
        <v>1187</v>
      </c>
      <c r="R1326" s="124">
        <v>0</v>
      </c>
      <c r="S1326" s="124">
        <v>0</v>
      </c>
      <c r="T1326" s="124">
        <v>1</v>
      </c>
      <c r="U1326" s="121">
        <f t="shared" si="516"/>
        <v>0</v>
      </c>
      <c r="V1326" s="121">
        <f t="shared" si="517"/>
        <v>0</v>
      </c>
      <c r="W1326" s="121">
        <f t="shared" si="518"/>
        <v>-4175.6505883333302</v>
      </c>
      <c r="X1326" s="121">
        <f t="shared" si="545"/>
        <v>-4175.6505883333302</v>
      </c>
      <c r="Y1326" s="121">
        <f t="shared" si="520"/>
        <v>0</v>
      </c>
      <c r="Z1326" s="121">
        <f t="shared" si="521"/>
        <v>0</v>
      </c>
      <c r="AA1326" s="121">
        <f t="shared" si="522"/>
        <v>-4423.7400500000003</v>
      </c>
      <c r="AB1326" s="121">
        <f t="shared" si="546"/>
        <v>-4423.7400499999967</v>
      </c>
      <c r="AC1326" s="121">
        <v>-3927.5611499999977</v>
      </c>
      <c r="AD1326" s="121">
        <v>-3968.9093700000003</v>
      </c>
      <c r="AE1326" s="121">
        <v>-4010.2576299999973</v>
      </c>
      <c r="AF1326" s="121">
        <v>-4051.6058199999975</v>
      </c>
      <c r="AG1326" s="121">
        <v>-4092.9540799999972</v>
      </c>
      <c r="AH1326" s="121">
        <v>-4134.3023800000001</v>
      </c>
      <c r="AI1326" s="161">
        <v>-4175.6505699999971</v>
      </c>
      <c r="AJ1326" s="161">
        <v>-4216.9988499999972</v>
      </c>
      <c r="AK1326" s="161">
        <v>-4258.3470599999964</v>
      </c>
      <c r="AL1326" s="161">
        <v>-4299.6952899999969</v>
      </c>
      <c r="AM1326" s="161">
        <v>-4341.0435699999971</v>
      </c>
      <c r="AN1326" s="161">
        <v>-4382.3918399999975</v>
      </c>
      <c r="AO1326" s="161">
        <v>-4423.7400499999967</v>
      </c>
      <c r="AP1326" s="125" t="str">
        <f>CONCATENATE(A1326,M1326)</f>
        <v>Def TaxN</v>
      </c>
      <c r="AQ1326" s="125" t="str">
        <f>CONCATENATE(AP1326,L1326,H1326)</f>
        <v>Def TaxNN3SFAS-109</v>
      </c>
      <c r="AS1326" s="125" t="str">
        <f>CONCATENATE(L1326,H1326,J1326)</f>
        <v>N3SFAS-109</v>
      </c>
    </row>
    <row r="1327" spans="1:45" s="125" customFormat="1" ht="25.5" customHeight="1">
      <c r="A1327" s="216" t="s">
        <v>1996</v>
      </c>
      <c r="B1327" s="217" t="str">
        <f t="shared" si="544"/>
        <v>Def Tax2831620FAS109</v>
      </c>
      <c r="C1327" s="186">
        <v>283162</v>
      </c>
      <c r="D1327" s="201">
        <v>0</v>
      </c>
      <c r="E1327" s="162" t="s">
        <v>4707</v>
      </c>
      <c r="F1327" s="169" t="s">
        <v>880</v>
      </c>
      <c r="G1327" s="117" t="s">
        <v>880</v>
      </c>
      <c r="H1327" s="118" t="s">
        <v>1149</v>
      </c>
      <c r="I1327" s="119"/>
      <c r="J1327" s="120"/>
      <c r="K1327" s="120" t="str">
        <f t="shared" si="548"/>
        <v>SFAS-109</v>
      </c>
      <c r="L1327" s="170" t="s">
        <v>930</v>
      </c>
      <c r="M1327" s="122" t="str">
        <f t="shared" si="547"/>
        <v>N</v>
      </c>
      <c r="N1327" s="116" t="str">
        <f>IF($L1327&lt;&gt;"",VLOOKUP($L1327,Categories!$E:$G,2,FALSE),IF($F1327&lt;&gt;"","NO CAT",""))</f>
        <v>Not in Rate Base</v>
      </c>
      <c r="O1327" s="116" t="str">
        <f>IF($L1327&lt;&gt;"",VLOOKUP($L1327,Categories!$E:$G,3,FALSE),IF($F1327&lt;&gt;"","NO CAT",""))</f>
        <v>SFAS-109   (offsetting)</v>
      </c>
      <c r="P1327" s="170" t="s">
        <v>1186</v>
      </c>
      <c r="Q1327" s="123" t="s">
        <v>1187</v>
      </c>
      <c r="R1327" s="124">
        <v>0</v>
      </c>
      <c r="S1327" s="124">
        <v>0</v>
      </c>
      <c r="T1327" s="124">
        <v>1</v>
      </c>
      <c r="U1327" s="121">
        <f t="shared" ref="U1327:U1353" si="549">IF(ABS(X1327)=0,"",IF($R1327="NO ALLOC","NO ALLOC",ROUND($R1327*X1327,15)))</f>
        <v>0</v>
      </c>
      <c r="V1327" s="121">
        <f t="shared" ref="V1327:V1353" si="550">IF(ABS(X1327)=0,"",IF($S1327="NO ALLOC","NO ALLOC",ROUND($S1327*X1327,15)))</f>
        <v>0</v>
      </c>
      <c r="W1327" s="121">
        <f t="shared" ref="W1327:W1353" si="551">IF(ABS(X1327)=0,"",IF($T1327="NO ALLOC","NO ALLOC",ROUND($T1327*X1327,15)))</f>
        <v>-1359.4018795833299</v>
      </c>
      <c r="X1327" s="121">
        <f t="shared" si="545"/>
        <v>-1359.4018795833299</v>
      </c>
      <c r="Y1327" s="121">
        <f t="shared" ref="Y1327:Y1353" si="552">IF(ABS(AB1327)=0,"",IF($R1327="NO ALLOC","NO ALLOC",ROUND($R1327*AB1327,15)))</f>
        <v>0</v>
      </c>
      <c r="Z1327" s="121">
        <f t="shared" ref="Z1327:Z1353" si="553">IF(ABS(AB1327)=0,"",IF($S1327="NO ALLOC","NO ALLOC",ROUND($S1327*AB1327,15)))</f>
        <v>0</v>
      </c>
      <c r="AA1327" s="121">
        <f t="shared" ref="AA1327:AA1353" si="554">IF(ABS(AB1327)=0,"",IF($T1327="NO ALLOC","NO ALLOC",ROUND($T1327*AB1327,15)))</f>
        <v>-1452.50514</v>
      </c>
      <c r="AB1327" s="121">
        <f t="shared" si="546"/>
        <v>-1452.5051399999982</v>
      </c>
      <c r="AC1327" s="121">
        <v>-1266.1942699999981</v>
      </c>
      <c r="AD1327" s="121">
        <v>-1282.32123</v>
      </c>
      <c r="AE1327" s="121">
        <v>-1298.4482099999982</v>
      </c>
      <c r="AF1327" s="121">
        <v>-1314.5752899999982</v>
      </c>
      <c r="AG1327" s="121">
        <v>-1327.7560099999982</v>
      </c>
      <c r="AH1327" s="121">
        <v>-1343.14636</v>
      </c>
      <c r="AI1327" s="161">
        <v>-1358.5368299999982</v>
      </c>
      <c r="AJ1327" s="161">
        <v>-1373.9272699999981</v>
      </c>
      <c r="AK1327" s="161">
        <v>-1390.4015199999981</v>
      </c>
      <c r="AL1327" s="161">
        <v>-1405.9274899999982</v>
      </c>
      <c r="AM1327" s="161">
        <v>-1421.4533499999982</v>
      </c>
      <c r="AN1327" s="161">
        <v>-1436.9792899999982</v>
      </c>
      <c r="AO1327" s="161">
        <v>-1452.5051399999982</v>
      </c>
      <c r="AP1327" s="125" t="str">
        <f>CONCATENATE(A1327,M1327)</f>
        <v>Def TaxN</v>
      </c>
      <c r="AQ1327" s="125" t="str">
        <f>CONCATENATE(AP1327,L1327,H1327)</f>
        <v>Def TaxNN3SFAS-109</v>
      </c>
      <c r="AS1327" s="125" t="str">
        <f>CONCATENATE(L1327,H1327,J1327)</f>
        <v>N3SFAS-109</v>
      </c>
    </row>
    <row r="1328" spans="1:45" s="125" customFormat="1" ht="25.5" customHeight="1">
      <c r="A1328" s="216" t="s">
        <v>1996</v>
      </c>
      <c r="B1328" s="217" t="str">
        <f t="shared" si="544"/>
        <v>Def Tax2831710FAS109</v>
      </c>
      <c r="C1328" s="186">
        <v>283171</v>
      </c>
      <c r="D1328" s="201">
        <v>0</v>
      </c>
      <c r="E1328" s="162" t="s">
        <v>4707</v>
      </c>
      <c r="F1328" s="169" t="s">
        <v>880</v>
      </c>
      <c r="G1328" s="117" t="s">
        <v>880</v>
      </c>
      <c r="H1328" s="118" t="s">
        <v>1149</v>
      </c>
      <c r="I1328" s="119"/>
      <c r="J1328" s="120"/>
      <c r="K1328" s="120" t="str">
        <f t="shared" si="548"/>
        <v>SFAS-109</v>
      </c>
      <c r="L1328" s="170" t="s">
        <v>930</v>
      </c>
      <c r="M1328" s="122" t="str">
        <f t="shared" si="547"/>
        <v>N</v>
      </c>
      <c r="N1328" s="116" t="str">
        <f>IF($L1328&lt;&gt;"",VLOOKUP($L1328,Categories!$E:$G,2,FALSE),IF($F1328&lt;&gt;"","NO CAT",""))</f>
        <v>Not in Rate Base</v>
      </c>
      <c r="O1328" s="116" t="str">
        <f>IF($L1328&lt;&gt;"",VLOOKUP($L1328,Categories!$E:$G,3,FALSE),IF($F1328&lt;&gt;"","NO CAT",""))</f>
        <v>SFAS-109   (offsetting)</v>
      </c>
      <c r="P1328" s="170" t="s">
        <v>1186</v>
      </c>
      <c r="Q1328" s="123" t="s">
        <v>1187</v>
      </c>
      <c r="R1328" s="124">
        <v>0</v>
      </c>
      <c r="S1328" s="124">
        <v>0</v>
      </c>
      <c r="T1328" s="124">
        <v>1</v>
      </c>
      <c r="U1328" s="121">
        <f t="shared" si="549"/>
        <v>0</v>
      </c>
      <c r="V1328" s="121">
        <f t="shared" si="550"/>
        <v>0</v>
      </c>
      <c r="W1328" s="121">
        <f t="shared" si="551"/>
        <v>-685.65815166666698</v>
      </c>
      <c r="X1328" s="121">
        <f t="shared" si="545"/>
        <v>-685.65815166666698</v>
      </c>
      <c r="Y1328" s="121">
        <f t="shared" si="552"/>
        <v>0</v>
      </c>
      <c r="Z1328" s="121">
        <f t="shared" si="553"/>
        <v>0</v>
      </c>
      <c r="AA1328" s="121">
        <f t="shared" si="554"/>
        <v>-739.83113000000003</v>
      </c>
      <c r="AB1328" s="121">
        <f t="shared" si="546"/>
        <v>-739.83112999999992</v>
      </c>
      <c r="AC1328" s="121">
        <v>-631.48516999999981</v>
      </c>
      <c r="AD1328" s="121">
        <v>-640.51397999999995</v>
      </c>
      <c r="AE1328" s="121">
        <v>-649.54284999999982</v>
      </c>
      <c r="AF1328" s="121">
        <v>-658.57168999999988</v>
      </c>
      <c r="AG1328" s="121">
        <v>-667.60046999999986</v>
      </c>
      <c r="AH1328" s="121">
        <v>-676.62932999999998</v>
      </c>
      <c r="AI1328" s="161">
        <v>-685.65812999999991</v>
      </c>
      <c r="AJ1328" s="161">
        <v>-694.68700999999987</v>
      </c>
      <c r="AK1328" s="161">
        <v>-703.71580999999992</v>
      </c>
      <c r="AL1328" s="161">
        <v>-712.74463999999989</v>
      </c>
      <c r="AM1328" s="161">
        <v>-721.77344999999991</v>
      </c>
      <c r="AN1328" s="161">
        <v>-730.80230999999992</v>
      </c>
      <c r="AO1328" s="161">
        <v>-739.83112999999992</v>
      </c>
      <c r="AP1328" s="125" t="str">
        <f>CONCATENATE(A1328,M1328)</f>
        <v>Def TaxN</v>
      </c>
      <c r="AQ1328" s="125" t="str">
        <f>CONCATENATE(AP1328,L1328,H1328)</f>
        <v>Def TaxNN3SFAS-109</v>
      </c>
      <c r="AS1328" s="125" t="str">
        <f>CONCATENATE(L1328,H1328,J1328)</f>
        <v>N3SFAS-109</v>
      </c>
    </row>
    <row r="1329" spans="1:45" s="125" customFormat="1" ht="25.5" customHeight="1">
      <c r="A1329" s="216" t="s">
        <v>1996</v>
      </c>
      <c r="B1329" s="217" t="str">
        <f t="shared" si="544"/>
        <v>Def Tax2831720FAS109</v>
      </c>
      <c r="C1329" s="186">
        <v>283172</v>
      </c>
      <c r="D1329" s="201">
        <v>0</v>
      </c>
      <c r="E1329" s="162" t="s">
        <v>4707</v>
      </c>
      <c r="F1329" s="169" t="s">
        <v>880</v>
      </c>
      <c r="G1329" s="117" t="s">
        <v>880</v>
      </c>
      <c r="H1329" s="118" t="s">
        <v>1149</v>
      </c>
      <c r="I1329" s="119"/>
      <c r="J1329" s="120"/>
      <c r="K1329" s="120" t="str">
        <f t="shared" si="548"/>
        <v>SFAS-109</v>
      </c>
      <c r="L1329" s="170" t="s">
        <v>930</v>
      </c>
      <c r="M1329" s="122" t="str">
        <f t="shared" si="547"/>
        <v>N</v>
      </c>
      <c r="N1329" s="116" t="str">
        <f>IF($L1329&lt;&gt;"",VLOOKUP($L1329,Categories!$E:$G,2,FALSE),IF($F1329&lt;&gt;"","NO CAT",""))</f>
        <v>Not in Rate Base</v>
      </c>
      <c r="O1329" s="116" t="str">
        <f>IF($L1329&lt;&gt;"",VLOOKUP($L1329,Categories!$E:$G,3,FALSE),IF($F1329&lt;&gt;"","NO CAT",""))</f>
        <v>SFAS-109   (offsetting)</v>
      </c>
      <c r="P1329" s="170" t="s">
        <v>1186</v>
      </c>
      <c r="Q1329" s="123" t="s">
        <v>1187</v>
      </c>
      <c r="R1329" s="124">
        <v>0</v>
      </c>
      <c r="S1329" s="124">
        <v>0</v>
      </c>
      <c r="T1329" s="124">
        <v>1</v>
      </c>
      <c r="U1329" s="121">
        <f t="shared" si="549"/>
        <v>0</v>
      </c>
      <c r="V1329" s="121">
        <f t="shared" si="550"/>
        <v>0</v>
      </c>
      <c r="W1329" s="121">
        <f t="shared" si="551"/>
        <v>-223.619380833333</v>
      </c>
      <c r="X1329" s="121">
        <f t="shared" si="545"/>
        <v>-223.619380833333</v>
      </c>
      <c r="Y1329" s="121">
        <f t="shared" si="552"/>
        <v>0</v>
      </c>
      <c r="Z1329" s="121">
        <f t="shared" si="553"/>
        <v>0</v>
      </c>
      <c r="AA1329" s="121">
        <f t="shared" si="554"/>
        <v>-243.94949</v>
      </c>
      <c r="AB1329" s="121">
        <f t="shared" si="546"/>
        <v>-243.94948999999968</v>
      </c>
      <c r="AC1329" s="121">
        <v>-203.26648999999969</v>
      </c>
      <c r="AD1329" s="121">
        <v>-206.78798</v>
      </c>
      <c r="AE1329" s="121">
        <v>-210.30949999999967</v>
      </c>
      <c r="AF1329" s="121">
        <v>-213.8309799999997</v>
      </c>
      <c r="AG1329" s="121">
        <v>-216.70915999999968</v>
      </c>
      <c r="AH1329" s="121">
        <v>-220.06984</v>
      </c>
      <c r="AI1329" s="161">
        <v>-223.4304799999997</v>
      </c>
      <c r="AJ1329" s="161">
        <v>-226.7911399999997</v>
      </c>
      <c r="AK1329" s="161">
        <v>-230.38849999999968</v>
      </c>
      <c r="AL1329" s="161">
        <v>-233.77874999999969</v>
      </c>
      <c r="AM1329" s="161">
        <v>-237.16902999999968</v>
      </c>
      <c r="AN1329" s="161">
        <v>-240.55921999999967</v>
      </c>
      <c r="AO1329" s="161">
        <v>-243.94948999999968</v>
      </c>
      <c r="AP1329" s="125" t="str">
        <f>CONCATENATE(A1329,M1329)</f>
        <v>Def TaxN</v>
      </c>
      <c r="AQ1329" s="125" t="str">
        <f>CONCATENATE(AP1329,L1329,H1329)</f>
        <v>Def TaxNN3SFAS-109</v>
      </c>
      <c r="AS1329" s="125" t="str">
        <f>CONCATENATE(L1329,H1329,J1329)</f>
        <v>N3SFAS-109</v>
      </c>
    </row>
    <row r="1330" spans="1:45" s="125" customFormat="1" ht="25.5" customHeight="1">
      <c r="A1330" s="216" t="s">
        <v>1996</v>
      </c>
      <c r="B1330" s="217" t="str">
        <f t="shared" si="544"/>
        <v>Def Tax2832000-283.22.030</v>
      </c>
      <c r="C1330" s="186">
        <v>283200</v>
      </c>
      <c r="D1330" s="201" t="s">
        <v>306</v>
      </c>
      <c r="E1330" s="162">
        <v>0</v>
      </c>
      <c r="F1330" s="169" t="s">
        <v>300</v>
      </c>
      <c r="G1330" s="117" t="s">
        <v>274</v>
      </c>
      <c r="H1330" s="118" t="s">
        <v>275</v>
      </c>
      <c r="I1330" s="119"/>
      <c r="J1330" s="120"/>
      <c r="K1330" s="120" t="str">
        <f t="shared" si="548"/>
        <v/>
      </c>
      <c r="L1330" s="170" t="s">
        <v>1895</v>
      </c>
      <c r="M1330" s="122" t="str">
        <f t="shared" si="547"/>
        <v>R</v>
      </c>
      <c r="N1330" s="116" t="str">
        <f>IF($L1330&lt;&gt;"",VLOOKUP($L1330,Categories!$E:$G,2,FALSE),IF($F1330&lt;&gt;"","NO CAT",""))</f>
        <v>Rate Base</v>
      </c>
      <c r="O1330" s="116" t="str">
        <f>IF($L1330&lt;&gt;"",VLOOKUP($L1330,Categories!$E:$G,3,FALSE),IF($F1330&lt;&gt;"","NO CAT",""))</f>
        <v>Deferred Income Taxes</v>
      </c>
      <c r="P1330" s="170" t="s">
        <v>1183</v>
      </c>
      <c r="Q1330" s="123" t="s">
        <v>1177</v>
      </c>
      <c r="R1330" s="124">
        <v>1</v>
      </c>
      <c r="S1330" s="124">
        <v>0</v>
      </c>
      <c r="T1330" s="124">
        <v>0</v>
      </c>
      <c r="U1330" s="121">
        <f t="shared" si="549"/>
        <v>-6.3E-2</v>
      </c>
      <c r="V1330" s="121">
        <f t="shared" si="550"/>
        <v>0</v>
      </c>
      <c r="W1330" s="121">
        <f t="shared" si="551"/>
        <v>0</v>
      </c>
      <c r="X1330" s="121">
        <f t="shared" si="545"/>
        <v>-6.3E-2</v>
      </c>
      <c r="Y1330" s="121">
        <f t="shared" si="552"/>
        <v>-7.1999999999999995E-2</v>
      </c>
      <c r="Z1330" s="121">
        <f t="shared" si="553"/>
        <v>0</v>
      </c>
      <c r="AA1330" s="121">
        <f t="shared" si="554"/>
        <v>0</v>
      </c>
      <c r="AB1330" s="121">
        <f t="shared" si="546"/>
        <v>-7.1999999999999995E-2</v>
      </c>
      <c r="AC1330" s="121">
        <v>0</v>
      </c>
      <c r="AD1330" s="121">
        <v>-7.1999999999999995E-2</v>
      </c>
      <c r="AE1330" s="121">
        <v>0</v>
      </c>
      <c r="AF1330" s="121">
        <v>-7.1999999999999995E-2</v>
      </c>
      <c r="AG1330" s="121">
        <v>-7.1999999999999995E-2</v>
      </c>
      <c r="AH1330" s="121">
        <v>-7.1999999999999995E-2</v>
      </c>
      <c r="AI1330" s="161">
        <v>-7.1999999999999995E-2</v>
      </c>
      <c r="AJ1330" s="161">
        <v>-7.1999999999999995E-2</v>
      </c>
      <c r="AK1330" s="161">
        <v>-7.1999999999999995E-2</v>
      </c>
      <c r="AL1330" s="161">
        <v>-7.1999999999999995E-2</v>
      </c>
      <c r="AM1330" s="161">
        <v>-7.1999999999999995E-2</v>
      </c>
      <c r="AN1330" s="161">
        <v>-7.1999999999999995E-2</v>
      </c>
      <c r="AO1330" s="161">
        <v>-7.1999999999999995E-2</v>
      </c>
      <c r="AP1330" s="125" t="str">
        <f>CONCATENATE(A1330,M1330)</f>
        <v>Def TaxR</v>
      </c>
      <c r="AQ1330" s="125" t="str">
        <f>CONCATENATE(AP1330,L1330,H1330)</f>
        <v>Def TaxRR11Asbestos Abatement</v>
      </c>
      <c r="AS1330" s="125" t="str">
        <f>CONCATENATE(L1330,H1330,J1330)</f>
        <v>R11Asbestos Abatement</v>
      </c>
    </row>
    <row r="1331" spans="1:45" s="125" customFormat="1" ht="25.5" customHeight="1">
      <c r="A1331" s="216" t="s">
        <v>1996</v>
      </c>
      <c r="B1331" s="217" t="str">
        <f t="shared" si="544"/>
        <v>Def Tax283200Caslty LossBT010264</v>
      </c>
      <c r="C1331" s="186">
        <v>283200</v>
      </c>
      <c r="D1331" s="201" t="s">
        <v>2280</v>
      </c>
      <c r="E1331" s="162" t="s">
        <v>225</v>
      </c>
      <c r="F1331" s="169" t="s">
        <v>300</v>
      </c>
      <c r="G1331" s="117" t="s">
        <v>2279</v>
      </c>
      <c r="H1331" s="118" t="s">
        <v>968</v>
      </c>
      <c r="I1331" s="119"/>
      <c r="J1331" s="120"/>
      <c r="K1331" s="120" t="str">
        <f t="shared" si="548"/>
        <v/>
      </c>
      <c r="L1331" s="170" t="s">
        <v>1895</v>
      </c>
      <c r="M1331" s="122" t="str">
        <f t="shared" si="547"/>
        <v>R</v>
      </c>
      <c r="N1331" s="116" t="str">
        <f>IF($L1331&lt;&gt;"",VLOOKUP($L1331,Categories!$E:$G,2,FALSE),IF($F1331&lt;&gt;"","NO CAT",""))</f>
        <v>Rate Base</v>
      </c>
      <c r="O1331" s="116" t="str">
        <f>IF($L1331&lt;&gt;"",VLOOKUP($L1331,Categories!$E:$G,3,FALSE),IF($F1331&lt;&gt;"","NO CAT",""))</f>
        <v>Deferred Income Taxes</v>
      </c>
      <c r="P1331" s="170" t="s">
        <v>1183</v>
      </c>
      <c r="Q1331" s="123" t="s">
        <v>1177</v>
      </c>
      <c r="R1331" s="124">
        <v>1</v>
      </c>
      <c r="S1331" s="124">
        <v>0</v>
      </c>
      <c r="T1331" s="124">
        <v>0</v>
      </c>
      <c r="U1331" s="121">
        <f t="shared" si="549"/>
        <v>1.6539999999999999E-11</v>
      </c>
      <c r="V1331" s="121">
        <f t="shared" si="550"/>
        <v>0</v>
      </c>
      <c r="W1331" s="121">
        <f t="shared" si="551"/>
        <v>0</v>
      </c>
      <c r="X1331" s="121">
        <f t="shared" si="545"/>
        <v>1.6539999999999999E-11</v>
      </c>
      <c r="Y1331" s="121">
        <f t="shared" si="552"/>
        <v>1.6539999999999999E-11</v>
      </c>
      <c r="Z1331" s="121">
        <f t="shared" si="553"/>
        <v>0</v>
      </c>
      <c r="AA1331" s="121">
        <f t="shared" si="554"/>
        <v>0</v>
      </c>
      <c r="AB1331" s="121">
        <f t="shared" si="546"/>
        <v>1.6540288916289116E-11</v>
      </c>
      <c r="AC1331" s="121">
        <v>1.6540288916289116E-11</v>
      </c>
      <c r="AD1331" s="121">
        <v>1.6540288916289116E-11</v>
      </c>
      <c r="AE1331" s="121">
        <v>1.6540288916289116E-11</v>
      </c>
      <c r="AF1331" s="121">
        <v>1.6540288916289116E-11</v>
      </c>
      <c r="AG1331" s="121">
        <v>1.6540288916289116E-11</v>
      </c>
      <c r="AH1331" s="121">
        <v>1.6540288916289116E-11</v>
      </c>
      <c r="AI1331" s="161">
        <v>1.6540288916289116E-11</v>
      </c>
      <c r="AJ1331" s="161">
        <v>1.6540288916289116E-11</v>
      </c>
      <c r="AK1331" s="161">
        <v>1.6540288916289116E-11</v>
      </c>
      <c r="AL1331" s="161">
        <v>1.6540288916289116E-11</v>
      </c>
      <c r="AM1331" s="161">
        <v>1.6540288916289116E-11</v>
      </c>
      <c r="AN1331" s="161">
        <v>1.6540288916289116E-11</v>
      </c>
      <c r="AO1331" s="161">
        <v>1.6540288916289116E-11</v>
      </c>
      <c r="AP1331" s="125" t="str">
        <f>CONCATENATE(A1331,M1331)</f>
        <v>Def TaxR</v>
      </c>
      <c r="AQ1331" s="125" t="str">
        <f>CONCATENATE(AP1331,L1331,H1331)</f>
        <v>Def TaxRR11Casualty Loss</v>
      </c>
      <c r="AS1331" s="125" t="str">
        <f>CONCATENATE(L1331,H1331,J1331)</f>
        <v>R11Casualty Loss</v>
      </c>
    </row>
    <row r="1332" spans="1:45" s="125" customFormat="1" ht="25.5" customHeight="1">
      <c r="A1332" s="216" t="s">
        <v>1996</v>
      </c>
      <c r="B1332" s="217" t="str">
        <f t="shared" si="544"/>
        <v>Def Tax2832000-283.20.82BT010038</v>
      </c>
      <c r="C1332" s="186">
        <v>283200</v>
      </c>
      <c r="D1332" s="201" t="s">
        <v>1951</v>
      </c>
      <c r="E1332" s="162" t="s">
        <v>226</v>
      </c>
      <c r="F1332" s="169" t="s">
        <v>300</v>
      </c>
      <c r="G1332" s="117" t="s">
        <v>2715</v>
      </c>
      <c r="H1332" s="118" t="s">
        <v>2369</v>
      </c>
      <c r="I1332" s="119"/>
      <c r="J1332" s="120"/>
      <c r="K1332" s="120" t="str">
        <f t="shared" si="548"/>
        <v/>
      </c>
      <c r="L1332" s="170" t="s">
        <v>928</v>
      </c>
      <c r="M1332" s="122" t="str">
        <f t="shared" si="547"/>
        <v>N</v>
      </c>
      <c r="N1332" s="116" t="str">
        <f>IF($L1332&lt;&gt;"",VLOOKUP($L1332,Categories!$E:$G,2,FALSE),IF($F1332&lt;&gt;"","NO CAT",""))</f>
        <v>Not in Rate Base</v>
      </c>
      <c r="O1332" s="116" t="str">
        <f>IF($L1332&lt;&gt;"",VLOOKUP($L1332,Categories!$E:$G,3,FALSE),IF($F1332&lt;&gt;"","NO CAT",""))</f>
        <v>Direct Assign Items Not in RB</v>
      </c>
      <c r="P1332" s="170" t="s">
        <v>1186</v>
      </c>
      <c r="Q1332" s="123" t="s">
        <v>1187</v>
      </c>
      <c r="R1332" s="124">
        <v>0</v>
      </c>
      <c r="S1332" s="124">
        <v>0</v>
      </c>
      <c r="T1332" s="124">
        <v>1</v>
      </c>
      <c r="U1332" s="121">
        <f t="shared" si="549"/>
        <v>0</v>
      </c>
      <c r="V1332" s="121">
        <f t="shared" si="550"/>
        <v>0</v>
      </c>
      <c r="W1332" s="121">
        <f t="shared" si="551"/>
        <v>-2.999999997E-6</v>
      </c>
      <c r="X1332" s="121">
        <f t="shared" si="545"/>
        <v>-2.999999997E-6</v>
      </c>
      <c r="Y1332" s="121">
        <f t="shared" si="552"/>
        <v>0</v>
      </c>
      <c r="Z1332" s="121">
        <f t="shared" si="553"/>
        <v>0</v>
      </c>
      <c r="AA1332" s="121">
        <f t="shared" si="554"/>
        <v>-2.999999997E-6</v>
      </c>
      <c r="AB1332" s="121">
        <f t="shared" si="546"/>
        <v>-2.9999999969732015E-6</v>
      </c>
      <c r="AC1332" s="121">
        <v>-2.9999999969732015E-6</v>
      </c>
      <c r="AD1332" s="121">
        <v>-2.9999999969732015E-6</v>
      </c>
      <c r="AE1332" s="121">
        <v>-2.9999999969732015E-6</v>
      </c>
      <c r="AF1332" s="121">
        <v>-2.9999999969732015E-6</v>
      </c>
      <c r="AG1332" s="121">
        <v>-2.9999999969732015E-6</v>
      </c>
      <c r="AH1332" s="121">
        <v>-2.9999999969732015E-6</v>
      </c>
      <c r="AI1332" s="161">
        <v>-2.9999999969732015E-6</v>
      </c>
      <c r="AJ1332" s="161">
        <v>-2.9999999969732015E-6</v>
      </c>
      <c r="AK1332" s="161">
        <v>-2.9999999969732015E-6</v>
      </c>
      <c r="AL1332" s="161">
        <v>-2.9999999969732015E-6</v>
      </c>
      <c r="AM1332" s="161">
        <v>-2.9999999969732015E-6</v>
      </c>
      <c r="AN1332" s="161">
        <v>-2.9999999969732015E-6</v>
      </c>
      <c r="AO1332" s="161">
        <v>-2.9999999969732015E-6</v>
      </c>
      <c r="AP1332" s="125" t="str">
        <f>CONCATENATE(A1332,M1332)</f>
        <v>Def TaxN</v>
      </c>
      <c r="AQ1332" s="125" t="str">
        <f>CONCATENATE(AP1332,L1332,H1332)</f>
        <v>Def TaxNN2Environmental</v>
      </c>
      <c r="AS1332" s="125" t="str">
        <f>CONCATENATE(L1332,H1332,J1332)</f>
        <v>N2Environmental</v>
      </c>
    </row>
    <row r="1333" spans="1:45" s="125" customFormat="1" ht="25.5" customHeight="1">
      <c r="A1333" s="216" t="s">
        <v>1996</v>
      </c>
      <c r="B1333" s="217" t="str">
        <f t="shared" si="544"/>
        <v>Def Tax283200Env OLBT010071</v>
      </c>
      <c r="C1333" s="186">
        <v>283200</v>
      </c>
      <c r="D1333" s="201" t="s">
        <v>75</v>
      </c>
      <c r="E1333" s="162" t="s">
        <v>222</v>
      </c>
      <c r="F1333" s="169" t="s">
        <v>300</v>
      </c>
      <c r="G1333" s="117" t="s">
        <v>221</v>
      </c>
      <c r="H1333" s="118" t="s">
        <v>2369</v>
      </c>
      <c r="I1333" s="119"/>
      <c r="J1333" s="231"/>
      <c r="K1333" s="120" t="str">
        <f t="shared" si="548"/>
        <v/>
      </c>
      <c r="L1333" s="170" t="s">
        <v>928</v>
      </c>
      <c r="M1333" s="122" t="str">
        <f t="shared" si="547"/>
        <v>N</v>
      </c>
      <c r="N1333" s="116" t="str">
        <f>IF($L1333&lt;&gt;"",VLOOKUP($L1333,Categories!$E:$G,2,FALSE),IF($F1333&lt;&gt;"","NO CAT",""))</f>
        <v>Not in Rate Base</v>
      </c>
      <c r="O1333" s="116" t="str">
        <f>IF($L1333&lt;&gt;"",VLOOKUP($L1333,Categories!$E:$G,3,FALSE),IF($F1333&lt;&gt;"","NO CAT",""))</f>
        <v>Direct Assign Items Not in RB</v>
      </c>
      <c r="P1333" s="170" t="s">
        <v>1186</v>
      </c>
      <c r="Q1333" s="123" t="s">
        <v>1187</v>
      </c>
      <c r="R1333" s="124">
        <v>0</v>
      </c>
      <c r="S1333" s="124">
        <v>0</v>
      </c>
      <c r="T1333" s="124">
        <v>1</v>
      </c>
      <c r="U1333" s="121">
        <f t="shared" si="549"/>
        <v>0</v>
      </c>
      <c r="V1333" s="121">
        <f t="shared" si="550"/>
        <v>0</v>
      </c>
      <c r="W1333" s="121">
        <f t="shared" si="551"/>
        <v>8839.5056920833304</v>
      </c>
      <c r="X1333" s="121">
        <f t="shared" si="545"/>
        <v>8839.5056920833304</v>
      </c>
      <c r="Y1333" s="121">
        <f t="shared" si="552"/>
        <v>0</v>
      </c>
      <c r="Z1333" s="121">
        <f t="shared" si="553"/>
        <v>0</v>
      </c>
      <c r="AA1333" s="121">
        <f t="shared" si="554"/>
        <v>-1.0000001639000001E-5</v>
      </c>
      <c r="AB1333" s="121">
        <f t="shared" si="546"/>
        <v>-1.0000001639127731E-5</v>
      </c>
      <c r="AC1333" s="121">
        <v>19206.175779999998</v>
      </c>
      <c r="AD1333" s="121">
        <v>19206.175780000001</v>
      </c>
      <c r="AE1333" s="121">
        <v>19206.175780000001</v>
      </c>
      <c r="AF1333" s="121">
        <v>19206.175780000001</v>
      </c>
      <c r="AG1333" s="121">
        <v>19206.175780000001</v>
      </c>
      <c r="AH1333" s="121">
        <v>19646.27736</v>
      </c>
      <c r="AI1333" s="161">
        <v>-1.0000001639127731E-5</v>
      </c>
      <c r="AJ1333" s="161">
        <v>-1.0000001639127731E-5</v>
      </c>
      <c r="AK1333" s="161">
        <v>-1.0000001639127731E-5</v>
      </c>
      <c r="AL1333" s="161">
        <v>-1.0000001639127731E-5</v>
      </c>
      <c r="AM1333" s="161">
        <v>-1.0000001639127731E-5</v>
      </c>
      <c r="AN1333" s="161">
        <v>-1.0000001639127731E-5</v>
      </c>
      <c r="AO1333" s="161">
        <v>-1.0000001639127731E-5</v>
      </c>
      <c r="AP1333" s="125" t="str">
        <f>CONCATENATE(A1333,M1333)</f>
        <v>Def TaxN</v>
      </c>
      <c r="AQ1333" s="125" t="str">
        <f>CONCATENATE(AP1333,L1333,H1333)</f>
        <v>Def TaxNN2Environmental</v>
      </c>
      <c r="AS1333" s="125" t="str">
        <f>CONCATENATE(L1333,H1333,J1333)</f>
        <v>N2Environmental</v>
      </c>
    </row>
    <row r="1334" spans="1:45" s="125" customFormat="1" ht="25.5" customHeight="1">
      <c r="A1334" s="216" t="s">
        <v>1996</v>
      </c>
      <c r="B1334" s="217" t="str">
        <f t="shared" si="544"/>
        <v>Def Tax283200Flood InsBT010286</v>
      </c>
      <c r="C1334" s="186">
        <v>283200</v>
      </c>
      <c r="D1334" s="201" t="s">
        <v>582</v>
      </c>
      <c r="E1334" s="162" t="s">
        <v>284</v>
      </c>
      <c r="F1334" s="169" t="s">
        <v>300</v>
      </c>
      <c r="G1334" s="117" t="s">
        <v>581</v>
      </c>
      <c r="H1334" s="118" t="s">
        <v>620</v>
      </c>
      <c r="I1334" s="119"/>
      <c r="J1334" s="120"/>
      <c r="K1334" s="120" t="str">
        <f t="shared" si="548"/>
        <v/>
      </c>
      <c r="L1334" s="170" t="s">
        <v>928</v>
      </c>
      <c r="M1334" s="122" t="str">
        <f t="shared" si="547"/>
        <v>N</v>
      </c>
      <c r="N1334" s="116" t="str">
        <f>IF($L1334&lt;&gt;"",VLOOKUP($L1334,Categories!$E:$G,2,FALSE),IF($F1334&lt;&gt;"","NO CAT",""))</f>
        <v>Not in Rate Base</v>
      </c>
      <c r="O1334" s="116" t="str">
        <f>IF($L1334&lt;&gt;"",VLOOKUP($L1334,Categories!$E:$G,3,FALSE),IF($F1334&lt;&gt;"","NO CAT",""))</f>
        <v>Direct Assign Items Not in RB</v>
      </c>
      <c r="P1334" s="170" t="s">
        <v>1186</v>
      </c>
      <c r="Q1334" s="123" t="s">
        <v>1187</v>
      </c>
      <c r="R1334" s="124">
        <v>0</v>
      </c>
      <c r="S1334" s="124">
        <v>0</v>
      </c>
      <c r="T1334" s="124">
        <v>1</v>
      </c>
      <c r="U1334" s="121">
        <f t="shared" si="549"/>
        <v>0</v>
      </c>
      <c r="V1334" s="121">
        <f t="shared" si="550"/>
        <v>0</v>
      </c>
      <c r="W1334" s="121">
        <f t="shared" si="551"/>
        <v>-378.53699999999998</v>
      </c>
      <c r="X1334" s="121">
        <f t="shared" si="545"/>
        <v>-378.53699999999998</v>
      </c>
      <c r="Y1334" s="121">
        <f t="shared" si="552"/>
        <v>0</v>
      </c>
      <c r="Z1334" s="121">
        <f t="shared" si="553"/>
        <v>0</v>
      </c>
      <c r="AA1334" s="121">
        <f t="shared" si="554"/>
        <v>-378.53699999999998</v>
      </c>
      <c r="AB1334" s="121">
        <f t="shared" si="546"/>
        <v>-378.53699999999998</v>
      </c>
      <c r="AC1334" s="121">
        <v>-378.53699999999998</v>
      </c>
      <c r="AD1334" s="121">
        <v>-378.53699999999998</v>
      </c>
      <c r="AE1334" s="121">
        <v>-378.53699999999998</v>
      </c>
      <c r="AF1334" s="121">
        <v>-378.53699999999998</v>
      </c>
      <c r="AG1334" s="121">
        <v>-378.53699999999998</v>
      </c>
      <c r="AH1334" s="121">
        <v>-378.53699999999998</v>
      </c>
      <c r="AI1334" s="161">
        <v>-378.53699999999998</v>
      </c>
      <c r="AJ1334" s="161">
        <v>-378.53699999999998</v>
      </c>
      <c r="AK1334" s="161">
        <v>-378.53699999999998</v>
      </c>
      <c r="AL1334" s="161">
        <v>-378.53699999999998</v>
      </c>
      <c r="AM1334" s="161">
        <v>-378.53699999999998</v>
      </c>
      <c r="AN1334" s="161">
        <v>-378.53699999999998</v>
      </c>
      <c r="AO1334" s="161">
        <v>-378.53699999999998</v>
      </c>
      <c r="AP1334" s="125" t="str">
        <f>CONCATENATE(A1334,M1334)</f>
        <v>Def TaxN</v>
      </c>
      <c r="AQ1334" s="125" t="str">
        <f>CONCATENATE(AP1334,L1334,H1334)</f>
        <v>Def TaxNN2Flood</v>
      </c>
      <c r="AS1334" s="125" t="str">
        <f>CONCATENATE(L1334,H1334,J1334)</f>
        <v>N2Flood</v>
      </c>
    </row>
    <row r="1335" spans="1:45" s="125" customFormat="1" ht="25.5" customHeight="1">
      <c r="A1335" s="216" t="s">
        <v>1996</v>
      </c>
      <c r="B1335" s="217" t="str">
        <f t="shared" si="544"/>
        <v>Def Tax283200GRT RefundBT010355</v>
      </c>
      <c r="C1335" s="186">
        <v>283200</v>
      </c>
      <c r="D1335" s="201" t="s">
        <v>650</v>
      </c>
      <c r="E1335" s="162" t="s">
        <v>652</v>
      </c>
      <c r="F1335" s="169" t="s">
        <v>300</v>
      </c>
      <c r="G1335" s="117" t="s">
        <v>648</v>
      </c>
      <c r="H1335" s="118" t="s">
        <v>650</v>
      </c>
      <c r="I1335" s="119"/>
      <c r="J1335" s="231"/>
      <c r="K1335" s="120" t="str">
        <f t="shared" si="548"/>
        <v/>
      </c>
      <c r="L1335" s="170" t="s">
        <v>1419</v>
      </c>
      <c r="M1335" s="122" t="str">
        <f t="shared" si="547"/>
        <v>A</v>
      </c>
      <c r="N1335" s="116" t="str">
        <f>IF($L1335&lt;&gt;"",VLOOKUP($L1335,Categories!$E:$G,2,FALSE),IF($F1335&lt;&gt;"","NO CAT",""))</f>
        <v>All Other</v>
      </c>
      <c r="O1335" s="116" t="str">
        <f>IF($L1335&lt;&gt;"",VLOOKUP($L1335,Categories!$E:$G,3,FALSE),IF($F1335&lt;&gt;"","NO CAT",""))</f>
        <v>EB-Cap</v>
      </c>
      <c r="P1335" s="170" t="s">
        <v>1557</v>
      </c>
      <c r="Q1335" s="123" t="s">
        <v>1891</v>
      </c>
      <c r="R1335" s="124">
        <v>0.77544352505021785</v>
      </c>
      <c r="S1335" s="124">
        <v>0.22455647494978223</v>
      </c>
      <c r="T1335" s="124">
        <v>0</v>
      </c>
      <c r="U1335" s="121">
        <f t="shared" si="549"/>
        <v>-213.64522167440501</v>
      </c>
      <c r="V1335" s="121">
        <f t="shared" si="550"/>
        <v>-61.868358325594798</v>
      </c>
      <c r="W1335" s="121">
        <f t="shared" si="551"/>
        <v>0</v>
      </c>
      <c r="X1335" s="121">
        <f t="shared" si="545"/>
        <v>-275.51357999999999</v>
      </c>
      <c r="Y1335" s="121">
        <f t="shared" si="552"/>
        <v>-213.64522167440501</v>
      </c>
      <c r="Z1335" s="121">
        <f t="shared" si="553"/>
        <v>-61.868358325594798</v>
      </c>
      <c r="AA1335" s="121">
        <f t="shared" si="554"/>
        <v>0</v>
      </c>
      <c r="AB1335" s="121">
        <f t="shared" si="546"/>
        <v>-275.51357999999999</v>
      </c>
      <c r="AC1335" s="121">
        <v>-275.51357999999999</v>
      </c>
      <c r="AD1335" s="121">
        <v>-275.51357999999999</v>
      </c>
      <c r="AE1335" s="121">
        <v>-275.51357999999999</v>
      </c>
      <c r="AF1335" s="121">
        <v>-275.51357999999999</v>
      </c>
      <c r="AG1335" s="121">
        <v>-275.51357999999999</v>
      </c>
      <c r="AH1335" s="121">
        <v>-275.51357999999999</v>
      </c>
      <c r="AI1335" s="161">
        <v>-275.51357999999999</v>
      </c>
      <c r="AJ1335" s="161">
        <v>-275.51357999999999</v>
      </c>
      <c r="AK1335" s="161">
        <v>-275.51357999999999</v>
      </c>
      <c r="AL1335" s="161">
        <v>-275.51357999999999</v>
      </c>
      <c r="AM1335" s="161">
        <v>-275.51357999999999</v>
      </c>
      <c r="AN1335" s="161">
        <v>-275.51357999999999</v>
      </c>
      <c r="AO1335" s="161">
        <v>-275.51357999999999</v>
      </c>
      <c r="AP1335" s="125" t="str">
        <f>CONCATENATE(A1335,M1335)</f>
        <v>Def TaxA</v>
      </c>
      <c r="AQ1335" s="125" t="str">
        <f>CONCATENATE(AP1335,L1335,H1335)</f>
        <v>Def TaxAA2GRT Refund</v>
      </c>
      <c r="AS1335" s="125" t="str">
        <f>CONCATENATE(L1335,H1335,J1335)</f>
        <v>A2GRT Refund</v>
      </c>
    </row>
    <row r="1336" spans="1:45" s="125" customFormat="1" ht="25.5" customHeight="1">
      <c r="A1336" s="216" t="s">
        <v>1996</v>
      </c>
      <c r="B1336" s="217" t="str">
        <f t="shared" si="544"/>
        <v>Def Tax2832000-283.20.92BTHUNGDT</v>
      </c>
      <c r="C1336" s="186">
        <v>283200</v>
      </c>
      <c r="D1336" s="201" t="s">
        <v>1952</v>
      </c>
      <c r="E1336" s="162" t="s">
        <v>616</v>
      </c>
      <c r="F1336" s="169" t="s">
        <v>300</v>
      </c>
      <c r="G1336" s="117" t="s">
        <v>1953</v>
      </c>
      <c r="H1336" s="118" t="s">
        <v>1167</v>
      </c>
      <c r="I1336" s="119"/>
      <c r="J1336" s="120"/>
      <c r="K1336" s="120" t="str">
        <f t="shared" si="548"/>
        <v/>
      </c>
      <c r="L1336" s="170" t="s">
        <v>1419</v>
      </c>
      <c r="M1336" s="122" t="str">
        <f t="shared" si="547"/>
        <v>A</v>
      </c>
      <c r="N1336" s="116" t="str">
        <f>IF($L1336&lt;&gt;"",VLOOKUP($L1336,Categories!$E:$G,2,FALSE),IF($F1336&lt;&gt;"","NO CAT",""))</f>
        <v>All Other</v>
      </c>
      <c r="O1336" s="116" t="str">
        <f>IF($L1336&lt;&gt;"",VLOOKUP($L1336,Categories!$E:$G,3,FALSE),IF($F1336&lt;&gt;"","NO CAT",""))</f>
        <v>EB-Cap</v>
      </c>
      <c r="P1336" s="170" t="s">
        <v>1557</v>
      </c>
      <c r="Q1336" s="123" t="s">
        <v>1891</v>
      </c>
      <c r="R1336" s="124">
        <v>0.77544352505021785</v>
      </c>
      <c r="S1336" s="124">
        <v>0.22455647494978223</v>
      </c>
      <c r="T1336" s="124">
        <v>0</v>
      </c>
      <c r="U1336" s="121" t="str">
        <f t="shared" si="549"/>
        <v/>
      </c>
      <c r="V1336" s="121" t="str">
        <f t="shared" si="550"/>
        <v/>
      </c>
      <c r="W1336" s="121" t="str">
        <f t="shared" si="551"/>
        <v/>
      </c>
      <c r="X1336" s="121">
        <f t="shared" si="545"/>
        <v>0</v>
      </c>
      <c r="Y1336" s="121" t="str">
        <f t="shared" si="552"/>
        <v/>
      </c>
      <c r="Z1336" s="121" t="str">
        <f t="shared" si="553"/>
        <v/>
      </c>
      <c r="AA1336" s="121" t="str">
        <f t="shared" si="554"/>
        <v/>
      </c>
      <c r="AB1336" s="121">
        <f t="shared" si="546"/>
        <v>0</v>
      </c>
      <c r="AC1336" s="121">
        <v>0</v>
      </c>
      <c r="AD1336" s="121">
        <v>0</v>
      </c>
      <c r="AE1336" s="121">
        <v>0</v>
      </c>
      <c r="AF1336" s="121">
        <v>0</v>
      </c>
      <c r="AG1336" s="121">
        <v>0</v>
      </c>
      <c r="AH1336" s="121">
        <v>0</v>
      </c>
      <c r="AI1336" s="121">
        <v>0</v>
      </c>
      <c r="AJ1336" s="121">
        <f t="shared" ref="AJ1336:AK1336" si="555">IF(AI1336=0,0,0)</f>
        <v>0</v>
      </c>
      <c r="AK1336" s="121">
        <f t="shared" si="555"/>
        <v>0</v>
      </c>
      <c r="AL1336" s="121">
        <v>0</v>
      </c>
      <c r="AM1336" s="161">
        <v>0</v>
      </c>
      <c r="AN1336" s="161">
        <v>0</v>
      </c>
      <c r="AO1336" s="161">
        <v>0</v>
      </c>
      <c r="AP1336" s="125" t="str">
        <f>CONCATENATE(A1336,M1336)</f>
        <v>Def TaxA</v>
      </c>
      <c r="AQ1336" s="125" t="str">
        <f>CONCATENATE(AP1336,L1336,H1336)</f>
        <v>Def TaxAA2Hung Deferred Taxes</v>
      </c>
      <c r="AS1336" s="125" t="str">
        <f>CONCATENATE(L1336,H1336,J1336)</f>
        <v>A2Hung Deferred Taxes</v>
      </c>
    </row>
    <row r="1337" spans="1:45" s="125" customFormat="1" ht="25.5" customHeight="1">
      <c r="A1337" s="216" t="s">
        <v>1996</v>
      </c>
      <c r="B1337" s="217" t="str">
        <f t="shared" si="544"/>
        <v>Def Tax2832000-182.10.00BTHUNGDT</v>
      </c>
      <c r="C1337" s="186">
        <v>283200</v>
      </c>
      <c r="D1337" s="201" t="s">
        <v>760</v>
      </c>
      <c r="E1337" s="162" t="s">
        <v>616</v>
      </c>
      <c r="F1337" s="169" t="s">
        <v>300</v>
      </c>
      <c r="G1337" s="117" t="s">
        <v>761</v>
      </c>
      <c r="H1337" s="118" t="s">
        <v>1167</v>
      </c>
      <c r="I1337" s="119"/>
      <c r="J1337" s="120"/>
      <c r="K1337" s="120" t="str">
        <f t="shared" si="548"/>
        <v/>
      </c>
      <c r="L1337" s="170" t="s">
        <v>1895</v>
      </c>
      <c r="M1337" s="122" t="str">
        <f t="shared" si="547"/>
        <v>R</v>
      </c>
      <c r="N1337" s="116" t="str">
        <f>IF($L1337&lt;&gt;"",VLOOKUP($L1337,Categories!$E:$G,2,FALSE),IF($F1337&lt;&gt;"","NO CAT",""))</f>
        <v>Rate Base</v>
      </c>
      <c r="O1337" s="116" t="str">
        <f>IF($L1337&lt;&gt;"",VLOOKUP($L1337,Categories!$E:$G,3,FALSE),IF($F1337&lt;&gt;"","NO CAT",""))</f>
        <v>Deferred Income Taxes</v>
      </c>
      <c r="P1337" s="170" t="s">
        <v>1188</v>
      </c>
      <c r="Q1337" s="123" t="s">
        <v>1843</v>
      </c>
      <c r="R1337" s="124">
        <v>0.76071990262269951</v>
      </c>
      <c r="S1337" s="124">
        <v>0.23928009737730072</v>
      </c>
      <c r="T1337" s="124">
        <v>0</v>
      </c>
      <c r="U1337" s="121">
        <f t="shared" si="549"/>
        <v>-32.923957385510398</v>
      </c>
      <c r="V1337" s="121">
        <f t="shared" si="550"/>
        <v>-10.356042614489599</v>
      </c>
      <c r="W1337" s="121">
        <f t="shared" si="551"/>
        <v>0</v>
      </c>
      <c r="X1337" s="121">
        <f t="shared" si="545"/>
        <v>-43.28</v>
      </c>
      <c r="Y1337" s="121">
        <f t="shared" si="552"/>
        <v>-32.923957385510398</v>
      </c>
      <c r="Z1337" s="121">
        <f t="shared" si="553"/>
        <v>-10.356042614489599</v>
      </c>
      <c r="AA1337" s="121">
        <f t="shared" si="554"/>
        <v>0</v>
      </c>
      <c r="AB1337" s="121">
        <f t="shared" si="546"/>
        <v>-43.28</v>
      </c>
      <c r="AC1337" s="121">
        <v>-43.28</v>
      </c>
      <c r="AD1337" s="121">
        <v>-43.28</v>
      </c>
      <c r="AE1337" s="121">
        <v>-43.28</v>
      </c>
      <c r="AF1337" s="121">
        <v>-43.28</v>
      </c>
      <c r="AG1337" s="121">
        <v>-43.28</v>
      </c>
      <c r="AH1337" s="121">
        <v>-43.28</v>
      </c>
      <c r="AI1337" s="161">
        <v>-43.28</v>
      </c>
      <c r="AJ1337" s="161">
        <v>-43.28</v>
      </c>
      <c r="AK1337" s="161">
        <v>-43.28</v>
      </c>
      <c r="AL1337" s="161">
        <v>-43.28</v>
      </c>
      <c r="AM1337" s="161">
        <v>-43.28</v>
      </c>
      <c r="AN1337" s="161">
        <v>-43.28</v>
      </c>
      <c r="AO1337" s="161">
        <v>-43.28</v>
      </c>
      <c r="AP1337" s="125" t="str">
        <f>CONCATENATE(A1337,M1337)</f>
        <v>Def TaxR</v>
      </c>
      <c r="AQ1337" s="125" t="str">
        <f>CONCATENATE(AP1337,L1337,H1337)</f>
        <v>Def TaxRR11Hung Deferred Taxes</v>
      </c>
      <c r="AS1337" s="125" t="str">
        <f>CONCATENATE(L1337,H1337,J1337)</f>
        <v>R11Hung Deferred Taxes</v>
      </c>
    </row>
    <row r="1338" spans="1:45" s="125" customFormat="1" ht="25.5" customHeight="1">
      <c r="A1338" s="216" t="s">
        <v>1996</v>
      </c>
      <c r="B1338" s="217" t="str">
        <f t="shared" si="544"/>
        <v>Def Tax2832000-283.22.05BTHUNGDT</v>
      </c>
      <c r="C1338" s="186">
        <v>283200</v>
      </c>
      <c r="D1338" s="201" t="s">
        <v>277</v>
      </c>
      <c r="E1338" s="162" t="s">
        <v>616</v>
      </c>
      <c r="F1338" s="169" t="s">
        <v>300</v>
      </c>
      <c r="G1338" s="117" t="s">
        <v>1468</v>
      </c>
      <c r="H1338" s="118" t="s">
        <v>1167</v>
      </c>
      <c r="I1338" s="119"/>
      <c r="J1338" s="120"/>
      <c r="K1338" s="120" t="str">
        <f t="shared" si="548"/>
        <v/>
      </c>
      <c r="L1338" s="170" t="s">
        <v>2811</v>
      </c>
      <c r="M1338" s="122" t="str">
        <f t="shared" si="547"/>
        <v>N</v>
      </c>
      <c r="N1338" s="116" t="str">
        <f>IF($L1338&lt;&gt;"",VLOOKUP($L1338,Categories!$E:$G,2,FALSE),IF($F1338&lt;&gt;"","NO CAT",""))</f>
        <v>Not in Rate Base</v>
      </c>
      <c r="O1338" s="116" t="str">
        <f>IF($L1338&lt;&gt;"",VLOOKUP($L1338,Categories!$E:$G,3,FALSE),IF($F1338&lt;&gt;"","NO CAT",""))</f>
        <v>Hedges &amp; OCI</v>
      </c>
      <c r="P1338" s="170" t="s">
        <v>1186</v>
      </c>
      <c r="Q1338" s="123" t="s">
        <v>1187</v>
      </c>
      <c r="R1338" s="124">
        <v>0</v>
      </c>
      <c r="S1338" s="124">
        <v>0</v>
      </c>
      <c r="T1338" s="124">
        <v>1</v>
      </c>
      <c r="U1338" s="121">
        <f t="shared" si="549"/>
        <v>0</v>
      </c>
      <c r="V1338" s="121">
        <f t="shared" si="550"/>
        <v>0</v>
      </c>
      <c r="W1338" s="121">
        <f t="shared" si="551"/>
        <v>-76.584000000000003</v>
      </c>
      <c r="X1338" s="121">
        <f t="shared" si="545"/>
        <v>-76.584000000000003</v>
      </c>
      <c r="Y1338" s="121">
        <f t="shared" si="552"/>
        <v>0</v>
      </c>
      <c r="Z1338" s="121">
        <f t="shared" si="553"/>
        <v>0</v>
      </c>
      <c r="AA1338" s="121">
        <f t="shared" si="554"/>
        <v>-76.584000000000003</v>
      </c>
      <c r="AB1338" s="121">
        <f t="shared" si="546"/>
        <v>-76.584000000000003</v>
      </c>
      <c r="AC1338" s="121">
        <v>-76.584000000000003</v>
      </c>
      <c r="AD1338" s="121">
        <v>-76.584000000000003</v>
      </c>
      <c r="AE1338" s="121">
        <v>-76.584000000000003</v>
      </c>
      <c r="AF1338" s="121">
        <v>-76.584000000000003</v>
      </c>
      <c r="AG1338" s="121">
        <v>-76.584000000000003</v>
      </c>
      <c r="AH1338" s="121">
        <v>-76.584000000000003</v>
      </c>
      <c r="AI1338" s="161">
        <v>-76.584000000000003</v>
      </c>
      <c r="AJ1338" s="161">
        <v>-76.584000000000003</v>
      </c>
      <c r="AK1338" s="161">
        <v>-76.584000000000003</v>
      </c>
      <c r="AL1338" s="161">
        <v>-76.584000000000003</v>
      </c>
      <c r="AM1338" s="161">
        <v>-76.584000000000003</v>
      </c>
      <c r="AN1338" s="161">
        <v>-76.584000000000003</v>
      </c>
      <c r="AO1338" s="161">
        <v>-76.584000000000003</v>
      </c>
      <c r="AP1338" s="125" t="str">
        <f>CONCATENATE(A1338,M1338)</f>
        <v>Def TaxN</v>
      </c>
      <c r="AQ1338" s="125" t="str">
        <f>CONCATENATE(AP1338,L1338,H1338)</f>
        <v>Def TaxNN5Hung Deferred Taxes</v>
      </c>
      <c r="AS1338" s="125" t="str">
        <f>CONCATENATE(L1338,H1338,J1338)</f>
        <v>N5Hung Deferred Taxes</v>
      </c>
    </row>
    <row r="1339" spans="1:45" s="125" customFormat="1" ht="25.5" customHeight="1">
      <c r="A1339" s="216" t="s">
        <v>1996</v>
      </c>
      <c r="B1339" s="217" t="str">
        <f t="shared" si="544"/>
        <v>Def Tax283200Misc K-1BTHUNGDT</v>
      </c>
      <c r="C1339" s="186">
        <v>283200</v>
      </c>
      <c r="D1339" s="201" t="s">
        <v>139</v>
      </c>
      <c r="E1339" s="162" t="s">
        <v>616</v>
      </c>
      <c r="F1339" s="169" t="s">
        <v>300</v>
      </c>
      <c r="G1339" s="117" t="s">
        <v>315</v>
      </c>
      <c r="H1339" s="118" t="s">
        <v>1167</v>
      </c>
      <c r="I1339" s="119"/>
      <c r="J1339" s="120"/>
      <c r="K1339" s="120" t="str">
        <f>IF(L1339="N3","SFAS-109","")</f>
        <v/>
      </c>
      <c r="L1339" s="170" t="s">
        <v>1895</v>
      </c>
      <c r="M1339" s="122" t="str">
        <f t="shared" si="547"/>
        <v>R</v>
      </c>
      <c r="N1339" s="116" t="str">
        <f>IF($L1339&lt;&gt;"",VLOOKUP($L1339,Categories!$E:$G,2,FALSE),IF($F1339&lt;&gt;"","NO CAT",""))</f>
        <v>Rate Base</v>
      </c>
      <c r="O1339" s="116" t="str">
        <f>IF($L1339&lt;&gt;"",VLOOKUP($L1339,Categories!$E:$G,3,FALSE),IF($F1339&lt;&gt;"","NO CAT",""))</f>
        <v>Deferred Income Taxes</v>
      </c>
      <c r="P1339" s="170" t="s">
        <v>1183</v>
      </c>
      <c r="Q1339" s="123" t="s">
        <v>1177</v>
      </c>
      <c r="R1339" s="124">
        <v>1</v>
      </c>
      <c r="S1339" s="124">
        <v>0</v>
      </c>
      <c r="T1339" s="124">
        <v>0</v>
      </c>
      <c r="U1339" s="121">
        <f t="shared" si="549"/>
        <v>-3.5000000000000001E-3</v>
      </c>
      <c r="V1339" s="121">
        <f t="shared" si="550"/>
        <v>0</v>
      </c>
      <c r="W1339" s="121">
        <f t="shared" si="551"/>
        <v>0</v>
      </c>
      <c r="X1339" s="121">
        <f t="shared" si="545"/>
        <v>-3.5000000000000001E-3</v>
      </c>
      <c r="Y1339" s="121" t="str">
        <f t="shared" si="552"/>
        <v/>
      </c>
      <c r="Z1339" s="121" t="str">
        <f t="shared" si="553"/>
        <v/>
      </c>
      <c r="AA1339" s="121" t="str">
        <f t="shared" si="554"/>
        <v/>
      </c>
      <c r="AB1339" s="121">
        <f t="shared" si="546"/>
        <v>0</v>
      </c>
      <c r="AC1339" s="121">
        <v>-4.0000000000000001E-3</v>
      </c>
      <c r="AD1339" s="121">
        <v>-4.0000000000000001E-3</v>
      </c>
      <c r="AE1339" s="121">
        <v>-4.0000000000000001E-3</v>
      </c>
      <c r="AF1339" s="121">
        <v>-4.0000000000000001E-3</v>
      </c>
      <c r="AG1339" s="121">
        <v>-4.0000000000000001E-3</v>
      </c>
      <c r="AH1339" s="121">
        <v>-4.0000000000000001E-3</v>
      </c>
      <c r="AI1339" s="161">
        <v>-4.0000000000000001E-3</v>
      </c>
      <c r="AJ1339" s="161">
        <v>-8.0000000000000002E-3</v>
      </c>
      <c r="AK1339" s="161">
        <v>-8.0000000000000002E-3</v>
      </c>
      <c r="AL1339" s="161">
        <v>0</v>
      </c>
      <c r="AM1339" s="161">
        <v>0</v>
      </c>
      <c r="AN1339" s="161">
        <v>0</v>
      </c>
      <c r="AO1339" s="161">
        <v>0</v>
      </c>
      <c r="AP1339" s="125" t="str">
        <f>CONCATENATE(A1339,M1339)</f>
        <v>Def TaxR</v>
      </c>
      <c r="AQ1339" s="125" t="str">
        <f>CONCATENATE(AP1339,L1339,H1339)</f>
        <v>Def TaxRR11Hung Deferred Taxes</v>
      </c>
      <c r="AS1339" s="125" t="str">
        <f>CONCATENATE(L1339,H1339,J1339)</f>
        <v>R11Hung Deferred Taxes</v>
      </c>
    </row>
    <row r="1340" spans="1:45" s="125" customFormat="1" ht="25.5" customHeight="1">
      <c r="A1340" s="216" t="s">
        <v>1996</v>
      </c>
      <c r="B1340" s="217" t="str">
        <f t="shared" si="544"/>
        <v>Def Tax2832000-283.21.14BTHUNGDT</v>
      </c>
      <c r="C1340" s="186">
        <v>283200</v>
      </c>
      <c r="D1340" s="201" t="s">
        <v>1230</v>
      </c>
      <c r="E1340" s="162" t="s">
        <v>616</v>
      </c>
      <c r="F1340" s="169" t="s">
        <v>300</v>
      </c>
      <c r="G1340" s="117" t="s">
        <v>316</v>
      </c>
      <c r="H1340" s="118" t="s">
        <v>1167</v>
      </c>
      <c r="I1340" s="119"/>
      <c r="J1340" s="120"/>
      <c r="K1340" s="120" t="str">
        <f>IF(L1340="N3","SFAS-109","")</f>
        <v/>
      </c>
      <c r="L1340" s="170" t="s">
        <v>1895</v>
      </c>
      <c r="M1340" s="122" t="str">
        <f>LEFT(L1340,1)</f>
        <v>R</v>
      </c>
      <c r="N1340" s="116" t="str">
        <f>IF($L1340&lt;&gt;"",VLOOKUP($L1340,Categories!$E:$G,2,FALSE),IF($F1340&lt;&gt;"","NO CAT",""))</f>
        <v>Rate Base</v>
      </c>
      <c r="O1340" s="116" t="str">
        <f>IF($L1340&lt;&gt;"",VLOOKUP($L1340,Categories!$E:$G,3,FALSE),IF($F1340&lt;&gt;"","NO CAT",""))</f>
        <v>Deferred Income Taxes</v>
      </c>
      <c r="P1340" s="170" t="s">
        <v>1183</v>
      </c>
      <c r="Q1340" s="123" t="s">
        <v>1177</v>
      </c>
      <c r="R1340" s="124">
        <v>1</v>
      </c>
      <c r="S1340" s="124">
        <v>0</v>
      </c>
      <c r="T1340" s="124">
        <v>0</v>
      </c>
      <c r="U1340" s="121">
        <f t="shared" si="549"/>
        <v>-0.68500000000000005</v>
      </c>
      <c r="V1340" s="121">
        <f t="shared" si="550"/>
        <v>0</v>
      </c>
      <c r="W1340" s="121">
        <f t="shared" si="551"/>
        <v>0</v>
      </c>
      <c r="X1340" s="121">
        <f t="shared" si="545"/>
        <v>-0.68500000000000005</v>
      </c>
      <c r="Y1340" s="121">
        <f t="shared" si="552"/>
        <v>-0.68500000000000005</v>
      </c>
      <c r="Z1340" s="121">
        <f t="shared" si="553"/>
        <v>0</v>
      </c>
      <c r="AA1340" s="121">
        <f t="shared" si="554"/>
        <v>0</v>
      </c>
      <c r="AB1340" s="121">
        <f t="shared" si="546"/>
        <v>-0.68500000000000005</v>
      </c>
      <c r="AC1340" s="121">
        <v>-0.68500000000000005</v>
      </c>
      <c r="AD1340" s="121">
        <v>-0.68500000000000005</v>
      </c>
      <c r="AE1340" s="121">
        <v>-0.68500000000000005</v>
      </c>
      <c r="AF1340" s="121">
        <v>-0.68500000000000005</v>
      </c>
      <c r="AG1340" s="121">
        <v>-0.68500000000000005</v>
      </c>
      <c r="AH1340" s="121">
        <v>-0.68500000000000005</v>
      </c>
      <c r="AI1340" s="161">
        <v>-0.68500000000000005</v>
      </c>
      <c r="AJ1340" s="161">
        <v>-0.68500000000000005</v>
      </c>
      <c r="AK1340" s="161">
        <v>-0.68500000000000005</v>
      </c>
      <c r="AL1340" s="161">
        <v>-0.68500000000000005</v>
      </c>
      <c r="AM1340" s="161">
        <v>-0.68500000000000005</v>
      </c>
      <c r="AN1340" s="161">
        <v>-0.68500000000000005</v>
      </c>
      <c r="AO1340" s="161">
        <v>-0.68500000000000005</v>
      </c>
      <c r="AP1340" s="125" t="str">
        <f>CONCATENATE(A1340,M1340)</f>
        <v>Def TaxR</v>
      </c>
      <c r="AQ1340" s="125" t="str">
        <f>CONCATENATE(AP1340,L1340,H1340)</f>
        <v>Def TaxRR11Hung Deferred Taxes</v>
      </c>
      <c r="AS1340" s="125" t="str">
        <f>CONCATENATE(L1340,H1340,J1340)</f>
        <v>R11Hung Deferred Taxes</v>
      </c>
    </row>
    <row r="1341" spans="1:45" s="125" customFormat="1" ht="25.5" customHeight="1">
      <c r="A1341" s="216" t="s">
        <v>1996</v>
      </c>
      <c r="B1341" s="217" t="str">
        <f t="shared" si="544"/>
        <v>Def Tax2832000-286.01.06BTHUNGDT</v>
      </c>
      <c r="C1341" s="186">
        <v>283200</v>
      </c>
      <c r="D1341" s="201" t="s">
        <v>2386</v>
      </c>
      <c r="E1341" s="162" t="s">
        <v>616</v>
      </c>
      <c r="F1341" s="169" t="s">
        <v>300</v>
      </c>
      <c r="G1341" s="117" t="s">
        <v>1964</v>
      </c>
      <c r="H1341" s="118" t="s">
        <v>1167</v>
      </c>
      <c r="I1341" s="119"/>
      <c r="J1341" s="120"/>
      <c r="K1341" s="120" t="str">
        <f>IF(L1341="N3","SFAS-109","")</f>
        <v/>
      </c>
      <c r="L1341" s="170" t="s">
        <v>1895</v>
      </c>
      <c r="M1341" s="122" t="str">
        <f>LEFT(L1341,1)</f>
        <v>R</v>
      </c>
      <c r="N1341" s="116" t="str">
        <f>IF($L1341&lt;&gt;"",VLOOKUP($L1341,Categories!$E:$G,2,FALSE),IF($F1341&lt;&gt;"","NO CAT",""))</f>
        <v>Rate Base</v>
      </c>
      <c r="O1341" s="116" t="str">
        <f>IF($L1341&lt;&gt;"",VLOOKUP($L1341,Categories!$E:$G,3,FALSE),IF($F1341&lt;&gt;"","NO CAT",""))</f>
        <v>Deferred Income Taxes</v>
      </c>
      <c r="P1341" s="170" t="s">
        <v>1183</v>
      </c>
      <c r="Q1341" s="123" t="s">
        <v>1177</v>
      </c>
      <c r="R1341" s="124">
        <v>1</v>
      </c>
      <c r="S1341" s="124">
        <v>0</v>
      </c>
      <c r="T1341" s="124">
        <v>0</v>
      </c>
      <c r="U1341" s="121">
        <f t="shared" si="549"/>
        <v>-0.191</v>
      </c>
      <c r="V1341" s="121">
        <f t="shared" si="550"/>
        <v>0</v>
      </c>
      <c r="W1341" s="121">
        <f t="shared" si="551"/>
        <v>0</v>
      </c>
      <c r="X1341" s="121">
        <f t="shared" si="545"/>
        <v>-0.191</v>
      </c>
      <c r="Y1341" s="121">
        <f t="shared" si="552"/>
        <v>-0.191</v>
      </c>
      <c r="Z1341" s="121">
        <f t="shared" si="553"/>
        <v>0</v>
      </c>
      <c r="AA1341" s="121">
        <f t="shared" si="554"/>
        <v>0</v>
      </c>
      <c r="AB1341" s="121">
        <f t="shared" si="546"/>
        <v>-0.191</v>
      </c>
      <c r="AC1341" s="121">
        <v>-0.191</v>
      </c>
      <c r="AD1341" s="121">
        <v>-0.191</v>
      </c>
      <c r="AE1341" s="121">
        <v>-0.191</v>
      </c>
      <c r="AF1341" s="121">
        <v>-0.191</v>
      </c>
      <c r="AG1341" s="121">
        <v>-0.191</v>
      </c>
      <c r="AH1341" s="121">
        <v>-0.191</v>
      </c>
      <c r="AI1341" s="161">
        <v>-0.191</v>
      </c>
      <c r="AJ1341" s="161">
        <v>-0.191</v>
      </c>
      <c r="AK1341" s="161">
        <v>-0.191</v>
      </c>
      <c r="AL1341" s="161">
        <v>-0.191</v>
      </c>
      <c r="AM1341" s="161">
        <v>-0.191</v>
      </c>
      <c r="AN1341" s="161">
        <v>-0.191</v>
      </c>
      <c r="AO1341" s="161">
        <v>-0.191</v>
      </c>
      <c r="AP1341" s="125" t="str">
        <f>CONCATENATE(A1341,M1341)</f>
        <v>Def TaxR</v>
      </c>
      <c r="AQ1341" s="125" t="str">
        <f>CONCATENATE(AP1341,L1341,H1341)</f>
        <v>Def TaxRR11Hung Deferred Taxes</v>
      </c>
      <c r="AS1341" s="125" t="str">
        <f>CONCATENATE(L1341,H1341,J1341)</f>
        <v>R11Hung Deferred Taxes</v>
      </c>
    </row>
    <row r="1342" spans="1:45" s="125" customFormat="1" ht="25.5" customHeight="1">
      <c r="A1342" s="216" t="s">
        <v>1996</v>
      </c>
      <c r="B1342" s="217" t="str">
        <f t="shared" si="544"/>
        <v>Def Tax2832000-283.20.66BTHUNGDT</v>
      </c>
      <c r="C1342" s="186">
        <v>283200</v>
      </c>
      <c r="D1342" s="201" t="s">
        <v>1947</v>
      </c>
      <c r="E1342" s="162" t="s">
        <v>616</v>
      </c>
      <c r="F1342" s="169" t="s">
        <v>300</v>
      </c>
      <c r="G1342" s="117" t="s">
        <v>289</v>
      </c>
      <c r="H1342" s="118" t="s">
        <v>1167</v>
      </c>
      <c r="I1342" s="119"/>
      <c r="J1342" s="120"/>
      <c r="K1342" s="120" t="str">
        <f t="shared" ref="K1342:K1345" si="556">IF(L1342="N3","SFAS-109","")</f>
        <v/>
      </c>
      <c r="L1342" s="170" t="s">
        <v>1895</v>
      </c>
      <c r="M1342" s="122" t="str">
        <f t="shared" ref="M1342:M1363" si="557">LEFT(L1342,1)</f>
        <v>R</v>
      </c>
      <c r="N1342" s="116" t="str">
        <f>IF($L1342&lt;&gt;"",VLOOKUP($L1342,Categories!$E:$G,2,FALSE),IF($F1342&lt;&gt;"","NO CAT",""))</f>
        <v>Rate Base</v>
      </c>
      <c r="O1342" s="116" t="str">
        <f>IF($L1342&lt;&gt;"",VLOOKUP($L1342,Categories!$E:$G,3,FALSE),IF($F1342&lt;&gt;"","NO CAT",""))</f>
        <v>Deferred Income Taxes</v>
      </c>
      <c r="P1342" s="170" t="s">
        <v>1183</v>
      </c>
      <c r="Q1342" s="123" t="s">
        <v>1177</v>
      </c>
      <c r="R1342" s="124">
        <v>1</v>
      </c>
      <c r="S1342" s="124">
        <v>0</v>
      </c>
      <c r="T1342" s="124">
        <v>0</v>
      </c>
      <c r="U1342" s="121">
        <f t="shared" si="549"/>
        <v>-2.5833333333329998E-3</v>
      </c>
      <c r="V1342" s="121">
        <f t="shared" si="550"/>
        <v>0</v>
      </c>
      <c r="W1342" s="121">
        <f t="shared" si="551"/>
        <v>0</v>
      </c>
      <c r="X1342" s="121">
        <f t="shared" si="545"/>
        <v>-2.5833333333329998E-3</v>
      </c>
      <c r="Y1342" s="121" t="str">
        <f t="shared" si="552"/>
        <v/>
      </c>
      <c r="Z1342" s="121" t="str">
        <f t="shared" si="553"/>
        <v/>
      </c>
      <c r="AA1342" s="121" t="str">
        <f t="shared" si="554"/>
        <v/>
      </c>
      <c r="AB1342" s="121">
        <f t="shared" si="546"/>
        <v>0</v>
      </c>
      <c r="AC1342" s="121">
        <v>-2E-3</v>
      </c>
      <c r="AD1342" s="121">
        <v>-2E-3</v>
      </c>
      <c r="AE1342" s="121">
        <v>-2E-3</v>
      </c>
      <c r="AF1342" s="121">
        <v>-2E-3</v>
      </c>
      <c r="AG1342" s="121">
        <v>-2E-3</v>
      </c>
      <c r="AH1342" s="121">
        <v>-2E-3</v>
      </c>
      <c r="AI1342" s="161">
        <v>-4.0000000000000001E-3</v>
      </c>
      <c r="AJ1342" s="161">
        <v>-8.0000000000000002E-3</v>
      </c>
      <c r="AK1342" s="161">
        <v>-8.0000000000000002E-3</v>
      </c>
      <c r="AL1342" s="161">
        <v>0</v>
      </c>
      <c r="AM1342" s="161">
        <v>0</v>
      </c>
      <c r="AN1342" s="161">
        <v>0</v>
      </c>
      <c r="AO1342" s="161">
        <v>0</v>
      </c>
      <c r="AP1342" s="125" t="str">
        <f>CONCATENATE(A1342,M1342)</f>
        <v>Def TaxR</v>
      </c>
      <c r="AQ1342" s="125" t="str">
        <f>CONCATENATE(AP1342,L1342,H1342)</f>
        <v>Def TaxRR11Hung Deferred Taxes</v>
      </c>
      <c r="AS1342" s="125" t="str">
        <f>CONCATENATE(L1342,H1342,J1342)</f>
        <v>R11Hung Deferred Taxes</v>
      </c>
    </row>
    <row r="1343" spans="1:45" s="125" customFormat="1" ht="25.5" customHeight="1">
      <c r="A1343" s="216" t="s">
        <v>1996</v>
      </c>
      <c r="B1343" s="217" t="str">
        <f t="shared" si="544"/>
        <v>Def Tax283200PPD InsBT010172</v>
      </c>
      <c r="C1343" s="186">
        <v>283200</v>
      </c>
      <c r="D1343" s="201" t="s">
        <v>2282</v>
      </c>
      <c r="E1343" s="162" t="s">
        <v>287</v>
      </c>
      <c r="F1343" s="169" t="s">
        <v>300</v>
      </c>
      <c r="G1343" s="117" t="s">
        <v>2281</v>
      </c>
      <c r="H1343" s="118" t="s">
        <v>969</v>
      </c>
      <c r="I1343" s="119"/>
      <c r="J1343" s="120"/>
      <c r="K1343" s="120" t="str">
        <f t="shared" si="556"/>
        <v/>
      </c>
      <c r="L1343" s="170" t="s">
        <v>1895</v>
      </c>
      <c r="M1343" s="122" t="str">
        <f t="shared" si="557"/>
        <v>R</v>
      </c>
      <c r="N1343" s="116" t="str">
        <f>IF($L1343&lt;&gt;"",VLOOKUP($L1343,Categories!$E:$G,2,FALSE),IF($F1343&lt;&gt;"","NO CAT",""))</f>
        <v>Rate Base</v>
      </c>
      <c r="O1343" s="116" t="str">
        <f>IF($L1343&lt;&gt;"",VLOOKUP($L1343,Categories!$E:$G,3,FALSE),IF($F1343&lt;&gt;"","NO CAT",""))</f>
        <v>Deferred Income Taxes</v>
      </c>
      <c r="P1343" s="170" t="s">
        <v>1188</v>
      </c>
      <c r="Q1343" s="123" t="s">
        <v>1843</v>
      </c>
      <c r="R1343" s="124">
        <v>0.76071990262269951</v>
      </c>
      <c r="S1343" s="124">
        <v>0.23928009737730072</v>
      </c>
      <c r="T1343" s="124">
        <v>0</v>
      </c>
      <c r="U1343" s="121">
        <f t="shared" si="549"/>
        <v>-209.97433574383001</v>
      </c>
      <c r="V1343" s="121">
        <f t="shared" si="550"/>
        <v>-66.046227172837405</v>
      </c>
      <c r="W1343" s="121">
        <f t="shared" si="551"/>
        <v>0</v>
      </c>
      <c r="X1343" s="121">
        <f t="shared" si="545"/>
        <v>-276.02056291666702</v>
      </c>
      <c r="Y1343" s="121">
        <f t="shared" si="552"/>
        <v>-318.46790935634999</v>
      </c>
      <c r="Z1343" s="121">
        <f t="shared" si="553"/>
        <v>-100.17226064365001</v>
      </c>
      <c r="AA1343" s="121">
        <f t="shared" si="554"/>
        <v>0</v>
      </c>
      <c r="AB1343" s="121">
        <f t="shared" si="546"/>
        <v>-418.64017000000001</v>
      </c>
      <c r="AC1343" s="121">
        <v>-168.24539999999993</v>
      </c>
      <c r="AD1343" s="121">
        <v>-87.440329999999932</v>
      </c>
      <c r="AE1343" s="121">
        <v>-48.324099999999923</v>
      </c>
      <c r="AF1343" s="121">
        <v>56.791380000000068</v>
      </c>
      <c r="AG1343" s="121">
        <v>-26.199849999999927</v>
      </c>
      <c r="AH1343" s="121">
        <v>77.984020000000072</v>
      </c>
      <c r="AI1343" s="161">
        <v>44.41400000000008</v>
      </c>
      <c r="AJ1343" s="161">
        <v>-388.46344999999997</v>
      </c>
      <c r="AK1343" s="161">
        <v>-762.44706999999994</v>
      </c>
      <c r="AL1343" s="161">
        <v>-708.66501999999991</v>
      </c>
      <c r="AM1343" s="161">
        <v>-602.74405999999999</v>
      </c>
      <c r="AN1343" s="161">
        <v>-573.70948999999996</v>
      </c>
      <c r="AO1343" s="161">
        <v>-418.64017000000001</v>
      </c>
      <c r="AP1343" s="125" t="str">
        <f>CONCATENATE(A1343,M1343)</f>
        <v>Def TaxR</v>
      </c>
      <c r="AQ1343" s="125" t="str">
        <f>CONCATENATE(AP1343,L1343,H1343)</f>
        <v>Def TaxRR11Prepaid Insurance</v>
      </c>
      <c r="AS1343" s="125" t="str">
        <f>CONCATENATE(L1343,H1343,J1343)</f>
        <v>R11Prepaid Insurance</v>
      </c>
    </row>
    <row r="1344" spans="1:45" s="125" customFormat="1" ht="25.5" customHeight="1">
      <c r="A1344" s="216" t="s">
        <v>1996</v>
      </c>
      <c r="B1344" s="217" t="str">
        <f t="shared" si="544"/>
        <v>Def Tax2832000-183.62.00BTHUNGDT</v>
      </c>
      <c r="C1344" s="186">
        <v>283200</v>
      </c>
      <c r="D1344" s="201" t="s">
        <v>336</v>
      </c>
      <c r="E1344" s="162" t="s">
        <v>616</v>
      </c>
      <c r="F1344" s="169" t="s">
        <v>300</v>
      </c>
      <c r="G1344" s="117" t="s">
        <v>337</v>
      </c>
      <c r="H1344" s="118" t="s">
        <v>1167</v>
      </c>
      <c r="I1344" s="119"/>
      <c r="J1344" s="231"/>
      <c r="K1344" s="120" t="str">
        <f t="shared" si="556"/>
        <v/>
      </c>
      <c r="L1344" s="170" t="s">
        <v>1895</v>
      </c>
      <c r="M1344" s="122" t="str">
        <f t="shared" si="557"/>
        <v>R</v>
      </c>
      <c r="N1344" s="116" t="str">
        <f>IF($L1344&lt;&gt;"",VLOOKUP($L1344,Categories!$E:$G,2,FALSE),IF($F1344&lt;&gt;"","NO CAT",""))</f>
        <v>Rate Base</v>
      </c>
      <c r="O1344" s="116" t="str">
        <f>IF($L1344&lt;&gt;"",VLOOKUP($L1344,Categories!$E:$G,3,FALSE),IF($F1344&lt;&gt;"","NO CAT",""))</f>
        <v>Deferred Income Taxes</v>
      </c>
      <c r="P1344" s="170" t="s">
        <v>1183</v>
      </c>
      <c r="Q1344" s="123" t="s">
        <v>1177</v>
      </c>
      <c r="R1344" s="124">
        <v>1</v>
      </c>
      <c r="S1344" s="124">
        <v>0</v>
      </c>
      <c r="T1344" s="124">
        <v>0</v>
      </c>
      <c r="U1344" s="121">
        <f t="shared" si="549"/>
        <v>-0.01</v>
      </c>
      <c r="V1344" s="121">
        <f t="shared" si="550"/>
        <v>0</v>
      </c>
      <c r="W1344" s="121">
        <f t="shared" si="551"/>
        <v>0</v>
      </c>
      <c r="X1344" s="121">
        <f t="shared" si="545"/>
        <v>-0.01</v>
      </c>
      <c r="Y1344" s="121">
        <f t="shared" si="552"/>
        <v>-0.01</v>
      </c>
      <c r="Z1344" s="121">
        <f t="shared" si="553"/>
        <v>0</v>
      </c>
      <c r="AA1344" s="121">
        <f t="shared" si="554"/>
        <v>0</v>
      </c>
      <c r="AB1344" s="121">
        <f t="shared" si="546"/>
        <v>-0.01</v>
      </c>
      <c r="AC1344" s="121">
        <v>-0.01</v>
      </c>
      <c r="AD1344" s="121">
        <v>-0.01</v>
      </c>
      <c r="AE1344" s="121">
        <v>-0.01</v>
      </c>
      <c r="AF1344" s="121">
        <v>-0.01</v>
      </c>
      <c r="AG1344" s="121">
        <v>-0.01</v>
      </c>
      <c r="AH1344" s="121">
        <v>-0.01</v>
      </c>
      <c r="AI1344" s="161">
        <v>-0.01</v>
      </c>
      <c r="AJ1344" s="161">
        <v>-0.01</v>
      </c>
      <c r="AK1344" s="161">
        <v>-0.01</v>
      </c>
      <c r="AL1344" s="161">
        <v>-0.01</v>
      </c>
      <c r="AM1344" s="161">
        <v>-0.01</v>
      </c>
      <c r="AN1344" s="161">
        <v>-0.01</v>
      </c>
      <c r="AO1344" s="161">
        <v>-0.01</v>
      </c>
      <c r="AP1344" s="125" t="str">
        <f>CONCATENATE(A1344,M1344)</f>
        <v>Def TaxR</v>
      </c>
      <c r="AQ1344" s="125" t="str">
        <f>CONCATENATE(AP1344,L1344,H1344)</f>
        <v>Def TaxRR11Hung Deferred Taxes</v>
      </c>
      <c r="AS1344" s="125" t="str">
        <f>CONCATENATE(L1344,H1344,J1344)</f>
        <v>R11Hung Deferred Taxes</v>
      </c>
    </row>
    <row r="1345" spans="1:45" s="125" customFormat="1" ht="25.5" customHeight="1">
      <c r="A1345" s="216" t="s">
        <v>1996</v>
      </c>
      <c r="B1345" s="217" t="str">
        <f t="shared" si="544"/>
        <v>Def Tax2832000-283.22.04BT010183</v>
      </c>
      <c r="C1345" s="186">
        <v>283200</v>
      </c>
      <c r="D1345" s="201" t="s">
        <v>276</v>
      </c>
      <c r="E1345" s="162" t="s">
        <v>2204</v>
      </c>
      <c r="F1345" s="169" t="s">
        <v>300</v>
      </c>
      <c r="G1345" s="117" t="s">
        <v>1232</v>
      </c>
      <c r="H1345" s="118" t="s">
        <v>1586</v>
      </c>
      <c r="I1345" s="119"/>
      <c r="J1345" s="120"/>
      <c r="K1345" s="120" t="str">
        <f t="shared" si="556"/>
        <v/>
      </c>
      <c r="L1345" s="170" t="s">
        <v>1895</v>
      </c>
      <c r="M1345" s="122" t="str">
        <f t="shared" si="557"/>
        <v>R</v>
      </c>
      <c r="N1345" s="116" t="str">
        <f>IF($L1345&lt;&gt;"",VLOOKUP($L1345,Categories!$E:$G,2,FALSE),IF($F1345&lt;&gt;"","NO CAT",""))</f>
        <v>Rate Base</v>
      </c>
      <c r="O1345" s="116" t="str">
        <f>IF($L1345&lt;&gt;"",VLOOKUP($L1345,Categories!$E:$G,3,FALSE),IF($F1345&lt;&gt;"","NO CAT",""))</f>
        <v>Deferred Income Taxes</v>
      </c>
      <c r="P1345" s="170" t="s">
        <v>1183</v>
      </c>
      <c r="Q1345" s="123" t="s">
        <v>1177</v>
      </c>
      <c r="R1345" s="124">
        <v>1</v>
      </c>
      <c r="S1345" s="124">
        <v>0</v>
      </c>
      <c r="T1345" s="124">
        <v>0</v>
      </c>
      <c r="U1345" s="121" t="str">
        <f t="shared" si="549"/>
        <v/>
      </c>
      <c r="V1345" s="121" t="str">
        <f t="shared" si="550"/>
        <v/>
      </c>
      <c r="W1345" s="121" t="str">
        <f t="shared" si="551"/>
        <v/>
      </c>
      <c r="X1345" s="121">
        <f t="shared" si="545"/>
        <v>0</v>
      </c>
      <c r="Y1345" s="121" t="str">
        <f t="shared" si="552"/>
        <v/>
      </c>
      <c r="Z1345" s="121" t="str">
        <f t="shared" si="553"/>
        <v/>
      </c>
      <c r="AA1345" s="121" t="str">
        <f t="shared" si="554"/>
        <v/>
      </c>
      <c r="AB1345" s="121">
        <f t="shared" si="546"/>
        <v>0</v>
      </c>
      <c r="AC1345" s="121">
        <v>0</v>
      </c>
      <c r="AD1345" s="121">
        <v>0</v>
      </c>
      <c r="AE1345" s="121">
        <v>0</v>
      </c>
      <c r="AF1345" s="121">
        <v>0</v>
      </c>
      <c r="AG1345" s="121">
        <v>0</v>
      </c>
      <c r="AH1345" s="121">
        <v>0</v>
      </c>
      <c r="AI1345" s="121">
        <v>0</v>
      </c>
      <c r="AJ1345" s="121">
        <f>IF(AI1345=0,0,0)</f>
        <v>0</v>
      </c>
      <c r="AK1345" s="121">
        <f>IF(AJ1345=0,0,0)</f>
        <v>0</v>
      </c>
      <c r="AL1345" s="121">
        <v>0</v>
      </c>
      <c r="AM1345" s="161">
        <v>0</v>
      </c>
      <c r="AN1345" s="161">
        <v>0</v>
      </c>
      <c r="AO1345" s="161">
        <v>0</v>
      </c>
      <c r="AP1345" s="125" t="str">
        <f>CONCATENATE(A1345,M1345)</f>
        <v>Def TaxR</v>
      </c>
      <c r="AQ1345" s="125" t="str">
        <f>CONCATENATE(AP1345,L1345,H1345)</f>
        <v>Def TaxRR11Restricted Stock</v>
      </c>
      <c r="AS1345" s="125" t="str">
        <f>CONCATENATE(L1345,H1345,J1345)</f>
        <v>R11Restricted Stock</v>
      </c>
    </row>
    <row r="1346" spans="1:45" s="125" customFormat="1" ht="25.5" customHeight="1">
      <c r="A1346" s="216" t="s">
        <v>1996</v>
      </c>
      <c r="B1346" s="217" t="str">
        <f t="shared" si="544"/>
        <v>Def Tax2832000</v>
      </c>
      <c r="C1346" s="186">
        <v>283200</v>
      </c>
      <c r="D1346" s="201"/>
      <c r="E1346" s="162">
        <v>0</v>
      </c>
      <c r="F1346" s="169" t="s">
        <v>300</v>
      </c>
      <c r="G1346" s="117" t="s">
        <v>1967</v>
      </c>
      <c r="H1346" s="118">
        <v>0</v>
      </c>
      <c r="I1346" s="119"/>
      <c r="J1346" s="120"/>
      <c r="K1346" s="120" t="str">
        <f>IF(L1346="N3","SFAS-109","")</f>
        <v/>
      </c>
      <c r="L1346" s="170" t="s">
        <v>1895</v>
      </c>
      <c r="M1346" s="122" t="str">
        <f t="shared" si="557"/>
        <v>R</v>
      </c>
      <c r="N1346" s="116" t="str">
        <f>IF($L1346&lt;&gt;"",VLOOKUP($L1346,Categories!$E:$G,2,FALSE),IF($F1346&lt;&gt;"","NO CAT",""))</f>
        <v>Rate Base</v>
      </c>
      <c r="O1346" s="116" t="str">
        <f>IF($L1346&lt;&gt;"",VLOOKUP($L1346,Categories!$E:$G,3,FALSE),IF($F1346&lt;&gt;"","NO CAT",""))</f>
        <v>Deferred Income Taxes</v>
      </c>
      <c r="P1346" s="170" t="s">
        <v>1183</v>
      </c>
      <c r="Q1346" s="123" t="s">
        <v>1177</v>
      </c>
      <c r="R1346" s="124">
        <v>1</v>
      </c>
      <c r="S1346" s="124">
        <v>0</v>
      </c>
      <c r="T1346" s="124">
        <v>0</v>
      </c>
      <c r="U1346" s="121">
        <f t="shared" si="549"/>
        <v>-7.1999999999999995E-2</v>
      </c>
      <c r="V1346" s="121">
        <f t="shared" si="550"/>
        <v>0</v>
      </c>
      <c r="W1346" s="121">
        <f t="shared" si="551"/>
        <v>0</v>
      </c>
      <c r="X1346" s="121">
        <f t="shared" si="545"/>
        <v>-7.1999999999999995E-2</v>
      </c>
      <c r="Y1346" s="121">
        <f t="shared" si="552"/>
        <v>-7.1999999999999995E-2</v>
      </c>
      <c r="Z1346" s="121">
        <f t="shared" si="553"/>
        <v>0</v>
      </c>
      <c r="AA1346" s="121">
        <f t="shared" si="554"/>
        <v>0</v>
      </c>
      <c r="AB1346" s="121">
        <f t="shared" si="546"/>
        <v>-7.1999999999999995E-2</v>
      </c>
      <c r="AC1346" s="121">
        <v>-7.1999999999999995E-2</v>
      </c>
      <c r="AD1346" s="121">
        <v>-7.1999999999999995E-2</v>
      </c>
      <c r="AE1346" s="121">
        <v>-7.1999999999999995E-2</v>
      </c>
      <c r="AF1346" s="121">
        <v>-7.1999999999999995E-2</v>
      </c>
      <c r="AG1346" s="121">
        <v>-7.1999999999999995E-2</v>
      </c>
      <c r="AH1346" s="121">
        <v>-7.1999999999999995E-2</v>
      </c>
      <c r="AI1346" s="161">
        <v>-7.1999999999999995E-2</v>
      </c>
      <c r="AJ1346" s="161">
        <v>-7.1999999999999995E-2</v>
      </c>
      <c r="AK1346" s="161">
        <v>-7.1999999999999995E-2</v>
      </c>
      <c r="AL1346" s="161">
        <v>-7.1999999999999995E-2</v>
      </c>
      <c r="AM1346" s="161">
        <v>-7.1999999999999995E-2</v>
      </c>
      <c r="AN1346" s="161">
        <v>-7.1999999999999995E-2</v>
      </c>
      <c r="AO1346" s="161">
        <v>-7.1999999999999995E-2</v>
      </c>
      <c r="AP1346" s="125" t="str">
        <f>CONCATENATE(A1346,M1346)</f>
        <v>Def TaxR</v>
      </c>
      <c r="AQ1346" s="125" t="str">
        <f>CONCATENATE(AP1346,L1346,H1346)</f>
        <v>Def TaxRR110</v>
      </c>
      <c r="AS1346" s="125" t="str">
        <f>CONCATENATE(L1346,H1346,J1346)</f>
        <v>R110</v>
      </c>
    </row>
    <row r="1347" spans="1:45" s="125" customFormat="1" ht="25.5" customHeight="1">
      <c r="A1347" s="216" t="s">
        <v>1996</v>
      </c>
      <c r="B1347" s="217" t="str">
        <f t="shared" si="544"/>
        <v>Def Tax283200184.22.29/184.22.35BT010193</v>
      </c>
      <c r="C1347" s="186">
        <v>283200</v>
      </c>
      <c r="D1347" s="201" t="s">
        <v>960</v>
      </c>
      <c r="E1347" s="162" t="s">
        <v>490</v>
      </c>
      <c r="F1347" s="169" t="s">
        <v>300</v>
      </c>
      <c r="G1347" s="117" t="s">
        <v>387</v>
      </c>
      <c r="H1347" s="118" t="s">
        <v>387</v>
      </c>
      <c r="I1347" s="119"/>
      <c r="J1347" s="120"/>
      <c r="K1347" s="120" t="str">
        <f t="shared" ref="K1347:K1350" si="558">IF(L1347="N3","SFAS-109","")</f>
        <v/>
      </c>
      <c r="L1347" s="170" t="s">
        <v>1419</v>
      </c>
      <c r="M1347" s="122" t="str">
        <f t="shared" si="557"/>
        <v>A</v>
      </c>
      <c r="N1347" s="116" t="str">
        <f>IF($L1347&lt;&gt;"",VLOOKUP($L1347,Categories!$E:$G,2,FALSE),IF($F1347&lt;&gt;"","NO CAT",""))</f>
        <v>All Other</v>
      </c>
      <c r="O1347" s="116" t="str">
        <f>IF($L1347&lt;&gt;"",VLOOKUP($L1347,Categories!$E:$G,3,FALSE),IF($F1347&lt;&gt;"","NO CAT",""))</f>
        <v>EB-Cap</v>
      </c>
      <c r="P1347" s="170" t="s">
        <v>1557</v>
      </c>
      <c r="Q1347" s="123" t="s">
        <v>1891</v>
      </c>
      <c r="R1347" s="124">
        <v>0.77544352505021785</v>
      </c>
      <c r="S1347" s="124">
        <v>0.22455647494978223</v>
      </c>
      <c r="T1347" s="124">
        <v>0</v>
      </c>
      <c r="U1347" s="121">
        <f t="shared" si="549"/>
        <v>-292.56329564735898</v>
      </c>
      <c r="V1347" s="121">
        <f t="shared" si="550"/>
        <v>-84.721814352640806</v>
      </c>
      <c r="W1347" s="121">
        <f t="shared" si="551"/>
        <v>0</v>
      </c>
      <c r="X1347" s="121">
        <f t="shared" si="545"/>
        <v>-377.28510999999997</v>
      </c>
      <c r="Y1347" s="121">
        <f t="shared" si="552"/>
        <v>-292.56329564735898</v>
      </c>
      <c r="Z1347" s="121">
        <f t="shared" si="553"/>
        <v>-84.721814352640806</v>
      </c>
      <c r="AA1347" s="121">
        <f t="shared" si="554"/>
        <v>0</v>
      </c>
      <c r="AB1347" s="121">
        <f t="shared" si="546"/>
        <v>-377.28511000000003</v>
      </c>
      <c r="AC1347" s="121">
        <v>-377.28511000000003</v>
      </c>
      <c r="AD1347" s="121">
        <v>-377.28511000000003</v>
      </c>
      <c r="AE1347" s="121">
        <v>-377.28511000000003</v>
      </c>
      <c r="AF1347" s="121">
        <v>-377.28511000000003</v>
      </c>
      <c r="AG1347" s="121">
        <v>-377.28511000000003</v>
      </c>
      <c r="AH1347" s="121">
        <v>-377.28511000000003</v>
      </c>
      <c r="AI1347" s="161">
        <v>-377.28511000000003</v>
      </c>
      <c r="AJ1347" s="161">
        <v>-377.28511000000003</v>
      </c>
      <c r="AK1347" s="161">
        <v>-377.28511000000003</v>
      </c>
      <c r="AL1347" s="161">
        <v>-377.28511000000003</v>
      </c>
      <c r="AM1347" s="161">
        <v>-377.28511000000003</v>
      </c>
      <c r="AN1347" s="161">
        <v>-377.28511000000003</v>
      </c>
      <c r="AO1347" s="161">
        <v>-377.28511000000003</v>
      </c>
      <c r="AP1347" s="125" t="str">
        <f>CONCATENATE(A1347,M1347)</f>
        <v>Def TaxA</v>
      </c>
      <c r="AQ1347" s="125" t="str">
        <f>CONCATENATE(AP1347,L1347,H1347)</f>
        <v>Def TaxAA2Revenue Enhancement Warranty</v>
      </c>
      <c r="AS1347" s="125" t="str">
        <f>CONCATENATE(L1347,H1347,J1347)</f>
        <v>A2Revenue Enhancement Warranty</v>
      </c>
    </row>
    <row r="1348" spans="1:45" s="125" customFormat="1" ht="25.5" customHeight="1">
      <c r="A1348" s="216" t="s">
        <v>1996</v>
      </c>
      <c r="B1348" s="217" t="str">
        <f t="shared" si="544"/>
        <v>Def Tax283200REVOLVERBT010194</v>
      </c>
      <c r="C1348" s="186">
        <v>283200</v>
      </c>
      <c r="D1348" s="201" t="s">
        <v>617</v>
      </c>
      <c r="E1348" s="162" t="s">
        <v>491</v>
      </c>
      <c r="F1348" s="169" t="s">
        <v>300</v>
      </c>
      <c r="G1348" s="117" t="s">
        <v>1968</v>
      </c>
      <c r="H1348" s="118" t="s">
        <v>404</v>
      </c>
      <c r="I1348" s="119"/>
      <c r="J1348" s="120"/>
      <c r="K1348" s="120" t="str">
        <f t="shared" si="558"/>
        <v/>
      </c>
      <c r="L1348" s="170" t="s">
        <v>1895</v>
      </c>
      <c r="M1348" s="122" t="str">
        <f t="shared" si="557"/>
        <v>R</v>
      </c>
      <c r="N1348" s="116" t="str">
        <f>IF($L1348&lt;&gt;"",VLOOKUP($L1348,Categories!$E:$G,2,FALSE),IF($F1348&lt;&gt;"","NO CAT",""))</f>
        <v>Rate Base</v>
      </c>
      <c r="O1348" s="116" t="str">
        <f>IF($L1348&lt;&gt;"",VLOOKUP($L1348,Categories!$E:$G,3,FALSE),IF($F1348&lt;&gt;"","NO CAT",""))</f>
        <v>Deferred Income Taxes</v>
      </c>
      <c r="P1348" s="170" t="s">
        <v>1183</v>
      </c>
      <c r="Q1348" s="123" t="s">
        <v>1177</v>
      </c>
      <c r="R1348" s="124">
        <v>1</v>
      </c>
      <c r="S1348" s="124">
        <v>0</v>
      </c>
      <c r="T1348" s="124">
        <v>0</v>
      </c>
      <c r="U1348" s="121">
        <f t="shared" si="549"/>
        <v>-113.605</v>
      </c>
      <c r="V1348" s="121">
        <f t="shared" si="550"/>
        <v>0</v>
      </c>
      <c r="W1348" s="121">
        <f t="shared" si="551"/>
        <v>0</v>
      </c>
      <c r="X1348" s="121">
        <f t="shared" si="545"/>
        <v>-113.605</v>
      </c>
      <c r="Y1348" s="121">
        <f t="shared" si="552"/>
        <v>-113.605</v>
      </c>
      <c r="Z1348" s="121">
        <f t="shared" si="553"/>
        <v>0</v>
      </c>
      <c r="AA1348" s="121">
        <f t="shared" si="554"/>
        <v>0</v>
      </c>
      <c r="AB1348" s="121">
        <f t="shared" si="546"/>
        <v>-113.605</v>
      </c>
      <c r="AC1348" s="121">
        <v>-113.605</v>
      </c>
      <c r="AD1348" s="121">
        <v>-113.605</v>
      </c>
      <c r="AE1348" s="121">
        <v>-113.605</v>
      </c>
      <c r="AF1348" s="121">
        <v>-113.605</v>
      </c>
      <c r="AG1348" s="121">
        <v>-113.605</v>
      </c>
      <c r="AH1348" s="121">
        <v>-113.605</v>
      </c>
      <c r="AI1348" s="161">
        <v>-113.605</v>
      </c>
      <c r="AJ1348" s="161">
        <v>-113.605</v>
      </c>
      <c r="AK1348" s="161">
        <v>-113.605</v>
      </c>
      <c r="AL1348" s="161">
        <v>-113.605</v>
      </c>
      <c r="AM1348" s="161">
        <v>-113.605</v>
      </c>
      <c r="AN1348" s="161">
        <v>-113.605</v>
      </c>
      <c r="AO1348" s="161">
        <v>-113.605</v>
      </c>
      <c r="AP1348" s="125" t="str">
        <f>CONCATENATE(A1348,M1348)</f>
        <v>Def TaxR</v>
      </c>
      <c r="AQ1348" s="125" t="str">
        <f>CONCATENATE(AP1348,L1348,H1348)</f>
        <v>Def TaxRR11Revolver Facility</v>
      </c>
      <c r="AS1348" s="125" t="str">
        <f>CONCATENATE(L1348,H1348,J1348)</f>
        <v>R11Revolver Facility</v>
      </c>
    </row>
    <row r="1349" spans="1:45" s="125" customFormat="1" ht="25.5" customHeight="1">
      <c r="A1349" s="216" t="s">
        <v>1996</v>
      </c>
      <c r="B1349" s="217" t="str">
        <f t="shared" si="544"/>
        <v>Def Tax2832000-183.23.00BT010206</v>
      </c>
      <c r="C1349" s="186">
        <v>283200</v>
      </c>
      <c r="D1349" s="201" t="s">
        <v>757</v>
      </c>
      <c r="E1349" s="162" t="s">
        <v>492</v>
      </c>
      <c r="F1349" s="169" t="s">
        <v>300</v>
      </c>
      <c r="G1349" s="117" t="s">
        <v>2379</v>
      </c>
      <c r="H1349" s="118" t="s">
        <v>2219</v>
      </c>
      <c r="I1349" s="119"/>
      <c r="J1349" s="120"/>
      <c r="K1349" s="120" t="str">
        <f t="shared" si="558"/>
        <v/>
      </c>
      <c r="L1349" s="170" t="s">
        <v>928</v>
      </c>
      <c r="M1349" s="122" t="str">
        <f t="shared" si="557"/>
        <v>N</v>
      </c>
      <c r="N1349" s="116" t="str">
        <f>IF($L1349&lt;&gt;"",VLOOKUP($L1349,Categories!$E:$G,2,FALSE),IF($F1349&lt;&gt;"","NO CAT",""))</f>
        <v>Not in Rate Base</v>
      </c>
      <c r="O1349" s="116" t="str">
        <f>IF($L1349&lt;&gt;"",VLOOKUP($L1349,Categories!$E:$G,3,FALSE),IF($F1349&lt;&gt;"","NO CAT",""))</f>
        <v>Direct Assign Items Not in RB</v>
      </c>
      <c r="P1349" s="170" t="s">
        <v>1186</v>
      </c>
      <c r="Q1349" s="123" t="s">
        <v>1187</v>
      </c>
      <c r="R1349" s="124">
        <v>0</v>
      </c>
      <c r="S1349" s="124">
        <v>0</v>
      </c>
      <c r="T1349" s="124">
        <v>1</v>
      </c>
      <c r="U1349" s="121">
        <f t="shared" si="549"/>
        <v>0</v>
      </c>
      <c r="V1349" s="121">
        <f t="shared" si="550"/>
        <v>0</v>
      </c>
      <c r="W1349" s="121">
        <f t="shared" si="551"/>
        <v>-1.6299999999999999E-12</v>
      </c>
      <c r="X1349" s="121">
        <f t="shared" si="545"/>
        <v>-1.6299999999999999E-12</v>
      </c>
      <c r="Y1349" s="121">
        <f t="shared" si="552"/>
        <v>0</v>
      </c>
      <c r="Z1349" s="121">
        <f t="shared" si="553"/>
        <v>0</v>
      </c>
      <c r="AA1349" s="121">
        <f t="shared" si="554"/>
        <v>-1.6299999999999999E-12</v>
      </c>
      <c r="AB1349" s="121">
        <f t="shared" si="546"/>
        <v>-1.6298145055770874E-12</v>
      </c>
      <c r="AC1349" s="121">
        <v>-1.6298145055770874E-12</v>
      </c>
      <c r="AD1349" s="121">
        <v>-1.6298145055770874E-12</v>
      </c>
      <c r="AE1349" s="121">
        <v>-1.6298145055770874E-12</v>
      </c>
      <c r="AF1349" s="121">
        <v>-1.6298145055770874E-12</v>
      </c>
      <c r="AG1349" s="121">
        <v>-1.6298145055770874E-12</v>
      </c>
      <c r="AH1349" s="121">
        <v>-1.6298145055770874E-12</v>
      </c>
      <c r="AI1349" s="161">
        <v>-1.6298145055770874E-12</v>
      </c>
      <c r="AJ1349" s="161">
        <v>-1.6298145055770874E-12</v>
      </c>
      <c r="AK1349" s="161">
        <v>-1.6298145055770874E-12</v>
      </c>
      <c r="AL1349" s="161">
        <v>-1.6298145055770874E-12</v>
      </c>
      <c r="AM1349" s="161">
        <v>-1.6298145055770874E-12</v>
      </c>
      <c r="AN1349" s="161">
        <v>-1.6298145055770874E-12</v>
      </c>
      <c r="AO1349" s="161">
        <v>-1.6298145055770874E-12</v>
      </c>
      <c r="AP1349" s="125" t="str">
        <f>CONCATENATE(A1349,M1349)</f>
        <v>Def TaxN</v>
      </c>
      <c r="AQ1349" s="125" t="str">
        <f>CONCATENATE(AP1349,L1349,H1349)</f>
        <v>Def TaxNN2Research &amp; Development</v>
      </c>
      <c r="AS1349" s="125" t="str">
        <f>CONCATENATE(L1349,H1349,J1349)</f>
        <v>N2Research &amp; Development</v>
      </c>
    </row>
    <row r="1350" spans="1:45" s="125" customFormat="1" ht="25.5" customHeight="1">
      <c r="A1350" s="216" t="s">
        <v>1996</v>
      </c>
      <c r="B1350" s="217" t="str">
        <f t="shared" si="544"/>
        <v>Def Tax2832000-283.21.21BT010236</v>
      </c>
      <c r="C1350" s="186">
        <v>283200</v>
      </c>
      <c r="D1350" s="201" t="s">
        <v>1725</v>
      </c>
      <c r="E1350" s="162" t="s">
        <v>494</v>
      </c>
      <c r="F1350" s="169" t="s">
        <v>300</v>
      </c>
      <c r="G1350" s="117" t="s">
        <v>1969</v>
      </c>
      <c r="H1350" s="118" t="s">
        <v>1726</v>
      </c>
      <c r="I1350" s="119"/>
      <c r="J1350" s="120"/>
      <c r="K1350" s="120" t="str">
        <f t="shared" si="558"/>
        <v/>
      </c>
      <c r="L1350" s="170" t="s">
        <v>1895</v>
      </c>
      <c r="M1350" s="122" t="str">
        <f t="shared" si="557"/>
        <v>R</v>
      </c>
      <c r="N1350" s="116" t="str">
        <f>IF($L1350&lt;&gt;"",VLOOKUP($L1350,Categories!$E:$G,2,FALSE),IF($F1350&lt;&gt;"","NO CAT",""))</f>
        <v>Rate Base</v>
      </c>
      <c r="O1350" s="116" t="str">
        <f>IF($L1350&lt;&gt;"",VLOOKUP($L1350,Categories!$E:$G,3,FALSE),IF($F1350&lt;&gt;"","NO CAT",""))</f>
        <v>Deferred Income Taxes</v>
      </c>
      <c r="P1350" s="170" t="s">
        <v>1183</v>
      </c>
      <c r="Q1350" s="123" t="s">
        <v>1177</v>
      </c>
      <c r="R1350" s="124">
        <v>1</v>
      </c>
      <c r="S1350" s="124">
        <v>0</v>
      </c>
      <c r="T1350" s="124">
        <v>0</v>
      </c>
      <c r="U1350" s="121">
        <f t="shared" si="549"/>
        <v>-271.50599999999997</v>
      </c>
      <c r="V1350" s="121">
        <f t="shared" si="550"/>
        <v>0</v>
      </c>
      <c r="W1350" s="121">
        <f t="shared" si="551"/>
        <v>0</v>
      </c>
      <c r="X1350" s="121">
        <f t="shared" si="545"/>
        <v>-271.50599999999997</v>
      </c>
      <c r="Y1350" s="121">
        <f t="shared" si="552"/>
        <v>-260.06099999999998</v>
      </c>
      <c r="Z1350" s="121">
        <f t="shared" si="553"/>
        <v>0</v>
      </c>
      <c r="AA1350" s="121">
        <f t="shared" si="554"/>
        <v>0</v>
      </c>
      <c r="AB1350" s="121">
        <f t="shared" si="546"/>
        <v>-260.06099999999998</v>
      </c>
      <c r="AC1350" s="121">
        <v>-282.95100000000002</v>
      </c>
      <c r="AD1350" s="121">
        <v>-281.04349999999999</v>
      </c>
      <c r="AE1350" s="121">
        <v>-279.13600000000002</v>
      </c>
      <c r="AF1350" s="121">
        <v>-277.2285</v>
      </c>
      <c r="AG1350" s="121">
        <v>-275.32100000000003</v>
      </c>
      <c r="AH1350" s="121">
        <v>-273.4135</v>
      </c>
      <c r="AI1350" s="161">
        <v>-271.50599999999997</v>
      </c>
      <c r="AJ1350" s="161">
        <v>-269.5985</v>
      </c>
      <c r="AK1350" s="161">
        <v>-267.69099999999997</v>
      </c>
      <c r="AL1350" s="161">
        <v>-265.7835</v>
      </c>
      <c r="AM1350" s="161">
        <v>-263.87599999999998</v>
      </c>
      <c r="AN1350" s="161">
        <v>-261.96850000000001</v>
      </c>
      <c r="AO1350" s="161">
        <v>-260.06099999999998</v>
      </c>
      <c r="AP1350" s="125" t="str">
        <f>CONCATENATE(A1350,M1350)</f>
        <v>Def TaxR</v>
      </c>
      <c r="AQ1350" s="125" t="str">
        <f>CONCATENATE(AP1350,L1350,H1350)</f>
        <v>Def TaxRR11Tree Trimming</v>
      </c>
      <c r="AS1350" s="125" t="str">
        <f>CONCATENATE(L1350,H1350,J1350)</f>
        <v>R11Tree Trimming</v>
      </c>
    </row>
    <row r="1351" spans="1:45" s="125" customFormat="1" ht="25.5" customHeight="1">
      <c r="A1351" s="216" t="s">
        <v>1996</v>
      </c>
      <c r="B1351" s="217" t="str">
        <f>CONCATENATE(A1351,C1351,D1351,E1351)</f>
        <v>Def Tax283200BTMISCDT</v>
      </c>
      <c r="C1351" s="186">
        <v>283200</v>
      </c>
      <c r="D1351" s="201"/>
      <c r="E1351" s="162" t="s">
        <v>4763</v>
      </c>
      <c r="F1351" s="169" t="s">
        <v>300</v>
      </c>
      <c r="G1351" s="117" t="s">
        <v>4767</v>
      </c>
      <c r="H1351" s="118" t="s">
        <v>4761</v>
      </c>
      <c r="I1351" s="119"/>
      <c r="J1351" s="120"/>
      <c r="K1351" s="120" t="str">
        <f t="shared" ref="K1351" si="559">IF(L1351="N3","SFAS-109","")</f>
        <v/>
      </c>
      <c r="L1351" s="170" t="s">
        <v>1895</v>
      </c>
      <c r="M1351" s="122" t="str">
        <f>LEFT(L1351,1)</f>
        <v>R</v>
      </c>
      <c r="N1351" s="116" t="str">
        <f>IF($L1351&lt;&gt;"",VLOOKUP($L1351,Categories!$E:$G,2,FALSE),IF($F1351&lt;&gt;"","NO CAT",""))</f>
        <v>Rate Base</v>
      </c>
      <c r="O1351" s="116" t="str">
        <f>IF($L1351&lt;&gt;"",VLOOKUP($L1351,Categories!$E:$G,3,FALSE),IF($F1351&lt;&gt;"","NO CAT",""))</f>
        <v>Deferred Income Taxes</v>
      </c>
      <c r="P1351" s="170" t="s">
        <v>1183</v>
      </c>
      <c r="Q1351" s="123" t="s">
        <v>1177</v>
      </c>
      <c r="R1351" s="124">
        <v>1</v>
      </c>
      <c r="S1351" s="124">
        <v>0</v>
      </c>
      <c r="T1351" s="124">
        <v>0</v>
      </c>
      <c r="U1351" s="121">
        <f>IF(ABS(X1351)=0,"",IF($R1351="NO ALLOC","NO ALLOC",ROUND($R1351*X1351,15)))</f>
        <v>-1880.75</v>
      </c>
      <c r="V1351" s="121">
        <f>IF(ABS(X1351)=0,"",IF($S1351="NO ALLOC","NO ALLOC",ROUND($S1351*X1351,15)))</f>
        <v>0</v>
      </c>
      <c r="W1351" s="121">
        <f>IF(ABS(X1351)=0,"",IF($T1351="NO ALLOC","NO ALLOC",ROUND($T1351*X1351,15)))</f>
        <v>0</v>
      </c>
      <c r="X1351" s="121">
        <f t="shared" ref="X1351:X1371" si="560">IF(ISERROR(ROUND((SUM(AC1351:AO1351)-((AC1351+AO1351))/2)/12,15)),"",ROUND((SUM(AC1351:AO1351)-((AC1351+AO1351))/2)/12,15))</f>
        <v>-1880.75</v>
      </c>
      <c r="Y1351" s="121">
        <f>IF(ABS(AB1351)=0,"",IF($R1351="NO ALLOC","NO ALLOC",ROUND($R1351*AB1351,15)))</f>
        <v>-3486</v>
      </c>
      <c r="Z1351" s="121">
        <f>IF(ABS(AB1351)=0,"",IF($S1351="NO ALLOC","NO ALLOC",ROUND($S1351*AB1351,15)))</f>
        <v>0</v>
      </c>
      <c r="AA1351" s="121">
        <f>IF(ABS(AB1351)=0,"",IF($T1351="NO ALLOC","NO ALLOC",ROUND($T1351*AB1351,15)))</f>
        <v>0</v>
      </c>
      <c r="AB1351" s="121">
        <f t="shared" ref="AB1351:AB1371" si="561">IF(AO1351="",0,+AO1351)</f>
        <v>-3486</v>
      </c>
      <c r="AC1351" s="121"/>
      <c r="AD1351" s="121"/>
      <c r="AE1351" s="121"/>
      <c r="AF1351" s="121"/>
      <c r="AG1351" s="121"/>
      <c r="AH1351" s="121"/>
      <c r="AI1351" s="121">
        <v>-3468</v>
      </c>
      <c r="AJ1351" s="121">
        <v>-3468</v>
      </c>
      <c r="AK1351" s="161">
        <v>-3468</v>
      </c>
      <c r="AL1351" s="161">
        <v>-3468</v>
      </c>
      <c r="AM1351" s="161">
        <v>-3468</v>
      </c>
      <c r="AN1351" s="161">
        <v>-3486</v>
      </c>
      <c r="AO1351" s="161">
        <v>-3486</v>
      </c>
      <c r="AP1351" s="125" t="str">
        <f>CONCATENATE(A1351,M1351)</f>
        <v>Def TaxR</v>
      </c>
      <c r="AQ1351" s="125" t="str">
        <f>CONCATENATE(AP1351,L1351,H1351)</f>
        <v>Def TaxRR11Excess DIT - New York State Tax Rate change</v>
      </c>
      <c r="AS1351" s="125" t="str">
        <f>CONCATENATE(L1351,H1351,J1351)</f>
        <v>R11Excess DIT - New York State Tax Rate change</v>
      </c>
    </row>
    <row r="1352" spans="1:45" s="125" customFormat="1" ht="25.5" customHeight="1">
      <c r="A1352" s="216" t="s">
        <v>1996</v>
      </c>
      <c r="B1352" s="217" t="str">
        <f t="shared" ref="B1352:B1372" si="562">CONCATENATE(A1352,C1352,D1352,E1352)</f>
        <v>Def Tax2832100-183.96.00BT010030</v>
      </c>
      <c r="C1352" s="186">
        <v>283210</v>
      </c>
      <c r="D1352" s="201" t="s">
        <v>2977</v>
      </c>
      <c r="E1352" s="162" t="s">
        <v>612</v>
      </c>
      <c r="F1352" s="169" t="s">
        <v>2883</v>
      </c>
      <c r="G1352" s="117" t="s">
        <v>1472</v>
      </c>
      <c r="H1352" s="118" t="s">
        <v>2976</v>
      </c>
      <c r="I1352" s="119"/>
      <c r="J1352" s="120"/>
      <c r="K1352" s="120" t="str">
        <f>IF(L1352="N3","SFAS-109","")</f>
        <v/>
      </c>
      <c r="L1352" s="170" t="s">
        <v>1895</v>
      </c>
      <c r="M1352" s="122" t="str">
        <f t="shared" si="557"/>
        <v>R</v>
      </c>
      <c r="N1352" s="116" t="str">
        <f>IF($L1352&lt;&gt;"",VLOOKUP($L1352,Categories!$E:$G,2,FALSE),IF($F1352&lt;&gt;"","NO CAT",""))</f>
        <v>Rate Base</v>
      </c>
      <c r="O1352" s="116" t="str">
        <f>IF($L1352&lt;&gt;"",VLOOKUP($L1352,Categories!$E:$G,3,FALSE),IF($F1352&lt;&gt;"","NO CAT",""))</f>
        <v>Deferred Income Taxes</v>
      </c>
      <c r="P1352" s="170" t="s">
        <v>1184</v>
      </c>
      <c r="Q1352" s="123" t="s">
        <v>1178</v>
      </c>
      <c r="R1352" s="124">
        <v>0</v>
      </c>
      <c r="S1352" s="124">
        <v>1</v>
      </c>
      <c r="T1352" s="124">
        <v>0</v>
      </c>
      <c r="U1352" s="121">
        <f t="shared" si="549"/>
        <v>0</v>
      </c>
      <c r="V1352" s="121">
        <f t="shared" si="550"/>
        <v>4.75E-13</v>
      </c>
      <c r="W1352" s="121">
        <f t="shared" si="551"/>
        <v>0</v>
      </c>
      <c r="X1352" s="121">
        <f t="shared" si="560"/>
        <v>4.75E-13</v>
      </c>
      <c r="Y1352" s="121">
        <f t="shared" si="552"/>
        <v>0</v>
      </c>
      <c r="Z1352" s="121">
        <f t="shared" si="553"/>
        <v>4.75E-13</v>
      </c>
      <c r="AA1352" s="121">
        <f t="shared" si="554"/>
        <v>0</v>
      </c>
      <c r="AB1352" s="121">
        <f t="shared" si="561"/>
        <v>4.7497451284572719E-13</v>
      </c>
      <c r="AC1352" s="121">
        <v>4.7497451284572719E-13</v>
      </c>
      <c r="AD1352" s="121">
        <v>4.7497451284572719E-13</v>
      </c>
      <c r="AE1352" s="121">
        <v>4.7497451284572719E-13</v>
      </c>
      <c r="AF1352" s="121">
        <v>4.7497451284572719E-13</v>
      </c>
      <c r="AG1352" s="121">
        <v>4.7497451284572719E-13</v>
      </c>
      <c r="AH1352" s="121">
        <v>4.7497451284572719E-13</v>
      </c>
      <c r="AI1352" s="161">
        <v>4.7497451284572719E-13</v>
      </c>
      <c r="AJ1352" s="161">
        <v>4.7497451284572719E-13</v>
      </c>
      <c r="AK1352" s="161">
        <v>4.7497451284572719E-13</v>
      </c>
      <c r="AL1352" s="161">
        <v>4.7497451284572719E-13</v>
      </c>
      <c r="AM1352" s="161">
        <v>4.7497451284572719E-13</v>
      </c>
      <c r="AN1352" s="161">
        <v>4.7497451284572719E-13</v>
      </c>
      <c r="AO1352" s="161">
        <v>4.7497451284572719E-13</v>
      </c>
      <c r="AP1352" s="125" t="str">
        <f>CONCATENATE(A1352,M1352)</f>
        <v>Def TaxR</v>
      </c>
      <c r="AQ1352" s="125" t="str">
        <f>CONCATENATE(AP1352,L1352,H1352)</f>
        <v>Def TaxRR11Capitalized Interest</v>
      </c>
      <c r="AS1352" s="125" t="str">
        <f>CONCATENATE(L1352,H1352,J1352)</f>
        <v>R11Capitalized Interest</v>
      </c>
    </row>
    <row r="1353" spans="1:45" s="125" customFormat="1" ht="25.5" customHeight="1">
      <c r="A1353" s="216" t="s">
        <v>1996</v>
      </c>
      <c r="B1353" s="217" t="str">
        <f t="shared" si="562"/>
        <v>Def Tax2832100-183.89.00BT010024</v>
      </c>
      <c r="C1353" s="186">
        <v>283210</v>
      </c>
      <c r="D1353" s="201" t="s">
        <v>219</v>
      </c>
      <c r="E1353" s="162" t="s">
        <v>614</v>
      </c>
      <c r="F1353" s="169" t="s">
        <v>2883</v>
      </c>
      <c r="G1353" s="117" t="s">
        <v>1473</v>
      </c>
      <c r="H1353" s="118" t="s">
        <v>218</v>
      </c>
      <c r="I1353" s="119"/>
      <c r="J1353" s="120"/>
      <c r="K1353" s="120" t="str">
        <f t="shared" ref="K1353:K1360" si="563">IF(L1353="N3","SFAS-109","")</f>
        <v/>
      </c>
      <c r="L1353" s="170" t="s">
        <v>1895</v>
      </c>
      <c r="M1353" s="122" t="str">
        <f t="shared" si="557"/>
        <v>R</v>
      </c>
      <c r="N1353" s="116" t="str">
        <f>IF($L1353&lt;&gt;"",VLOOKUP($L1353,Categories!$E:$G,2,FALSE),IF($F1353&lt;&gt;"","NO CAT",""))</f>
        <v>Rate Base</v>
      </c>
      <c r="O1353" s="116" t="str">
        <f>IF($L1353&lt;&gt;"",VLOOKUP($L1353,Categories!$E:$G,3,FALSE),IF($F1353&lt;&gt;"","NO CAT",""))</f>
        <v>Deferred Income Taxes</v>
      </c>
      <c r="P1353" s="170" t="s">
        <v>1184</v>
      </c>
      <c r="Q1353" s="123" t="s">
        <v>1178</v>
      </c>
      <c r="R1353" s="124">
        <v>0</v>
      </c>
      <c r="S1353" s="124">
        <v>1</v>
      </c>
      <c r="T1353" s="124">
        <v>0</v>
      </c>
      <c r="U1353" s="121">
        <f t="shared" si="549"/>
        <v>0</v>
      </c>
      <c r="V1353" s="121">
        <f t="shared" si="550"/>
        <v>9.3099999999999997E-13</v>
      </c>
      <c r="W1353" s="121">
        <f t="shared" si="551"/>
        <v>0</v>
      </c>
      <c r="X1353" s="121">
        <f t="shared" si="560"/>
        <v>9.3099999999999997E-13</v>
      </c>
      <c r="Y1353" s="121" t="str">
        <f t="shared" si="552"/>
        <v/>
      </c>
      <c r="Z1353" s="121" t="str">
        <f t="shared" si="553"/>
        <v/>
      </c>
      <c r="AA1353" s="121" t="str">
        <f t="shared" si="554"/>
        <v/>
      </c>
      <c r="AB1353" s="121">
        <f t="shared" si="561"/>
        <v>0</v>
      </c>
      <c r="AC1353" s="121">
        <v>0</v>
      </c>
      <c r="AD1353" s="121">
        <v>9.3132257461547854E-13</v>
      </c>
      <c r="AE1353" s="121">
        <v>1.8626451492309571E-12</v>
      </c>
      <c r="AF1353" s="121">
        <v>9.3132257461547854E-13</v>
      </c>
      <c r="AG1353" s="121">
        <v>9.3132257461547854E-13</v>
      </c>
      <c r="AH1353" s="121">
        <v>9.3132257461547854E-13</v>
      </c>
      <c r="AI1353" s="161">
        <v>9.3132257461547854E-13</v>
      </c>
      <c r="AJ1353" s="161">
        <v>1.8626451492309571E-12</v>
      </c>
      <c r="AK1353" s="161">
        <v>9.3132257461547854E-13</v>
      </c>
      <c r="AL1353" s="161">
        <v>1.8626451492309571E-12</v>
      </c>
      <c r="AM1353" s="161">
        <v>0</v>
      </c>
      <c r="AN1353" s="161">
        <v>0</v>
      </c>
      <c r="AO1353" s="161">
        <v>0</v>
      </c>
      <c r="AP1353" s="125" t="str">
        <f>CONCATENATE(A1353,M1353)</f>
        <v>Def TaxR</v>
      </c>
      <c r="AQ1353" s="125" t="str">
        <f>CONCATENATE(AP1353,L1353,H1353)</f>
        <v>Def TaxRR11Contributions in Aid of Construction</v>
      </c>
      <c r="AS1353" s="125" t="str">
        <f>CONCATENATE(L1353,H1353,J1353)</f>
        <v>R11Contributions in Aid of Construction</v>
      </c>
    </row>
    <row r="1354" spans="1:45" s="125" customFormat="1" ht="25.5" customHeight="1">
      <c r="A1354" s="216" t="s">
        <v>1996</v>
      </c>
      <c r="B1354" s="217" t="str">
        <f t="shared" si="562"/>
        <v>Def Tax283210Env OLBT010071</v>
      </c>
      <c r="C1354" s="186">
        <v>283210</v>
      </c>
      <c r="D1354" s="201" t="s">
        <v>75</v>
      </c>
      <c r="E1354" s="162" t="s">
        <v>222</v>
      </c>
      <c r="F1354" s="169" t="s">
        <v>2883</v>
      </c>
      <c r="G1354" s="117" t="s">
        <v>221</v>
      </c>
      <c r="H1354" s="118" t="s">
        <v>2369</v>
      </c>
      <c r="I1354" s="119"/>
      <c r="J1354" s="231"/>
      <c r="K1354" s="120" t="str">
        <f t="shared" si="563"/>
        <v/>
      </c>
      <c r="L1354" s="170" t="s">
        <v>928</v>
      </c>
      <c r="M1354" s="122" t="str">
        <f t="shared" si="557"/>
        <v>N</v>
      </c>
      <c r="N1354" s="116" t="str">
        <f>IF($L1354&lt;&gt;"",VLOOKUP($L1354,Categories!$E:$G,2,FALSE),IF($F1354&lt;&gt;"","NO CAT",""))</f>
        <v>Not in Rate Base</v>
      </c>
      <c r="O1354" s="116" t="str">
        <f>IF($L1354&lt;&gt;"",VLOOKUP($L1354,Categories!$E:$G,3,FALSE),IF($F1354&lt;&gt;"","NO CAT",""))</f>
        <v>Direct Assign Items Not in RB</v>
      </c>
      <c r="P1354" s="170" t="s">
        <v>1186</v>
      </c>
      <c r="Q1354" s="123" t="s">
        <v>1187</v>
      </c>
      <c r="R1354" s="124">
        <v>0</v>
      </c>
      <c r="S1354" s="124">
        <v>0</v>
      </c>
      <c r="T1354" s="124">
        <v>1</v>
      </c>
      <c r="U1354" s="121">
        <f t="shared" ref="U1354:U1379" si="564">IF(ABS(X1354)=0,"",IF($R1354="NO ALLOC","NO ALLOC",ROUND($R1354*X1354,15)))</f>
        <v>0</v>
      </c>
      <c r="V1354" s="121">
        <f t="shared" ref="V1354:V1379" si="565">IF(ABS(X1354)=0,"",IF($S1354="NO ALLOC","NO ALLOC",ROUND($S1354*X1354,15)))</f>
        <v>0</v>
      </c>
      <c r="W1354" s="121">
        <f t="shared" ref="W1354:W1379" si="566">IF(ABS(X1354)=0,"",IF($T1354="NO ALLOC","NO ALLOC",ROUND($T1354*X1354,15)))</f>
        <v>980.84243500000002</v>
      </c>
      <c r="X1354" s="121">
        <f t="shared" si="560"/>
        <v>980.84243500000002</v>
      </c>
      <c r="Y1354" s="121">
        <f t="shared" ref="Y1354:Y1379" si="567">IF(ABS(AB1354)=0,"",IF($R1354="NO ALLOC","NO ALLOC",ROUND($R1354*AB1354,15)))</f>
        <v>0</v>
      </c>
      <c r="Z1354" s="121">
        <f t="shared" ref="Z1354:Z1379" si="568">IF(ABS(AB1354)=0,"",IF($S1354="NO ALLOC","NO ALLOC",ROUND($S1354*AB1354,15)))</f>
        <v>0</v>
      </c>
      <c r="AA1354" s="121">
        <f t="shared" ref="AA1354:AA1379" si="569">IF(ABS(AB1354)=0,"",IF($T1354="NO ALLOC","NO ALLOC",ROUND($T1354*AB1354,15)))</f>
        <v>-9.999999776E-6</v>
      </c>
      <c r="AB1354" s="121">
        <f t="shared" si="561"/>
        <v>-9.9999997764825818E-6</v>
      </c>
      <c r="AC1354" s="121">
        <v>2129.0613700000004</v>
      </c>
      <c r="AD1354" s="121">
        <v>2129.0613699999999</v>
      </c>
      <c r="AE1354" s="121">
        <v>2129.0613699999999</v>
      </c>
      <c r="AF1354" s="121">
        <v>2129.0613699999999</v>
      </c>
      <c r="AG1354" s="121">
        <v>2129.0613699999999</v>
      </c>
      <c r="AH1354" s="121">
        <v>2189.3331199999998</v>
      </c>
      <c r="AI1354" s="161">
        <v>-9.9999997764825818E-6</v>
      </c>
      <c r="AJ1354" s="161">
        <v>-9.9999997764825818E-6</v>
      </c>
      <c r="AK1354" s="161">
        <v>-9.9999997764825818E-6</v>
      </c>
      <c r="AL1354" s="161">
        <v>-9.9999997764825818E-6</v>
      </c>
      <c r="AM1354" s="161">
        <v>-9.9999997764825818E-6</v>
      </c>
      <c r="AN1354" s="161">
        <v>-9.9999997764825818E-6</v>
      </c>
      <c r="AO1354" s="161">
        <v>-9.9999997764825818E-6</v>
      </c>
      <c r="AP1354" s="125" t="str">
        <f>CONCATENATE(A1354,M1354)</f>
        <v>Def TaxN</v>
      </c>
      <c r="AQ1354" s="125" t="str">
        <f>CONCATENATE(AP1354,L1354,H1354)</f>
        <v>Def TaxNN2Environmental</v>
      </c>
      <c r="AS1354" s="125" t="str">
        <f>CONCATENATE(L1354,H1354,J1354)</f>
        <v>N2Environmental</v>
      </c>
    </row>
    <row r="1355" spans="1:45" s="125" customFormat="1" ht="25.5" customHeight="1">
      <c r="A1355" s="216" t="s">
        <v>1996</v>
      </c>
      <c r="B1355" s="217" t="str">
        <f t="shared" si="562"/>
        <v>Def Tax2832100-283.21.66BTHUNGDT</v>
      </c>
      <c r="C1355" s="186">
        <v>283210</v>
      </c>
      <c r="D1355" s="201" t="s">
        <v>116</v>
      </c>
      <c r="E1355" s="162" t="s">
        <v>616</v>
      </c>
      <c r="F1355" s="169" t="s">
        <v>2883</v>
      </c>
      <c r="G1355" s="117" t="s">
        <v>1388</v>
      </c>
      <c r="H1355" s="118" t="s">
        <v>1167</v>
      </c>
      <c r="I1355" s="119"/>
      <c r="J1355" s="120"/>
      <c r="K1355" s="120" t="str">
        <f t="shared" si="563"/>
        <v/>
      </c>
      <c r="L1355" s="170" t="s">
        <v>1895</v>
      </c>
      <c r="M1355" s="122" t="str">
        <f t="shared" si="557"/>
        <v>R</v>
      </c>
      <c r="N1355" s="116" t="str">
        <f>IF($L1355&lt;&gt;"",VLOOKUP($L1355,Categories!$E:$G,2,FALSE),IF($F1355&lt;&gt;"","NO CAT",""))</f>
        <v>Rate Base</v>
      </c>
      <c r="O1355" s="116" t="str">
        <f>IF($L1355&lt;&gt;"",VLOOKUP($L1355,Categories!$E:$G,3,FALSE),IF($F1355&lt;&gt;"","NO CAT",""))</f>
        <v>Deferred Income Taxes</v>
      </c>
      <c r="P1355" s="170" t="s">
        <v>1184</v>
      </c>
      <c r="Q1355" s="123" t="s">
        <v>1178</v>
      </c>
      <c r="R1355" s="124">
        <v>0</v>
      </c>
      <c r="S1355" s="124">
        <v>1</v>
      </c>
      <c r="T1355" s="124">
        <v>0</v>
      </c>
      <c r="U1355" s="121">
        <f t="shared" si="564"/>
        <v>0</v>
      </c>
      <c r="V1355" s="121">
        <f t="shared" si="565"/>
        <v>-30.064333333333298</v>
      </c>
      <c r="W1355" s="121">
        <f t="shared" si="566"/>
        <v>0</v>
      </c>
      <c r="X1355" s="121">
        <f t="shared" si="560"/>
        <v>-30.064333333333298</v>
      </c>
      <c r="Y1355" s="121">
        <f t="shared" si="567"/>
        <v>0</v>
      </c>
      <c r="Z1355" s="121">
        <f t="shared" si="568"/>
        <v>-30.055</v>
      </c>
      <c r="AA1355" s="121">
        <f t="shared" si="569"/>
        <v>0</v>
      </c>
      <c r="AB1355" s="121">
        <f t="shared" si="561"/>
        <v>-30.055</v>
      </c>
      <c r="AC1355" s="121">
        <v>-30.055</v>
      </c>
      <c r="AD1355" s="121">
        <v>-30.068999999999999</v>
      </c>
      <c r="AE1355" s="121">
        <v>-30.055</v>
      </c>
      <c r="AF1355" s="121">
        <v>-30.068999999999999</v>
      </c>
      <c r="AG1355" s="121">
        <v>-30.068999999999999</v>
      </c>
      <c r="AH1355" s="121">
        <v>-30.068999999999999</v>
      </c>
      <c r="AI1355" s="121">
        <v>-30.068999999999999</v>
      </c>
      <c r="AJ1355" s="121">
        <v>-30.068999999999999</v>
      </c>
      <c r="AK1355" s="161">
        <v>-30.068999999999999</v>
      </c>
      <c r="AL1355" s="161">
        <v>-30.068999999999999</v>
      </c>
      <c r="AM1355" s="161">
        <v>-30.055</v>
      </c>
      <c r="AN1355" s="161">
        <v>-30.055</v>
      </c>
      <c r="AO1355" s="161">
        <v>-30.055</v>
      </c>
      <c r="AP1355" s="125" t="str">
        <f>CONCATENATE(A1355,M1355)</f>
        <v>Def TaxR</v>
      </c>
      <c r="AQ1355" s="125" t="str">
        <f>CONCATENATE(AP1355,L1355,H1355)</f>
        <v>Def TaxRR11Hung Deferred Taxes</v>
      </c>
      <c r="AS1355" s="125" t="str">
        <f>CONCATENATE(L1355,H1355,J1355)</f>
        <v>R11Hung Deferred Taxes</v>
      </c>
    </row>
    <row r="1356" spans="1:45" s="125" customFormat="1" ht="25.5" customHeight="1">
      <c r="A1356" s="216" t="s">
        <v>1996</v>
      </c>
      <c r="B1356" s="217" t="str">
        <f t="shared" si="562"/>
        <v>Def Tax283210Flood InsBT010286</v>
      </c>
      <c r="C1356" s="186">
        <v>283210</v>
      </c>
      <c r="D1356" s="201" t="s">
        <v>582</v>
      </c>
      <c r="E1356" s="162" t="s">
        <v>284</v>
      </c>
      <c r="F1356" s="169" t="s">
        <v>2883</v>
      </c>
      <c r="G1356" s="117" t="s">
        <v>581</v>
      </c>
      <c r="H1356" s="118" t="s">
        <v>620</v>
      </c>
      <c r="I1356" s="119"/>
      <c r="J1356" s="231" t="s">
        <v>105</v>
      </c>
      <c r="K1356" s="120" t="str">
        <f t="shared" si="563"/>
        <v/>
      </c>
      <c r="L1356" s="170" t="s">
        <v>2821</v>
      </c>
      <c r="M1356" s="122" t="str">
        <f t="shared" si="557"/>
        <v>N</v>
      </c>
      <c r="N1356" s="116" t="str">
        <f>IF($L1356&lt;&gt;"",VLOOKUP($L1356,Categories!$E:$G,2,FALSE),IF($F1356&lt;&gt;"","NO CAT",""))</f>
        <v>Not in Rate Base</v>
      </c>
      <c r="O1356" s="116" t="str">
        <f>IF($L1356&lt;&gt;"",VLOOKUP($L1356,Categories!$E:$G,3,FALSE),IF($F1356&lt;&gt;"","NO CAT",""))</f>
        <v>Deferrals Accruing Non-Cash Return   (other than ASGA)</v>
      </c>
      <c r="P1356" s="170" t="s">
        <v>1186</v>
      </c>
      <c r="Q1356" s="123" t="s">
        <v>1187</v>
      </c>
      <c r="R1356" s="124">
        <v>0</v>
      </c>
      <c r="S1356" s="124">
        <v>0</v>
      </c>
      <c r="T1356" s="124">
        <v>1</v>
      </c>
      <c r="U1356" s="121">
        <f t="shared" si="564"/>
        <v>0</v>
      </c>
      <c r="V1356" s="121">
        <f t="shared" si="565"/>
        <v>0</v>
      </c>
      <c r="W1356" s="121">
        <f t="shared" si="566"/>
        <v>-17.97072</v>
      </c>
      <c r="X1356" s="121">
        <f t="shared" si="560"/>
        <v>-17.97072</v>
      </c>
      <c r="Y1356" s="121">
        <f t="shared" si="567"/>
        <v>0</v>
      </c>
      <c r="Z1356" s="121">
        <f t="shared" si="568"/>
        <v>0</v>
      </c>
      <c r="AA1356" s="121">
        <f t="shared" si="569"/>
        <v>-17.97072</v>
      </c>
      <c r="AB1356" s="121">
        <f t="shared" si="561"/>
        <v>-17.970719999999996</v>
      </c>
      <c r="AC1356" s="121">
        <v>-17.970719999999996</v>
      </c>
      <c r="AD1356" s="121">
        <v>-17.970719999999996</v>
      </c>
      <c r="AE1356" s="121">
        <v>-17.970719999999996</v>
      </c>
      <c r="AF1356" s="121">
        <v>-17.970719999999996</v>
      </c>
      <c r="AG1356" s="121">
        <v>-17.970719999999996</v>
      </c>
      <c r="AH1356" s="121">
        <v>-17.970719999999996</v>
      </c>
      <c r="AI1356" s="161">
        <v>-17.970719999999996</v>
      </c>
      <c r="AJ1356" s="161">
        <v>-17.970719999999996</v>
      </c>
      <c r="AK1356" s="161">
        <v>-17.970719999999996</v>
      </c>
      <c r="AL1356" s="161">
        <v>-17.970719999999996</v>
      </c>
      <c r="AM1356" s="161">
        <v>-17.970719999999996</v>
      </c>
      <c r="AN1356" s="161">
        <v>-17.970719999999996</v>
      </c>
      <c r="AO1356" s="161">
        <v>-17.970719999999996</v>
      </c>
      <c r="AP1356" s="125" t="str">
        <f>CONCATENATE(A1356,M1356)</f>
        <v>Def TaxN</v>
      </c>
      <c r="AQ1356" s="125" t="str">
        <f>CONCATENATE(AP1356,L1356,H1356)</f>
        <v>Def TaxNN10Flood</v>
      </c>
      <c r="AS1356" s="125" t="str">
        <f>CONCATENATE(L1356,H1356,J1356)</f>
        <v>N10FloodNCR</v>
      </c>
    </row>
    <row r="1357" spans="1:45" s="125" customFormat="1" ht="25.5" customHeight="1">
      <c r="A1357" s="216" t="s">
        <v>1996</v>
      </c>
      <c r="B1357" s="217" t="str">
        <f t="shared" si="562"/>
        <v>Def Tax2832100-283.21.34BT010272</v>
      </c>
      <c r="C1357" s="186">
        <v>283210</v>
      </c>
      <c r="D1357" s="201" t="s">
        <v>2746</v>
      </c>
      <c r="E1357" s="162" t="s">
        <v>1066</v>
      </c>
      <c r="F1357" s="169" t="s">
        <v>2883</v>
      </c>
      <c r="G1357" s="117" t="s">
        <v>1065</v>
      </c>
      <c r="H1357" s="118" t="s">
        <v>1662</v>
      </c>
      <c r="I1357" s="119"/>
      <c r="J1357" s="120"/>
      <c r="K1357" s="120" t="str">
        <f t="shared" si="563"/>
        <v/>
      </c>
      <c r="L1357" s="170" t="s">
        <v>1895</v>
      </c>
      <c r="M1357" s="122" t="str">
        <f t="shared" si="557"/>
        <v>R</v>
      </c>
      <c r="N1357" s="116" t="str">
        <f>IF($L1357&lt;&gt;"",VLOOKUP($L1357,Categories!$E:$G,2,FALSE),IF($F1357&lt;&gt;"","NO CAT",""))</f>
        <v>Rate Base</v>
      </c>
      <c r="O1357" s="116" t="str">
        <f>IF($L1357&lt;&gt;"",VLOOKUP($L1357,Categories!$E:$G,3,FALSE),IF($F1357&lt;&gt;"","NO CAT",""))</f>
        <v>Deferred Income Taxes</v>
      </c>
      <c r="P1357" s="170" t="s">
        <v>1184</v>
      </c>
      <c r="Q1357" s="123" t="s">
        <v>1178</v>
      </c>
      <c r="R1357" s="124">
        <v>0</v>
      </c>
      <c r="S1357" s="124">
        <v>1</v>
      </c>
      <c r="T1357" s="124">
        <v>0</v>
      </c>
      <c r="U1357" s="121">
        <f t="shared" si="564"/>
        <v>0</v>
      </c>
      <c r="V1357" s="121">
        <f t="shared" si="565"/>
        <v>-22.038889999999999</v>
      </c>
      <c r="W1357" s="121">
        <f t="shared" si="566"/>
        <v>0</v>
      </c>
      <c r="X1357" s="121">
        <f t="shared" si="560"/>
        <v>-22.038889999999999</v>
      </c>
      <c r="Y1357" s="121">
        <f t="shared" si="567"/>
        <v>0</v>
      </c>
      <c r="Z1357" s="121">
        <f t="shared" si="568"/>
        <v>-22.038889999999999</v>
      </c>
      <c r="AA1357" s="121">
        <f t="shared" si="569"/>
        <v>0</v>
      </c>
      <c r="AB1357" s="121">
        <f t="shared" si="561"/>
        <v>-22.038889999999999</v>
      </c>
      <c r="AC1357" s="121">
        <v>-22.038889999999999</v>
      </c>
      <c r="AD1357" s="121">
        <v>-22.038889999999999</v>
      </c>
      <c r="AE1357" s="121">
        <v>-22.038889999999999</v>
      </c>
      <c r="AF1357" s="121">
        <v>-22.038889999999999</v>
      </c>
      <c r="AG1357" s="121">
        <v>-22.038889999999999</v>
      </c>
      <c r="AH1357" s="121">
        <v>-22.038889999999999</v>
      </c>
      <c r="AI1357" s="161">
        <v>-22.038889999999999</v>
      </c>
      <c r="AJ1357" s="161">
        <v>-22.038889999999999</v>
      </c>
      <c r="AK1357" s="161">
        <v>-22.038889999999999</v>
      </c>
      <c r="AL1357" s="161">
        <v>-22.038889999999999</v>
      </c>
      <c r="AM1357" s="161">
        <v>-22.038889999999999</v>
      </c>
      <c r="AN1357" s="161">
        <v>-22.038889999999999</v>
      </c>
      <c r="AO1357" s="161">
        <v>-22.038889999999999</v>
      </c>
      <c r="AP1357" s="125" t="str">
        <f>CONCATENATE(A1357,M1357)</f>
        <v>Def TaxR</v>
      </c>
      <c r="AQ1357" s="125" t="str">
        <f>CONCATENATE(AP1357,L1357,H1357)</f>
        <v>Def TaxRR11Deferred Unbilled Revenue</v>
      </c>
      <c r="AS1357" s="125" t="str">
        <f>CONCATENATE(L1357,H1357,J1357)</f>
        <v>R11Deferred Unbilled Revenue</v>
      </c>
    </row>
    <row r="1358" spans="1:45" s="125" customFormat="1" ht="25.5" customHeight="1">
      <c r="A1358" s="216" t="s">
        <v>1996</v>
      </c>
      <c r="B1358" s="217" t="str">
        <f t="shared" si="562"/>
        <v>Def Tax2832100-283.21.47BTHUNGDT</v>
      </c>
      <c r="C1358" s="186">
        <v>283210</v>
      </c>
      <c r="D1358" s="201" t="s">
        <v>2866</v>
      </c>
      <c r="E1358" s="162" t="s">
        <v>616</v>
      </c>
      <c r="F1358" s="169" t="s">
        <v>2883</v>
      </c>
      <c r="G1358" s="117" t="s">
        <v>1285</v>
      </c>
      <c r="H1358" s="118" t="s">
        <v>1167</v>
      </c>
      <c r="I1358" s="119"/>
      <c r="J1358" s="120"/>
      <c r="K1358" s="120" t="str">
        <f t="shared" si="563"/>
        <v/>
      </c>
      <c r="L1358" s="170" t="s">
        <v>1895</v>
      </c>
      <c r="M1358" s="122" t="str">
        <f t="shared" si="557"/>
        <v>R</v>
      </c>
      <c r="N1358" s="116" t="str">
        <f>IF($L1358&lt;&gt;"",VLOOKUP($L1358,Categories!$E:$G,2,FALSE),IF($F1358&lt;&gt;"","NO CAT",""))</f>
        <v>Rate Base</v>
      </c>
      <c r="O1358" s="116" t="str">
        <f>IF($L1358&lt;&gt;"",VLOOKUP($L1358,Categories!$E:$G,3,FALSE),IF($F1358&lt;&gt;"","NO CAT",""))</f>
        <v>Deferred Income Taxes</v>
      </c>
      <c r="P1358" s="170" t="s">
        <v>1184</v>
      </c>
      <c r="Q1358" s="123" t="s">
        <v>1178</v>
      </c>
      <c r="R1358" s="124">
        <v>0</v>
      </c>
      <c r="S1358" s="124">
        <v>1</v>
      </c>
      <c r="T1358" s="124">
        <v>0</v>
      </c>
      <c r="U1358" s="121">
        <f t="shared" si="564"/>
        <v>0</v>
      </c>
      <c r="V1358" s="121">
        <f t="shared" si="565"/>
        <v>-3.5000000000000001E-3</v>
      </c>
      <c r="W1358" s="121">
        <f t="shared" si="566"/>
        <v>0</v>
      </c>
      <c r="X1358" s="121">
        <f t="shared" si="560"/>
        <v>-3.5000000000000001E-3</v>
      </c>
      <c r="Y1358" s="121" t="str">
        <f t="shared" si="567"/>
        <v/>
      </c>
      <c r="Z1358" s="121" t="str">
        <f t="shared" si="568"/>
        <v/>
      </c>
      <c r="AA1358" s="121" t="str">
        <f t="shared" si="569"/>
        <v/>
      </c>
      <c r="AB1358" s="121">
        <f t="shared" si="561"/>
        <v>0</v>
      </c>
      <c r="AC1358" s="121">
        <v>-4.0000000000000001E-3</v>
      </c>
      <c r="AD1358" s="121">
        <v>-4.0000000000000001E-3</v>
      </c>
      <c r="AE1358" s="121">
        <v>-4.0000000000000001E-3</v>
      </c>
      <c r="AF1358" s="121">
        <v>-4.0000000000000001E-3</v>
      </c>
      <c r="AG1358" s="121">
        <v>-4.0000000000000001E-3</v>
      </c>
      <c r="AH1358" s="121">
        <v>-4.0000000000000001E-3</v>
      </c>
      <c r="AI1358" s="161">
        <v>-4.0000000000000001E-3</v>
      </c>
      <c r="AJ1358" s="161">
        <v>-8.0000000000000002E-3</v>
      </c>
      <c r="AK1358" s="161">
        <v>-8.0000000000000002E-3</v>
      </c>
      <c r="AL1358" s="161">
        <v>0</v>
      </c>
      <c r="AM1358" s="161">
        <v>0</v>
      </c>
      <c r="AN1358" s="161">
        <v>0</v>
      </c>
      <c r="AO1358" s="161">
        <v>0</v>
      </c>
      <c r="AP1358" s="125" t="str">
        <f>CONCATENATE(A1358,M1358)</f>
        <v>Def TaxR</v>
      </c>
      <c r="AQ1358" s="125" t="str">
        <f>CONCATENATE(AP1358,L1358,H1358)</f>
        <v>Def TaxRR11Hung Deferred Taxes</v>
      </c>
      <c r="AS1358" s="125" t="str">
        <f>CONCATENATE(L1358,H1358,J1358)</f>
        <v>R11Hung Deferred Taxes</v>
      </c>
    </row>
    <row r="1359" spans="1:45" s="125" customFormat="1" ht="25.5" customHeight="1">
      <c r="A1359" s="216" t="s">
        <v>1996</v>
      </c>
      <c r="B1359" s="217" t="str">
        <f t="shared" si="562"/>
        <v>Def Tax283210Misc Fed BenBTHUNGDT</v>
      </c>
      <c r="C1359" s="186">
        <v>283210</v>
      </c>
      <c r="D1359" s="201" t="s">
        <v>679</v>
      </c>
      <c r="E1359" s="162" t="s">
        <v>616</v>
      </c>
      <c r="F1359" s="169" t="s">
        <v>2883</v>
      </c>
      <c r="G1359" s="117" t="s">
        <v>1631</v>
      </c>
      <c r="H1359" s="118" t="s">
        <v>1167</v>
      </c>
      <c r="I1359" s="119"/>
      <c r="J1359" s="120"/>
      <c r="K1359" s="120" t="str">
        <f t="shared" si="563"/>
        <v/>
      </c>
      <c r="L1359" s="170" t="s">
        <v>928</v>
      </c>
      <c r="M1359" s="122" t="str">
        <f t="shared" si="557"/>
        <v>N</v>
      </c>
      <c r="N1359" s="116" t="str">
        <f>IF($L1359&lt;&gt;"",VLOOKUP($L1359,Categories!$E:$G,2,FALSE),IF($F1359&lt;&gt;"","NO CAT",""))</f>
        <v>Not in Rate Base</v>
      </c>
      <c r="O1359" s="116" t="str">
        <f>IF($L1359&lt;&gt;"",VLOOKUP($L1359,Categories!$E:$G,3,FALSE),IF($F1359&lt;&gt;"","NO CAT",""))</f>
        <v>Direct Assign Items Not in RB</v>
      </c>
      <c r="P1359" s="170" t="s">
        <v>1186</v>
      </c>
      <c r="Q1359" s="123" t="s">
        <v>1187</v>
      </c>
      <c r="R1359" s="124">
        <v>0</v>
      </c>
      <c r="S1359" s="124">
        <v>0</v>
      </c>
      <c r="T1359" s="124">
        <v>1</v>
      </c>
      <c r="U1359" s="121">
        <f t="shared" si="564"/>
        <v>0</v>
      </c>
      <c r="V1359" s="121">
        <f t="shared" si="565"/>
        <v>0</v>
      </c>
      <c r="W1359" s="121">
        <f t="shared" si="566"/>
        <v>-1.0999999999999999E-2</v>
      </c>
      <c r="X1359" s="121">
        <f t="shared" si="560"/>
        <v>-1.0999999999999999E-2</v>
      </c>
      <c r="Y1359" s="121">
        <f t="shared" si="567"/>
        <v>0</v>
      </c>
      <c r="Z1359" s="121">
        <f t="shared" si="568"/>
        <v>0</v>
      </c>
      <c r="AA1359" s="121">
        <f t="shared" si="569"/>
        <v>-1.0999999999999999E-2</v>
      </c>
      <c r="AB1359" s="121">
        <f t="shared" si="561"/>
        <v>-1.0999999999999999E-2</v>
      </c>
      <c r="AC1359" s="121">
        <v>-1.0999999999999999E-2</v>
      </c>
      <c r="AD1359" s="121">
        <v>-1.0999999999999999E-2</v>
      </c>
      <c r="AE1359" s="121">
        <v>-1.0999999999999999E-2</v>
      </c>
      <c r="AF1359" s="121">
        <v>-1.0999999999999999E-2</v>
      </c>
      <c r="AG1359" s="121">
        <v>-1.0999999999999999E-2</v>
      </c>
      <c r="AH1359" s="121">
        <v>-1.0999999999999999E-2</v>
      </c>
      <c r="AI1359" s="161">
        <v>-1.0999999999999999E-2</v>
      </c>
      <c r="AJ1359" s="161">
        <v>-1.0999999999999999E-2</v>
      </c>
      <c r="AK1359" s="161">
        <v>-1.0999999999999999E-2</v>
      </c>
      <c r="AL1359" s="161">
        <v>-1.0999999999999999E-2</v>
      </c>
      <c r="AM1359" s="161">
        <v>-1.0999999999999999E-2</v>
      </c>
      <c r="AN1359" s="161">
        <v>-1.0999999999999999E-2</v>
      </c>
      <c r="AO1359" s="161">
        <v>-1.0999999999999999E-2</v>
      </c>
      <c r="AP1359" s="125" t="str">
        <f>CONCATENATE(A1359,M1359)</f>
        <v>Def TaxN</v>
      </c>
      <c r="AQ1359" s="125" t="str">
        <f>CONCATENATE(AP1359,L1359,H1359)</f>
        <v>Def TaxNN2Hung Deferred Taxes</v>
      </c>
      <c r="AS1359" s="125" t="str">
        <f>CONCATENATE(L1359,H1359,J1359)</f>
        <v>N2Hung Deferred Taxes</v>
      </c>
    </row>
    <row r="1360" spans="1:45" s="125" customFormat="1" ht="25.5" customHeight="1">
      <c r="A1360" s="216" t="s">
        <v>1996</v>
      </c>
      <c r="B1360" s="217" t="str">
        <f t="shared" si="562"/>
        <v>Def Tax283210PPD InsBT010172</v>
      </c>
      <c r="C1360" s="186">
        <v>283210</v>
      </c>
      <c r="D1360" s="201" t="s">
        <v>2282</v>
      </c>
      <c r="E1360" s="162" t="s">
        <v>287</v>
      </c>
      <c r="F1360" s="169" t="s">
        <v>2883</v>
      </c>
      <c r="G1360" s="117" t="s">
        <v>2281</v>
      </c>
      <c r="H1360" s="118" t="s">
        <v>969</v>
      </c>
      <c r="I1360" s="119"/>
      <c r="J1360" s="120"/>
      <c r="K1360" s="120" t="str">
        <f t="shared" si="563"/>
        <v/>
      </c>
      <c r="L1360" s="170" t="s">
        <v>1895</v>
      </c>
      <c r="M1360" s="122" t="str">
        <f t="shared" si="557"/>
        <v>R</v>
      </c>
      <c r="N1360" s="116" t="str">
        <f>IF($L1360&lt;&gt;"",VLOOKUP($L1360,Categories!$E:$G,2,FALSE),IF($F1360&lt;&gt;"","NO CAT",""))</f>
        <v>Rate Base</v>
      </c>
      <c r="O1360" s="116" t="str">
        <f>IF($L1360&lt;&gt;"",VLOOKUP($L1360,Categories!$E:$G,3,FALSE),IF($F1360&lt;&gt;"","NO CAT",""))</f>
        <v>Deferred Income Taxes</v>
      </c>
      <c r="P1360" s="170" t="s">
        <v>1188</v>
      </c>
      <c r="Q1360" s="123" t="s">
        <v>1843</v>
      </c>
      <c r="R1360" s="124">
        <v>0.76071990262269951</v>
      </c>
      <c r="S1360" s="124">
        <v>0.23928009737730072</v>
      </c>
      <c r="T1360" s="124">
        <v>0</v>
      </c>
      <c r="U1360" s="121">
        <f t="shared" si="564"/>
        <v>-31.099278144814999</v>
      </c>
      <c r="V1360" s="121">
        <f t="shared" si="565"/>
        <v>-9.7821001885182604</v>
      </c>
      <c r="W1360" s="121">
        <f t="shared" si="566"/>
        <v>0</v>
      </c>
      <c r="X1360" s="121">
        <f t="shared" si="560"/>
        <v>-40.881378333333302</v>
      </c>
      <c r="Y1360" s="121">
        <f t="shared" si="567"/>
        <v>-47.167790950203297</v>
      </c>
      <c r="Z1360" s="121">
        <f t="shared" si="568"/>
        <v>-14.836359049796799</v>
      </c>
      <c r="AA1360" s="121">
        <f t="shared" si="569"/>
        <v>0</v>
      </c>
      <c r="AB1360" s="121">
        <f t="shared" si="561"/>
        <v>-62.00415000000001</v>
      </c>
      <c r="AC1360" s="121">
        <v>-24.919269999999994</v>
      </c>
      <c r="AD1360" s="121">
        <v>-12.951579999999993</v>
      </c>
      <c r="AE1360" s="121">
        <v>-7.1582499999999927</v>
      </c>
      <c r="AF1360" s="121">
        <v>8.4099400000000077</v>
      </c>
      <c r="AG1360" s="121">
        <v>-3.8815299999999917</v>
      </c>
      <c r="AH1360" s="121">
        <v>11.548690000000008</v>
      </c>
      <c r="AI1360" s="161">
        <v>6.5767800000000083</v>
      </c>
      <c r="AJ1360" s="161">
        <v>-57.534799999999997</v>
      </c>
      <c r="AK1360" s="161">
        <v>-112.92388000000001</v>
      </c>
      <c r="AL1360" s="161">
        <v>-104.95845000000001</v>
      </c>
      <c r="AM1360" s="161">
        <v>-89.27097000000002</v>
      </c>
      <c r="AN1360" s="161">
        <v>-84.970780000000019</v>
      </c>
      <c r="AO1360" s="161">
        <v>-62.00415000000001</v>
      </c>
      <c r="AP1360" s="125" t="str">
        <f>CONCATENATE(A1360,M1360)</f>
        <v>Def TaxR</v>
      </c>
      <c r="AQ1360" s="125" t="str">
        <f>CONCATENATE(AP1360,L1360,H1360)</f>
        <v>Def TaxRR11Prepaid Insurance</v>
      </c>
      <c r="AS1360" s="125" t="str">
        <f>CONCATENATE(L1360,H1360,J1360)</f>
        <v>R11Prepaid Insurance</v>
      </c>
    </row>
    <row r="1361" spans="1:45" s="125" customFormat="1" ht="25.5" customHeight="1">
      <c r="A1361" s="216" t="s">
        <v>1996</v>
      </c>
      <c r="B1361" s="217" t="str">
        <f t="shared" si="562"/>
        <v>Def Tax283210REVOLVERBT010194</v>
      </c>
      <c r="C1361" s="186">
        <v>283210</v>
      </c>
      <c r="D1361" s="201" t="s">
        <v>617</v>
      </c>
      <c r="E1361" s="162" t="s">
        <v>491</v>
      </c>
      <c r="F1361" s="169" t="s">
        <v>2883</v>
      </c>
      <c r="G1361" s="117" t="s">
        <v>238</v>
      </c>
      <c r="H1361" s="118" t="s">
        <v>404</v>
      </c>
      <c r="I1361" s="119"/>
      <c r="J1361" s="120"/>
      <c r="K1361" s="120" t="str">
        <f t="shared" ref="K1361:K1389" si="570">IF(L1361="N3","SFAS-109","")</f>
        <v/>
      </c>
      <c r="L1361" s="170" t="s">
        <v>1895</v>
      </c>
      <c r="M1361" s="122" t="str">
        <f t="shared" si="557"/>
        <v>R</v>
      </c>
      <c r="N1361" s="116" t="str">
        <f>IF($L1361&lt;&gt;"",VLOOKUP($L1361,Categories!$E:$G,2,FALSE),IF($F1361&lt;&gt;"","NO CAT",""))</f>
        <v>Rate Base</v>
      </c>
      <c r="O1361" s="116" t="str">
        <f>IF($L1361&lt;&gt;"",VLOOKUP($L1361,Categories!$E:$G,3,FALSE),IF($F1361&lt;&gt;"","NO CAT",""))</f>
        <v>Deferred Income Taxes</v>
      </c>
      <c r="P1361" s="170" t="s">
        <v>1184</v>
      </c>
      <c r="Q1361" s="123" t="s">
        <v>1178</v>
      </c>
      <c r="R1361" s="124">
        <v>0</v>
      </c>
      <c r="S1361" s="124">
        <v>1</v>
      </c>
      <c r="T1361" s="124">
        <v>0</v>
      </c>
      <c r="U1361" s="121">
        <f t="shared" si="564"/>
        <v>0</v>
      </c>
      <c r="V1361" s="121">
        <f t="shared" si="565"/>
        <v>-28.789000000000001</v>
      </c>
      <c r="W1361" s="121">
        <f t="shared" si="566"/>
        <v>0</v>
      </c>
      <c r="X1361" s="121">
        <f t="shared" si="560"/>
        <v>-28.789000000000001</v>
      </c>
      <c r="Y1361" s="121">
        <f t="shared" si="567"/>
        <v>0</v>
      </c>
      <c r="Z1361" s="121">
        <f t="shared" si="568"/>
        <v>-28.789000000000001</v>
      </c>
      <c r="AA1361" s="121">
        <f t="shared" si="569"/>
        <v>0</v>
      </c>
      <c r="AB1361" s="121">
        <f t="shared" si="561"/>
        <v>-28.789000000000001</v>
      </c>
      <c r="AC1361" s="121">
        <v>-28.789000000000001</v>
      </c>
      <c r="AD1361" s="121">
        <v>-28.789000000000001</v>
      </c>
      <c r="AE1361" s="121">
        <v>-28.789000000000001</v>
      </c>
      <c r="AF1361" s="121">
        <v>-28.789000000000001</v>
      </c>
      <c r="AG1361" s="121">
        <v>-28.789000000000001</v>
      </c>
      <c r="AH1361" s="121">
        <v>-28.789000000000001</v>
      </c>
      <c r="AI1361" s="161">
        <v>-28.789000000000001</v>
      </c>
      <c r="AJ1361" s="161">
        <v>-28.789000000000001</v>
      </c>
      <c r="AK1361" s="161">
        <v>-28.789000000000001</v>
      </c>
      <c r="AL1361" s="161">
        <v>-28.789000000000001</v>
      </c>
      <c r="AM1361" s="161">
        <v>-28.789000000000001</v>
      </c>
      <c r="AN1361" s="161">
        <v>-28.789000000000001</v>
      </c>
      <c r="AO1361" s="161">
        <v>-28.789000000000001</v>
      </c>
      <c r="AP1361" s="125" t="str">
        <f>CONCATENATE(A1361,M1361)</f>
        <v>Def TaxR</v>
      </c>
      <c r="AQ1361" s="125" t="str">
        <f>CONCATENATE(AP1361,L1361,H1361)</f>
        <v>Def TaxRR11Revolver Facility</v>
      </c>
      <c r="AS1361" s="125" t="str">
        <f>CONCATENATE(L1361,H1361,J1361)</f>
        <v>R11Revolver Facility</v>
      </c>
    </row>
    <row r="1362" spans="1:45" s="125" customFormat="1" ht="25.5" customHeight="1">
      <c r="A1362" s="216" t="s">
        <v>1996</v>
      </c>
      <c r="B1362" s="217" t="str">
        <f>CONCATENATE(A1362,C1362,D1362,E1362)</f>
        <v>Def Tax283210BTMISCDT</v>
      </c>
      <c r="C1362" s="186">
        <v>283210</v>
      </c>
      <c r="D1362" s="201"/>
      <c r="E1362" s="162" t="s">
        <v>4763</v>
      </c>
      <c r="F1362" s="169" t="s">
        <v>2883</v>
      </c>
      <c r="G1362" s="117" t="s">
        <v>4767</v>
      </c>
      <c r="H1362" s="118" t="s">
        <v>4761</v>
      </c>
      <c r="I1362" s="119"/>
      <c r="J1362" s="120"/>
      <c r="K1362" s="120" t="str">
        <f>IF(L1362="N3","SFAS-109","")</f>
        <v/>
      </c>
      <c r="L1362" s="170" t="s">
        <v>1895</v>
      </c>
      <c r="M1362" s="122" t="str">
        <f>LEFT(L1362,1)</f>
        <v>R</v>
      </c>
      <c r="N1362" s="116" t="str">
        <f>IF($L1362&lt;&gt;"",VLOOKUP($L1362,Categories!$E:$G,2,FALSE),IF($F1362&lt;&gt;"","NO CAT",""))</f>
        <v>Rate Base</v>
      </c>
      <c r="O1362" s="116" t="str">
        <f>IF($L1362&lt;&gt;"",VLOOKUP($L1362,Categories!$E:$G,3,FALSE),IF($F1362&lt;&gt;"","NO CAT",""))</f>
        <v>Deferred Income Taxes</v>
      </c>
      <c r="P1362" s="170" t="s">
        <v>1184</v>
      </c>
      <c r="Q1362" s="123" t="s">
        <v>1178</v>
      </c>
      <c r="R1362" s="124">
        <v>0</v>
      </c>
      <c r="S1362" s="124">
        <v>1</v>
      </c>
      <c r="T1362" s="124">
        <v>0</v>
      </c>
      <c r="U1362" s="121">
        <f>IF(ABS(X1362)=0,"",IF($R1362="NO ALLOC","NO ALLOC",ROUND($R1362*X1362,15)))</f>
        <v>0</v>
      </c>
      <c r="V1362" s="121">
        <f>IF(ABS(X1362)=0,"",IF($S1362="NO ALLOC","NO ALLOC",ROUND($S1362*X1362,15)))</f>
        <v>-424.25</v>
      </c>
      <c r="W1362" s="121">
        <f>IF(ABS(X1362)=0,"",IF($T1362="NO ALLOC","NO ALLOC",ROUND($T1362*X1362,15)))</f>
        <v>0</v>
      </c>
      <c r="X1362" s="121">
        <f t="shared" si="560"/>
        <v>-424.25</v>
      </c>
      <c r="Y1362" s="121">
        <f>IF(ABS(AB1362)=0,"",IF($R1362="NO ALLOC","NO ALLOC",ROUND($R1362*AB1362,15)))</f>
        <v>0</v>
      </c>
      <c r="Z1362" s="121">
        <f>IF(ABS(AB1362)=0,"",IF($S1362="NO ALLOC","NO ALLOC",ROUND($S1362*AB1362,15)))</f>
        <v>-864</v>
      </c>
      <c r="AA1362" s="121">
        <f>IF(ABS(AB1362)=0,"",IF($T1362="NO ALLOC","NO ALLOC",ROUND($T1362*AB1362,15)))</f>
        <v>0</v>
      </c>
      <c r="AB1362" s="121">
        <f t="shared" si="561"/>
        <v>-864</v>
      </c>
      <c r="AC1362" s="121"/>
      <c r="AD1362" s="121"/>
      <c r="AE1362" s="121"/>
      <c r="AF1362" s="121"/>
      <c r="AG1362" s="121"/>
      <c r="AH1362" s="121"/>
      <c r="AI1362" s="121">
        <v>-759</v>
      </c>
      <c r="AJ1362" s="121">
        <v>-759</v>
      </c>
      <c r="AK1362" s="161">
        <v>-759</v>
      </c>
      <c r="AL1362" s="161">
        <v>-759</v>
      </c>
      <c r="AM1362" s="161">
        <v>-759</v>
      </c>
      <c r="AN1362" s="161">
        <v>-864</v>
      </c>
      <c r="AO1362" s="161">
        <v>-864</v>
      </c>
      <c r="AP1362" s="125" t="str">
        <f>CONCATENATE(A1362,M1362)</f>
        <v>Def TaxR</v>
      </c>
      <c r="AQ1362" s="125" t="str">
        <f>CONCATENATE(AP1362,L1362,H1362)</f>
        <v>Def TaxRR11Excess DIT - New York State Tax Rate change</v>
      </c>
      <c r="AS1362" s="125" t="str">
        <f>CONCATENATE(L1362,H1362,J1362)</f>
        <v>R11Excess DIT - New York State Tax Rate change</v>
      </c>
    </row>
    <row r="1363" spans="1:45" s="125" customFormat="1" ht="25.5" customHeight="1">
      <c r="A1363" s="216" t="s">
        <v>1996</v>
      </c>
      <c r="B1363" s="217" t="str">
        <f t="shared" si="562"/>
        <v>Def Tax2833000-283.22.09BT010053</v>
      </c>
      <c r="C1363" s="186">
        <v>283300</v>
      </c>
      <c r="D1363" s="201" t="s">
        <v>2900</v>
      </c>
      <c r="E1363" s="162" t="s">
        <v>497</v>
      </c>
      <c r="F1363" s="169" t="s">
        <v>2884</v>
      </c>
      <c r="G1363" s="117" t="s">
        <v>1233</v>
      </c>
      <c r="H1363" s="118" t="s">
        <v>1180</v>
      </c>
      <c r="I1363" s="119"/>
      <c r="J1363" s="120"/>
      <c r="K1363" s="120" t="str">
        <f t="shared" si="570"/>
        <v/>
      </c>
      <c r="L1363" s="170" t="s">
        <v>928</v>
      </c>
      <c r="M1363" s="122" t="str">
        <f t="shared" si="557"/>
        <v>N</v>
      </c>
      <c r="N1363" s="116" t="str">
        <f>IF($L1363&lt;&gt;"",VLOOKUP($L1363,Categories!$E:$G,2,FALSE),IF($F1363&lt;&gt;"","NO CAT",""))</f>
        <v>Not in Rate Base</v>
      </c>
      <c r="O1363" s="116" t="str">
        <f>IF($L1363&lt;&gt;"",VLOOKUP($L1363,Categories!$E:$G,3,FALSE),IF($F1363&lt;&gt;"","NO CAT",""))</f>
        <v>Direct Assign Items Not in RB</v>
      </c>
      <c r="P1363" s="170" t="s">
        <v>1186</v>
      </c>
      <c r="Q1363" s="123" t="s">
        <v>1187</v>
      </c>
      <c r="R1363" s="124">
        <v>0</v>
      </c>
      <c r="S1363" s="124">
        <v>0</v>
      </c>
      <c r="T1363" s="124">
        <v>1</v>
      </c>
      <c r="U1363" s="121">
        <f t="shared" si="564"/>
        <v>0</v>
      </c>
      <c r="V1363" s="121">
        <f t="shared" si="565"/>
        <v>0</v>
      </c>
      <c r="W1363" s="121">
        <f t="shared" si="566"/>
        <v>-51.666795833333303</v>
      </c>
      <c r="X1363" s="121">
        <f t="shared" si="560"/>
        <v>-51.666795833333303</v>
      </c>
      <c r="Y1363" s="121">
        <f t="shared" si="567"/>
        <v>0</v>
      </c>
      <c r="Z1363" s="121">
        <f t="shared" si="568"/>
        <v>0</v>
      </c>
      <c r="AA1363" s="121">
        <f t="shared" si="569"/>
        <v>-5.3276999999999903</v>
      </c>
      <c r="AB1363" s="121">
        <f t="shared" si="561"/>
        <v>-5.3276999999999894</v>
      </c>
      <c r="AC1363" s="121">
        <v>-70.747599999999991</v>
      </c>
      <c r="AD1363" s="121">
        <v>-70.747599999999991</v>
      </c>
      <c r="AE1363" s="121">
        <v>-70.747599999999991</v>
      </c>
      <c r="AF1363" s="121">
        <v>-70.747599999999991</v>
      </c>
      <c r="AG1363" s="121">
        <v>-70.747599999999991</v>
      </c>
      <c r="AH1363" s="121">
        <v>-70.747599999999991</v>
      </c>
      <c r="AI1363" s="161">
        <v>-70.747599999999991</v>
      </c>
      <c r="AJ1363" s="161">
        <v>-70.747599999999991</v>
      </c>
      <c r="AK1363" s="161">
        <v>-70.747599999999991</v>
      </c>
      <c r="AL1363" s="161">
        <v>-5.3276999999999894</v>
      </c>
      <c r="AM1363" s="161">
        <v>-5.3276999999999894</v>
      </c>
      <c r="AN1363" s="161">
        <v>-5.3276999999999894</v>
      </c>
      <c r="AO1363" s="161">
        <v>-5.3276999999999894</v>
      </c>
      <c r="AP1363" s="125" t="str">
        <f>CONCATENATE(A1363,M1363)</f>
        <v>Def TaxN</v>
      </c>
      <c r="AQ1363" s="125" t="str">
        <f>CONCATENATE(AP1363,L1363,H1363)</f>
        <v>Def TaxNN2</v>
      </c>
      <c r="AS1363" s="125" t="str">
        <f>CONCATENATE(L1363,H1363,J1363)</f>
        <v>N2</v>
      </c>
    </row>
    <row r="1364" spans="1:45" s="125" customFormat="1" ht="25.5" customHeight="1">
      <c r="A1364" s="216" t="s">
        <v>1996</v>
      </c>
      <c r="B1364" s="217" t="str">
        <f t="shared" si="562"/>
        <v>Def Tax2833000-283.22.14BT010057</v>
      </c>
      <c r="C1364" s="186">
        <v>283300</v>
      </c>
      <c r="D1364" s="201" t="s">
        <v>1469</v>
      </c>
      <c r="E1364" s="162" t="s">
        <v>498</v>
      </c>
      <c r="F1364" s="169" t="s">
        <v>2884</v>
      </c>
      <c r="G1364" s="117" t="s">
        <v>2371</v>
      </c>
      <c r="H1364" s="118" t="s">
        <v>2860</v>
      </c>
      <c r="I1364" s="119"/>
      <c r="J1364" s="120"/>
      <c r="K1364" s="120" t="str">
        <f t="shared" si="570"/>
        <v/>
      </c>
      <c r="L1364" s="170" t="s">
        <v>2811</v>
      </c>
      <c r="M1364" s="122" t="str">
        <f>LEFT(L1364,1)</f>
        <v>N</v>
      </c>
      <c r="N1364" s="116" t="str">
        <f>IF($L1364&lt;&gt;"",VLOOKUP($L1364,Categories!$E:$G,2,FALSE),IF($F1364&lt;&gt;"","NO CAT",""))</f>
        <v>Not in Rate Base</v>
      </c>
      <c r="O1364" s="116" t="str">
        <f>IF($L1364&lt;&gt;"",VLOOKUP($L1364,Categories!$E:$G,3,FALSE),IF($F1364&lt;&gt;"","NO CAT",""))</f>
        <v>Hedges &amp; OCI</v>
      </c>
      <c r="P1364" s="170" t="s">
        <v>1186</v>
      </c>
      <c r="Q1364" s="123" t="s">
        <v>1187</v>
      </c>
      <c r="R1364" s="124">
        <v>0</v>
      </c>
      <c r="S1364" s="124">
        <v>0</v>
      </c>
      <c r="T1364" s="124">
        <v>1</v>
      </c>
      <c r="U1364" s="121">
        <f t="shared" si="564"/>
        <v>0</v>
      </c>
      <c r="V1364" s="121">
        <f t="shared" si="565"/>
        <v>0</v>
      </c>
      <c r="W1364" s="121">
        <f t="shared" si="566"/>
        <v>-334.15188000000001</v>
      </c>
      <c r="X1364" s="121">
        <f t="shared" si="560"/>
        <v>-334.15188000000001</v>
      </c>
      <c r="Y1364" s="121">
        <f t="shared" si="567"/>
        <v>0</v>
      </c>
      <c r="Z1364" s="121">
        <f t="shared" si="568"/>
        <v>0</v>
      </c>
      <c r="AA1364" s="121">
        <f t="shared" si="569"/>
        <v>-334.15188000000001</v>
      </c>
      <c r="AB1364" s="121">
        <f t="shared" si="561"/>
        <v>-334.15188000000001</v>
      </c>
      <c r="AC1364" s="121">
        <v>-334.15188000000001</v>
      </c>
      <c r="AD1364" s="121">
        <v>-334.15188000000001</v>
      </c>
      <c r="AE1364" s="121">
        <v>-334.15188000000001</v>
      </c>
      <c r="AF1364" s="121">
        <v>-334.15188000000001</v>
      </c>
      <c r="AG1364" s="121">
        <v>-334.15188000000001</v>
      </c>
      <c r="AH1364" s="121">
        <v>-334.15188000000001</v>
      </c>
      <c r="AI1364" s="161">
        <v>-334.15188000000001</v>
      </c>
      <c r="AJ1364" s="161">
        <v>-334.15188000000001</v>
      </c>
      <c r="AK1364" s="161">
        <v>-334.15188000000001</v>
      </c>
      <c r="AL1364" s="161">
        <v>-334.15188000000001</v>
      </c>
      <c r="AM1364" s="161">
        <v>-334.15188000000001</v>
      </c>
      <c r="AN1364" s="161">
        <v>-334.15188000000001</v>
      </c>
      <c r="AO1364" s="161">
        <v>-334.15188000000001</v>
      </c>
      <c r="AP1364" s="125" t="str">
        <f>CONCATENATE(A1364,M1364)</f>
        <v>Def TaxN</v>
      </c>
      <c r="AQ1364" s="125" t="str">
        <f>CONCATENATE(AP1364,L1364,H1364)</f>
        <v>Def TaxNN5Hedges &amp; OCI</v>
      </c>
      <c r="AS1364" s="125" t="str">
        <f>CONCATENATE(L1364,H1364,J1364)</f>
        <v>N5Hedges &amp; OCI</v>
      </c>
    </row>
    <row r="1365" spans="1:45" s="125" customFormat="1" ht="25.5" customHeight="1">
      <c r="A1365" s="216" t="s">
        <v>1996</v>
      </c>
      <c r="B1365" s="217" t="str">
        <f t="shared" si="562"/>
        <v>Def Tax2833100-283.22.02BT010053</v>
      </c>
      <c r="C1365" s="186">
        <v>283310</v>
      </c>
      <c r="D1365" s="201" t="s">
        <v>1214</v>
      </c>
      <c r="E1365" s="162" t="s">
        <v>497</v>
      </c>
      <c r="F1365" s="169" t="s">
        <v>1530</v>
      </c>
      <c r="G1365" s="117" t="s">
        <v>435</v>
      </c>
      <c r="H1365" s="118" t="s">
        <v>1180</v>
      </c>
      <c r="I1365" s="119"/>
      <c r="J1365" s="120"/>
      <c r="K1365" s="120" t="str">
        <f t="shared" si="570"/>
        <v/>
      </c>
      <c r="L1365" s="170" t="s">
        <v>928</v>
      </c>
      <c r="M1365" s="122" t="str">
        <f t="shared" ref="M1365:M1403" si="571">LEFT(L1365,1)</f>
        <v>N</v>
      </c>
      <c r="N1365" s="116" t="str">
        <f>IF($L1365&lt;&gt;"",VLOOKUP($L1365,Categories!$E:$G,2,FALSE),IF($F1365&lt;&gt;"","NO CAT",""))</f>
        <v>Not in Rate Base</v>
      </c>
      <c r="O1365" s="116" t="str">
        <f>IF($L1365&lt;&gt;"",VLOOKUP($L1365,Categories!$E:$G,3,FALSE),IF($F1365&lt;&gt;"","NO CAT",""))</f>
        <v>Direct Assign Items Not in RB</v>
      </c>
      <c r="P1365" s="170" t="s">
        <v>1186</v>
      </c>
      <c r="Q1365" s="123" t="s">
        <v>1187</v>
      </c>
      <c r="R1365" s="124">
        <v>0</v>
      </c>
      <c r="S1365" s="124">
        <v>0</v>
      </c>
      <c r="T1365" s="124">
        <v>1</v>
      </c>
      <c r="U1365" s="121">
        <f t="shared" si="564"/>
        <v>0</v>
      </c>
      <c r="V1365" s="121">
        <f t="shared" si="565"/>
        <v>0</v>
      </c>
      <c r="W1365" s="121">
        <f t="shared" si="566"/>
        <v>3.1522000000000001</v>
      </c>
      <c r="X1365" s="121">
        <f t="shared" si="560"/>
        <v>3.1522000000000001</v>
      </c>
      <c r="Y1365" s="121">
        <f t="shared" si="567"/>
        <v>0</v>
      </c>
      <c r="Z1365" s="121">
        <f t="shared" si="568"/>
        <v>0</v>
      </c>
      <c r="AA1365" s="121">
        <f t="shared" si="569"/>
        <v>3.1522000000000001</v>
      </c>
      <c r="AB1365" s="121">
        <f t="shared" si="561"/>
        <v>3.1522000000000001</v>
      </c>
      <c r="AC1365" s="121">
        <v>3.1522000000000001</v>
      </c>
      <c r="AD1365" s="121">
        <v>3.1522000000000001</v>
      </c>
      <c r="AE1365" s="121">
        <v>3.1522000000000001</v>
      </c>
      <c r="AF1365" s="121">
        <v>3.1522000000000001</v>
      </c>
      <c r="AG1365" s="121">
        <v>3.1522000000000001</v>
      </c>
      <c r="AH1365" s="121">
        <v>3.1522000000000001</v>
      </c>
      <c r="AI1365" s="121">
        <v>3.1522000000000001</v>
      </c>
      <c r="AJ1365" s="121">
        <v>3.1522000000000001</v>
      </c>
      <c r="AK1365" s="161">
        <v>3.1522000000000001</v>
      </c>
      <c r="AL1365" s="161">
        <v>3.1522000000000001</v>
      </c>
      <c r="AM1365" s="161">
        <v>3.1522000000000001</v>
      </c>
      <c r="AN1365" s="161">
        <v>3.1522000000000001</v>
      </c>
      <c r="AO1365" s="161">
        <v>3.1522000000000001</v>
      </c>
      <c r="AP1365" s="125" t="str">
        <f>CONCATENATE(A1365,M1365)</f>
        <v>Def TaxN</v>
      </c>
      <c r="AQ1365" s="125" t="str">
        <f>CONCATENATE(AP1365,L1365,H1365)</f>
        <v>Def TaxNN2</v>
      </c>
      <c r="AS1365" s="125" t="str">
        <f>CONCATENATE(L1365,H1365,J1365)</f>
        <v>N2</v>
      </c>
    </row>
    <row r="1366" spans="1:45" s="125" customFormat="1" ht="25.5" customHeight="1">
      <c r="A1366" s="216" t="s">
        <v>1996</v>
      </c>
      <c r="B1366" s="217" t="str">
        <f t="shared" si="562"/>
        <v>Def Tax2833100-283.22.10BTHUNGDT</v>
      </c>
      <c r="C1366" s="186">
        <v>283310</v>
      </c>
      <c r="D1366" s="201" t="s">
        <v>1406</v>
      </c>
      <c r="E1366" s="162" t="s">
        <v>616</v>
      </c>
      <c r="F1366" s="169" t="s">
        <v>1530</v>
      </c>
      <c r="G1366" s="117" t="s">
        <v>1407</v>
      </c>
      <c r="H1366" s="118" t="s">
        <v>1167</v>
      </c>
      <c r="I1366" s="119"/>
      <c r="J1366" s="120"/>
      <c r="K1366" s="120" t="str">
        <f t="shared" si="570"/>
        <v/>
      </c>
      <c r="L1366" s="170" t="s">
        <v>928</v>
      </c>
      <c r="M1366" s="122" t="str">
        <f t="shared" si="571"/>
        <v>N</v>
      </c>
      <c r="N1366" s="116" t="str">
        <f>IF($L1366&lt;&gt;"",VLOOKUP($L1366,Categories!$E:$G,2,FALSE),IF($F1366&lt;&gt;"","NO CAT",""))</f>
        <v>Not in Rate Base</v>
      </c>
      <c r="O1366" s="116" t="str">
        <f>IF($L1366&lt;&gt;"",VLOOKUP($L1366,Categories!$E:$G,3,FALSE),IF($F1366&lt;&gt;"","NO CAT",""))</f>
        <v>Direct Assign Items Not in RB</v>
      </c>
      <c r="P1366" s="170" t="s">
        <v>1186</v>
      </c>
      <c r="Q1366" s="123" t="s">
        <v>1187</v>
      </c>
      <c r="R1366" s="124">
        <v>0</v>
      </c>
      <c r="S1366" s="124">
        <v>0</v>
      </c>
      <c r="T1366" s="124">
        <v>1</v>
      </c>
      <c r="U1366" s="121">
        <f t="shared" si="564"/>
        <v>0</v>
      </c>
      <c r="V1366" s="121">
        <f t="shared" si="565"/>
        <v>0</v>
      </c>
      <c r="W1366" s="121">
        <f t="shared" si="566"/>
        <v>-4.9872895833333297</v>
      </c>
      <c r="X1366" s="121">
        <f t="shared" si="560"/>
        <v>-4.9872895833333297</v>
      </c>
      <c r="Y1366" s="121">
        <f t="shared" si="567"/>
        <v>0</v>
      </c>
      <c r="Z1366" s="121">
        <f t="shared" si="568"/>
        <v>0</v>
      </c>
      <c r="AA1366" s="121">
        <f t="shared" si="569"/>
        <v>-0.73775000000000002</v>
      </c>
      <c r="AB1366" s="121">
        <f t="shared" si="561"/>
        <v>-0.73775000000000002</v>
      </c>
      <c r="AC1366" s="121">
        <v>-6.7371000000000008</v>
      </c>
      <c r="AD1366" s="121">
        <v>-6.7371000000000008</v>
      </c>
      <c r="AE1366" s="121">
        <v>-6.7371000000000008</v>
      </c>
      <c r="AF1366" s="121">
        <v>-6.7371000000000008</v>
      </c>
      <c r="AG1366" s="121">
        <v>-6.7371000000000008</v>
      </c>
      <c r="AH1366" s="121">
        <v>-6.7371000000000008</v>
      </c>
      <c r="AI1366" s="121">
        <v>-6.7371000000000008</v>
      </c>
      <c r="AJ1366" s="121">
        <v>-6.7371000000000008</v>
      </c>
      <c r="AK1366" s="161">
        <v>-6.7371000000000008</v>
      </c>
      <c r="AL1366" s="161">
        <v>-0.73775000000000002</v>
      </c>
      <c r="AM1366" s="161">
        <v>-0.73775000000000002</v>
      </c>
      <c r="AN1366" s="161">
        <v>-0.73775000000000002</v>
      </c>
      <c r="AO1366" s="161">
        <v>-0.73775000000000002</v>
      </c>
      <c r="AP1366" s="125" t="str">
        <f>CONCATENATE(A1366,M1366)</f>
        <v>Def TaxN</v>
      </c>
      <c r="AQ1366" s="125" t="str">
        <f>CONCATENATE(AP1366,L1366,H1366)</f>
        <v>Def TaxNN2Hung Deferred Taxes</v>
      </c>
      <c r="AS1366" s="125" t="str">
        <f>CONCATENATE(L1366,H1366,J1366)</f>
        <v>N2Hung Deferred Taxes</v>
      </c>
    </row>
    <row r="1367" spans="1:45" s="125" customFormat="1" ht="25.5" customHeight="1">
      <c r="A1367" s="216" t="s">
        <v>1996</v>
      </c>
      <c r="B1367" s="217" t="str">
        <f t="shared" si="562"/>
        <v>Def Tax2833100-283.22.15BT010121</v>
      </c>
      <c r="C1367" s="186">
        <v>283310</v>
      </c>
      <c r="D1367" s="201" t="s">
        <v>2614</v>
      </c>
      <c r="E1367" s="162" t="s">
        <v>499</v>
      </c>
      <c r="F1367" s="169" t="s">
        <v>1530</v>
      </c>
      <c r="G1367" s="117" t="s">
        <v>2371</v>
      </c>
      <c r="H1367" s="118" t="s">
        <v>2860</v>
      </c>
      <c r="I1367" s="119"/>
      <c r="J1367" s="120"/>
      <c r="K1367" s="120" t="str">
        <f t="shared" si="570"/>
        <v/>
      </c>
      <c r="L1367" s="170" t="s">
        <v>2811</v>
      </c>
      <c r="M1367" s="122" t="str">
        <f t="shared" si="571"/>
        <v>N</v>
      </c>
      <c r="N1367" s="116" t="str">
        <f>IF($L1367&lt;&gt;"",VLOOKUP($L1367,Categories!$E:$G,2,FALSE),IF($F1367&lt;&gt;"","NO CAT",""))</f>
        <v>Not in Rate Base</v>
      </c>
      <c r="O1367" s="116" t="str">
        <f>IF($L1367&lt;&gt;"",VLOOKUP($L1367,Categories!$E:$G,3,FALSE),IF($F1367&lt;&gt;"","NO CAT",""))</f>
        <v>Hedges &amp; OCI</v>
      </c>
      <c r="P1367" s="170" t="s">
        <v>1186</v>
      </c>
      <c r="Q1367" s="123" t="s">
        <v>1187</v>
      </c>
      <c r="R1367" s="124">
        <v>0</v>
      </c>
      <c r="S1367" s="124">
        <v>0</v>
      </c>
      <c r="T1367" s="124">
        <v>1</v>
      </c>
      <c r="U1367" s="121">
        <f t="shared" si="564"/>
        <v>0</v>
      </c>
      <c r="V1367" s="121">
        <f t="shared" si="565"/>
        <v>0</v>
      </c>
      <c r="W1367" s="121">
        <f t="shared" si="566"/>
        <v>-0.42</v>
      </c>
      <c r="X1367" s="121">
        <f t="shared" si="560"/>
        <v>-0.42</v>
      </c>
      <c r="Y1367" s="121">
        <f t="shared" si="567"/>
        <v>0</v>
      </c>
      <c r="Z1367" s="121">
        <f t="shared" si="568"/>
        <v>0</v>
      </c>
      <c r="AA1367" s="121">
        <f t="shared" si="569"/>
        <v>-0.42</v>
      </c>
      <c r="AB1367" s="121">
        <f t="shared" si="561"/>
        <v>-0.42</v>
      </c>
      <c r="AC1367" s="121">
        <v>-0.42</v>
      </c>
      <c r="AD1367" s="121">
        <v>-0.42</v>
      </c>
      <c r="AE1367" s="121">
        <v>-0.42</v>
      </c>
      <c r="AF1367" s="121">
        <v>-0.42</v>
      </c>
      <c r="AG1367" s="121">
        <v>-0.42</v>
      </c>
      <c r="AH1367" s="121">
        <v>-0.42</v>
      </c>
      <c r="AI1367" s="161">
        <v>-0.42</v>
      </c>
      <c r="AJ1367" s="161">
        <v>-0.42</v>
      </c>
      <c r="AK1367" s="161">
        <v>-0.42</v>
      </c>
      <c r="AL1367" s="161">
        <v>-0.42</v>
      </c>
      <c r="AM1367" s="161">
        <v>-0.42</v>
      </c>
      <c r="AN1367" s="161">
        <v>-0.42</v>
      </c>
      <c r="AO1367" s="161">
        <v>-0.42</v>
      </c>
      <c r="AP1367" s="125" t="str">
        <f>CONCATENATE(A1367,M1367)</f>
        <v>Def TaxN</v>
      </c>
      <c r="AQ1367" s="125" t="str">
        <f>CONCATENATE(AP1367,L1367,H1367)</f>
        <v>Def TaxNN5Hedges &amp; OCI</v>
      </c>
      <c r="AS1367" s="125" t="str">
        <f>CONCATENATE(L1367,H1367,J1367)</f>
        <v>N5Hedges &amp; OCI</v>
      </c>
    </row>
    <row r="1368" spans="1:45" s="125" customFormat="1" ht="25.5" customHeight="1">
      <c r="A1368" s="216" t="s">
        <v>1996</v>
      </c>
      <c r="B1368" s="217" t="str">
        <f t="shared" si="562"/>
        <v>Def Tax2834000-286.01.16BT010272</v>
      </c>
      <c r="C1368" s="186">
        <v>283400</v>
      </c>
      <c r="D1368" s="201" t="s">
        <v>2498</v>
      </c>
      <c r="E1368" s="162" t="s">
        <v>1066</v>
      </c>
      <c r="F1368" s="169" t="s">
        <v>848</v>
      </c>
      <c r="G1368" s="117" t="s">
        <v>2992</v>
      </c>
      <c r="H1368" s="118" t="s">
        <v>1662</v>
      </c>
      <c r="I1368" s="119"/>
      <c r="J1368" s="120"/>
      <c r="K1368" s="120" t="str">
        <f t="shared" si="570"/>
        <v/>
      </c>
      <c r="L1368" s="170" t="s">
        <v>1895</v>
      </c>
      <c r="M1368" s="122" t="str">
        <f t="shared" si="571"/>
        <v>R</v>
      </c>
      <c r="N1368" s="116" t="str">
        <f>IF($L1368&lt;&gt;"",VLOOKUP($L1368,Categories!$E:$G,2,FALSE),IF($F1368&lt;&gt;"","NO CAT",""))</f>
        <v>Rate Base</v>
      </c>
      <c r="O1368" s="116" t="str">
        <f>IF($L1368&lt;&gt;"",VLOOKUP($L1368,Categories!$E:$G,3,FALSE),IF($F1368&lt;&gt;"","NO CAT",""))</f>
        <v>Deferred Income Taxes</v>
      </c>
      <c r="P1368" s="170" t="s">
        <v>1183</v>
      </c>
      <c r="Q1368" s="123" t="s">
        <v>1177</v>
      </c>
      <c r="R1368" s="124">
        <v>1</v>
      </c>
      <c r="S1368" s="124">
        <v>0</v>
      </c>
      <c r="T1368" s="124">
        <v>0</v>
      </c>
      <c r="U1368" s="121">
        <f t="shared" si="564"/>
        <v>-141.98699999999999</v>
      </c>
      <c r="V1368" s="121">
        <f t="shared" si="565"/>
        <v>0</v>
      </c>
      <c r="W1368" s="121">
        <f t="shared" si="566"/>
        <v>0</v>
      </c>
      <c r="X1368" s="121">
        <f t="shared" si="560"/>
        <v>-141.98699999999999</v>
      </c>
      <c r="Y1368" s="121">
        <f t="shared" si="567"/>
        <v>-141.98699999999999</v>
      </c>
      <c r="Z1368" s="121">
        <f t="shared" si="568"/>
        <v>0</v>
      </c>
      <c r="AA1368" s="121">
        <f t="shared" si="569"/>
        <v>0</v>
      </c>
      <c r="AB1368" s="121">
        <f t="shared" si="561"/>
        <v>-141.98699999999999</v>
      </c>
      <c r="AC1368" s="121">
        <v>-141.98699999999999</v>
      </c>
      <c r="AD1368" s="121">
        <v>-141.98699999999999</v>
      </c>
      <c r="AE1368" s="121">
        <v>-141.98699999999999</v>
      </c>
      <c r="AF1368" s="121">
        <v>-141.98699999999999</v>
      </c>
      <c r="AG1368" s="121">
        <v>-141.98699999999999</v>
      </c>
      <c r="AH1368" s="121">
        <v>-141.98699999999999</v>
      </c>
      <c r="AI1368" s="161">
        <v>-141.98699999999999</v>
      </c>
      <c r="AJ1368" s="161">
        <v>-141.98699999999999</v>
      </c>
      <c r="AK1368" s="161">
        <v>-141.98699999999999</v>
      </c>
      <c r="AL1368" s="161">
        <v>-141.98699999999999</v>
      </c>
      <c r="AM1368" s="161">
        <v>-141.98699999999999</v>
      </c>
      <c r="AN1368" s="161">
        <v>-141.98699999999999</v>
      </c>
      <c r="AO1368" s="161">
        <v>-141.98699999999999</v>
      </c>
      <c r="AP1368" s="125" t="str">
        <f>CONCATENATE(A1368,M1368)</f>
        <v>Def TaxR</v>
      </c>
      <c r="AQ1368" s="125" t="str">
        <f>CONCATENATE(AP1368,L1368,H1368)</f>
        <v>Def TaxRR11Deferred Unbilled Revenue</v>
      </c>
      <c r="AS1368" s="125" t="str">
        <f>CONCATENATE(L1368,H1368,J1368)</f>
        <v>R11Deferred Unbilled Revenue</v>
      </c>
    </row>
    <row r="1369" spans="1:45" s="125" customFormat="1" ht="25.5" customHeight="1">
      <c r="A1369" s="216" t="s">
        <v>1996</v>
      </c>
      <c r="B1369" s="217" t="str">
        <f t="shared" si="562"/>
        <v>Def Tax283400186.01.21/186.01.05BT010049</v>
      </c>
      <c r="C1369" s="186">
        <v>283400</v>
      </c>
      <c r="D1369" s="201" t="s">
        <v>961</v>
      </c>
      <c r="E1369" s="162" t="s">
        <v>1744</v>
      </c>
      <c r="F1369" s="169" t="s">
        <v>848</v>
      </c>
      <c r="G1369" s="117" t="s">
        <v>1591</v>
      </c>
      <c r="H1369" s="118" t="s">
        <v>1218</v>
      </c>
      <c r="I1369" s="119"/>
      <c r="J1369" s="120"/>
      <c r="K1369" s="120" t="str">
        <f t="shared" si="570"/>
        <v/>
      </c>
      <c r="L1369" s="170" t="s">
        <v>1419</v>
      </c>
      <c r="M1369" s="122" t="str">
        <f t="shared" si="571"/>
        <v>A</v>
      </c>
      <c r="N1369" s="116" t="str">
        <f>IF($L1369&lt;&gt;"",VLOOKUP($L1369,Categories!$E:$G,2,FALSE),IF($F1369&lt;&gt;"","NO CAT",""))</f>
        <v>All Other</v>
      </c>
      <c r="O1369" s="116" t="str">
        <f>IF($L1369&lt;&gt;"",VLOOKUP($L1369,Categories!$E:$G,3,FALSE),IF($F1369&lt;&gt;"","NO CAT",""))</f>
        <v>EB-Cap</v>
      </c>
      <c r="P1369" s="170" t="s">
        <v>1557</v>
      </c>
      <c r="Q1369" s="123" t="s">
        <v>1891</v>
      </c>
      <c r="R1369" s="124">
        <v>0.77544352505021785</v>
      </c>
      <c r="S1369" s="124">
        <v>0.22455647494978223</v>
      </c>
      <c r="T1369" s="124">
        <v>0</v>
      </c>
      <c r="U1369" s="121">
        <f t="shared" si="564"/>
        <v>-5.6999999999999997E-14</v>
      </c>
      <c r="V1369" s="121">
        <f t="shared" si="565"/>
        <v>-1.6000000000000001E-14</v>
      </c>
      <c r="W1369" s="121">
        <f t="shared" si="566"/>
        <v>0</v>
      </c>
      <c r="X1369" s="121">
        <f t="shared" si="560"/>
        <v>-7.3000000000000004E-14</v>
      </c>
      <c r="Y1369" s="121">
        <f t="shared" si="567"/>
        <v>-5.6999999999999997E-14</v>
      </c>
      <c r="Z1369" s="121">
        <f t="shared" si="568"/>
        <v>-1.6000000000000001E-14</v>
      </c>
      <c r="AA1369" s="121">
        <f t="shared" si="569"/>
        <v>0</v>
      </c>
      <c r="AB1369" s="121">
        <f t="shared" si="561"/>
        <v>-7.3341777095947696E-14</v>
      </c>
      <c r="AC1369" s="121">
        <v>-7.3341777095947696E-14</v>
      </c>
      <c r="AD1369" s="121">
        <v>-7.3341777095947696E-14</v>
      </c>
      <c r="AE1369" s="121">
        <v>-7.3341777095947696E-14</v>
      </c>
      <c r="AF1369" s="121">
        <v>-7.3341777095947696E-14</v>
      </c>
      <c r="AG1369" s="121">
        <v>-7.3341777095947696E-14</v>
      </c>
      <c r="AH1369" s="121">
        <v>-7.3341777095947696E-14</v>
      </c>
      <c r="AI1369" s="161">
        <v>-7.3341777095947696E-14</v>
      </c>
      <c r="AJ1369" s="161">
        <v>-7.3341777095947696E-14</v>
      </c>
      <c r="AK1369" s="161">
        <v>-7.3341777095947696E-14</v>
      </c>
      <c r="AL1369" s="161">
        <v>-7.3341777095947696E-14</v>
      </c>
      <c r="AM1369" s="161">
        <v>-7.3341777095947696E-14</v>
      </c>
      <c r="AN1369" s="161">
        <v>-7.3341777095947696E-14</v>
      </c>
      <c r="AO1369" s="161">
        <v>-7.3341777095947696E-14</v>
      </c>
      <c r="AP1369" s="125" t="str">
        <f>CONCATENATE(A1369,M1369)</f>
        <v>Def TaxA</v>
      </c>
      <c r="AQ1369" s="125" t="str">
        <f>CONCATENATE(AP1369,L1369,H1369)</f>
        <v>Def TaxAA2Tracks 253040</v>
      </c>
      <c r="AS1369" s="125" t="str">
        <f>CONCATENATE(L1369,H1369,J1369)</f>
        <v>A2Tracks 253040</v>
      </c>
    </row>
    <row r="1370" spans="1:45" s="125" customFormat="1" ht="25.5" customHeight="1">
      <c r="A1370" s="216" t="s">
        <v>1996</v>
      </c>
      <c r="B1370" s="217" t="str">
        <f t="shared" si="562"/>
        <v>Def Tax2834000-186.01.54BT010226</v>
      </c>
      <c r="C1370" s="186">
        <v>283400</v>
      </c>
      <c r="D1370" s="201" t="s">
        <v>2717</v>
      </c>
      <c r="E1370" s="162" t="s">
        <v>985</v>
      </c>
      <c r="F1370" s="169" t="s">
        <v>848</v>
      </c>
      <c r="G1370" s="117" t="s">
        <v>627</v>
      </c>
      <c r="H1370" s="118" t="s">
        <v>2496</v>
      </c>
      <c r="I1370" s="119"/>
      <c r="J1370" s="120"/>
      <c r="K1370" s="120" t="str">
        <f t="shared" si="570"/>
        <v/>
      </c>
      <c r="L1370" s="170" t="s">
        <v>1895</v>
      </c>
      <c r="M1370" s="122" t="str">
        <f t="shared" si="571"/>
        <v>R</v>
      </c>
      <c r="N1370" s="116" t="str">
        <f>IF($L1370&lt;&gt;"",VLOOKUP($L1370,Categories!$E:$G,2,FALSE),IF($F1370&lt;&gt;"","NO CAT",""))</f>
        <v>Rate Base</v>
      </c>
      <c r="O1370" s="116" t="str">
        <f>IF($L1370&lt;&gt;"",VLOOKUP($L1370,Categories!$E:$G,3,FALSE),IF($F1370&lt;&gt;"","NO CAT",""))</f>
        <v>Deferred Income Taxes</v>
      </c>
      <c r="P1370" s="170" t="s">
        <v>1183</v>
      </c>
      <c r="Q1370" s="123" t="s">
        <v>1177</v>
      </c>
      <c r="R1370" s="124">
        <v>1</v>
      </c>
      <c r="S1370" s="124">
        <v>0</v>
      </c>
      <c r="T1370" s="124">
        <v>0</v>
      </c>
      <c r="U1370" s="121">
        <f t="shared" si="564"/>
        <v>-513.53300000000002</v>
      </c>
      <c r="V1370" s="121">
        <f t="shared" si="565"/>
        <v>0</v>
      </c>
      <c r="W1370" s="121">
        <f t="shared" si="566"/>
        <v>0</v>
      </c>
      <c r="X1370" s="121">
        <f t="shared" si="560"/>
        <v>-513.53300000000002</v>
      </c>
      <c r="Y1370" s="121">
        <f t="shared" si="567"/>
        <v>-513.53300000000002</v>
      </c>
      <c r="Z1370" s="121">
        <f t="shared" si="568"/>
        <v>0</v>
      </c>
      <c r="AA1370" s="121">
        <f t="shared" si="569"/>
        <v>0</v>
      </c>
      <c r="AB1370" s="121">
        <f t="shared" si="561"/>
        <v>-513.53300000000002</v>
      </c>
      <c r="AC1370" s="121">
        <v>-513.53300000000002</v>
      </c>
      <c r="AD1370" s="121">
        <v>-513.53300000000002</v>
      </c>
      <c r="AE1370" s="121">
        <v>-513.53300000000002</v>
      </c>
      <c r="AF1370" s="121">
        <v>-513.53300000000002</v>
      </c>
      <c r="AG1370" s="121">
        <v>-513.53300000000002</v>
      </c>
      <c r="AH1370" s="121">
        <v>-513.53300000000002</v>
      </c>
      <c r="AI1370" s="161">
        <v>-513.53300000000002</v>
      </c>
      <c r="AJ1370" s="161">
        <v>-513.53300000000002</v>
      </c>
      <c r="AK1370" s="161">
        <v>-513.53300000000002</v>
      </c>
      <c r="AL1370" s="161">
        <v>-513.53300000000002</v>
      </c>
      <c r="AM1370" s="161">
        <v>-513.53300000000002</v>
      </c>
      <c r="AN1370" s="161">
        <v>-513.53300000000002</v>
      </c>
      <c r="AO1370" s="161">
        <v>-513.53300000000002</v>
      </c>
      <c r="AP1370" s="125" t="str">
        <f>CONCATENATE(A1370,M1370)</f>
        <v>Def TaxR</v>
      </c>
      <c r="AQ1370" s="125" t="str">
        <f>CONCATENATE(AP1370,L1370,H1370)</f>
        <v>Def TaxRR11System Benefits Charge</v>
      </c>
      <c r="AS1370" s="125" t="str">
        <f>CONCATENATE(L1370,H1370,J1370)</f>
        <v>R11System Benefits Charge</v>
      </c>
    </row>
    <row r="1371" spans="1:45" s="125" customFormat="1" ht="25.5" customHeight="1">
      <c r="A1371" s="216" t="s">
        <v>1996</v>
      </c>
      <c r="B1371" s="217" t="str">
        <f t="shared" si="562"/>
        <v>Def Tax2834000-186.01.31BT010120</v>
      </c>
      <c r="C1371" s="186">
        <v>283400</v>
      </c>
      <c r="D1371" s="201" t="s">
        <v>1071</v>
      </c>
      <c r="E1371" s="162" t="s">
        <v>352</v>
      </c>
      <c r="F1371" s="169" t="s">
        <v>848</v>
      </c>
      <c r="G1371" s="117" t="s">
        <v>2521</v>
      </c>
      <c r="H1371" s="118" t="s">
        <v>713</v>
      </c>
      <c r="I1371" s="119"/>
      <c r="J1371" s="120"/>
      <c r="K1371" s="120" t="str">
        <f t="shared" si="570"/>
        <v/>
      </c>
      <c r="L1371" s="170" t="s">
        <v>1895</v>
      </c>
      <c r="M1371" s="122" t="str">
        <f t="shared" si="571"/>
        <v>R</v>
      </c>
      <c r="N1371" s="116" t="str">
        <f>IF($L1371&lt;&gt;"",VLOOKUP($L1371,Categories!$E:$G,2,FALSE),IF($F1371&lt;&gt;"","NO CAT",""))</f>
        <v>Rate Base</v>
      </c>
      <c r="O1371" s="116" t="str">
        <f>IF($L1371&lt;&gt;"",VLOOKUP($L1371,Categories!$E:$G,3,FALSE),IF($F1371&lt;&gt;"","NO CAT",""))</f>
        <v>Deferred Income Taxes</v>
      </c>
      <c r="P1371" s="170" t="s">
        <v>1183</v>
      </c>
      <c r="Q1371" s="123" t="s">
        <v>1177</v>
      </c>
      <c r="R1371" s="124">
        <v>1</v>
      </c>
      <c r="S1371" s="124">
        <v>0</v>
      </c>
      <c r="T1371" s="124">
        <v>0</v>
      </c>
      <c r="U1371" s="121">
        <f t="shared" si="564"/>
        <v>-343.77855125000002</v>
      </c>
      <c r="V1371" s="121">
        <f t="shared" si="565"/>
        <v>0</v>
      </c>
      <c r="W1371" s="121">
        <f t="shared" si="566"/>
        <v>0</v>
      </c>
      <c r="X1371" s="121">
        <f t="shared" si="560"/>
        <v>-343.77855125000002</v>
      </c>
      <c r="Y1371" s="121">
        <f t="shared" si="567"/>
        <v>-356.31279000000001</v>
      </c>
      <c r="Z1371" s="121">
        <f t="shared" si="568"/>
        <v>0</v>
      </c>
      <c r="AA1371" s="121">
        <f t="shared" si="569"/>
        <v>0</v>
      </c>
      <c r="AB1371" s="121">
        <f t="shared" si="561"/>
        <v>-356.31279000000023</v>
      </c>
      <c r="AC1371" s="121">
        <v>-328.96536000000015</v>
      </c>
      <c r="AD1371" s="121">
        <v>-331.45149000000015</v>
      </c>
      <c r="AE1371" s="121">
        <v>-333.93762000000015</v>
      </c>
      <c r="AF1371" s="121">
        <v>-336.42375000000015</v>
      </c>
      <c r="AG1371" s="121">
        <v>-338.90988000000016</v>
      </c>
      <c r="AH1371" s="121">
        <v>-341.39601000000016</v>
      </c>
      <c r="AI1371" s="161">
        <v>-343.88214000000016</v>
      </c>
      <c r="AJ1371" s="161">
        <v>-346.36827000000017</v>
      </c>
      <c r="AK1371" s="161">
        <v>-348.85440000000023</v>
      </c>
      <c r="AL1371" s="161">
        <v>-351.34053000000023</v>
      </c>
      <c r="AM1371" s="161">
        <v>-353.82666000000023</v>
      </c>
      <c r="AN1371" s="161">
        <v>-356.31279000000023</v>
      </c>
      <c r="AO1371" s="161">
        <v>-356.31279000000023</v>
      </c>
      <c r="AP1371" s="125" t="str">
        <f>CONCATENATE(A1371,M1371)</f>
        <v>Def TaxR</v>
      </c>
      <c r="AQ1371" s="125" t="str">
        <f>CONCATENATE(AP1371,L1371,H1371)</f>
        <v>Def TaxRR11Marcy South</v>
      </c>
      <c r="AS1371" s="125" t="str">
        <f>CONCATENATE(L1371,H1371,J1371)</f>
        <v>R11Marcy South</v>
      </c>
    </row>
    <row r="1372" spans="1:45" s="125" customFormat="1" ht="25.5" customHeight="1">
      <c r="A1372" s="216" t="s">
        <v>1996</v>
      </c>
      <c r="B1372" s="217" t="str">
        <f t="shared" si="562"/>
        <v>Def Tax283400Env OLBT010071</v>
      </c>
      <c r="C1372" s="186">
        <v>283400</v>
      </c>
      <c r="D1372" s="201" t="s">
        <v>75</v>
      </c>
      <c r="E1372" s="162" t="s">
        <v>222</v>
      </c>
      <c r="F1372" s="169" t="s">
        <v>848</v>
      </c>
      <c r="G1372" s="117" t="s">
        <v>221</v>
      </c>
      <c r="H1372" s="118" t="s">
        <v>2369</v>
      </c>
      <c r="I1372" s="119"/>
      <c r="J1372" s="231"/>
      <c r="K1372" s="120" t="str">
        <f t="shared" si="570"/>
        <v/>
      </c>
      <c r="L1372" s="170" t="s">
        <v>928</v>
      </c>
      <c r="M1372" s="122" t="str">
        <f t="shared" si="571"/>
        <v>N</v>
      </c>
      <c r="N1372" s="116" t="str">
        <f>IF($L1372&lt;&gt;"",VLOOKUP($L1372,Categories!$E:$G,2,FALSE),IF($F1372&lt;&gt;"","NO CAT",""))</f>
        <v>Not in Rate Base</v>
      </c>
      <c r="O1372" s="116" t="str">
        <f>IF($L1372&lt;&gt;"",VLOOKUP($L1372,Categories!$E:$G,3,FALSE),IF($F1372&lt;&gt;"","NO CAT",""))</f>
        <v>Direct Assign Items Not in RB</v>
      </c>
      <c r="P1372" s="170" t="s">
        <v>1186</v>
      </c>
      <c r="Q1372" s="123" t="s">
        <v>1187</v>
      </c>
      <c r="R1372" s="124">
        <v>0</v>
      </c>
      <c r="S1372" s="124">
        <v>0</v>
      </c>
      <c r="T1372" s="124">
        <v>1</v>
      </c>
      <c r="U1372" s="121">
        <f t="shared" si="564"/>
        <v>0</v>
      </c>
      <c r="V1372" s="121">
        <f t="shared" si="565"/>
        <v>0</v>
      </c>
      <c r="W1372" s="121">
        <f t="shared" si="566"/>
        <v>1930.2011495833301</v>
      </c>
      <c r="X1372" s="121">
        <f t="shared" ref="X1372:X1410" si="572">IF(ISERROR(ROUND((SUM(AC1372:AO1372)-((AC1372+AO1372))/2)/12,15)),"",ROUND((SUM(AC1372:AO1372)-((AC1372+AO1372))/2)/12,15))</f>
        <v>1930.2011495833301</v>
      </c>
      <c r="Y1372" s="121" t="str">
        <f t="shared" si="567"/>
        <v/>
      </c>
      <c r="Z1372" s="121" t="str">
        <f t="shared" si="568"/>
        <v/>
      </c>
      <c r="AA1372" s="121" t="str">
        <f t="shared" si="569"/>
        <v/>
      </c>
      <c r="AB1372" s="121">
        <f t="shared" ref="AB1372:AB1410" si="573">IF(AO1372="",0,+AO1372)</f>
        <v>0</v>
      </c>
      <c r="AC1372" s="121">
        <v>4193.8750699999991</v>
      </c>
      <c r="AD1372" s="121">
        <v>4193.8750699999991</v>
      </c>
      <c r="AE1372" s="121">
        <v>4193.8750699999991</v>
      </c>
      <c r="AF1372" s="121">
        <v>4193.8750699999991</v>
      </c>
      <c r="AG1372" s="121">
        <v>4193.8750699999991</v>
      </c>
      <c r="AH1372" s="121">
        <v>4289.9759799999993</v>
      </c>
      <c r="AI1372" s="161">
        <v>0</v>
      </c>
      <c r="AJ1372" s="161">
        <f t="shared" ref="AJ1372" si="574">IF(AI1372=0,0,0)</f>
        <v>0</v>
      </c>
      <c r="AK1372" s="161">
        <v>0</v>
      </c>
      <c r="AL1372" s="161">
        <v>0</v>
      </c>
      <c r="AM1372" s="161">
        <v>0</v>
      </c>
      <c r="AN1372" s="161">
        <v>0</v>
      </c>
      <c r="AO1372" s="161">
        <v>0</v>
      </c>
      <c r="AP1372" s="125" t="str">
        <f>CONCATENATE(A1372,M1372)</f>
        <v>Def TaxN</v>
      </c>
      <c r="AQ1372" s="125" t="str">
        <f>CONCATENATE(AP1372,L1372,H1372)</f>
        <v>Def TaxNN2Environmental</v>
      </c>
      <c r="AS1372" s="125" t="str">
        <f>CONCATENATE(L1372,H1372,J1372)</f>
        <v>N2Environmental</v>
      </c>
    </row>
    <row r="1373" spans="1:45" s="125" customFormat="1" ht="25.5" customHeight="1">
      <c r="A1373" s="216" t="s">
        <v>1996</v>
      </c>
      <c r="B1373" s="217" t="str">
        <f t="shared" ref="B1373:B1413" si="575">CONCATENATE(A1373,C1373,D1373,E1373)</f>
        <v>Def Tax283400Flood InsBT010268</v>
      </c>
      <c r="C1373" s="186">
        <v>283400</v>
      </c>
      <c r="D1373" s="201" t="s">
        <v>582</v>
      </c>
      <c r="E1373" s="162" t="s">
        <v>278</v>
      </c>
      <c r="F1373" s="169" t="s">
        <v>848</v>
      </c>
      <c r="G1373" s="117" t="s">
        <v>581</v>
      </c>
      <c r="H1373" s="118" t="s">
        <v>620</v>
      </c>
      <c r="I1373" s="119"/>
      <c r="J1373" s="120"/>
      <c r="K1373" s="120" t="str">
        <f t="shared" si="570"/>
        <v/>
      </c>
      <c r="L1373" s="170" t="s">
        <v>928</v>
      </c>
      <c r="M1373" s="122" t="str">
        <f t="shared" si="571"/>
        <v>N</v>
      </c>
      <c r="N1373" s="116" t="str">
        <f>IF($L1373&lt;&gt;"",VLOOKUP($L1373,Categories!$E:$G,2,FALSE),IF($F1373&lt;&gt;"","NO CAT",""))</f>
        <v>Not in Rate Base</v>
      </c>
      <c r="O1373" s="116" t="str">
        <f>IF($L1373&lt;&gt;"",VLOOKUP($L1373,Categories!$E:$G,3,FALSE),IF($F1373&lt;&gt;"","NO CAT",""))</f>
        <v>Direct Assign Items Not in RB</v>
      </c>
      <c r="P1373" s="170" t="s">
        <v>1186</v>
      </c>
      <c r="Q1373" s="123" t="s">
        <v>1187</v>
      </c>
      <c r="R1373" s="124">
        <v>0</v>
      </c>
      <c r="S1373" s="124">
        <v>0</v>
      </c>
      <c r="T1373" s="124">
        <v>1</v>
      </c>
      <c r="U1373" s="121">
        <f t="shared" si="564"/>
        <v>0</v>
      </c>
      <c r="V1373" s="121">
        <f t="shared" si="565"/>
        <v>0</v>
      </c>
      <c r="W1373" s="121">
        <f t="shared" si="566"/>
        <v>-82.658000000000001</v>
      </c>
      <c r="X1373" s="121">
        <f t="shared" si="572"/>
        <v>-82.658000000000001</v>
      </c>
      <c r="Y1373" s="121">
        <f t="shared" si="567"/>
        <v>0</v>
      </c>
      <c r="Z1373" s="121">
        <f t="shared" si="568"/>
        <v>0</v>
      </c>
      <c r="AA1373" s="121">
        <f t="shared" si="569"/>
        <v>-82.658000000000001</v>
      </c>
      <c r="AB1373" s="121">
        <f t="shared" si="573"/>
        <v>-82.658000000000001</v>
      </c>
      <c r="AC1373" s="121">
        <v>-82.658000000000001</v>
      </c>
      <c r="AD1373" s="121">
        <v>-82.658000000000001</v>
      </c>
      <c r="AE1373" s="121">
        <v>-82.658000000000001</v>
      </c>
      <c r="AF1373" s="121">
        <v>-82.658000000000001</v>
      </c>
      <c r="AG1373" s="121">
        <v>-82.658000000000001</v>
      </c>
      <c r="AH1373" s="121">
        <v>-82.658000000000001</v>
      </c>
      <c r="AI1373" s="161">
        <v>-82.658000000000001</v>
      </c>
      <c r="AJ1373" s="161">
        <v>-82.658000000000001</v>
      </c>
      <c r="AK1373" s="161">
        <v>-82.658000000000001</v>
      </c>
      <c r="AL1373" s="161">
        <v>-82.658000000000001</v>
      </c>
      <c r="AM1373" s="161">
        <v>-82.658000000000001</v>
      </c>
      <c r="AN1373" s="161">
        <v>-82.658000000000001</v>
      </c>
      <c r="AO1373" s="161">
        <v>-82.658000000000001</v>
      </c>
      <c r="AP1373" s="125" t="str">
        <f>CONCATENATE(A1373,M1373)</f>
        <v>Def TaxN</v>
      </c>
      <c r="AQ1373" s="125" t="str">
        <f>CONCATENATE(AP1373,L1373,H1373)</f>
        <v>Def TaxNN2Flood</v>
      </c>
      <c r="AS1373" s="125" t="str">
        <f>CONCATENATE(L1373,H1373,J1373)</f>
        <v>N2Flood</v>
      </c>
    </row>
    <row r="1374" spans="1:45" s="125" customFormat="1" ht="25.5" customHeight="1">
      <c r="A1374" s="216" t="s">
        <v>1996</v>
      </c>
      <c r="B1374" s="217" t="str">
        <f t="shared" si="575"/>
        <v>Def Tax283400GRT RefundBT010355</v>
      </c>
      <c r="C1374" s="186">
        <v>283400</v>
      </c>
      <c r="D1374" s="201" t="s">
        <v>650</v>
      </c>
      <c r="E1374" s="162" t="s">
        <v>652</v>
      </c>
      <c r="F1374" s="169" t="s">
        <v>848</v>
      </c>
      <c r="G1374" s="117" t="s">
        <v>1065</v>
      </c>
      <c r="H1374" s="118" t="s">
        <v>650</v>
      </c>
      <c r="I1374" s="119"/>
      <c r="J1374" s="231"/>
      <c r="K1374" s="120" t="str">
        <f t="shared" si="570"/>
        <v/>
      </c>
      <c r="L1374" s="170" t="s">
        <v>1419</v>
      </c>
      <c r="M1374" s="122" t="str">
        <f t="shared" si="571"/>
        <v>A</v>
      </c>
      <c r="N1374" s="116" t="str">
        <f>IF($L1374&lt;&gt;"",VLOOKUP($L1374,Categories!$E:$G,2,FALSE),IF($F1374&lt;&gt;"","NO CAT",""))</f>
        <v>All Other</v>
      </c>
      <c r="O1374" s="116" t="str">
        <f>IF($L1374&lt;&gt;"",VLOOKUP($L1374,Categories!$E:$G,3,FALSE),IF($F1374&lt;&gt;"","NO CAT",""))</f>
        <v>EB-Cap</v>
      </c>
      <c r="P1374" s="170" t="s">
        <v>1557</v>
      </c>
      <c r="Q1374" s="123" t="s">
        <v>1891</v>
      </c>
      <c r="R1374" s="124">
        <v>0.77544352505021785</v>
      </c>
      <c r="S1374" s="124">
        <v>0.22455647494978223</v>
      </c>
      <c r="T1374" s="124">
        <v>0</v>
      </c>
      <c r="U1374" s="121">
        <f t="shared" si="564"/>
        <v>-46.651729315779903</v>
      </c>
      <c r="V1374" s="121">
        <f t="shared" si="565"/>
        <v>-13.509620684220099</v>
      </c>
      <c r="W1374" s="121">
        <f t="shared" si="566"/>
        <v>0</v>
      </c>
      <c r="X1374" s="121">
        <f t="shared" si="572"/>
        <v>-60.161349999999999</v>
      </c>
      <c r="Y1374" s="121">
        <f t="shared" si="567"/>
        <v>-46.651729315779903</v>
      </c>
      <c r="Z1374" s="121">
        <f t="shared" si="568"/>
        <v>-13.509620684220099</v>
      </c>
      <c r="AA1374" s="121">
        <f t="shared" si="569"/>
        <v>0</v>
      </c>
      <c r="AB1374" s="121">
        <f t="shared" si="573"/>
        <v>-60.161349999999999</v>
      </c>
      <c r="AC1374" s="121">
        <v>-60.161349999999999</v>
      </c>
      <c r="AD1374" s="121">
        <v>-60.161349999999999</v>
      </c>
      <c r="AE1374" s="121">
        <v>-60.161349999999999</v>
      </c>
      <c r="AF1374" s="121">
        <v>-60.161349999999999</v>
      </c>
      <c r="AG1374" s="121">
        <v>-60.161349999999999</v>
      </c>
      <c r="AH1374" s="121">
        <v>-60.161349999999999</v>
      </c>
      <c r="AI1374" s="161">
        <v>-60.161349999999999</v>
      </c>
      <c r="AJ1374" s="161">
        <v>-60.161349999999999</v>
      </c>
      <c r="AK1374" s="161">
        <v>-60.161349999999999</v>
      </c>
      <c r="AL1374" s="161">
        <v>-60.161349999999999</v>
      </c>
      <c r="AM1374" s="161">
        <v>-60.161349999999999</v>
      </c>
      <c r="AN1374" s="161">
        <v>-60.161349999999999</v>
      </c>
      <c r="AO1374" s="161">
        <v>-60.161349999999999</v>
      </c>
      <c r="AP1374" s="125" t="str">
        <f>CONCATENATE(A1374,M1374)</f>
        <v>Def TaxA</v>
      </c>
      <c r="AQ1374" s="125" t="str">
        <f>CONCATENATE(AP1374,L1374,H1374)</f>
        <v>Def TaxAA2GRT Refund</v>
      </c>
      <c r="AS1374" s="125" t="str">
        <f>CONCATENATE(L1374,H1374,J1374)</f>
        <v>A2GRT Refund</v>
      </c>
    </row>
    <row r="1375" spans="1:45" s="125" customFormat="1" ht="25.5" customHeight="1">
      <c r="A1375" s="216" t="s">
        <v>1996</v>
      </c>
      <c r="B1375" s="217" t="str">
        <f t="shared" si="575"/>
        <v>Def Tax2834000-186.01.39BTHUNGDT</v>
      </c>
      <c r="C1375" s="186">
        <v>283400</v>
      </c>
      <c r="D1375" s="201" t="s">
        <v>2241</v>
      </c>
      <c r="E1375" s="162" t="s">
        <v>616</v>
      </c>
      <c r="F1375" s="169" t="s">
        <v>848</v>
      </c>
      <c r="G1375" s="117" t="s">
        <v>2673</v>
      </c>
      <c r="H1375" s="118" t="s">
        <v>1167</v>
      </c>
      <c r="I1375" s="119"/>
      <c r="J1375" s="231"/>
      <c r="K1375" s="120" t="str">
        <f t="shared" si="570"/>
        <v/>
      </c>
      <c r="L1375" s="170" t="s">
        <v>928</v>
      </c>
      <c r="M1375" s="122" t="str">
        <f t="shared" si="571"/>
        <v>N</v>
      </c>
      <c r="N1375" s="116" t="str">
        <f>IF($L1375&lt;&gt;"",VLOOKUP($L1375,Categories!$E:$G,2,FALSE),IF($F1375&lt;&gt;"","NO CAT",""))</f>
        <v>Not in Rate Base</v>
      </c>
      <c r="O1375" s="116" t="str">
        <f>IF($L1375&lt;&gt;"",VLOOKUP($L1375,Categories!$E:$G,3,FALSE),IF($F1375&lt;&gt;"","NO CAT",""))</f>
        <v>Direct Assign Items Not in RB</v>
      </c>
      <c r="P1375" s="170" t="s">
        <v>1186</v>
      </c>
      <c r="Q1375" s="123" t="s">
        <v>1187</v>
      </c>
      <c r="R1375" s="124">
        <v>0</v>
      </c>
      <c r="S1375" s="124">
        <v>0</v>
      </c>
      <c r="T1375" s="124">
        <v>1</v>
      </c>
      <c r="U1375" s="121" t="str">
        <f t="shared" si="564"/>
        <v/>
      </c>
      <c r="V1375" s="121" t="str">
        <f t="shared" si="565"/>
        <v/>
      </c>
      <c r="W1375" s="121" t="str">
        <f t="shared" si="566"/>
        <v/>
      </c>
      <c r="X1375" s="121">
        <f t="shared" si="572"/>
        <v>0</v>
      </c>
      <c r="Y1375" s="121" t="str">
        <f t="shared" si="567"/>
        <v/>
      </c>
      <c r="Z1375" s="121" t="str">
        <f t="shared" si="568"/>
        <v/>
      </c>
      <c r="AA1375" s="121" t="str">
        <f t="shared" si="569"/>
        <v/>
      </c>
      <c r="AB1375" s="121">
        <f t="shared" si="573"/>
        <v>0</v>
      </c>
      <c r="AC1375" s="121">
        <v>0</v>
      </c>
      <c r="AD1375" s="121">
        <v>0</v>
      </c>
      <c r="AE1375" s="121">
        <v>0</v>
      </c>
      <c r="AF1375" s="121">
        <v>0</v>
      </c>
      <c r="AG1375" s="121">
        <v>0</v>
      </c>
      <c r="AH1375" s="121">
        <v>0</v>
      </c>
      <c r="AI1375" s="121">
        <v>0</v>
      </c>
      <c r="AJ1375" s="121">
        <f>IF(AI1375=0,0,0)</f>
        <v>0</v>
      </c>
      <c r="AK1375" s="121">
        <f>IF(AJ1375=0,0,0)</f>
        <v>0</v>
      </c>
      <c r="AL1375" s="121">
        <v>0</v>
      </c>
      <c r="AM1375" s="161">
        <v>0</v>
      </c>
      <c r="AN1375" s="161">
        <v>0</v>
      </c>
      <c r="AO1375" s="161">
        <v>0</v>
      </c>
      <c r="AP1375" s="125" t="str">
        <f>CONCATENATE(A1375,M1375)</f>
        <v>Def TaxN</v>
      </c>
      <c r="AQ1375" s="125" t="str">
        <f>CONCATENATE(AP1375,L1375,H1375)</f>
        <v>Def TaxNN2Hung Deferred Taxes</v>
      </c>
      <c r="AS1375" s="125" t="str">
        <f>CONCATENATE(L1375,H1375,J1375)</f>
        <v>N2Hung Deferred Taxes</v>
      </c>
    </row>
    <row r="1376" spans="1:45" s="125" customFormat="1" ht="25.5" customHeight="1">
      <c r="A1376" s="216" t="s">
        <v>1996</v>
      </c>
      <c r="B1376" s="217" t="str">
        <f t="shared" si="575"/>
        <v>Def Tax283400Misc K-1BTHUNGDT</v>
      </c>
      <c r="C1376" s="186">
        <v>283400</v>
      </c>
      <c r="D1376" s="201" t="s">
        <v>139</v>
      </c>
      <c r="E1376" s="162" t="s">
        <v>616</v>
      </c>
      <c r="F1376" s="169" t="s">
        <v>848</v>
      </c>
      <c r="G1376" s="117" t="s">
        <v>140</v>
      </c>
      <c r="H1376" s="118" t="s">
        <v>1167</v>
      </c>
      <c r="I1376" s="119"/>
      <c r="J1376" s="120"/>
      <c r="K1376" s="120" t="str">
        <f t="shared" si="570"/>
        <v/>
      </c>
      <c r="L1376" s="170" t="s">
        <v>1895</v>
      </c>
      <c r="M1376" s="122" t="str">
        <f t="shared" si="571"/>
        <v>R</v>
      </c>
      <c r="N1376" s="116" t="str">
        <f>IF($L1376&lt;&gt;"",VLOOKUP($L1376,Categories!$E:$G,2,FALSE),IF($F1376&lt;&gt;"","NO CAT",""))</f>
        <v>Rate Base</v>
      </c>
      <c r="O1376" s="116" t="str">
        <f>IF($L1376&lt;&gt;"",VLOOKUP($L1376,Categories!$E:$G,3,FALSE),IF($F1376&lt;&gt;"","NO CAT",""))</f>
        <v>Deferred Income Taxes</v>
      </c>
      <c r="P1376" s="170" t="s">
        <v>1183</v>
      </c>
      <c r="Q1376" s="123" t="s">
        <v>1177</v>
      </c>
      <c r="R1376" s="124">
        <v>1</v>
      </c>
      <c r="S1376" s="124">
        <v>0</v>
      </c>
      <c r="T1376" s="124">
        <v>0</v>
      </c>
      <c r="U1376" s="121">
        <f t="shared" si="564"/>
        <v>-0.217</v>
      </c>
      <c r="V1376" s="121">
        <f t="shared" si="565"/>
        <v>0</v>
      </c>
      <c r="W1376" s="121">
        <f t="shared" si="566"/>
        <v>0</v>
      </c>
      <c r="X1376" s="121">
        <f t="shared" si="572"/>
        <v>-0.217</v>
      </c>
      <c r="Y1376" s="121">
        <f t="shared" si="567"/>
        <v>-0.217</v>
      </c>
      <c r="Z1376" s="121">
        <f t="shared" si="568"/>
        <v>0</v>
      </c>
      <c r="AA1376" s="121">
        <f t="shared" si="569"/>
        <v>0</v>
      </c>
      <c r="AB1376" s="121">
        <f t="shared" si="573"/>
        <v>-0.217</v>
      </c>
      <c r="AC1376" s="121">
        <v>-0.217</v>
      </c>
      <c r="AD1376" s="121">
        <v>-0.217</v>
      </c>
      <c r="AE1376" s="121">
        <v>-0.217</v>
      </c>
      <c r="AF1376" s="121">
        <v>-0.217</v>
      </c>
      <c r="AG1376" s="121">
        <v>-0.217</v>
      </c>
      <c r="AH1376" s="121">
        <v>-0.217</v>
      </c>
      <c r="AI1376" s="161">
        <v>-0.217</v>
      </c>
      <c r="AJ1376" s="161">
        <v>-0.217</v>
      </c>
      <c r="AK1376" s="161">
        <v>-0.217</v>
      </c>
      <c r="AL1376" s="161">
        <v>-0.217</v>
      </c>
      <c r="AM1376" s="161">
        <v>-0.217</v>
      </c>
      <c r="AN1376" s="161">
        <v>-0.217</v>
      </c>
      <c r="AO1376" s="161">
        <v>-0.217</v>
      </c>
      <c r="AP1376" s="125" t="str">
        <f>CONCATENATE(A1376,M1376)</f>
        <v>Def TaxR</v>
      </c>
      <c r="AQ1376" s="125" t="str">
        <f>CONCATENATE(AP1376,L1376,H1376)</f>
        <v>Def TaxRR11Hung Deferred Taxes</v>
      </c>
      <c r="AS1376" s="125" t="str">
        <f>CONCATENATE(L1376,H1376,J1376)</f>
        <v>R11Hung Deferred Taxes</v>
      </c>
    </row>
    <row r="1377" spans="1:45" s="125" customFormat="1" ht="25.5" customHeight="1">
      <c r="A1377" s="216" t="s">
        <v>1996</v>
      </c>
      <c r="B1377" s="217" t="str">
        <f t="shared" si="575"/>
        <v>Def Tax2834000-286.01.06BTHUNGDT</v>
      </c>
      <c r="C1377" s="186">
        <v>283400</v>
      </c>
      <c r="D1377" s="201" t="s">
        <v>2386</v>
      </c>
      <c r="E1377" s="162" t="s">
        <v>616</v>
      </c>
      <c r="F1377" s="169" t="s">
        <v>848</v>
      </c>
      <c r="G1377" s="117" t="s">
        <v>2387</v>
      </c>
      <c r="H1377" s="118" t="s">
        <v>1167</v>
      </c>
      <c r="I1377" s="119"/>
      <c r="J1377" s="120"/>
      <c r="K1377" s="120" t="str">
        <f t="shared" si="570"/>
        <v/>
      </c>
      <c r="L1377" s="170" t="s">
        <v>2819</v>
      </c>
      <c r="M1377" s="122" t="str">
        <f t="shared" si="571"/>
        <v>N</v>
      </c>
      <c r="N1377" s="116" t="str">
        <f>IF($L1377&lt;&gt;"",VLOOKUP($L1377,Categories!$E:$G,2,FALSE),IF($F1377&lt;&gt;"","NO CAT",""))</f>
        <v>Not in Rate Base</v>
      </c>
      <c r="O1377" s="116" t="str">
        <f>IF($L1377&lt;&gt;"",VLOOKUP($L1377,Categories!$E:$G,3,FALSE),IF($F1377&lt;&gt;"","NO CAT",""))</f>
        <v>Nine Mile Costs</v>
      </c>
      <c r="P1377" s="170" t="s">
        <v>1186</v>
      </c>
      <c r="Q1377" s="123" t="s">
        <v>1187</v>
      </c>
      <c r="R1377" s="124">
        <v>0</v>
      </c>
      <c r="S1377" s="124">
        <v>0</v>
      </c>
      <c r="T1377" s="124">
        <v>1</v>
      </c>
      <c r="U1377" s="121">
        <f t="shared" si="564"/>
        <v>0</v>
      </c>
      <c r="V1377" s="121">
        <f t="shared" si="565"/>
        <v>0</v>
      </c>
      <c r="W1377" s="121">
        <f t="shared" si="566"/>
        <v>-9.7170000000000005</v>
      </c>
      <c r="X1377" s="121">
        <f t="shared" si="572"/>
        <v>-9.7170000000000005</v>
      </c>
      <c r="Y1377" s="121">
        <f t="shared" si="567"/>
        <v>0</v>
      </c>
      <c r="Z1377" s="121">
        <f t="shared" si="568"/>
        <v>0</v>
      </c>
      <c r="AA1377" s="121">
        <f t="shared" si="569"/>
        <v>-9.7170000000000005</v>
      </c>
      <c r="AB1377" s="121">
        <f t="shared" si="573"/>
        <v>-9.7170000000000005</v>
      </c>
      <c r="AC1377" s="121">
        <v>-9.7170000000000005</v>
      </c>
      <c r="AD1377" s="121">
        <v>-9.7170000000000005</v>
      </c>
      <c r="AE1377" s="121">
        <v>-9.7170000000000005</v>
      </c>
      <c r="AF1377" s="121">
        <v>-9.7170000000000005</v>
      </c>
      <c r="AG1377" s="121">
        <v>-9.7170000000000005</v>
      </c>
      <c r="AH1377" s="121">
        <v>-9.7170000000000005</v>
      </c>
      <c r="AI1377" s="161">
        <v>-9.7170000000000005</v>
      </c>
      <c r="AJ1377" s="161">
        <v>-9.7170000000000005</v>
      </c>
      <c r="AK1377" s="161">
        <v>-9.7170000000000005</v>
      </c>
      <c r="AL1377" s="161">
        <v>-9.7170000000000005</v>
      </c>
      <c r="AM1377" s="161">
        <v>-9.7170000000000005</v>
      </c>
      <c r="AN1377" s="161">
        <v>-9.7170000000000005</v>
      </c>
      <c r="AO1377" s="161">
        <v>-9.7170000000000005</v>
      </c>
      <c r="AP1377" s="125" t="str">
        <f>CONCATENATE(A1377,M1377)</f>
        <v>Def TaxN</v>
      </c>
      <c r="AQ1377" s="125" t="str">
        <f>CONCATENATE(AP1377,L1377,H1377)</f>
        <v>Def TaxNN9Hung Deferred Taxes</v>
      </c>
      <c r="AS1377" s="125" t="str">
        <f>CONCATENATE(L1377,H1377,J1377)</f>
        <v>N9Hung Deferred Taxes</v>
      </c>
    </row>
    <row r="1378" spans="1:45" s="125" customFormat="1" ht="25.5" customHeight="1">
      <c r="A1378" s="216" t="s">
        <v>1996</v>
      </c>
      <c r="B1378" s="217" t="str">
        <f t="shared" si="575"/>
        <v>Def Tax283400PPD InsBT010172</v>
      </c>
      <c r="C1378" s="186">
        <v>283400</v>
      </c>
      <c r="D1378" s="201" t="s">
        <v>2282</v>
      </c>
      <c r="E1378" s="162" t="s">
        <v>287</v>
      </c>
      <c r="F1378" s="169" t="s">
        <v>848</v>
      </c>
      <c r="G1378" s="117" t="s">
        <v>2281</v>
      </c>
      <c r="H1378" s="118" t="s">
        <v>969</v>
      </c>
      <c r="I1378" s="119"/>
      <c r="J1378" s="120"/>
      <c r="K1378" s="120" t="str">
        <f t="shared" si="570"/>
        <v/>
      </c>
      <c r="L1378" s="170" t="s">
        <v>1895</v>
      </c>
      <c r="M1378" s="122" t="str">
        <f t="shared" si="571"/>
        <v>R</v>
      </c>
      <c r="N1378" s="116" t="str">
        <f>IF($L1378&lt;&gt;"",VLOOKUP($L1378,Categories!$E:$G,2,FALSE),IF($F1378&lt;&gt;"","NO CAT",""))</f>
        <v>Rate Base</v>
      </c>
      <c r="O1378" s="116" t="str">
        <f>IF($L1378&lt;&gt;"",VLOOKUP($L1378,Categories!$E:$G,3,FALSE),IF($F1378&lt;&gt;"","NO CAT",""))</f>
        <v>Deferred Income Taxes</v>
      </c>
      <c r="P1378" s="170" t="s">
        <v>1188</v>
      </c>
      <c r="Q1378" s="123" t="s">
        <v>1843</v>
      </c>
      <c r="R1378" s="124">
        <v>0.76071990262269951</v>
      </c>
      <c r="S1378" s="124">
        <v>0.23928009737730072</v>
      </c>
      <c r="T1378" s="124">
        <v>0</v>
      </c>
      <c r="U1378" s="121">
        <f t="shared" si="564"/>
        <v>-45.849727392157597</v>
      </c>
      <c r="V1378" s="121">
        <f t="shared" si="565"/>
        <v>-14.421769691175699</v>
      </c>
      <c r="W1378" s="121">
        <f t="shared" si="566"/>
        <v>0</v>
      </c>
      <c r="X1378" s="121">
        <f t="shared" si="572"/>
        <v>-60.271497083333301</v>
      </c>
      <c r="Y1378" s="121">
        <f t="shared" si="567"/>
        <v>-69.540464392749499</v>
      </c>
      <c r="Z1378" s="121">
        <f t="shared" si="568"/>
        <v>-21.873555607250498</v>
      </c>
      <c r="AA1378" s="121">
        <f t="shared" si="569"/>
        <v>0</v>
      </c>
      <c r="AB1378" s="121">
        <f t="shared" si="573"/>
        <v>-91.414019999999994</v>
      </c>
      <c r="AC1378" s="121">
        <v>-36.737629999999989</v>
      </c>
      <c r="AD1378" s="121">
        <v>-19.09296999999999</v>
      </c>
      <c r="AE1378" s="121">
        <v>-10.551529999999989</v>
      </c>
      <c r="AF1378" s="121">
        <v>12.401570000000008</v>
      </c>
      <c r="AG1378" s="121">
        <v>-5.7204599999999903</v>
      </c>
      <c r="AH1378" s="121">
        <v>17.029210000000006</v>
      </c>
      <c r="AI1378" s="161">
        <v>9.6988400000000077</v>
      </c>
      <c r="AJ1378" s="161">
        <v>-84.824609999999993</v>
      </c>
      <c r="AK1378" s="161">
        <v>-166.48795999999999</v>
      </c>
      <c r="AL1378" s="161">
        <v>-154.74406999999999</v>
      </c>
      <c r="AM1378" s="161">
        <v>-131.61509000000001</v>
      </c>
      <c r="AN1378" s="161">
        <v>-125.27507</v>
      </c>
      <c r="AO1378" s="161">
        <v>-91.414019999999994</v>
      </c>
      <c r="AP1378" s="125" t="str">
        <f>CONCATENATE(A1378,M1378)</f>
        <v>Def TaxR</v>
      </c>
      <c r="AQ1378" s="125" t="str">
        <f>CONCATENATE(AP1378,L1378,H1378)</f>
        <v>Def TaxRR11Prepaid Insurance</v>
      </c>
      <c r="AS1378" s="125" t="str">
        <f>CONCATENATE(L1378,H1378,J1378)</f>
        <v>R11Prepaid Insurance</v>
      </c>
    </row>
    <row r="1379" spans="1:45" s="125" customFormat="1" ht="25.5" customHeight="1">
      <c r="A1379" s="216" t="s">
        <v>1996</v>
      </c>
      <c r="B1379" s="217" t="str">
        <f t="shared" si="575"/>
        <v>Def Tax283400Repr AllowBT010181</v>
      </c>
      <c r="C1379" s="186">
        <v>283400</v>
      </c>
      <c r="D1379" s="201" t="s">
        <v>2284</v>
      </c>
      <c r="E1379" s="162" t="s">
        <v>288</v>
      </c>
      <c r="F1379" s="169" t="s">
        <v>848</v>
      </c>
      <c r="G1379" s="117" t="s">
        <v>2283</v>
      </c>
      <c r="H1379" s="118" t="s">
        <v>970</v>
      </c>
      <c r="I1379" s="119"/>
      <c r="J1379" s="120"/>
      <c r="K1379" s="120" t="str">
        <f t="shared" si="570"/>
        <v/>
      </c>
      <c r="L1379" s="170" t="s">
        <v>1895</v>
      </c>
      <c r="M1379" s="122" t="str">
        <f t="shared" si="571"/>
        <v>R</v>
      </c>
      <c r="N1379" s="116" t="str">
        <f>IF($L1379&lt;&gt;"",VLOOKUP($L1379,Categories!$E:$G,2,FALSE),IF($F1379&lt;&gt;"","NO CAT",""))</f>
        <v>Rate Base</v>
      </c>
      <c r="O1379" s="116" t="str">
        <f>IF($L1379&lt;&gt;"",VLOOKUP($L1379,Categories!$E:$G,3,FALSE),IF($F1379&lt;&gt;"","NO CAT",""))</f>
        <v>Deferred Income Taxes</v>
      </c>
      <c r="P1379" s="170" t="s">
        <v>1183</v>
      </c>
      <c r="Q1379" s="123" t="s">
        <v>1177</v>
      </c>
      <c r="R1379" s="124">
        <v>1</v>
      </c>
      <c r="S1379" s="124">
        <v>0</v>
      </c>
      <c r="T1379" s="124">
        <v>0</v>
      </c>
      <c r="U1379" s="121">
        <f t="shared" si="564"/>
        <v>7.4499999999999996E-13</v>
      </c>
      <c r="V1379" s="121">
        <f t="shared" si="565"/>
        <v>0</v>
      </c>
      <c r="W1379" s="121">
        <f t="shared" si="566"/>
        <v>0</v>
      </c>
      <c r="X1379" s="121">
        <f t="shared" si="572"/>
        <v>7.4499999999999996E-13</v>
      </c>
      <c r="Y1379" s="121">
        <f t="shared" si="567"/>
        <v>7.4499999999999996E-13</v>
      </c>
      <c r="Z1379" s="121">
        <f t="shared" si="568"/>
        <v>0</v>
      </c>
      <c r="AA1379" s="121">
        <f t="shared" si="569"/>
        <v>0</v>
      </c>
      <c r="AB1379" s="121">
        <f t="shared" si="573"/>
        <v>7.4505801528346187E-13</v>
      </c>
      <c r="AC1379" s="121">
        <v>7.4505801528346187E-13</v>
      </c>
      <c r="AD1379" s="121">
        <v>7.4505801528346187E-13</v>
      </c>
      <c r="AE1379" s="121">
        <v>7.4505801528346187E-13</v>
      </c>
      <c r="AF1379" s="121">
        <v>7.4505801528346187E-13</v>
      </c>
      <c r="AG1379" s="121">
        <v>7.4505801528346187E-13</v>
      </c>
      <c r="AH1379" s="121">
        <v>7.4505801528346187E-13</v>
      </c>
      <c r="AI1379" s="161">
        <v>7.4505801528346187E-13</v>
      </c>
      <c r="AJ1379" s="161">
        <v>7.4505801528346187E-13</v>
      </c>
      <c r="AK1379" s="161">
        <v>7.4505801528346187E-13</v>
      </c>
      <c r="AL1379" s="161">
        <v>7.4505801528346187E-13</v>
      </c>
      <c r="AM1379" s="161">
        <v>7.4505801528346187E-13</v>
      </c>
      <c r="AN1379" s="161">
        <v>7.4505801528346187E-13</v>
      </c>
      <c r="AO1379" s="161">
        <v>7.4505801528346187E-13</v>
      </c>
      <c r="AP1379" s="125" t="str">
        <f>CONCATENATE(A1379,M1379)</f>
        <v>Def TaxR</v>
      </c>
      <c r="AQ1379" s="125" t="str">
        <f>CONCATENATE(AP1379,L1379,H1379)</f>
        <v>Def TaxRR11Repair Allowance</v>
      </c>
      <c r="AS1379" s="125" t="str">
        <f>CONCATENATE(L1379,H1379,J1379)</f>
        <v>R11Repair Allowance</v>
      </c>
    </row>
    <row r="1380" spans="1:45" s="125" customFormat="1" ht="25.5" customHeight="1">
      <c r="A1380" s="216" t="s">
        <v>1996</v>
      </c>
      <c r="B1380" s="217" t="str">
        <f t="shared" si="575"/>
        <v>Def Tax2834000-186.01.52BTHUNGDT</v>
      </c>
      <c r="C1380" s="186">
        <v>283400</v>
      </c>
      <c r="D1380" s="201" t="s">
        <v>766</v>
      </c>
      <c r="E1380" s="162" t="s">
        <v>616</v>
      </c>
      <c r="F1380" s="169" t="s">
        <v>848</v>
      </c>
      <c r="G1380" s="117" t="s">
        <v>1642</v>
      </c>
      <c r="H1380" s="118" t="s">
        <v>1167</v>
      </c>
      <c r="I1380" s="119"/>
      <c r="J1380" s="120"/>
      <c r="K1380" s="120" t="str">
        <f t="shared" si="570"/>
        <v/>
      </c>
      <c r="L1380" s="170" t="s">
        <v>1895</v>
      </c>
      <c r="M1380" s="122" t="str">
        <f t="shared" si="571"/>
        <v>R</v>
      </c>
      <c r="N1380" s="116" t="str">
        <f>IF($L1380&lt;&gt;"",VLOOKUP($L1380,Categories!$E:$G,2,FALSE),IF($F1380&lt;&gt;"","NO CAT",""))</f>
        <v>Rate Base</v>
      </c>
      <c r="O1380" s="116" t="str">
        <f>IF($L1380&lt;&gt;"",VLOOKUP($L1380,Categories!$E:$G,3,FALSE),IF($F1380&lt;&gt;"","NO CAT",""))</f>
        <v>Deferred Income Taxes</v>
      </c>
      <c r="P1380" s="170" t="s">
        <v>1183</v>
      </c>
      <c r="Q1380" s="123" t="s">
        <v>1177</v>
      </c>
      <c r="R1380" s="124">
        <v>1</v>
      </c>
      <c r="S1380" s="124">
        <v>0</v>
      </c>
      <c r="T1380" s="124">
        <v>0</v>
      </c>
      <c r="U1380" s="121">
        <f t="shared" ref="U1380:U1420" si="576">IF(ABS(X1380)=0,"",IF($R1380="NO ALLOC","NO ALLOC",ROUND($R1380*X1380,15)))</f>
        <v>-0.502</v>
      </c>
      <c r="V1380" s="121">
        <f t="shared" ref="V1380:V1420" si="577">IF(ABS(X1380)=0,"",IF($S1380="NO ALLOC","NO ALLOC",ROUND($S1380*X1380,15)))</f>
        <v>0</v>
      </c>
      <c r="W1380" s="121">
        <f t="shared" ref="W1380:W1420" si="578">IF(ABS(X1380)=0,"",IF($T1380="NO ALLOC","NO ALLOC",ROUND($T1380*X1380,15)))</f>
        <v>0</v>
      </c>
      <c r="X1380" s="121">
        <f t="shared" si="572"/>
        <v>-0.502</v>
      </c>
      <c r="Y1380" s="121">
        <f t="shared" ref="Y1380:Y1420" si="579">IF(ABS(AB1380)=0,"",IF($R1380="NO ALLOC","NO ALLOC",ROUND($R1380*AB1380,15)))</f>
        <v>-0.502</v>
      </c>
      <c r="Z1380" s="121">
        <f t="shared" ref="Z1380:Z1420" si="580">IF(ABS(AB1380)=0,"",IF($S1380="NO ALLOC","NO ALLOC",ROUND($S1380*AB1380,15)))</f>
        <v>0</v>
      </c>
      <c r="AA1380" s="121">
        <f t="shared" ref="AA1380:AA1420" si="581">IF(ABS(AB1380)=0,"",IF($T1380="NO ALLOC","NO ALLOC",ROUND($T1380*AB1380,15)))</f>
        <v>0</v>
      </c>
      <c r="AB1380" s="121">
        <f t="shared" si="573"/>
        <v>-0.502</v>
      </c>
      <c r="AC1380" s="121">
        <v>-0.502</v>
      </c>
      <c r="AD1380" s="121">
        <v>-0.502</v>
      </c>
      <c r="AE1380" s="121">
        <v>-0.502</v>
      </c>
      <c r="AF1380" s="121">
        <v>-0.502</v>
      </c>
      <c r="AG1380" s="121">
        <v>-0.502</v>
      </c>
      <c r="AH1380" s="121">
        <v>-0.502</v>
      </c>
      <c r="AI1380" s="161">
        <v>-0.502</v>
      </c>
      <c r="AJ1380" s="161">
        <v>-0.502</v>
      </c>
      <c r="AK1380" s="161">
        <v>-0.502</v>
      </c>
      <c r="AL1380" s="161">
        <v>-0.502</v>
      </c>
      <c r="AM1380" s="161">
        <v>-0.502</v>
      </c>
      <c r="AN1380" s="161">
        <v>-0.502</v>
      </c>
      <c r="AO1380" s="161">
        <v>-0.502</v>
      </c>
      <c r="AP1380" s="125" t="str">
        <f>CONCATENATE(A1380,M1380)</f>
        <v>Def TaxR</v>
      </c>
      <c r="AQ1380" s="125" t="str">
        <f>CONCATENATE(AP1380,L1380,H1380)</f>
        <v>Def TaxRR11Hung Deferred Taxes</v>
      </c>
      <c r="AS1380" s="125" t="str">
        <f>CONCATENATE(L1380,H1380,J1380)</f>
        <v>R11Hung Deferred Taxes</v>
      </c>
    </row>
    <row r="1381" spans="1:45" s="125" customFormat="1" ht="25.5" customHeight="1">
      <c r="A1381" s="216" t="s">
        <v>1996</v>
      </c>
      <c r="B1381" s="217" t="str">
        <f t="shared" si="575"/>
        <v>Def Tax2834000-186.01.10BTHUNGDT</v>
      </c>
      <c r="C1381" s="186">
        <v>283400</v>
      </c>
      <c r="D1381" s="201" t="s">
        <v>646</v>
      </c>
      <c r="E1381" s="162" t="s">
        <v>616</v>
      </c>
      <c r="F1381" s="169" t="s">
        <v>848</v>
      </c>
      <c r="G1381" s="117" t="s">
        <v>647</v>
      </c>
      <c r="H1381" s="118" t="s">
        <v>1167</v>
      </c>
      <c r="I1381" s="119"/>
      <c r="J1381" s="120"/>
      <c r="K1381" s="120" t="str">
        <f t="shared" si="570"/>
        <v/>
      </c>
      <c r="L1381" s="170" t="s">
        <v>1895</v>
      </c>
      <c r="M1381" s="122" t="str">
        <f t="shared" si="571"/>
        <v>R</v>
      </c>
      <c r="N1381" s="116" t="str">
        <f>IF($L1381&lt;&gt;"",VLOOKUP($L1381,Categories!$E:$G,2,FALSE),IF($F1381&lt;&gt;"","NO CAT",""))</f>
        <v>Rate Base</v>
      </c>
      <c r="O1381" s="116" t="str">
        <f>IF($L1381&lt;&gt;"",VLOOKUP($L1381,Categories!$E:$G,3,FALSE),IF($F1381&lt;&gt;"","NO CAT",""))</f>
        <v>Deferred Income Taxes</v>
      </c>
      <c r="P1381" s="170" t="s">
        <v>1183</v>
      </c>
      <c r="Q1381" s="123" t="s">
        <v>1177</v>
      </c>
      <c r="R1381" s="124">
        <v>1</v>
      </c>
      <c r="S1381" s="124">
        <v>0</v>
      </c>
      <c r="T1381" s="124">
        <v>0</v>
      </c>
      <c r="U1381" s="121">
        <f t="shared" si="576"/>
        <v>-3.851</v>
      </c>
      <c r="V1381" s="121">
        <f t="shared" si="577"/>
        <v>0</v>
      </c>
      <c r="W1381" s="121">
        <f t="shared" si="578"/>
        <v>0</v>
      </c>
      <c r="X1381" s="121">
        <f t="shared" si="572"/>
        <v>-3.851</v>
      </c>
      <c r="Y1381" s="121">
        <f t="shared" si="579"/>
        <v>-3.851</v>
      </c>
      <c r="Z1381" s="121">
        <f t="shared" si="580"/>
        <v>0</v>
      </c>
      <c r="AA1381" s="121">
        <f t="shared" si="581"/>
        <v>0</v>
      </c>
      <c r="AB1381" s="121">
        <f t="shared" si="573"/>
        <v>-3.851</v>
      </c>
      <c r="AC1381" s="121">
        <v>-3.851</v>
      </c>
      <c r="AD1381" s="121">
        <v>-3.851</v>
      </c>
      <c r="AE1381" s="121">
        <v>-3.851</v>
      </c>
      <c r="AF1381" s="121">
        <v>-3.851</v>
      </c>
      <c r="AG1381" s="121">
        <v>-3.851</v>
      </c>
      <c r="AH1381" s="121">
        <v>-3.851</v>
      </c>
      <c r="AI1381" s="161">
        <v>-3.851</v>
      </c>
      <c r="AJ1381" s="161">
        <v>-3.851</v>
      </c>
      <c r="AK1381" s="161">
        <v>-3.851</v>
      </c>
      <c r="AL1381" s="161">
        <v>-3.851</v>
      </c>
      <c r="AM1381" s="161">
        <v>-3.851</v>
      </c>
      <c r="AN1381" s="161">
        <v>-3.851</v>
      </c>
      <c r="AO1381" s="161">
        <v>-3.851</v>
      </c>
      <c r="AP1381" s="125" t="str">
        <f>CONCATENATE(A1381,M1381)</f>
        <v>Def TaxR</v>
      </c>
      <c r="AQ1381" s="125" t="str">
        <f>CONCATENATE(AP1381,L1381,H1381)</f>
        <v>Def TaxRR11Hung Deferred Taxes</v>
      </c>
      <c r="AS1381" s="125" t="str">
        <f>CONCATENATE(L1381,H1381,J1381)</f>
        <v>R11Hung Deferred Taxes</v>
      </c>
    </row>
    <row r="1382" spans="1:45" s="125" customFormat="1" ht="25.5" customHeight="1">
      <c r="A1382" s="216" t="s">
        <v>1996</v>
      </c>
      <c r="B1382" s="217" t="str">
        <f t="shared" si="575"/>
        <v>Def Tax2834000-186.01.53BT010193</v>
      </c>
      <c r="C1382" s="186">
        <v>283400</v>
      </c>
      <c r="D1382" s="201" t="s">
        <v>2716</v>
      </c>
      <c r="E1382" s="162" t="s">
        <v>490</v>
      </c>
      <c r="F1382" s="169" t="s">
        <v>848</v>
      </c>
      <c r="G1382" s="117" t="s">
        <v>1049</v>
      </c>
      <c r="H1382" s="118" t="s">
        <v>387</v>
      </c>
      <c r="I1382" s="119"/>
      <c r="J1382" s="120"/>
      <c r="K1382" s="120" t="str">
        <f t="shared" si="570"/>
        <v/>
      </c>
      <c r="L1382" s="170" t="s">
        <v>1419</v>
      </c>
      <c r="M1382" s="122" t="str">
        <f t="shared" si="571"/>
        <v>A</v>
      </c>
      <c r="N1382" s="116" t="str">
        <f>IF($L1382&lt;&gt;"",VLOOKUP($L1382,Categories!$E:$G,2,FALSE),IF($F1382&lt;&gt;"","NO CAT",""))</f>
        <v>All Other</v>
      </c>
      <c r="O1382" s="116" t="str">
        <f>IF($L1382&lt;&gt;"",VLOOKUP($L1382,Categories!$E:$G,3,FALSE),IF($F1382&lt;&gt;"","NO CAT",""))</f>
        <v>EB-Cap</v>
      </c>
      <c r="P1382" s="170" t="s">
        <v>1557</v>
      </c>
      <c r="Q1382" s="123" t="s">
        <v>1891</v>
      </c>
      <c r="R1382" s="124">
        <v>0.77544352505021785</v>
      </c>
      <c r="S1382" s="124">
        <v>0.22455647494978223</v>
      </c>
      <c r="T1382" s="124">
        <v>0</v>
      </c>
      <c r="U1382" s="121">
        <f t="shared" si="576"/>
        <v>-66.528448314769904</v>
      </c>
      <c r="V1382" s="121">
        <f t="shared" si="577"/>
        <v>-19.265611685230098</v>
      </c>
      <c r="W1382" s="121">
        <f t="shared" si="578"/>
        <v>0</v>
      </c>
      <c r="X1382" s="121">
        <f t="shared" si="572"/>
        <v>-85.794060000000002</v>
      </c>
      <c r="Y1382" s="121">
        <f t="shared" si="579"/>
        <v>-66.528448314769904</v>
      </c>
      <c r="Z1382" s="121">
        <f t="shared" si="580"/>
        <v>-19.265611685230098</v>
      </c>
      <c r="AA1382" s="121">
        <f t="shared" si="581"/>
        <v>0</v>
      </c>
      <c r="AB1382" s="121">
        <f t="shared" si="573"/>
        <v>-85.794060000000016</v>
      </c>
      <c r="AC1382" s="121">
        <v>-85.794060000000016</v>
      </c>
      <c r="AD1382" s="121">
        <v>-85.794060000000016</v>
      </c>
      <c r="AE1382" s="121">
        <v>-85.794060000000016</v>
      </c>
      <c r="AF1382" s="121">
        <v>-85.794060000000016</v>
      </c>
      <c r="AG1382" s="121">
        <v>-85.794060000000016</v>
      </c>
      <c r="AH1382" s="121">
        <v>-85.794060000000016</v>
      </c>
      <c r="AI1382" s="161">
        <v>-85.794060000000016</v>
      </c>
      <c r="AJ1382" s="161">
        <v>-85.794060000000016</v>
      </c>
      <c r="AK1382" s="161">
        <v>-85.794060000000016</v>
      </c>
      <c r="AL1382" s="161">
        <v>-85.794060000000016</v>
      </c>
      <c r="AM1382" s="161">
        <v>-85.794060000000016</v>
      </c>
      <c r="AN1382" s="161">
        <v>-85.794060000000016</v>
      </c>
      <c r="AO1382" s="161">
        <v>-85.794060000000016</v>
      </c>
      <c r="AP1382" s="125" t="str">
        <f>CONCATENATE(A1382,M1382)</f>
        <v>Def TaxA</v>
      </c>
      <c r="AQ1382" s="125" t="str">
        <f>CONCATENATE(AP1382,L1382,H1382)</f>
        <v>Def TaxAA2Revenue Enhancement Warranty</v>
      </c>
      <c r="AS1382" s="125" t="str">
        <f>CONCATENATE(L1382,H1382,J1382)</f>
        <v>A2Revenue Enhancement Warranty</v>
      </c>
    </row>
    <row r="1383" spans="1:45" s="125" customFormat="1" ht="25.5" customHeight="1">
      <c r="A1383" s="216" t="s">
        <v>1996</v>
      </c>
      <c r="B1383" s="217" t="str">
        <f t="shared" si="575"/>
        <v>Def Tax283400REVOLVERBT010194</v>
      </c>
      <c r="C1383" s="186">
        <v>283400</v>
      </c>
      <c r="D1383" s="201" t="s">
        <v>617</v>
      </c>
      <c r="E1383" s="162" t="s">
        <v>491</v>
      </c>
      <c r="F1383" s="169" t="s">
        <v>848</v>
      </c>
      <c r="G1383" s="117" t="s">
        <v>238</v>
      </c>
      <c r="H1383" s="118" t="s">
        <v>404</v>
      </c>
      <c r="I1383" s="119"/>
      <c r="J1383" s="120"/>
      <c r="K1383" s="120" t="str">
        <f t="shared" si="570"/>
        <v/>
      </c>
      <c r="L1383" s="170" t="s">
        <v>1895</v>
      </c>
      <c r="M1383" s="122" t="str">
        <f t="shared" si="571"/>
        <v>R</v>
      </c>
      <c r="N1383" s="116" t="str">
        <f>IF($L1383&lt;&gt;"",VLOOKUP($L1383,Categories!$E:$G,2,FALSE),IF($F1383&lt;&gt;"","NO CAT",""))</f>
        <v>Rate Base</v>
      </c>
      <c r="O1383" s="116" t="str">
        <f>IF($L1383&lt;&gt;"",VLOOKUP($L1383,Categories!$E:$G,3,FALSE),IF($F1383&lt;&gt;"","NO CAT",""))</f>
        <v>Deferred Income Taxes</v>
      </c>
      <c r="P1383" s="170" t="s">
        <v>1183</v>
      </c>
      <c r="Q1383" s="123" t="s">
        <v>1177</v>
      </c>
      <c r="R1383" s="124">
        <v>1</v>
      </c>
      <c r="S1383" s="124">
        <v>0</v>
      </c>
      <c r="T1383" s="124">
        <v>0</v>
      </c>
      <c r="U1383" s="121">
        <f t="shared" si="576"/>
        <v>-25.145</v>
      </c>
      <c r="V1383" s="121">
        <f t="shared" si="577"/>
        <v>0</v>
      </c>
      <c r="W1383" s="121">
        <f t="shared" si="578"/>
        <v>0</v>
      </c>
      <c r="X1383" s="121">
        <f t="shared" si="572"/>
        <v>-25.145</v>
      </c>
      <c r="Y1383" s="121">
        <f t="shared" si="579"/>
        <v>-25.145</v>
      </c>
      <c r="Z1383" s="121">
        <f t="shared" si="580"/>
        <v>0</v>
      </c>
      <c r="AA1383" s="121">
        <f t="shared" si="581"/>
        <v>0</v>
      </c>
      <c r="AB1383" s="121">
        <f t="shared" si="573"/>
        <v>-25.145</v>
      </c>
      <c r="AC1383" s="121">
        <v>-25.145</v>
      </c>
      <c r="AD1383" s="121">
        <v>-25.145</v>
      </c>
      <c r="AE1383" s="121">
        <v>-25.145</v>
      </c>
      <c r="AF1383" s="121">
        <v>-25.145</v>
      </c>
      <c r="AG1383" s="121">
        <v>-25.145</v>
      </c>
      <c r="AH1383" s="121">
        <v>-25.145</v>
      </c>
      <c r="AI1383" s="161">
        <v>-25.145</v>
      </c>
      <c r="AJ1383" s="161">
        <v>-25.145</v>
      </c>
      <c r="AK1383" s="161">
        <v>-25.145</v>
      </c>
      <c r="AL1383" s="161">
        <v>-25.145</v>
      </c>
      <c r="AM1383" s="161">
        <v>-25.145</v>
      </c>
      <c r="AN1383" s="161">
        <v>-25.145</v>
      </c>
      <c r="AO1383" s="161">
        <v>-25.145</v>
      </c>
      <c r="AP1383" s="125" t="str">
        <f>CONCATENATE(A1383,M1383)</f>
        <v>Def TaxR</v>
      </c>
      <c r="AQ1383" s="125" t="str">
        <f>CONCATENATE(AP1383,L1383,H1383)</f>
        <v>Def TaxRR11Revolver Facility</v>
      </c>
      <c r="AS1383" s="125" t="str">
        <f>CONCATENATE(L1383,H1383,J1383)</f>
        <v>R11Revolver Facility</v>
      </c>
    </row>
    <row r="1384" spans="1:45" s="125" customFormat="1" ht="25.5" customHeight="1">
      <c r="A1384" s="216" t="s">
        <v>1996</v>
      </c>
      <c r="B1384" s="217" t="str">
        <f>CONCATENATE(A1384,C1384,D1384,E1384)</f>
        <v>Def Tax283400BTMISCDT</v>
      </c>
      <c r="C1384" s="186">
        <v>283400</v>
      </c>
      <c r="D1384" s="201"/>
      <c r="E1384" s="162" t="s">
        <v>4763</v>
      </c>
      <c r="F1384" s="169" t="s">
        <v>848</v>
      </c>
      <c r="G1384" s="117" t="s">
        <v>4764</v>
      </c>
      <c r="H1384" s="118" t="s">
        <v>4761</v>
      </c>
      <c r="I1384" s="119"/>
      <c r="J1384" s="120"/>
      <c r="K1384" s="120" t="str">
        <f>IF(L1384="N3","SFAS-109","")</f>
        <v/>
      </c>
      <c r="L1384" s="170" t="s">
        <v>1895</v>
      </c>
      <c r="M1384" s="122" t="str">
        <f t="shared" si="571"/>
        <v>R</v>
      </c>
      <c r="N1384" s="116" t="str">
        <f>IF($L1384&lt;&gt;"",VLOOKUP($L1384,Categories!$E:$G,2,FALSE),IF($F1384&lt;&gt;"","NO CAT",""))</f>
        <v>Rate Base</v>
      </c>
      <c r="O1384" s="116" t="str">
        <f>IF($L1384&lt;&gt;"",VLOOKUP($L1384,Categories!$E:$G,3,FALSE),IF($F1384&lt;&gt;"","NO CAT",""))</f>
        <v>Deferred Income Taxes</v>
      </c>
      <c r="P1384" s="170" t="s">
        <v>1183</v>
      </c>
      <c r="Q1384" s="123" t="s">
        <v>1177</v>
      </c>
      <c r="R1384" s="124">
        <v>1</v>
      </c>
      <c r="S1384" s="124">
        <v>0</v>
      </c>
      <c r="T1384" s="124">
        <v>0</v>
      </c>
      <c r="U1384" s="121">
        <f t="shared" si="576"/>
        <v>4548.3333333333303</v>
      </c>
      <c r="V1384" s="121">
        <f t="shared" si="577"/>
        <v>0</v>
      </c>
      <c r="W1384" s="121">
        <f t="shared" si="578"/>
        <v>0</v>
      </c>
      <c r="X1384" s="121">
        <f t="shared" si="572"/>
        <v>4548.3333333333303</v>
      </c>
      <c r="Y1384" s="121">
        <f t="shared" si="579"/>
        <v>9960</v>
      </c>
      <c r="Z1384" s="121">
        <f t="shared" si="580"/>
        <v>0</v>
      </c>
      <c r="AA1384" s="121">
        <f t="shared" si="581"/>
        <v>0</v>
      </c>
      <c r="AB1384" s="121">
        <f t="shared" si="573"/>
        <v>9960</v>
      </c>
      <c r="AC1384" s="121"/>
      <c r="AD1384" s="121"/>
      <c r="AE1384" s="121"/>
      <c r="AF1384" s="121"/>
      <c r="AG1384" s="121"/>
      <c r="AH1384" s="121"/>
      <c r="AI1384" s="121"/>
      <c r="AJ1384" s="121">
        <v>9910</v>
      </c>
      <c r="AK1384" s="161">
        <v>9910</v>
      </c>
      <c r="AL1384" s="161">
        <v>9910</v>
      </c>
      <c r="AM1384" s="161">
        <v>9910</v>
      </c>
      <c r="AN1384" s="161">
        <v>9960</v>
      </c>
      <c r="AO1384" s="161">
        <v>9960</v>
      </c>
      <c r="AP1384" s="125" t="str">
        <f>CONCATENATE(A1384,M1384)</f>
        <v>Def TaxR</v>
      </c>
      <c r="AQ1384" s="125" t="str">
        <f>CONCATENATE(AP1384,L1384,H1384)</f>
        <v>Def TaxRR11Excess DIT - New York State Tax Rate change</v>
      </c>
      <c r="AS1384" s="125" t="str">
        <f>CONCATENATE(L1384,H1384,J1384)</f>
        <v>R11Excess DIT - New York State Tax Rate change</v>
      </c>
    </row>
    <row r="1385" spans="1:45" s="125" customFormat="1" ht="25.5" customHeight="1">
      <c r="A1385" s="216" t="s">
        <v>1996</v>
      </c>
      <c r="B1385" s="217" t="str">
        <f t="shared" si="575"/>
        <v>Def Tax2834100-186.01.26BT010011</v>
      </c>
      <c r="C1385" s="186">
        <v>283410</v>
      </c>
      <c r="D1385" s="201" t="s">
        <v>1643</v>
      </c>
      <c r="E1385" s="162" t="s">
        <v>609</v>
      </c>
      <c r="F1385" s="169" t="s">
        <v>905</v>
      </c>
      <c r="G1385" s="117" t="s">
        <v>758</v>
      </c>
      <c r="H1385" s="118" t="s">
        <v>1405</v>
      </c>
      <c r="I1385" s="119"/>
      <c r="J1385" s="120"/>
      <c r="K1385" s="120" t="str">
        <f t="shared" si="570"/>
        <v/>
      </c>
      <c r="L1385" s="170" t="s">
        <v>1895</v>
      </c>
      <c r="M1385" s="122" t="str">
        <f t="shared" si="571"/>
        <v>R</v>
      </c>
      <c r="N1385" s="116" t="str">
        <f>IF($L1385&lt;&gt;"",VLOOKUP($L1385,Categories!$E:$G,2,FALSE),IF($F1385&lt;&gt;"","NO CAT",""))</f>
        <v>Rate Base</v>
      </c>
      <c r="O1385" s="116" t="str">
        <f>IF($L1385&lt;&gt;"",VLOOKUP($L1385,Categories!$E:$G,3,FALSE),IF($F1385&lt;&gt;"","NO CAT",""))</f>
        <v>Deferred Income Taxes</v>
      </c>
      <c r="P1385" s="170" t="s">
        <v>1188</v>
      </c>
      <c r="Q1385" s="123" t="s">
        <v>1843</v>
      </c>
      <c r="R1385" s="124">
        <v>0.76071990262269951</v>
      </c>
      <c r="S1385" s="124">
        <v>0.23928009737730072</v>
      </c>
      <c r="T1385" s="124">
        <v>0</v>
      </c>
      <c r="U1385" s="121" t="str">
        <f t="shared" si="576"/>
        <v/>
      </c>
      <c r="V1385" s="121" t="str">
        <f t="shared" si="577"/>
        <v/>
      </c>
      <c r="W1385" s="121" t="str">
        <f t="shared" si="578"/>
        <v/>
      </c>
      <c r="X1385" s="121">
        <f t="shared" si="572"/>
        <v>0</v>
      </c>
      <c r="Y1385" s="121" t="str">
        <f t="shared" si="579"/>
        <v/>
      </c>
      <c r="Z1385" s="121" t="str">
        <f t="shared" si="580"/>
        <v/>
      </c>
      <c r="AA1385" s="121" t="str">
        <f t="shared" si="581"/>
        <v/>
      </c>
      <c r="AB1385" s="121">
        <f t="shared" si="573"/>
        <v>0</v>
      </c>
      <c r="AC1385" s="121">
        <v>0</v>
      </c>
      <c r="AD1385" s="121">
        <v>0</v>
      </c>
      <c r="AE1385" s="121">
        <v>0</v>
      </c>
      <c r="AF1385" s="121">
        <v>0</v>
      </c>
      <c r="AG1385" s="121">
        <v>0</v>
      </c>
      <c r="AH1385" s="121">
        <v>0</v>
      </c>
      <c r="AI1385" s="121">
        <v>0</v>
      </c>
      <c r="AJ1385" s="121">
        <f t="shared" ref="AJ1385" si="582">IF(AI1385=0,0,0)</f>
        <v>0</v>
      </c>
      <c r="AK1385" s="161">
        <v>0</v>
      </c>
      <c r="AL1385" s="161">
        <v>0</v>
      </c>
      <c r="AM1385" s="161">
        <v>0</v>
      </c>
      <c r="AN1385" s="161">
        <v>0</v>
      </c>
      <c r="AO1385" s="161">
        <v>0</v>
      </c>
      <c r="AP1385" s="125" t="str">
        <f>CONCATENATE(A1385,M1385)</f>
        <v>Def TaxR</v>
      </c>
      <c r="AQ1385" s="125" t="str">
        <f>CONCATENATE(AP1385,L1385,H1385)</f>
        <v>Def TaxRR11A&amp;S CHIP</v>
      </c>
      <c r="AS1385" s="125" t="str">
        <f>CONCATENATE(L1385,H1385,J1385)</f>
        <v>R11A&amp;S CHIP</v>
      </c>
    </row>
    <row r="1386" spans="1:45" s="125" customFormat="1" ht="25.5" customHeight="1">
      <c r="A1386" s="216" t="s">
        <v>1996</v>
      </c>
      <c r="B1386" s="217" t="str">
        <f t="shared" si="575"/>
        <v>Def Tax2834100-186.01.47BTHUNGDT</v>
      </c>
      <c r="C1386" s="186">
        <v>283410</v>
      </c>
      <c r="D1386" s="201" t="s">
        <v>1448</v>
      </c>
      <c r="E1386" s="162" t="s">
        <v>616</v>
      </c>
      <c r="F1386" s="169" t="s">
        <v>905</v>
      </c>
      <c r="G1386" s="117" t="s">
        <v>1449</v>
      </c>
      <c r="H1386" s="118" t="s">
        <v>1167</v>
      </c>
      <c r="I1386" s="119"/>
      <c r="J1386" s="120"/>
      <c r="K1386" s="120" t="str">
        <f t="shared" si="570"/>
        <v/>
      </c>
      <c r="L1386" s="170" t="s">
        <v>928</v>
      </c>
      <c r="M1386" s="122" t="str">
        <f t="shared" si="571"/>
        <v>N</v>
      </c>
      <c r="N1386" s="116" t="str">
        <f>IF($L1386&lt;&gt;"",VLOOKUP($L1386,Categories!$E:$G,2,FALSE),IF($F1386&lt;&gt;"","NO CAT",""))</f>
        <v>Not in Rate Base</v>
      </c>
      <c r="O1386" s="116" t="str">
        <f>IF($L1386&lt;&gt;"",VLOOKUP($L1386,Categories!$E:$G,3,FALSE),IF($F1386&lt;&gt;"","NO CAT",""))</f>
        <v>Direct Assign Items Not in RB</v>
      </c>
      <c r="P1386" s="170" t="s">
        <v>1186</v>
      </c>
      <c r="Q1386" s="123" t="s">
        <v>1187</v>
      </c>
      <c r="R1386" s="124">
        <v>0</v>
      </c>
      <c r="S1386" s="124">
        <v>0</v>
      </c>
      <c r="T1386" s="124">
        <v>1</v>
      </c>
      <c r="U1386" s="121">
        <f t="shared" si="576"/>
        <v>0</v>
      </c>
      <c r="V1386" s="121">
        <f t="shared" si="577"/>
        <v>0</v>
      </c>
      <c r="W1386" s="121">
        <f t="shared" si="578"/>
        <v>-55.805</v>
      </c>
      <c r="X1386" s="121">
        <f t="shared" si="572"/>
        <v>-55.805</v>
      </c>
      <c r="Y1386" s="121">
        <f t="shared" si="579"/>
        <v>0</v>
      </c>
      <c r="Z1386" s="121">
        <f t="shared" si="580"/>
        <v>0</v>
      </c>
      <c r="AA1386" s="121">
        <f t="shared" si="581"/>
        <v>-55.805</v>
      </c>
      <c r="AB1386" s="121">
        <f t="shared" si="573"/>
        <v>-55.805</v>
      </c>
      <c r="AC1386" s="121">
        <v>-55.805</v>
      </c>
      <c r="AD1386" s="121">
        <v>-55.805</v>
      </c>
      <c r="AE1386" s="121">
        <v>-55.805</v>
      </c>
      <c r="AF1386" s="121">
        <v>-55.805</v>
      </c>
      <c r="AG1386" s="121">
        <v>-55.805</v>
      </c>
      <c r="AH1386" s="121">
        <v>-55.805</v>
      </c>
      <c r="AI1386" s="161">
        <v>-55.805</v>
      </c>
      <c r="AJ1386" s="161">
        <v>-55.805</v>
      </c>
      <c r="AK1386" s="161">
        <v>-55.805</v>
      </c>
      <c r="AL1386" s="161">
        <v>-55.805</v>
      </c>
      <c r="AM1386" s="161">
        <v>-55.805</v>
      </c>
      <c r="AN1386" s="161">
        <v>-55.805</v>
      </c>
      <c r="AO1386" s="161">
        <v>-55.805</v>
      </c>
      <c r="AP1386" s="125" t="str">
        <f>CONCATENATE(A1386,M1386)</f>
        <v>Def TaxN</v>
      </c>
      <c r="AQ1386" s="125" t="str">
        <f>CONCATENATE(AP1386,L1386,H1386)</f>
        <v>Def TaxNN2Hung Deferred Taxes</v>
      </c>
      <c r="AS1386" s="125" t="str">
        <f>CONCATENATE(L1386,H1386,J1386)</f>
        <v>N2Hung Deferred Taxes</v>
      </c>
    </row>
    <row r="1387" spans="1:45" s="125" customFormat="1" ht="25.5" customHeight="1">
      <c r="A1387" s="216" t="s">
        <v>1996</v>
      </c>
      <c r="B1387" s="217" t="str">
        <f t="shared" si="575"/>
        <v>Def Tax283410186.01.22/186.01.06BT010049</v>
      </c>
      <c r="C1387" s="186">
        <v>283410</v>
      </c>
      <c r="D1387" s="201" t="s">
        <v>962</v>
      </c>
      <c r="E1387" s="162" t="s">
        <v>1744</v>
      </c>
      <c r="F1387" s="169" t="s">
        <v>905</v>
      </c>
      <c r="G1387" s="117" t="s">
        <v>1591</v>
      </c>
      <c r="H1387" s="118" t="s">
        <v>1218</v>
      </c>
      <c r="I1387" s="119"/>
      <c r="J1387" s="120"/>
      <c r="K1387" s="120" t="str">
        <f t="shared" si="570"/>
        <v/>
      </c>
      <c r="L1387" s="170" t="s">
        <v>1419</v>
      </c>
      <c r="M1387" s="122" t="str">
        <f t="shared" si="571"/>
        <v>A</v>
      </c>
      <c r="N1387" s="116" t="str">
        <f>IF($L1387&lt;&gt;"",VLOOKUP($L1387,Categories!$E:$G,2,FALSE),IF($F1387&lt;&gt;"","NO CAT",""))</f>
        <v>All Other</v>
      </c>
      <c r="O1387" s="116" t="str">
        <f>IF($L1387&lt;&gt;"",VLOOKUP($L1387,Categories!$E:$G,3,FALSE),IF($F1387&lt;&gt;"","NO CAT",""))</f>
        <v>EB-Cap</v>
      </c>
      <c r="P1387" s="170" t="s">
        <v>1557</v>
      </c>
      <c r="Q1387" s="123" t="s">
        <v>1891</v>
      </c>
      <c r="R1387" s="124">
        <v>0.77544352505021785</v>
      </c>
      <c r="S1387" s="124">
        <v>0.22455647494978223</v>
      </c>
      <c r="T1387" s="124">
        <v>0</v>
      </c>
      <c r="U1387" s="121">
        <f t="shared" si="576"/>
        <v>2.0000000000000002E-15</v>
      </c>
      <c r="V1387" s="121">
        <f t="shared" si="577"/>
        <v>1.0000000000000001E-15</v>
      </c>
      <c r="W1387" s="121">
        <f t="shared" si="578"/>
        <v>0</v>
      </c>
      <c r="X1387" s="121">
        <f t="shared" si="572"/>
        <v>2.9999999999999998E-15</v>
      </c>
      <c r="Y1387" s="121">
        <f t="shared" si="579"/>
        <v>2.0000000000000002E-15</v>
      </c>
      <c r="Z1387" s="121">
        <f t="shared" si="580"/>
        <v>1.0000000000000001E-15</v>
      </c>
      <c r="AA1387" s="121">
        <f t="shared" si="581"/>
        <v>0</v>
      </c>
      <c r="AB1387" s="121">
        <f t="shared" si="573"/>
        <v>3.2009950245992514E-15</v>
      </c>
      <c r="AC1387" s="121">
        <v>3.2009950245992514E-15</v>
      </c>
      <c r="AD1387" s="121">
        <v>3.2009950245992514E-15</v>
      </c>
      <c r="AE1387" s="121">
        <v>3.2009950245992514E-15</v>
      </c>
      <c r="AF1387" s="121">
        <v>3.2009950245992514E-15</v>
      </c>
      <c r="AG1387" s="121">
        <v>3.2009950245992514E-15</v>
      </c>
      <c r="AH1387" s="121">
        <v>3.2009950245992514E-15</v>
      </c>
      <c r="AI1387" s="161">
        <v>3.2009950245992514E-15</v>
      </c>
      <c r="AJ1387" s="161">
        <v>3.2009950245992514E-15</v>
      </c>
      <c r="AK1387" s="161">
        <v>3.2009950245992514E-15</v>
      </c>
      <c r="AL1387" s="161">
        <v>3.2009950245992514E-15</v>
      </c>
      <c r="AM1387" s="161">
        <v>3.2009950245992514E-15</v>
      </c>
      <c r="AN1387" s="161">
        <v>3.2009950245992514E-15</v>
      </c>
      <c r="AO1387" s="161">
        <v>3.2009950245992514E-15</v>
      </c>
      <c r="AP1387" s="125" t="str">
        <f>CONCATENATE(A1387,M1387)</f>
        <v>Def TaxA</v>
      </c>
      <c r="AQ1387" s="125" t="str">
        <f>CONCATENATE(AP1387,L1387,H1387)</f>
        <v>Def TaxAA2Tracks 253040</v>
      </c>
      <c r="AS1387" s="125" t="str">
        <f>CONCATENATE(L1387,H1387,J1387)</f>
        <v>A2Tracks 253040</v>
      </c>
    </row>
    <row r="1388" spans="1:45" s="125" customFormat="1" ht="25.5" customHeight="1">
      <c r="A1388" s="216" t="s">
        <v>1996</v>
      </c>
      <c r="B1388" s="217" t="str">
        <f t="shared" si="575"/>
        <v>Def Tax283410Env OLBT010071</v>
      </c>
      <c r="C1388" s="186">
        <v>283410</v>
      </c>
      <c r="D1388" s="201" t="s">
        <v>75</v>
      </c>
      <c r="E1388" s="162" t="s">
        <v>222</v>
      </c>
      <c r="F1388" s="169" t="s">
        <v>905</v>
      </c>
      <c r="G1388" s="117" t="s">
        <v>221</v>
      </c>
      <c r="H1388" s="118" t="s">
        <v>2369</v>
      </c>
      <c r="I1388" s="119"/>
      <c r="J1388" s="231"/>
      <c r="K1388" s="120" t="str">
        <f t="shared" si="570"/>
        <v/>
      </c>
      <c r="L1388" s="170" t="s">
        <v>928</v>
      </c>
      <c r="M1388" s="122" t="str">
        <f t="shared" si="571"/>
        <v>N</v>
      </c>
      <c r="N1388" s="116" t="str">
        <f>IF($L1388&lt;&gt;"",VLOOKUP($L1388,Categories!$E:$G,2,FALSE),IF($F1388&lt;&gt;"","NO CAT",""))</f>
        <v>Not in Rate Base</v>
      </c>
      <c r="O1388" s="116" t="str">
        <f>IF($L1388&lt;&gt;"",VLOOKUP($L1388,Categories!$E:$G,3,FALSE),IF($F1388&lt;&gt;"","NO CAT",""))</f>
        <v>Direct Assign Items Not in RB</v>
      </c>
      <c r="P1388" s="170" t="s">
        <v>1186</v>
      </c>
      <c r="Q1388" s="123" t="s">
        <v>1187</v>
      </c>
      <c r="R1388" s="124">
        <v>0</v>
      </c>
      <c r="S1388" s="124">
        <v>0</v>
      </c>
      <c r="T1388" s="124">
        <v>1</v>
      </c>
      <c r="U1388" s="121">
        <f t="shared" si="576"/>
        <v>0</v>
      </c>
      <c r="V1388" s="121">
        <f t="shared" si="577"/>
        <v>0</v>
      </c>
      <c r="W1388" s="121">
        <f t="shared" si="578"/>
        <v>214.17750708333301</v>
      </c>
      <c r="X1388" s="121">
        <f t="shared" si="572"/>
        <v>214.17750708333301</v>
      </c>
      <c r="Y1388" s="121">
        <f t="shared" si="579"/>
        <v>0</v>
      </c>
      <c r="Z1388" s="121">
        <f t="shared" si="580"/>
        <v>0</v>
      </c>
      <c r="AA1388" s="121">
        <f t="shared" si="581"/>
        <v>1.0000000009E-5</v>
      </c>
      <c r="AB1388" s="121">
        <f t="shared" si="573"/>
        <v>1.0000000009313226E-5</v>
      </c>
      <c r="AC1388" s="121">
        <v>464.90346</v>
      </c>
      <c r="AD1388" s="121">
        <v>464.90346</v>
      </c>
      <c r="AE1388" s="121">
        <v>464.90346</v>
      </c>
      <c r="AF1388" s="121">
        <v>464.90346</v>
      </c>
      <c r="AG1388" s="121">
        <v>464.90346</v>
      </c>
      <c r="AH1388" s="121">
        <v>478.06445000000002</v>
      </c>
      <c r="AI1388" s="161">
        <v>1.0000000009313226E-5</v>
      </c>
      <c r="AJ1388" s="161">
        <v>1.0000000009313226E-5</v>
      </c>
      <c r="AK1388" s="161">
        <v>1.0000000009313226E-5</v>
      </c>
      <c r="AL1388" s="161">
        <v>1.0000000009313226E-5</v>
      </c>
      <c r="AM1388" s="161">
        <v>1.0000000009313226E-5</v>
      </c>
      <c r="AN1388" s="161">
        <v>1.0000000009313226E-5</v>
      </c>
      <c r="AO1388" s="161">
        <v>1.0000000009313226E-5</v>
      </c>
      <c r="AP1388" s="125" t="str">
        <f>CONCATENATE(A1388,M1388)</f>
        <v>Def TaxN</v>
      </c>
      <c r="AQ1388" s="125" t="str">
        <f>CONCATENATE(AP1388,L1388,H1388)</f>
        <v>Def TaxNN2Environmental</v>
      </c>
      <c r="AS1388" s="125" t="str">
        <f>CONCATENATE(L1388,H1388,J1388)</f>
        <v>N2Environmental</v>
      </c>
    </row>
    <row r="1389" spans="1:45" s="125" customFormat="1" ht="25.5" customHeight="1">
      <c r="A1389" s="216" t="s">
        <v>1996</v>
      </c>
      <c r="B1389" s="217" t="str">
        <f t="shared" si="575"/>
        <v>Def Tax283410Flood InsBT010286</v>
      </c>
      <c r="C1389" s="186">
        <v>283410</v>
      </c>
      <c r="D1389" s="201" t="s">
        <v>582</v>
      </c>
      <c r="E1389" s="162" t="s">
        <v>284</v>
      </c>
      <c r="F1389" s="169" t="s">
        <v>905</v>
      </c>
      <c r="G1389" s="117" t="s">
        <v>581</v>
      </c>
      <c r="H1389" s="118" t="s">
        <v>620</v>
      </c>
      <c r="I1389" s="119"/>
      <c r="J1389" s="231" t="s">
        <v>105</v>
      </c>
      <c r="K1389" s="120" t="str">
        <f t="shared" si="570"/>
        <v/>
      </c>
      <c r="L1389" s="170" t="s">
        <v>2821</v>
      </c>
      <c r="M1389" s="122" t="str">
        <f t="shared" si="571"/>
        <v>N</v>
      </c>
      <c r="N1389" s="116" t="str">
        <f>IF($L1389&lt;&gt;"",VLOOKUP($L1389,Categories!$E:$G,2,FALSE),IF($F1389&lt;&gt;"","NO CAT",""))</f>
        <v>Not in Rate Base</v>
      </c>
      <c r="O1389" s="116" t="str">
        <f>IF($L1389&lt;&gt;"",VLOOKUP($L1389,Categories!$E:$G,3,FALSE),IF($F1389&lt;&gt;"","NO CAT",""))</f>
        <v>Deferrals Accruing Non-Cash Return   (other than ASGA)</v>
      </c>
      <c r="P1389" s="170" t="s">
        <v>1186</v>
      </c>
      <c r="Q1389" s="123" t="s">
        <v>1187</v>
      </c>
      <c r="R1389" s="124">
        <v>0</v>
      </c>
      <c r="S1389" s="124">
        <v>0</v>
      </c>
      <c r="T1389" s="124">
        <v>1</v>
      </c>
      <c r="U1389" s="121">
        <f t="shared" si="576"/>
        <v>0</v>
      </c>
      <c r="V1389" s="121">
        <f t="shared" si="577"/>
        <v>0</v>
      </c>
      <c r="W1389" s="121">
        <f t="shared" si="578"/>
        <v>-3.9239099999999998</v>
      </c>
      <c r="X1389" s="121">
        <f t="shared" si="572"/>
        <v>-3.9239099999999998</v>
      </c>
      <c r="Y1389" s="121">
        <f t="shared" si="579"/>
        <v>0</v>
      </c>
      <c r="Z1389" s="121">
        <f t="shared" si="580"/>
        <v>0</v>
      </c>
      <c r="AA1389" s="121">
        <f t="shared" si="581"/>
        <v>-3.9239099999999998</v>
      </c>
      <c r="AB1389" s="121">
        <f t="shared" si="573"/>
        <v>-3.9239099999999998</v>
      </c>
      <c r="AC1389" s="121">
        <v>-3.9239099999999998</v>
      </c>
      <c r="AD1389" s="121">
        <v>-3.9239099999999998</v>
      </c>
      <c r="AE1389" s="121">
        <v>-3.9239099999999998</v>
      </c>
      <c r="AF1389" s="121">
        <v>-3.9239099999999998</v>
      </c>
      <c r="AG1389" s="121">
        <v>-3.9239099999999998</v>
      </c>
      <c r="AH1389" s="121">
        <v>-3.9239099999999998</v>
      </c>
      <c r="AI1389" s="161">
        <v>-3.9239099999999998</v>
      </c>
      <c r="AJ1389" s="161">
        <v>-3.9239099999999998</v>
      </c>
      <c r="AK1389" s="161">
        <v>-3.9239099999999998</v>
      </c>
      <c r="AL1389" s="161">
        <v>-3.9239099999999998</v>
      </c>
      <c r="AM1389" s="161">
        <v>-3.9239099999999998</v>
      </c>
      <c r="AN1389" s="161">
        <v>-3.9239099999999998</v>
      </c>
      <c r="AO1389" s="161">
        <v>-3.9239099999999998</v>
      </c>
      <c r="AP1389" s="125" t="str">
        <f>CONCATENATE(A1389,M1389)</f>
        <v>Def TaxN</v>
      </c>
      <c r="AQ1389" s="125" t="str">
        <f>CONCATENATE(AP1389,L1389,H1389)</f>
        <v>Def TaxNN10Flood</v>
      </c>
      <c r="AS1389" s="125" t="str">
        <f>CONCATENATE(L1389,H1389,J1389)</f>
        <v>N10FloodNCR</v>
      </c>
    </row>
    <row r="1390" spans="1:45" s="125" customFormat="1" ht="25.5" customHeight="1">
      <c r="A1390" s="216" t="s">
        <v>1996</v>
      </c>
      <c r="B1390" s="217" t="str">
        <f t="shared" si="575"/>
        <v>Def Tax283410KatzBT010110</v>
      </c>
      <c r="C1390" s="186">
        <v>283410</v>
      </c>
      <c r="D1390" s="201" t="s">
        <v>241</v>
      </c>
      <c r="E1390" s="162" t="s">
        <v>285</v>
      </c>
      <c r="F1390" s="169" t="s">
        <v>905</v>
      </c>
      <c r="G1390" s="117" t="s">
        <v>1954</v>
      </c>
      <c r="H1390" s="118" t="s">
        <v>4509</v>
      </c>
      <c r="I1390" s="119"/>
      <c r="J1390" s="120"/>
      <c r="K1390" s="120" t="str">
        <f t="shared" ref="K1390:K1403" si="583">IF(L1390="N3","SFAS-109","")</f>
        <v/>
      </c>
      <c r="L1390" s="170" t="s">
        <v>1895</v>
      </c>
      <c r="M1390" s="122" t="str">
        <f t="shared" si="571"/>
        <v>R</v>
      </c>
      <c r="N1390" s="116" t="str">
        <f>IF($L1390&lt;&gt;"",VLOOKUP($L1390,Categories!$E:$G,2,FALSE),IF($F1390&lt;&gt;"","NO CAT",""))</f>
        <v>Rate Base</v>
      </c>
      <c r="O1390" s="116" t="str">
        <f>IF($L1390&lt;&gt;"",VLOOKUP($L1390,Categories!$E:$G,3,FALSE),IF($F1390&lt;&gt;"","NO CAT",""))</f>
        <v>Deferred Income Taxes</v>
      </c>
      <c r="P1390" s="170" t="s">
        <v>1184</v>
      </c>
      <c r="Q1390" s="123" t="s">
        <v>1178</v>
      </c>
      <c r="R1390" s="124">
        <v>0</v>
      </c>
      <c r="S1390" s="124">
        <v>1</v>
      </c>
      <c r="T1390" s="124">
        <v>0</v>
      </c>
      <c r="U1390" s="121" t="str">
        <f t="shared" si="576"/>
        <v/>
      </c>
      <c r="V1390" s="121" t="str">
        <f t="shared" si="577"/>
        <v/>
      </c>
      <c r="W1390" s="121" t="str">
        <f t="shared" si="578"/>
        <v/>
      </c>
      <c r="X1390" s="121">
        <f t="shared" si="572"/>
        <v>0</v>
      </c>
      <c r="Y1390" s="121" t="str">
        <f t="shared" si="579"/>
        <v/>
      </c>
      <c r="Z1390" s="121" t="str">
        <f t="shared" si="580"/>
        <v/>
      </c>
      <c r="AA1390" s="121" t="str">
        <f t="shared" si="581"/>
        <v/>
      </c>
      <c r="AB1390" s="121">
        <f t="shared" si="573"/>
        <v>0</v>
      </c>
      <c r="AC1390" s="121">
        <v>0</v>
      </c>
      <c r="AD1390" s="121">
        <v>0</v>
      </c>
      <c r="AE1390" s="121">
        <v>0</v>
      </c>
      <c r="AF1390" s="121">
        <v>0</v>
      </c>
      <c r="AG1390" s="121">
        <v>0</v>
      </c>
      <c r="AH1390" s="121">
        <v>0</v>
      </c>
      <c r="AI1390" s="121">
        <v>0</v>
      </c>
      <c r="AJ1390" s="121">
        <f>IF(AI1390=0,0,0)</f>
        <v>0</v>
      </c>
      <c r="AK1390" s="121">
        <f>IF(AJ1390=0,0,0)</f>
        <v>0</v>
      </c>
      <c r="AL1390" s="121">
        <v>0</v>
      </c>
      <c r="AM1390" s="161">
        <v>0</v>
      </c>
      <c r="AN1390" s="161">
        <v>0</v>
      </c>
      <c r="AO1390" s="161">
        <v>0</v>
      </c>
      <c r="AP1390" s="125" t="str">
        <f>CONCATENATE(A1390,M1390)</f>
        <v>Def TaxR</v>
      </c>
      <c r="AQ1390" s="125" t="str">
        <f>CONCATENATE(AP1390,L1390,H1390)</f>
        <v>Def TaxRR11Prepaid Software Licensing Amortization</v>
      </c>
      <c r="AS1390" s="125" t="str">
        <f>CONCATENATE(L1390,H1390,J1390)</f>
        <v>R11Prepaid Software Licensing Amortization</v>
      </c>
    </row>
    <row r="1391" spans="1:45" s="125" customFormat="1" ht="25.5" customHeight="1">
      <c r="A1391" s="216" t="s">
        <v>1996</v>
      </c>
      <c r="B1391" s="217" t="str">
        <f t="shared" si="575"/>
        <v>Def Tax2834100-186.01.40BTHUNGDT</v>
      </c>
      <c r="C1391" s="186">
        <v>283410</v>
      </c>
      <c r="D1391" s="201" t="s">
        <v>2486</v>
      </c>
      <c r="E1391" s="162" t="s">
        <v>616</v>
      </c>
      <c r="F1391" s="169" t="s">
        <v>905</v>
      </c>
      <c r="G1391" s="117" t="s">
        <v>1616</v>
      </c>
      <c r="H1391" s="118" t="s">
        <v>1167</v>
      </c>
      <c r="I1391" s="119"/>
      <c r="J1391" s="231"/>
      <c r="K1391" s="120" t="str">
        <f t="shared" si="583"/>
        <v/>
      </c>
      <c r="L1391" s="170" t="s">
        <v>928</v>
      </c>
      <c r="M1391" s="122" t="str">
        <f t="shared" si="571"/>
        <v>N</v>
      </c>
      <c r="N1391" s="116" t="str">
        <f>IF($L1391&lt;&gt;"",VLOOKUP($L1391,Categories!$E:$G,2,FALSE),IF($F1391&lt;&gt;"","NO CAT",""))</f>
        <v>Not in Rate Base</v>
      </c>
      <c r="O1391" s="116" t="str">
        <f>IF($L1391&lt;&gt;"",VLOOKUP($L1391,Categories!$E:$G,3,FALSE),IF($F1391&lt;&gt;"","NO CAT",""))</f>
        <v>Direct Assign Items Not in RB</v>
      </c>
      <c r="P1391" s="170" t="s">
        <v>1186</v>
      </c>
      <c r="Q1391" s="123" t="s">
        <v>1187</v>
      </c>
      <c r="R1391" s="124">
        <v>0</v>
      </c>
      <c r="S1391" s="124">
        <v>0</v>
      </c>
      <c r="T1391" s="124">
        <v>1</v>
      </c>
      <c r="U1391" s="121">
        <f t="shared" si="576"/>
        <v>0</v>
      </c>
      <c r="V1391" s="121">
        <f t="shared" si="577"/>
        <v>0</v>
      </c>
      <c r="W1391" s="121">
        <f t="shared" si="578"/>
        <v>55.249000000000002</v>
      </c>
      <c r="X1391" s="121">
        <f t="shared" si="572"/>
        <v>55.249000000000002</v>
      </c>
      <c r="Y1391" s="121">
        <f t="shared" si="579"/>
        <v>0</v>
      </c>
      <c r="Z1391" s="121">
        <f t="shared" si="580"/>
        <v>0</v>
      </c>
      <c r="AA1391" s="121">
        <f t="shared" si="581"/>
        <v>55.249000000000002</v>
      </c>
      <c r="AB1391" s="121">
        <f t="shared" si="573"/>
        <v>55.249000000000002</v>
      </c>
      <c r="AC1391" s="121">
        <v>55.249000000000002</v>
      </c>
      <c r="AD1391" s="121">
        <v>55.249000000000002</v>
      </c>
      <c r="AE1391" s="121">
        <v>55.249000000000002</v>
      </c>
      <c r="AF1391" s="121">
        <v>55.249000000000002</v>
      </c>
      <c r="AG1391" s="121">
        <v>55.249000000000002</v>
      </c>
      <c r="AH1391" s="121">
        <v>55.249000000000002</v>
      </c>
      <c r="AI1391" s="161">
        <v>55.249000000000002</v>
      </c>
      <c r="AJ1391" s="161">
        <v>55.249000000000002</v>
      </c>
      <c r="AK1391" s="161">
        <v>55.249000000000002</v>
      </c>
      <c r="AL1391" s="161">
        <v>55.249000000000002</v>
      </c>
      <c r="AM1391" s="161">
        <v>55.249000000000002</v>
      </c>
      <c r="AN1391" s="161">
        <v>55.249000000000002</v>
      </c>
      <c r="AO1391" s="161">
        <v>55.249000000000002</v>
      </c>
      <c r="AP1391" s="125" t="str">
        <f>CONCATENATE(A1391,M1391)</f>
        <v>Def TaxN</v>
      </c>
      <c r="AQ1391" s="125" t="str">
        <f>CONCATENATE(AP1391,L1391,H1391)</f>
        <v>Def TaxNN2Hung Deferred Taxes</v>
      </c>
      <c r="AS1391" s="125" t="str">
        <f>CONCATENATE(L1391,H1391,J1391)</f>
        <v>N2Hung Deferred Taxes</v>
      </c>
    </row>
    <row r="1392" spans="1:45" s="125" customFormat="1" ht="25.5" customHeight="1">
      <c r="A1392" s="216" t="s">
        <v>1996</v>
      </c>
      <c r="B1392" s="217" t="str">
        <f t="shared" si="575"/>
        <v>Def Tax283410Misc K-1BTHUNGDT</v>
      </c>
      <c r="C1392" s="186">
        <v>283410</v>
      </c>
      <c r="D1392" s="201" t="s">
        <v>139</v>
      </c>
      <c r="E1392" s="162" t="s">
        <v>616</v>
      </c>
      <c r="F1392" s="169" t="s">
        <v>905</v>
      </c>
      <c r="G1392" s="117" t="s">
        <v>140</v>
      </c>
      <c r="H1392" s="118" t="s">
        <v>1167</v>
      </c>
      <c r="I1392" s="119"/>
      <c r="J1392" s="120"/>
      <c r="K1392" s="120" t="str">
        <f t="shared" si="583"/>
        <v/>
      </c>
      <c r="L1392" s="170" t="s">
        <v>1895</v>
      </c>
      <c r="M1392" s="122" t="str">
        <f t="shared" si="571"/>
        <v>R</v>
      </c>
      <c r="N1392" s="116" t="str">
        <f>IF($L1392&lt;&gt;"",VLOOKUP($L1392,Categories!$E:$G,2,FALSE),IF($F1392&lt;&gt;"","NO CAT",""))</f>
        <v>Rate Base</v>
      </c>
      <c r="O1392" s="116" t="str">
        <f>IF($L1392&lt;&gt;"",VLOOKUP($L1392,Categories!$E:$G,3,FALSE),IF($F1392&lt;&gt;"","NO CAT",""))</f>
        <v>Deferred Income Taxes</v>
      </c>
      <c r="P1392" s="170" t="s">
        <v>1184</v>
      </c>
      <c r="Q1392" s="123" t="s">
        <v>1178</v>
      </c>
      <c r="R1392" s="124">
        <v>0</v>
      </c>
      <c r="S1392" s="124">
        <v>1</v>
      </c>
      <c r="T1392" s="124">
        <v>0</v>
      </c>
      <c r="U1392" s="121">
        <f t="shared" si="576"/>
        <v>0</v>
      </c>
      <c r="V1392" s="121">
        <f t="shared" si="577"/>
        <v>-7.2999999999999995E-2</v>
      </c>
      <c r="W1392" s="121">
        <f t="shared" si="578"/>
        <v>0</v>
      </c>
      <c r="X1392" s="121">
        <f t="shared" si="572"/>
        <v>-7.2999999999999995E-2</v>
      </c>
      <c r="Y1392" s="121">
        <f t="shared" si="579"/>
        <v>0</v>
      </c>
      <c r="Z1392" s="121">
        <f t="shared" si="580"/>
        <v>-7.2999999999999995E-2</v>
      </c>
      <c r="AA1392" s="121">
        <f t="shared" si="581"/>
        <v>0</v>
      </c>
      <c r="AB1392" s="121">
        <f t="shared" si="573"/>
        <v>-7.2999999999999995E-2</v>
      </c>
      <c r="AC1392" s="121">
        <v>-7.2999999999999995E-2</v>
      </c>
      <c r="AD1392" s="121">
        <v>-7.2999999999999995E-2</v>
      </c>
      <c r="AE1392" s="121">
        <v>-7.2999999999999995E-2</v>
      </c>
      <c r="AF1392" s="121">
        <v>-7.2999999999999995E-2</v>
      </c>
      <c r="AG1392" s="121">
        <v>-7.2999999999999995E-2</v>
      </c>
      <c r="AH1392" s="121">
        <v>-7.2999999999999995E-2</v>
      </c>
      <c r="AI1392" s="161">
        <v>-7.2999999999999995E-2</v>
      </c>
      <c r="AJ1392" s="161">
        <v>-7.2999999999999995E-2</v>
      </c>
      <c r="AK1392" s="161">
        <v>-7.2999999999999995E-2</v>
      </c>
      <c r="AL1392" s="161">
        <v>-7.2999999999999995E-2</v>
      </c>
      <c r="AM1392" s="161">
        <v>-7.2999999999999995E-2</v>
      </c>
      <c r="AN1392" s="161">
        <v>-7.2999999999999995E-2</v>
      </c>
      <c r="AO1392" s="161">
        <v>-7.2999999999999995E-2</v>
      </c>
      <c r="AP1392" s="125" t="str">
        <f>CONCATENATE(A1392,M1392)</f>
        <v>Def TaxR</v>
      </c>
      <c r="AQ1392" s="125" t="str">
        <f>CONCATENATE(AP1392,L1392,H1392)</f>
        <v>Def TaxRR11Hung Deferred Taxes</v>
      </c>
      <c r="AS1392" s="125" t="str">
        <f>CONCATENATE(L1392,H1392,J1392)</f>
        <v>R11Hung Deferred Taxes</v>
      </c>
    </row>
    <row r="1393" spans="1:45" s="125" customFormat="1" ht="25.5" customHeight="1">
      <c r="A1393" s="216" t="s">
        <v>1996</v>
      </c>
      <c r="B1393" s="217" t="str">
        <f t="shared" si="575"/>
        <v>Def Tax283410SERPBT010195</v>
      </c>
      <c r="C1393" s="186">
        <v>283410</v>
      </c>
      <c r="D1393" s="201" t="s">
        <v>84</v>
      </c>
      <c r="E1393" s="162" t="s">
        <v>493</v>
      </c>
      <c r="F1393" s="169" t="s">
        <v>905</v>
      </c>
      <c r="G1393" s="117" t="s">
        <v>85</v>
      </c>
      <c r="H1393" s="118" t="s">
        <v>791</v>
      </c>
      <c r="I1393" s="119"/>
      <c r="J1393" s="120"/>
      <c r="K1393" s="120" t="str">
        <f t="shared" si="583"/>
        <v/>
      </c>
      <c r="L1393" s="170" t="s">
        <v>928</v>
      </c>
      <c r="M1393" s="122" t="str">
        <f t="shared" si="571"/>
        <v>N</v>
      </c>
      <c r="N1393" s="116" t="str">
        <f>IF($L1393&lt;&gt;"",VLOOKUP($L1393,Categories!$E:$G,2,FALSE),IF($F1393&lt;&gt;"","NO CAT",""))</f>
        <v>Not in Rate Base</v>
      </c>
      <c r="O1393" s="116" t="str">
        <f>IF($L1393&lt;&gt;"",VLOOKUP($L1393,Categories!$E:$G,3,FALSE),IF($F1393&lt;&gt;"","NO CAT",""))</f>
        <v>Direct Assign Items Not in RB</v>
      </c>
      <c r="P1393" s="170" t="s">
        <v>1186</v>
      </c>
      <c r="Q1393" s="123" t="s">
        <v>1187</v>
      </c>
      <c r="R1393" s="124">
        <v>0</v>
      </c>
      <c r="S1393" s="124">
        <v>0</v>
      </c>
      <c r="T1393" s="124">
        <v>1</v>
      </c>
      <c r="U1393" s="121" t="str">
        <f t="shared" si="576"/>
        <v/>
      </c>
      <c r="V1393" s="121" t="str">
        <f t="shared" si="577"/>
        <v/>
      </c>
      <c r="W1393" s="121" t="str">
        <f t="shared" si="578"/>
        <v/>
      </c>
      <c r="X1393" s="121">
        <f t="shared" si="572"/>
        <v>0</v>
      </c>
      <c r="Y1393" s="121" t="str">
        <f t="shared" si="579"/>
        <v/>
      </c>
      <c r="Z1393" s="121" t="str">
        <f t="shared" si="580"/>
        <v/>
      </c>
      <c r="AA1393" s="121" t="str">
        <f t="shared" si="581"/>
        <v/>
      </c>
      <c r="AB1393" s="121">
        <f t="shared" si="573"/>
        <v>0</v>
      </c>
      <c r="AC1393" s="121">
        <v>0</v>
      </c>
      <c r="AD1393" s="121">
        <v>0</v>
      </c>
      <c r="AE1393" s="121">
        <v>0</v>
      </c>
      <c r="AF1393" s="121">
        <v>0</v>
      </c>
      <c r="AG1393" s="121">
        <v>0</v>
      </c>
      <c r="AH1393" s="121">
        <v>0</v>
      </c>
      <c r="AI1393" s="121">
        <v>0</v>
      </c>
      <c r="AJ1393" s="121">
        <f>IF(AI1393=0,0,0)</f>
        <v>0</v>
      </c>
      <c r="AK1393" s="161">
        <v>0</v>
      </c>
      <c r="AL1393" s="161">
        <v>0</v>
      </c>
      <c r="AM1393" s="161">
        <v>0</v>
      </c>
      <c r="AN1393" s="161">
        <v>0</v>
      </c>
      <c r="AO1393" s="161">
        <v>0</v>
      </c>
      <c r="AP1393" s="125" t="str">
        <f>CONCATENATE(A1393,M1393)</f>
        <v>Def TaxN</v>
      </c>
      <c r="AQ1393" s="125" t="str">
        <f>CONCATENATE(AP1393,L1393,H1393)</f>
        <v>Def TaxNN2Non-Qualified Retiree Trust (net of related liability)</v>
      </c>
      <c r="AS1393" s="125" t="str">
        <f>CONCATENATE(L1393,H1393,J1393)</f>
        <v>N2Non-Qualified Retiree Trust (net of related liability)</v>
      </c>
    </row>
    <row r="1394" spans="1:45" s="125" customFormat="1" ht="25.5" customHeight="1">
      <c r="A1394" s="216" t="s">
        <v>1996</v>
      </c>
      <c r="B1394" s="217" t="str">
        <f>CONCATENATE(A1394,C1394,D1394,E1394)</f>
        <v>Def Tax283410BT010167</v>
      </c>
      <c r="C1394" s="186">
        <v>283410</v>
      </c>
      <c r="D1394" s="201"/>
      <c r="E1394" s="162" t="s">
        <v>286</v>
      </c>
      <c r="F1394" s="169" t="s">
        <v>905</v>
      </c>
      <c r="G1394" s="117" t="s">
        <v>1965</v>
      </c>
      <c r="H1394" s="118" t="s">
        <v>1002</v>
      </c>
      <c r="I1394" s="119"/>
      <c r="J1394" s="120"/>
      <c r="K1394" s="120" t="str">
        <f t="shared" si="583"/>
        <v/>
      </c>
      <c r="L1394" s="170" t="s">
        <v>1895</v>
      </c>
      <c r="M1394" s="122" t="str">
        <f>LEFT(L1394,1)</f>
        <v>R</v>
      </c>
      <c r="N1394" s="116" t="str">
        <f>IF($L1394&lt;&gt;"",VLOOKUP($L1394,Categories!$E:$G,2,FALSE),IF($F1394&lt;&gt;"","NO CAT",""))</f>
        <v>Rate Base</v>
      </c>
      <c r="O1394" s="116" t="str">
        <f>IF($L1394&lt;&gt;"",VLOOKUP($L1394,Categories!$E:$G,3,FALSE),IF($F1394&lt;&gt;"","NO CAT",""))</f>
        <v>Deferred Income Taxes</v>
      </c>
      <c r="P1394" s="170" t="s">
        <v>1553</v>
      </c>
      <c r="Q1394" s="123" t="s">
        <v>2587</v>
      </c>
      <c r="R1394" s="124">
        <v>0.81899999999999995</v>
      </c>
      <c r="S1394" s="124">
        <v>0.18099999999999999</v>
      </c>
      <c r="T1394" s="124">
        <v>0</v>
      </c>
      <c r="U1394" s="121" t="str">
        <f>IF(ABS(X1394)=0,"",IF($R1394="NO ALLOC","NO ALLOC",ROUND($R1394*X1394,15)))</f>
        <v/>
      </c>
      <c r="V1394" s="121" t="str">
        <f>IF(ABS(X1394)=0,"",IF($S1394="NO ALLOC","NO ALLOC",ROUND($S1394*X1394,15)))</f>
        <v/>
      </c>
      <c r="W1394" s="121" t="str">
        <f>IF(ABS(X1394)=0,"",IF($T1394="NO ALLOC","NO ALLOC",ROUND($T1394*X1394,15)))</f>
        <v/>
      </c>
      <c r="X1394" s="121">
        <f t="shared" si="572"/>
        <v>0</v>
      </c>
      <c r="Y1394" s="121" t="str">
        <f>IF(ABS(AB1394)=0,"",IF($R1394="NO ALLOC","NO ALLOC",ROUND($R1394*AB1394,15)))</f>
        <v/>
      </c>
      <c r="Z1394" s="121" t="str">
        <f>IF(ABS(AB1394)=0,"",IF($S1394="NO ALLOC","NO ALLOC",ROUND($S1394*AB1394,15)))</f>
        <v/>
      </c>
      <c r="AA1394" s="121" t="str">
        <f>IF(ABS(AB1394)=0,"",IF($T1394="NO ALLOC","NO ALLOC",ROUND($T1394*AB1394,15)))</f>
        <v/>
      </c>
      <c r="AB1394" s="121">
        <f t="shared" si="573"/>
        <v>0</v>
      </c>
      <c r="AC1394" s="121">
        <v>0</v>
      </c>
      <c r="AD1394" s="121">
        <v>0</v>
      </c>
      <c r="AE1394" s="121">
        <v>0</v>
      </c>
      <c r="AF1394" s="121">
        <v>0</v>
      </c>
      <c r="AG1394" s="121">
        <v>0</v>
      </c>
      <c r="AH1394" s="121">
        <v>0</v>
      </c>
      <c r="AI1394" s="121">
        <v>0</v>
      </c>
      <c r="AJ1394" s="121">
        <f>IF(AI1394=0,0,0)</f>
        <v>0</v>
      </c>
      <c r="AK1394" s="161">
        <v>0</v>
      </c>
      <c r="AL1394" s="161">
        <v>0</v>
      </c>
      <c r="AM1394" s="161">
        <v>0</v>
      </c>
      <c r="AN1394" s="161">
        <v>0</v>
      </c>
      <c r="AO1394" s="161">
        <v>0</v>
      </c>
      <c r="AP1394" s="125" t="str">
        <f>CONCATENATE(A1394,M1394)</f>
        <v>Def TaxR</v>
      </c>
      <c r="AQ1394" s="125" t="str">
        <f>CONCATENATE(AP1394,L1394,H1394)</f>
        <v>Def TaxRR11Accrued Pension</v>
      </c>
      <c r="AS1394" s="125" t="str">
        <f>CONCATENATE(L1394,H1394,J1394)</f>
        <v>R11Accrued Pension</v>
      </c>
    </row>
    <row r="1395" spans="1:45" s="125" customFormat="1" ht="25.5" customHeight="1">
      <c r="A1395" s="216" t="s">
        <v>1996</v>
      </c>
      <c r="B1395" s="217" t="str">
        <f t="shared" si="575"/>
        <v>Def Tax283410PPD InsBT010172</v>
      </c>
      <c r="C1395" s="186">
        <v>283410</v>
      </c>
      <c r="D1395" s="201" t="s">
        <v>2282</v>
      </c>
      <c r="E1395" s="162" t="s">
        <v>287</v>
      </c>
      <c r="F1395" s="169" t="s">
        <v>905</v>
      </c>
      <c r="G1395" s="117" t="s">
        <v>2281</v>
      </c>
      <c r="H1395" s="118" t="s">
        <v>969</v>
      </c>
      <c r="I1395" s="119"/>
      <c r="J1395" s="120"/>
      <c r="K1395" s="120" t="str">
        <f t="shared" si="583"/>
        <v/>
      </c>
      <c r="L1395" s="170" t="s">
        <v>1895</v>
      </c>
      <c r="M1395" s="122" t="str">
        <f t="shared" si="571"/>
        <v>R</v>
      </c>
      <c r="N1395" s="116" t="str">
        <f>IF($L1395&lt;&gt;"",VLOOKUP($L1395,Categories!$E:$G,2,FALSE),IF($F1395&lt;&gt;"","NO CAT",""))</f>
        <v>Rate Base</v>
      </c>
      <c r="O1395" s="116" t="str">
        <f>IF($L1395&lt;&gt;"",VLOOKUP($L1395,Categories!$E:$G,3,FALSE),IF($F1395&lt;&gt;"","NO CAT",""))</f>
        <v>Deferred Income Taxes</v>
      </c>
      <c r="P1395" s="170" t="s">
        <v>1188</v>
      </c>
      <c r="Q1395" s="123" t="s">
        <v>1843</v>
      </c>
      <c r="R1395" s="124">
        <v>0.76071990262269951</v>
      </c>
      <c r="S1395" s="124">
        <v>0.23928009737730072</v>
      </c>
      <c r="T1395" s="124">
        <v>0</v>
      </c>
      <c r="U1395" s="121">
        <f t="shared" si="576"/>
        <v>-6.7904812637057299</v>
      </c>
      <c r="V1395" s="121">
        <f t="shared" si="577"/>
        <v>-2.1359070696276001</v>
      </c>
      <c r="W1395" s="121">
        <f t="shared" si="578"/>
        <v>0</v>
      </c>
      <c r="X1395" s="121">
        <f t="shared" si="572"/>
        <v>-8.92638833333333</v>
      </c>
      <c r="Y1395" s="121">
        <f t="shared" si="579"/>
        <v>-10.2992117960311</v>
      </c>
      <c r="Z1395" s="121">
        <f t="shared" si="580"/>
        <v>-3.2395582039688802</v>
      </c>
      <c r="AA1395" s="121">
        <f t="shared" si="581"/>
        <v>0</v>
      </c>
      <c r="AB1395" s="121">
        <f t="shared" si="573"/>
        <v>-13.538769999999998</v>
      </c>
      <c r="AC1395" s="121">
        <v>-5.4408899999999996</v>
      </c>
      <c r="AD1395" s="121">
        <v>-2.8276199999999996</v>
      </c>
      <c r="AE1395" s="121">
        <v>-1.5625799999999994</v>
      </c>
      <c r="AF1395" s="121">
        <v>1.8369000000000006</v>
      </c>
      <c r="AG1395" s="121">
        <v>-0.84706999999999921</v>
      </c>
      <c r="AH1395" s="121">
        <v>2.5222800000000007</v>
      </c>
      <c r="AI1395" s="161">
        <v>1.4366100000000006</v>
      </c>
      <c r="AJ1395" s="161">
        <v>-12.56284</v>
      </c>
      <c r="AK1395" s="161">
        <v>-24.657640000000001</v>
      </c>
      <c r="AL1395" s="161">
        <v>-22.918309999999998</v>
      </c>
      <c r="AM1395" s="161">
        <v>-19.49278</v>
      </c>
      <c r="AN1395" s="161">
        <v>-18.55378</v>
      </c>
      <c r="AO1395" s="161">
        <v>-13.538769999999998</v>
      </c>
      <c r="AP1395" s="125" t="str">
        <f>CONCATENATE(A1395,M1395)</f>
        <v>Def TaxR</v>
      </c>
      <c r="AQ1395" s="125" t="str">
        <f>CONCATENATE(AP1395,L1395,H1395)</f>
        <v>Def TaxRR11Prepaid Insurance</v>
      </c>
      <c r="AS1395" s="125" t="str">
        <f>CONCATENATE(L1395,H1395,J1395)</f>
        <v>R11Prepaid Insurance</v>
      </c>
    </row>
    <row r="1396" spans="1:45" s="125" customFormat="1" ht="25.5" customHeight="1">
      <c r="A1396" s="216" t="s">
        <v>1996</v>
      </c>
      <c r="B1396" s="217" t="str">
        <f t="shared" si="575"/>
        <v>Def Tax283410Repr AllowBT010181</v>
      </c>
      <c r="C1396" s="186">
        <v>283410</v>
      </c>
      <c r="D1396" s="201" t="s">
        <v>2284</v>
      </c>
      <c r="E1396" s="162" t="s">
        <v>288</v>
      </c>
      <c r="F1396" s="169" t="s">
        <v>905</v>
      </c>
      <c r="G1396" s="117" t="s">
        <v>2283</v>
      </c>
      <c r="H1396" s="118" t="s">
        <v>970</v>
      </c>
      <c r="I1396" s="119"/>
      <c r="J1396" s="120"/>
      <c r="K1396" s="120" t="str">
        <f t="shared" si="583"/>
        <v/>
      </c>
      <c r="L1396" s="170" t="s">
        <v>1895</v>
      </c>
      <c r="M1396" s="122" t="str">
        <f t="shared" si="571"/>
        <v>R</v>
      </c>
      <c r="N1396" s="116" t="str">
        <f>IF($L1396&lt;&gt;"",VLOOKUP($L1396,Categories!$E:$G,2,FALSE),IF($F1396&lt;&gt;"","NO CAT",""))</f>
        <v>Rate Base</v>
      </c>
      <c r="O1396" s="116" t="str">
        <f>IF($L1396&lt;&gt;"",VLOOKUP($L1396,Categories!$E:$G,3,FALSE),IF($F1396&lt;&gt;"","NO CAT",""))</f>
        <v>Deferred Income Taxes</v>
      </c>
      <c r="P1396" s="170" t="s">
        <v>1184</v>
      </c>
      <c r="Q1396" s="123" t="s">
        <v>1178</v>
      </c>
      <c r="R1396" s="124">
        <v>0</v>
      </c>
      <c r="S1396" s="124">
        <v>1</v>
      </c>
      <c r="T1396" s="124">
        <v>0</v>
      </c>
      <c r="U1396" s="121" t="str">
        <f t="shared" si="576"/>
        <v/>
      </c>
      <c r="V1396" s="121" t="str">
        <f t="shared" si="577"/>
        <v/>
      </c>
      <c r="W1396" s="121" t="str">
        <f t="shared" si="578"/>
        <v/>
      </c>
      <c r="X1396" s="121">
        <f t="shared" si="572"/>
        <v>0</v>
      </c>
      <c r="Y1396" s="121" t="str">
        <f t="shared" si="579"/>
        <v/>
      </c>
      <c r="Z1396" s="121" t="str">
        <f t="shared" si="580"/>
        <v/>
      </c>
      <c r="AA1396" s="121" t="str">
        <f t="shared" si="581"/>
        <v/>
      </c>
      <c r="AB1396" s="121">
        <f t="shared" si="573"/>
        <v>0</v>
      </c>
      <c r="AC1396" s="121">
        <v>0</v>
      </c>
      <c r="AD1396" s="121">
        <v>0</v>
      </c>
      <c r="AE1396" s="121">
        <v>0</v>
      </c>
      <c r="AF1396" s="121">
        <v>0</v>
      </c>
      <c r="AG1396" s="121">
        <v>0</v>
      </c>
      <c r="AH1396" s="121">
        <v>0</v>
      </c>
      <c r="AI1396" s="121">
        <v>0</v>
      </c>
      <c r="AJ1396" s="121">
        <f>IF(AI1396=0,0,0)</f>
        <v>0</v>
      </c>
      <c r="AK1396" s="161">
        <v>0</v>
      </c>
      <c r="AL1396" s="161">
        <v>0</v>
      </c>
      <c r="AM1396" s="161">
        <v>0</v>
      </c>
      <c r="AN1396" s="161">
        <v>0</v>
      </c>
      <c r="AO1396" s="161">
        <v>0</v>
      </c>
      <c r="AP1396" s="125" t="str">
        <f>CONCATENATE(A1396,M1396)</f>
        <v>Def TaxR</v>
      </c>
      <c r="AQ1396" s="125" t="str">
        <f>CONCATENATE(AP1396,L1396,H1396)</f>
        <v>Def TaxRR11Repair Allowance</v>
      </c>
      <c r="AS1396" s="125" t="str">
        <f>CONCATENATE(L1396,H1396,J1396)</f>
        <v>R11Repair Allowance</v>
      </c>
    </row>
    <row r="1397" spans="1:45" s="125" customFormat="1" ht="25.5" customHeight="1">
      <c r="A1397" s="216" t="s">
        <v>1996</v>
      </c>
      <c r="B1397" s="217" t="str">
        <f t="shared" si="575"/>
        <v>Def Tax283410RESTR STOCKBT010183</v>
      </c>
      <c r="C1397" s="186">
        <v>283410</v>
      </c>
      <c r="D1397" s="201" t="s">
        <v>509</v>
      </c>
      <c r="E1397" s="162" t="s">
        <v>2204</v>
      </c>
      <c r="F1397" s="169" t="s">
        <v>905</v>
      </c>
      <c r="G1397" s="117" t="s">
        <v>1365</v>
      </c>
      <c r="H1397" s="118" t="s">
        <v>1586</v>
      </c>
      <c r="I1397" s="119"/>
      <c r="J1397" s="120"/>
      <c r="K1397" s="120" t="str">
        <f t="shared" si="583"/>
        <v/>
      </c>
      <c r="L1397" s="170" t="s">
        <v>1895</v>
      </c>
      <c r="M1397" s="122" t="str">
        <f t="shared" si="571"/>
        <v>R</v>
      </c>
      <c r="N1397" s="116" t="str">
        <f>IF($L1397&lt;&gt;"",VLOOKUP($L1397,Categories!$E:$G,2,FALSE),IF($F1397&lt;&gt;"","NO CAT",""))</f>
        <v>Rate Base</v>
      </c>
      <c r="O1397" s="116" t="str">
        <f>IF($L1397&lt;&gt;"",VLOOKUP($L1397,Categories!$E:$G,3,FALSE),IF($F1397&lt;&gt;"","NO CAT",""))</f>
        <v>Deferred Income Taxes</v>
      </c>
      <c r="P1397" s="170" t="s">
        <v>1184</v>
      </c>
      <c r="Q1397" s="123" t="s">
        <v>1178</v>
      </c>
      <c r="R1397" s="124">
        <v>0</v>
      </c>
      <c r="S1397" s="124">
        <v>1</v>
      </c>
      <c r="T1397" s="124">
        <v>0</v>
      </c>
      <c r="U1397" s="121" t="str">
        <f t="shared" si="576"/>
        <v/>
      </c>
      <c r="V1397" s="121" t="str">
        <f t="shared" si="577"/>
        <v/>
      </c>
      <c r="W1397" s="121" t="str">
        <f t="shared" si="578"/>
        <v/>
      </c>
      <c r="X1397" s="121">
        <f t="shared" si="572"/>
        <v>0</v>
      </c>
      <c r="Y1397" s="121" t="str">
        <f t="shared" si="579"/>
        <v/>
      </c>
      <c r="Z1397" s="121" t="str">
        <f t="shared" si="580"/>
        <v/>
      </c>
      <c r="AA1397" s="121" t="str">
        <f t="shared" si="581"/>
        <v/>
      </c>
      <c r="AB1397" s="121">
        <f t="shared" si="573"/>
        <v>0</v>
      </c>
      <c r="AC1397" s="121">
        <v>0</v>
      </c>
      <c r="AD1397" s="121">
        <v>1.4566126083082054E-16</v>
      </c>
      <c r="AE1397" s="121">
        <v>4.3698378249246161E-16</v>
      </c>
      <c r="AF1397" s="121">
        <v>1.4566126083082054E-16</v>
      </c>
      <c r="AG1397" s="121">
        <v>1.4566126083082054E-16</v>
      </c>
      <c r="AH1397" s="121">
        <v>1.4566126083082054E-16</v>
      </c>
      <c r="AI1397" s="161">
        <v>2.9132252166164109E-16</v>
      </c>
      <c r="AJ1397" s="161">
        <v>0</v>
      </c>
      <c r="AK1397" s="161">
        <v>1.4566126083082054E-16</v>
      </c>
      <c r="AL1397" s="161">
        <v>4.3698378249246161E-16</v>
      </c>
      <c r="AM1397" s="161">
        <v>0</v>
      </c>
      <c r="AN1397" s="161">
        <v>0</v>
      </c>
      <c r="AO1397" s="161">
        <v>0</v>
      </c>
      <c r="AP1397" s="125" t="str">
        <f>CONCATENATE(A1397,M1397)</f>
        <v>Def TaxR</v>
      </c>
      <c r="AQ1397" s="125" t="str">
        <f>CONCATENATE(AP1397,L1397,H1397)</f>
        <v>Def TaxRR11Restricted Stock</v>
      </c>
      <c r="AS1397" s="125" t="str">
        <f>CONCATENATE(L1397,H1397,J1397)</f>
        <v>R11Restricted Stock</v>
      </c>
    </row>
    <row r="1398" spans="1:45" s="125" customFormat="1" ht="25.5" customHeight="1">
      <c r="A1398" s="216" t="s">
        <v>1996</v>
      </c>
      <c r="B1398" s="217" t="str">
        <f>CONCATENATE(A1398,C1398,D1398,E1398)</f>
        <v>Def Tax283410BT010183</v>
      </c>
      <c r="C1398" s="186">
        <v>283410</v>
      </c>
      <c r="D1398" s="201"/>
      <c r="E1398" s="162" t="s">
        <v>2204</v>
      </c>
      <c r="F1398" s="169" t="s">
        <v>905</v>
      </c>
      <c r="G1398" s="117" t="s">
        <v>1232</v>
      </c>
      <c r="H1398" s="118" t="s">
        <v>1586</v>
      </c>
      <c r="I1398" s="119"/>
      <c r="J1398" s="120"/>
      <c r="K1398" s="120" t="str">
        <f>IF(L1398="N3","SFAS-109","")</f>
        <v/>
      </c>
      <c r="L1398" s="170" t="s">
        <v>1895</v>
      </c>
      <c r="M1398" s="122" t="str">
        <f>LEFT(L1398,1)</f>
        <v>R</v>
      </c>
      <c r="N1398" s="116" t="str">
        <f>IF($L1398&lt;&gt;"",VLOOKUP($L1398,Categories!$E:$G,2,FALSE),IF($F1398&lt;&gt;"","NO CAT",""))</f>
        <v>Rate Base</v>
      </c>
      <c r="O1398" s="116" t="str">
        <f>IF($L1398&lt;&gt;"",VLOOKUP($L1398,Categories!$E:$G,3,FALSE),IF($F1398&lt;&gt;"","NO CAT",""))</f>
        <v>Deferred Income Taxes</v>
      </c>
      <c r="P1398" s="170" t="s">
        <v>1184</v>
      </c>
      <c r="Q1398" s="123" t="s">
        <v>1178</v>
      </c>
      <c r="R1398" s="124">
        <v>0</v>
      </c>
      <c r="S1398" s="124">
        <v>1</v>
      </c>
      <c r="T1398" s="124">
        <v>0</v>
      </c>
      <c r="U1398" s="121" t="str">
        <f>IF(ABS(X1398)=0,"",IF($R1398="NO ALLOC","NO ALLOC",ROUND($R1398*X1398,15)))</f>
        <v/>
      </c>
      <c r="V1398" s="121" t="str">
        <f>IF(ABS(X1398)=0,"",IF($S1398="NO ALLOC","NO ALLOC",ROUND($S1398*X1398,15)))</f>
        <v/>
      </c>
      <c r="W1398" s="121" t="str">
        <f>IF(ABS(X1398)=0,"",IF($T1398="NO ALLOC","NO ALLOC",ROUND($T1398*X1398,15)))</f>
        <v/>
      </c>
      <c r="X1398" s="121">
        <f t="shared" si="572"/>
        <v>0</v>
      </c>
      <c r="Y1398" s="121" t="str">
        <f>IF(ABS(AB1398)=0,"",IF($R1398="NO ALLOC","NO ALLOC",ROUND($R1398*AB1398,15)))</f>
        <v/>
      </c>
      <c r="Z1398" s="121" t="str">
        <f>IF(ABS(AB1398)=0,"",IF($S1398="NO ALLOC","NO ALLOC",ROUND($S1398*AB1398,15)))</f>
        <v/>
      </c>
      <c r="AA1398" s="121" t="str">
        <f>IF(ABS(AB1398)=0,"",IF($T1398="NO ALLOC","NO ALLOC",ROUND($T1398*AB1398,15)))</f>
        <v/>
      </c>
      <c r="AB1398" s="121">
        <f t="shared" si="573"/>
        <v>0</v>
      </c>
      <c r="AC1398" s="121">
        <v>0</v>
      </c>
      <c r="AD1398" s="121">
        <v>1.4566126083082054E-16</v>
      </c>
      <c r="AE1398" s="121">
        <v>4.3698378249246161E-16</v>
      </c>
      <c r="AF1398" s="121">
        <v>1.4566126083082054E-16</v>
      </c>
      <c r="AG1398" s="121">
        <v>1.4566126083082054E-16</v>
      </c>
      <c r="AH1398" s="121">
        <v>1.4566126083082054E-16</v>
      </c>
      <c r="AI1398" s="161">
        <v>2.9132252166164109E-16</v>
      </c>
      <c r="AJ1398" s="161">
        <v>0</v>
      </c>
      <c r="AK1398" s="161">
        <v>1.4566126083082054E-16</v>
      </c>
      <c r="AL1398" s="161">
        <v>4.3698378249246161E-16</v>
      </c>
      <c r="AM1398" s="161">
        <v>0</v>
      </c>
      <c r="AN1398" s="161">
        <v>0</v>
      </c>
      <c r="AO1398" s="161">
        <v>0</v>
      </c>
      <c r="AP1398" s="125" t="str">
        <f>CONCATENATE(A1398,M1398)</f>
        <v>Def TaxR</v>
      </c>
      <c r="AQ1398" s="125" t="str">
        <f>CONCATENATE(AP1398,L1398,H1398)</f>
        <v>Def TaxRR11Restricted Stock</v>
      </c>
      <c r="AS1398" s="125" t="str">
        <f>CONCATENATE(L1398,H1398,J1398)</f>
        <v>R11Restricted Stock</v>
      </c>
    </row>
    <row r="1399" spans="1:45" s="125" customFormat="1" ht="25.5" customHeight="1">
      <c r="A1399" s="216" t="s">
        <v>1996</v>
      </c>
      <c r="B1399" s="217" t="str">
        <f t="shared" si="575"/>
        <v>Def Tax2834100-186.01.50BT010188</v>
      </c>
      <c r="C1399" s="186">
        <v>283410</v>
      </c>
      <c r="D1399" s="201" t="s">
        <v>1450</v>
      </c>
      <c r="E1399" s="162" t="s">
        <v>355</v>
      </c>
      <c r="F1399" s="169" t="s">
        <v>905</v>
      </c>
      <c r="G1399" s="117" t="s">
        <v>626</v>
      </c>
      <c r="H1399" s="118" t="s">
        <v>1451</v>
      </c>
      <c r="I1399" s="119"/>
      <c r="J1399" s="120"/>
      <c r="K1399" s="120" t="str">
        <f>IF(L1399="N3","SFAS-109","")</f>
        <v/>
      </c>
      <c r="L1399" s="170" t="s">
        <v>1895</v>
      </c>
      <c r="M1399" s="122" t="str">
        <f t="shared" si="571"/>
        <v>R</v>
      </c>
      <c r="N1399" s="116" t="str">
        <f>IF($L1399&lt;&gt;"",VLOOKUP($L1399,Categories!$E:$G,2,FALSE),IF($F1399&lt;&gt;"","NO CAT",""))</f>
        <v>Rate Base</v>
      </c>
      <c r="O1399" s="116" t="str">
        <f>IF($L1399&lt;&gt;"",VLOOKUP($L1399,Categories!$E:$G,3,FALSE),IF($F1399&lt;&gt;"","NO CAT",""))</f>
        <v>Deferred Income Taxes</v>
      </c>
      <c r="P1399" s="170" t="s">
        <v>1184</v>
      </c>
      <c r="Q1399" s="123" t="s">
        <v>1178</v>
      </c>
      <c r="R1399" s="124">
        <v>0</v>
      </c>
      <c r="S1399" s="124">
        <v>1</v>
      </c>
      <c r="T1399" s="124">
        <v>0</v>
      </c>
      <c r="U1399" s="121" t="str">
        <f t="shared" si="576"/>
        <v/>
      </c>
      <c r="V1399" s="121" t="str">
        <f t="shared" si="577"/>
        <v/>
      </c>
      <c r="W1399" s="121" t="str">
        <f t="shared" si="578"/>
        <v/>
      </c>
      <c r="X1399" s="121">
        <f t="shared" si="572"/>
        <v>0</v>
      </c>
      <c r="Y1399" s="121" t="str">
        <f t="shared" si="579"/>
        <v/>
      </c>
      <c r="Z1399" s="121" t="str">
        <f t="shared" si="580"/>
        <v/>
      </c>
      <c r="AA1399" s="121" t="str">
        <f t="shared" si="581"/>
        <v/>
      </c>
      <c r="AB1399" s="121">
        <f t="shared" si="573"/>
        <v>0</v>
      </c>
      <c r="AC1399" s="121">
        <v>0</v>
      </c>
      <c r="AD1399" s="121">
        <v>1.4566126083082054E-16</v>
      </c>
      <c r="AE1399" s="121">
        <v>4.3698378249246161E-16</v>
      </c>
      <c r="AF1399" s="121">
        <v>1.4566126083082054E-16</v>
      </c>
      <c r="AG1399" s="121">
        <v>1.4566126083082054E-16</v>
      </c>
      <c r="AH1399" s="121">
        <v>1.4566126083082054E-16</v>
      </c>
      <c r="AI1399" s="161">
        <v>2.9132252166164109E-16</v>
      </c>
      <c r="AJ1399" s="161">
        <v>0</v>
      </c>
      <c r="AK1399" s="161">
        <v>1.4566126083082054E-16</v>
      </c>
      <c r="AL1399" s="161">
        <v>4.3698378249246161E-16</v>
      </c>
      <c r="AM1399" s="161">
        <v>0</v>
      </c>
      <c r="AN1399" s="161">
        <v>0</v>
      </c>
      <c r="AO1399" s="161">
        <v>0</v>
      </c>
      <c r="AP1399" s="125" t="str">
        <f>CONCATENATE(A1399,M1399)</f>
        <v>Def TaxR</v>
      </c>
      <c r="AQ1399" s="125" t="str">
        <f>CONCATENATE(AP1399,L1399,H1399)</f>
        <v>Def TaxRR11Restructuring Costs</v>
      </c>
      <c r="AS1399" s="125" t="str">
        <f>CONCATENATE(L1399,H1399,J1399)</f>
        <v>R11Restructuring Costs</v>
      </c>
    </row>
    <row r="1400" spans="1:45" s="125" customFormat="1" ht="25.5" customHeight="1">
      <c r="A1400" s="216" t="s">
        <v>1996</v>
      </c>
      <c r="B1400" s="217" t="str">
        <f t="shared" si="575"/>
        <v>Def Tax283410REVOLVERBT010194</v>
      </c>
      <c r="C1400" s="186">
        <v>283410</v>
      </c>
      <c r="D1400" s="201" t="s">
        <v>617</v>
      </c>
      <c r="E1400" s="162" t="s">
        <v>491</v>
      </c>
      <c r="F1400" s="169" t="s">
        <v>905</v>
      </c>
      <c r="G1400" s="117" t="s">
        <v>238</v>
      </c>
      <c r="H1400" s="118" t="s">
        <v>404</v>
      </c>
      <c r="I1400" s="119"/>
      <c r="J1400" s="120"/>
      <c r="K1400" s="120" t="str">
        <f t="shared" si="583"/>
        <v/>
      </c>
      <c r="L1400" s="170" t="s">
        <v>1895</v>
      </c>
      <c r="M1400" s="122" t="str">
        <f t="shared" si="571"/>
        <v>R</v>
      </c>
      <c r="N1400" s="116" t="str">
        <f>IF($L1400&lt;&gt;"",VLOOKUP($L1400,Categories!$E:$G,2,FALSE),IF($F1400&lt;&gt;"","NO CAT",""))</f>
        <v>Rate Base</v>
      </c>
      <c r="O1400" s="116" t="str">
        <f>IF($L1400&lt;&gt;"",VLOOKUP($L1400,Categories!$E:$G,3,FALSE),IF($F1400&lt;&gt;"","NO CAT",""))</f>
        <v>Deferred Income Taxes</v>
      </c>
      <c r="P1400" s="170" t="s">
        <v>1184</v>
      </c>
      <c r="Q1400" s="123" t="s">
        <v>1178</v>
      </c>
      <c r="R1400" s="124">
        <v>0</v>
      </c>
      <c r="S1400" s="124">
        <v>1</v>
      </c>
      <c r="T1400" s="124">
        <v>0</v>
      </c>
      <c r="U1400" s="121">
        <f t="shared" si="576"/>
        <v>0</v>
      </c>
      <c r="V1400" s="121">
        <f t="shared" si="577"/>
        <v>-6.2859999999999996</v>
      </c>
      <c r="W1400" s="121">
        <f t="shared" si="578"/>
        <v>0</v>
      </c>
      <c r="X1400" s="121">
        <f t="shared" si="572"/>
        <v>-6.2859999999999996</v>
      </c>
      <c r="Y1400" s="121">
        <f t="shared" si="579"/>
        <v>0</v>
      </c>
      <c r="Z1400" s="121">
        <f t="shared" si="580"/>
        <v>-6.2859999999999996</v>
      </c>
      <c r="AA1400" s="121">
        <f t="shared" si="581"/>
        <v>0</v>
      </c>
      <c r="AB1400" s="121">
        <f t="shared" si="573"/>
        <v>-6.2859999999999996</v>
      </c>
      <c r="AC1400" s="121">
        <v>-6.2859999999999996</v>
      </c>
      <c r="AD1400" s="121">
        <v>-6.2859999999999996</v>
      </c>
      <c r="AE1400" s="121">
        <v>-6.2859999999999996</v>
      </c>
      <c r="AF1400" s="121">
        <v>-6.2859999999999996</v>
      </c>
      <c r="AG1400" s="121">
        <v>-6.2859999999999996</v>
      </c>
      <c r="AH1400" s="121">
        <v>-6.2859999999999996</v>
      </c>
      <c r="AI1400" s="161">
        <v>-6.2859999999999996</v>
      </c>
      <c r="AJ1400" s="161">
        <v>-6.2859999999999996</v>
      </c>
      <c r="AK1400" s="161">
        <v>-6.2859999999999996</v>
      </c>
      <c r="AL1400" s="161">
        <v>-6.2859999999999996</v>
      </c>
      <c r="AM1400" s="161">
        <v>-6.2859999999999996</v>
      </c>
      <c r="AN1400" s="161">
        <v>-6.2859999999999996</v>
      </c>
      <c r="AO1400" s="161">
        <v>-6.2859999999999996</v>
      </c>
      <c r="AP1400" s="125" t="str">
        <f>CONCATENATE(A1400,M1400)</f>
        <v>Def TaxR</v>
      </c>
      <c r="AQ1400" s="125" t="str">
        <f>CONCATENATE(AP1400,L1400,H1400)</f>
        <v>Def TaxRR11Revolver Facility</v>
      </c>
      <c r="AS1400" s="125" t="str">
        <f>CONCATENATE(L1400,H1400,J1400)</f>
        <v>R11Revolver Facility</v>
      </c>
    </row>
    <row r="1401" spans="1:45" s="125" customFormat="1" ht="25.5" customHeight="1">
      <c r="A1401" s="216" t="s">
        <v>1996</v>
      </c>
      <c r="B1401" s="217" t="str">
        <f t="shared" si="575"/>
        <v>Def Tax2834100-186.01.20BT010244</v>
      </c>
      <c r="C1401" s="186">
        <v>283410</v>
      </c>
      <c r="D1401" s="201" t="s">
        <v>1067</v>
      </c>
      <c r="E1401" s="162" t="s">
        <v>989</v>
      </c>
      <c r="F1401" s="169" t="s">
        <v>905</v>
      </c>
      <c r="G1401" s="117" t="s">
        <v>903</v>
      </c>
      <c r="H1401" s="118" t="s">
        <v>1217</v>
      </c>
      <c r="I1401" s="119"/>
      <c r="J1401" s="120"/>
      <c r="K1401" s="120" t="str">
        <f t="shared" si="583"/>
        <v/>
      </c>
      <c r="L1401" s="170" t="s">
        <v>1895</v>
      </c>
      <c r="M1401" s="122" t="str">
        <f t="shared" si="571"/>
        <v>R</v>
      </c>
      <c r="N1401" s="116" t="str">
        <f>IF($L1401&lt;&gt;"",VLOOKUP($L1401,Categories!$E:$G,2,FALSE),IF($F1401&lt;&gt;"","NO CAT",""))</f>
        <v>Rate Base</v>
      </c>
      <c r="O1401" s="116" t="str">
        <f>IF($L1401&lt;&gt;"",VLOOKUP($L1401,Categories!$E:$G,3,FALSE),IF($F1401&lt;&gt;"","NO CAT",""))</f>
        <v>Deferred Income Taxes</v>
      </c>
      <c r="P1401" s="170" t="s">
        <v>1188</v>
      </c>
      <c r="Q1401" s="123" t="s">
        <v>1843</v>
      </c>
      <c r="R1401" s="124">
        <v>0.76071990262269951</v>
      </c>
      <c r="S1401" s="124">
        <v>0.23928009737730072</v>
      </c>
      <c r="T1401" s="124">
        <v>0</v>
      </c>
      <c r="U1401" s="121" t="str">
        <f t="shared" si="576"/>
        <v/>
      </c>
      <c r="V1401" s="121" t="str">
        <f t="shared" si="577"/>
        <v/>
      </c>
      <c r="W1401" s="121" t="str">
        <f t="shared" si="578"/>
        <v/>
      </c>
      <c r="X1401" s="121">
        <f t="shared" si="572"/>
        <v>0</v>
      </c>
      <c r="Y1401" s="121" t="str">
        <f t="shared" si="579"/>
        <v/>
      </c>
      <c r="Z1401" s="121" t="str">
        <f t="shared" si="580"/>
        <v/>
      </c>
      <c r="AA1401" s="121" t="str">
        <f t="shared" si="581"/>
        <v/>
      </c>
      <c r="AB1401" s="121">
        <f t="shared" si="573"/>
        <v>0</v>
      </c>
      <c r="AC1401" s="121">
        <v>0</v>
      </c>
      <c r="AD1401" s="121">
        <v>0</v>
      </c>
      <c r="AE1401" s="121">
        <v>0</v>
      </c>
      <c r="AF1401" s="121">
        <v>0</v>
      </c>
      <c r="AG1401" s="121">
        <v>0</v>
      </c>
      <c r="AH1401" s="121">
        <v>0</v>
      </c>
      <c r="AI1401" s="121">
        <v>0</v>
      </c>
      <c r="AJ1401" s="121">
        <f t="shared" ref="AJ1401" si="584">IF(AI1401=0,0,0)</f>
        <v>0</v>
      </c>
      <c r="AK1401" s="161">
        <v>0</v>
      </c>
      <c r="AL1401" s="161">
        <v>0</v>
      </c>
      <c r="AM1401" s="161">
        <v>0</v>
      </c>
      <c r="AN1401" s="161">
        <v>0</v>
      </c>
      <c r="AO1401" s="161">
        <v>0</v>
      </c>
      <c r="AP1401" s="125" t="str">
        <f>CONCATENATE(A1401,M1401)</f>
        <v>Def TaxR</v>
      </c>
      <c r="AQ1401" s="125" t="str">
        <f>CONCATENATE(AP1401,L1401,H1401)</f>
        <v>Def TaxRR11Workman's Comp Reserve</v>
      </c>
      <c r="AS1401" s="125" t="str">
        <f>CONCATENATE(L1401,H1401,J1401)</f>
        <v>R11Workman's Comp Reserve</v>
      </c>
    </row>
    <row r="1402" spans="1:45" s="125" customFormat="1" ht="25.5" customHeight="1">
      <c r="A1402" s="216" t="s">
        <v>1996</v>
      </c>
      <c r="B1402" s="217" t="str">
        <f>CONCATENATE(A1402,C1402,D1402,E1402)</f>
        <v>Def Tax283410BTMISCDT</v>
      </c>
      <c r="C1402" s="186">
        <v>283410</v>
      </c>
      <c r="D1402" s="201"/>
      <c r="E1402" s="162" t="s">
        <v>4763</v>
      </c>
      <c r="F1402" s="169" t="s">
        <v>905</v>
      </c>
      <c r="G1402" s="117" t="s">
        <v>4764</v>
      </c>
      <c r="H1402" s="118" t="s">
        <v>4761</v>
      </c>
      <c r="I1402" s="119"/>
      <c r="J1402" s="120"/>
      <c r="K1402" s="120" t="str">
        <f>IF(L1402="N3","SFAS-109","")</f>
        <v/>
      </c>
      <c r="L1402" s="170" t="s">
        <v>1895</v>
      </c>
      <c r="M1402" s="122" t="str">
        <f>LEFT(L1402,1)</f>
        <v>R</v>
      </c>
      <c r="N1402" s="116" t="str">
        <f>IF($L1402&lt;&gt;"",VLOOKUP($L1402,Categories!$E:$G,2,FALSE),IF($F1402&lt;&gt;"","NO CAT",""))</f>
        <v>Rate Base</v>
      </c>
      <c r="O1402" s="116" t="str">
        <f>IF($L1402&lt;&gt;"",VLOOKUP($L1402,Categories!$E:$G,3,FALSE),IF($F1402&lt;&gt;"","NO CAT",""))</f>
        <v>Deferred Income Taxes</v>
      </c>
      <c r="P1402" s="170" t="s">
        <v>1184</v>
      </c>
      <c r="Q1402" s="123" t="s">
        <v>1178</v>
      </c>
      <c r="R1402" s="124">
        <v>0</v>
      </c>
      <c r="S1402" s="124">
        <v>1</v>
      </c>
      <c r="T1402" s="124">
        <v>0</v>
      </c>
      <c r="U1402" s="121">
        <f>IF(ABS(X1402)=0,"",IF($R1402="NO ALLOC","NO ALLOC",ROUND($R1402*X1402,15)))</f>
        <v>0</v>
      </c>
      <c r="V1402" s="121">
        <f>IF(ABS(X1402)=0,"",IF($S1402="NO ALLOC","NO ALLOC",ROUND($S1402*X1402,15)))</f>
        <v>1030.7083333333301</v>
      </c>
      <c r="W1402" s="121">
        <f>IF(ABS(X1402)=0,"",IF($T1402="NO ALLOC","NO ALLOC",ROUND($T1402*X1402,15)))</f>
        <v>0</v>
      </c>
      <c r="X1402" s="121">
        <f t="shared" si="572"/>
        <v>1030.7083333333301</v>
      </c>
      <c r="Y1402" s="121">
        <f>IF(ABS(AB1402)=0,"",IF($R1402="NO ALLOC","NO ALLOC",ROUND($R1402*AB1402,15)))</f>
        <v>0</v>
      </c>
      <c r="Z1402" s="121">
        <f>IF(ABS(AB1402)=0,"",IF($S1402="NO ALLOC","NO ALLOC",ROUND($S1402*AB1402,15)))</f>
        <v>2467</v>
      </c>
      <c r="AA1402" s="121">
        <f>IF(ABS(AB1402)=0,"",IF($T1402="NO ALLOC","NO ALLOC",ROUND($T1402*AB1402,15)))</f>
        <v>0</v>
      </c>
      <c r="AB1402" s="121">
        <f t="shared" si="573"/>
        <v>2467</v>
      </c>
      <c r="AC1402" s="121"/>
      <c r="AD1402" s="121"/>
      <c r="AE1402" s="121"/>
      <c r="AF1402" s="121"/>
      <c r="AG1402" s="121"/>
      <c r="AH1402" s="121"/>
      <c r="AI1402" s="121"/>
      <c r="AJ1402" s="121">
        <v>2167</v>
      </c>
      <c r="AK1402" s="161">
        <v>2167</v>
      </c>
      <c r="AL1402" s="161">
        <v>2167</v>
      </c>
      <c r="AM1402" s="161">
        <v>2167</v>
      </c>
      <c r="AN1402" s="161">
        <v>2467</v>
      </c>
      <c r="AO1402" s="161">
        <v>2467</v>
      </c>
      <c r="AP1402" s="125" t="str">
        <f>CONCATENATE(A1402,M1402)</f>
        <v>Def TaxR</v>
      </c>
      <c r="AQ1402" s="125" t="str">
        <f>CONCATENATE(AP1402,L1402,H1402)</f>
        <v>Def TaxRR11Excess DIT - New York State Tax Rate change</v>
      </c>
      <c r="AS1402" s="125" t="str">
        <f>CONCATENATE(L1402,H1402,J1402)</f>
        <v>R11Excess DIT - New York State Tax Rate change</v>
      </c>
    </row>
    <row r="1403" spans="1:45" s="125" customFormat="1" ht="25.5" customHeight="1">
      <c r="A1403" s="216" t="s">
        <v>1996</v>
      </c>
      <c r="B1403" s="217" t="str">
        <f t="shared" si="575"/>
        <v>Def Tax2834200-286.01.26BT010057</v>
      </c>
      <c r="C1403" s="186">
        <v>283420</v>
      </c>
      <c r="D1403" s="201" t="s">
        <v>2998</v>
      </c>
      <c r="E1403" s="162" t="s">
        <v>498</v>
      </c>
      <c r="F1403" s="169" t="s">
        <v>906</v>
      </c>
      <c r="G1403" s="117" t="s">
        <v>2371</v>
      </c>
      <c r="H1403" s="118" t="s">
        <v>2860</v>
      </c>
      <c r="I1403" s="119"/>
      <c r="J1403" s="120"/>
      <c r="K1403" s="120" t="str">
        <f t="shared" si="583"/>
        <v/>
      </c>
      <c r="L1403" s="170" t="s">
        <v>2811</v>
      </c>
      <c r="M1403" s="122" t="str">
        <f t="shared" si="571"/>
        <v>N</v>
      </c>
      <c r="N1403" s="116" t="str">
        <f>IF($L1403&lt;&gt;"",VLOOKUP($L1403,Categories!$E:$G,2,FALSE),IF($F1403&lt;&gt;"","NO CAT",""))</f>
        <v>Not in Rate Base</v>
      </c>
      <c r="O1403" s="116" t="str">
        <f>IF($L1403&lt;&gt;"",VLOOKUP($L1403,Categories!$E:$G,3,FALSE),IF($F1403&lt;&gt;"","NO CAT",""))</f>
        <v>Hedges &amp; OCI</v>
      </c>
      <c r="P1403" s="170" t="s">
        <v>1186</v>
      </c>
      <c r="Q1403" s="123" t="s">
        <v>1187</v>
      </c>
      <c r="R1403" s="124">
        <v>0</v>
      </c>
      <c r="S1403" s="124">
        <v>0</v>
      </c>
      <c r="T1403" s="124">
        <v>1</v>
      </c>
      <c r="U1403" s="121">
        <f t="shared" si="576"/>
        <v>0</v>
      </c>
      <c r="V1403" s="121">
        <f t="shared" si="577"/>
        <v>0</v>
      </c>
      <c r="W1403" s="121">
        <f t="shared" si="578"/>
        <v>-72.965199999999996</v>
      </c>
      <c r="X1403" s="121">
        <f t="shared" si="572"/>
        <v>-72.965199999999996</v>
      </c>
      <c r="Y1403" s="121">
        <f t="shared" si="579"/>
        <v>0</v>
      </c>
      <c r="Z1403" s="121">
        <f t="shared" si="580"/>
        <v>0</v>
      </c>
      <c r="AA1403" s="121">
        <f t="shared" si="581"/>
        <v>-72.965199999999996</v>
      </c>
      <c r="AB1403" s="121">
        <f t="shared" si="573"/>
        <v>-72.965199999999996</v>
      </c>
      <c r="AC1403" s="121">
        <v>-72.965199999999996</v>
      </c>
      <c r="AD1403" s="121">
        <v>-72.965199999999996</v>
      </c>
      <c r="AE1403" s="121">
        <v>-72.965199999999996</v>
      </c>
      <c r="AF1403" s="121">
        <v>-72.965199999999996</v>
      </c>
      <c r="AG1403" s="121">
        <v>-72.965199999999996</v>
      </c>
      <c r="AH1403" s="121">
        <v>-72.965199999999996</v>
      </c>
      <c r="AI1403" s="161">
        <v>-72.965199999999996</v>
      </c>
      <c r="AJ1403" s="161">
        <v>-72.965199999999996</v>
      </c>
      <c r="AK1403" s="161">
        <v>-72.965199999999996</v>
      </c>
      <c r="AL1403" s="161">
        <v>-72.965199999999996</v>
      </c>
      <c r="AM1403" s="161">
        <v>-72.965199999999996</v>
      </c>
      <c r="AN1403" s="161">
        <v>-72.965199999999996</v>
      </c>
      <c r="AO1403" s="161">
        <v>-72.965199999999996</v>
      </c>
      <c r="AP1403" s="125" t="str">
        <f>CONCATENATE(A1403,M1403)</f>
        <v>Def TaxN</v>
      </c>
      <c r="AQ1403" s="125" t="str">
        <f>CONCATENATE(AP1403,L1403,H1403)</f>
        <v>Def TaxNN5Hedges &amp; OCI</v>
      </c>
      <c r="AS1403" s="125" t="str">
        <f>CONCATENATE(L1403,H1403,J1403)</f>
        <v>N5Hedges &amp; OCI</v>
      </c>
    </row>
    <row r="1404" spans="1:45" s="125" customFormat="1" ht="25.5" customHeight="1">
      <c r="A1404" s="216" t="s">
        <v>1996</v>
      </c>
      <c r="B1404" s="217" t="str">
        <f t="shared" si="575"/>
        <v>Def Tax2834300-286.01.27BT010121</v>
      </c>
      <c r="C1404" s="186">
        <v>283430</v>
      </c>
      <c r="D1404" s="201" t="s">
        <v>2370</v>
      </c>
      <c r="E1404" s="162" t="s">
        <v>499</v>
      </c>
      <c r="F1404" s="169" t="s">
        <v>1459</v>
      </c>
      <c r="G1404" s="117" t="s">
        <v>2371</v>
      </c>
      <c r="H1404" s="118" t="s">
        <v>2860</v>
      </c>
      <c r="I1404" s="119"/>
      <c r="J1404" s="120"/>
      <c r="K1404" s="120" t="str">
        <f>IF(L1404="N3","SFAS-109","")</f>
        <v/>
      </c>
      <c r="L1404" s="170" t="s">
        <v>2811</v>
      </c>
      <c r="M1404" s="122" t="str">
        <f>LEFT(L1404,1)</f>
        <v>N</v>
      </c>
      <c r="N1404" s="116" t="str">
        <f>IF($L1404&lt;&gt;"",VLOOKUP($L1404,Categories!$E:$G,2,FALSE),IF($F1404&lt;&gt;"","NO CAT",""))</f>
        <v>Not in Rate Base</v>
      </c>
      <c r="O1404" s="116" t="str">
        <f>IF($L1404&lt;&gt;"",VLOOKUP($L1404,Categories!$E:$G,3,FALSE),IF($F1404&lt;&gt;"","NO CAT",""))</f>
        <v>Hedges &amp; OCI</v>
      </c>
      <c r="P1404" s="170" t="s">
        <v>1186</v>
      </c>
      <c r="Q1404" s="123" t="s">
        <v>1187</v>
      </c>
      <c r="R1404" s="124">
        <v>0</v>
      </c>
      <c r="S1404" s="124">
        <v>0</v>
      </c>
      <c r="T1404" s="124">
        <v>1</v>
      </c>
      <c r="U1404" s="121">
        <f t="shared" si="576"/>
        <v>0</v>
      </c>
      <c r="V1404" s="121">
        <f t="shared" si="577"/>
        <v>0</v>
      </c>
      <c r="W1404" s="121">
        <f t="shared" si="578"/>
        <v>-0.53100000000000003</v>
      </c>
      <c r="X1404" s="121">
        <f t="shared" si="572"/>
        <v>-0.53100000000000003</v>
      </c>
      <c r="Y1404" s="121">
        <f t="shared" si="579"/>
        <v>0</v>
      </c>
      <c r="Z1404" s="121">
        <f t="shared" si="580"/>
        <v>0</v>
      </c>
      <c r="AA1404" s="121">
        <f t="shared" si="581"/>
        <v>-0.53100000000000003</v>
      </c>
      <c r="AB1404" s="121">
        <f t="shared" si="573"/>
        <v>-0.53100000000000003</v>
      </c>
      <c r="AC1404" s="121">
        <v>-0.53100000000000003</v>
      </c>
      <c r="AD1404" s="121">
        <v>-0.53100000000000003</v>
      </c>
      <c r="AE1404" s="121">
        <v>-0.53100000000000003</v>
      </c>
      <c r="AF1404" s="121">
        <v>-0.53100000000000003</v>
      </c>
      <c r="AG1404" s="121">
        <v>-0.53100000000000003</v>
      </c>
      <c r="AH1404" s="121">
        <v>-0.53100000000000003</v>
      </c>
      <c r="AI1404" s="161">
        <v>-0.53100000000000003</v>
      </c>
      <c r="AJ1404" s="161">
        <v>-0.53100000000000003</v>
      </c>
      <c r="AK1404" s="161">
        <v>-0.53100000000000003</v>
      </c>
      <c r="AL1404" s="161">
        <v>-0.53100000000000003</v>
      </c>
      <c r="AM1404" s="161">
        <v>-0.53100000000000003</v>
      </c>
      <c r="AN1404" s="161">
        <v>-0.53100000000000003</v>
      </c>
      <c r="AO1404" s="161">
        <v>-0.53100000000000003</v>
      </c>
      <c r="AP1404" s="125" t="str">
        <f>CONCATENATE(A1404,M1404)</f>
        <v>Def TaxN</v>
      </c>
      <c r="AQ1404" s="125" t="str">
        <f>CONCATENATE(AP1404,L1404,H1404)</f>
        <v>Def TaxNN5Hedges &amp; OCI</v>
      </c>
      <c r="AS1404" s="125" t="str">
        <f>CONCATENATE(L1404,H1404,J1404)</f>
        <v>N5Hedges &amp; OCI</v>
      </c>
    </row>
    <row r="1405" spans="1:45" s="125" customFormat="1" ht="25.5" customHeight="1">
      <c r="A1405" s="216" t="s">
        <v>1996</v>
      </c>
      <c r="B1405" s="217" t="str">
        <f t="shared" si="575"/>
        <v>Def Tax283500AROBT010323</v>
      </c>
      <c r="C1405" s="186">
        <v>283500</v>
      </c>
      <c r="D1405" s="201" t="s">
        <v>993</v>
      </c>
      <c r="E1405" s="162" t="s">
        <v>1197</v>
      </c>
      <c r="F1405" s="169" t="s">
        <v>300</v>
      </c>
      <c r="G1405" s="117" t="s">
        <v>1196</v>
      </c>
      <c r="H1405" s="118" t="s">
        <v>972</v>
      </c>
      <c r="I1405" s="119"/>
      <c r="J1405" s="231"/>
      <c r="K1405" s="120" t="str">
        <f t="shared" ref="K1405:K1410" si="585">IF(L1405="N3","SFAS-109","")</f>
        <v/>
      </c>
      <c r="L1405" s="170" t="s">
        <v>928</v>
      </c>
      <c r="M1405" s="122" t="str">
        <f t="shared" ref="M1405:M1455" si="586">LEFT(L1405,1)</f>
        <v>N</v>
      </c>
      <c r="N1405" s="116" t="str">
        <f>IF($L1405&lt;&gt;"",VLOOKUP($L1405,Categories!$E:$G,2,FALSE),IF($F1405&lt;&gt;"","NO CAT",""))</f>
        <v>Not in Rate Base</v>
      </c>
      <c r="O1405" s="116" t="str">
        <f>IF($L1405&lt;&gt;"",VLOOKUP($L1405,Categories!$E:$G,3,FALSE),IF($F1405&lt;&gt;"","NO CAT",""))</f>
        <v>Direct Assign Items Not in RB</v>
      </c>
      <c r="P1405" s="170" t="s">
        <v>1186</v>
      </c>
      <c r="Q1405" s="123" t="s">
        <v>1187</v>
      </c>
      <c r="R1405" s="124">
        <v>0</v>
      </c>
      <c r="S1405" s="124">
        <v>0</v>
      </c>
      <c r="T1405" s="124">
        <v>1</v>
      </c>
      <c r="U1405" s="121">
        <f t="shared" si="576"/>
        <v>0</v>
      </c>
      <c r="V1405" s="121">
        <f t="shared" si="577"/>
        <v>0</v>
      </c>
      <c r="W1405" s="121">
        <f t="shared" si="578"/>
        <v>-1937.0540354166701</v>
      </c>
      <c r="X1405" s="121">
        <f t="shared" si="572"/>
        <v>-1937.0540354166701</v>
      </c>
      <c r="Y1405" s="121">
        <f t="shared" si="579"/>
        <v>0</v>
      </c>
      <c r="Z1405" s="121">
        <f t="shared" si="580"/>
        <v>0</v>
      </c>
      <c r="AA1405" s="121">
        <f t="shared" si="581"/>
        <v>-1935.6742300000001</v>
      </c>
      <c r="AB1405" s="121">
        <f t="shared" si="573"/>
        <v>-1935.6742299999996</v>
      </c>
      <c r="AC1405" s="121">
        <v>-1884.2283999999995</v>
      </c>
      <c r="AD1405" s="121">
        <v>-1894.4183299999993</v>
      </c>
      <c r="AE1405" s="121">
        <v>-1904.6480199999994</v>
      </c>
      <c r="AF1405" s="121">
        <v>-1914.9176399999994</v>
      </c>
      <c r="AG1405" s="121">
        <v>-1925.2273599999994</v>
      </c>
      <c r="AH1405" s="121">
        <v>-1935.5773499999993</v>
      </c>
      <c r="AI1405" s="161">
        <v>-1945.9677799999993</v>
      </c>
      <c r="AJ1405" s="161">
        <v>-1956.3988399999994</v>
      </c>
      <c r="AK1405" s="161">
        <v>-1966.8706799999995</v>
      </c>
      <c r="AL1405" s="161">
        <v>-1977.3834799999995</v>
      </c>
      <c r="AM1405" s="161">
        <v>-1987.9374299999995</v>
      </c>
      <c r="AN1405" s="161">
        <v>-1925.3501999999994</v>
      </c>
      <c r="AO1405" s="161">
        <v>-1935.6742299999996</v>
      </c>
      <c r="AP1405" s="125" t="str">
        <f>CONCATENATE(A1405,M1405)</f>
        <v>Def TaxN</v>
      </c>
      <c r="AQ1405" s="125" t="str">
        <f>CONCATENATE(AP1405,L1405,H1405)</f>
        <v>Def TaxNN2Asset Retirement Obligation</v>
      </c>
      <c r="AS1405" s="125" t="str">
        <f>CONCATENATE(L1405,H1405,J1405)</f>
        <v>N2Asset Retirement Obligation</v>
      </c>
    </row>
    <row r="1406" spans="1:45" s="125" customFormat="1" ht="25.5" customHeight="1">
      <c r="A1406" s="216" t="s">
        <v>1996</v>
      </c>
      <c r="B1406" s="217" t="str">
        <f t="shared" si="575"/>
        <v>Def Tax283500Reacq Debt AdjBT010371</v>
      </c>
      <c r="C1406" s="186">
        <v>283500</v>
      </c>
      <c r="D1406" s="201" t="s">
        <v>427</v>
      </c>
      <c r="E1406" s="162" t="s">
        <v>4706</v>
      </c>
      <c r="F1406" s="169" t="s">
        <v>300</v>
      </c>
      <c r="G1406" s="117" t="s">
        <v>426</v>
      </c>
      <c r="H1406" s="118" t="s">
        <v>45</v>
      </c>
      <c r="I1406" s="119"/>
      <c r="J1406" s="231"/>
      <c r="K1406" s="120" t="str">
        <f t="shared" si="585"/>
        <v/>
      </c>
      <c r="L1406" s="170" t="s">
        <v>1895</v>
      </c>
      <c r="M1406" s="122" t="str">
        <f t="shared" si="586"/>
        <v>R</v>
      </c>
      <c r="N1406" s="116" t="str">
        <f>IF($L1406&lt;&gt;"",VLOOKUP($L1406,Categories!$E:$G,2,FALSE),IF($F1406&lt;&gt;"","NO CAT",""))</f>
        <v>Rate Base</v>
      </c>
      <c r="O1406" s="116" t="str">
        <f>IF($L1406&lt;&gt;"",VLOOKUP($L1406,Categories!$E:$G,3,FALSE),IF($F1406&lt;&gt;"","NO CAT",""))</f>
        <v>Deferred Income Taxes</v>
      </c>
      <c r="P1406" s="170" t="s">
        <v>1183</v>
      </c>
      <c r="Q1406" s="123" t="s">
        <v>1177</v>
      </c>
      <c r="R1406" s="124">
        <v>1</v>
      </c>
      <c r="S1406" s="124">
        <v>0</v>
      </c>
      <c r="T1406" s="124">
        <v>0</v>
      </c>
      <c r="U1406" s="121">
        <f t="shared" si="576"/>
        <v>-800.33847000000003</v>
      </c>
      <c r="V1406" s="121">
        <f t="shared" si="577"/>
        <v>0</v>
      </c>
      <c r="W1406" s="121">
        <f t="shared" si="578"/>
        <v>0</v>
      </c>
      <c r="X1406" s="121">
        <f t="shared" si="572"/>
        <v>-800.33847000000003</v>
      </c>
      <c r="Y1406" s="121">
        <f t="shared" si="579"/>
        <v>-800.33847000000003</v>
      </c>
      <c r="Z1406" s="121">
        <f t="shared" si="580"/>
        <v>0</v>
      </c>
      <c r="AA1406" s="121">
        <f t="shared" si="581"/>
        <v>0</v>
      </c>
      <c r="AB1406" s="121">
        <f>IF(AO1406="",0,+AO1406)</f>
        <v>-800.33846999999992</v>
      </c>
      <c r="AC1406" s="121">
        <v>-800.33846999999992</v>
      </c>
      <c r="AD1406" s="121">
        <v>-800.33846999999992</v>
      </c>
      <c r="AE1406" s="121">
        <v>-800.33846999999992</v>
      </c>
      <c r="AF1406" s="121">
        <v>-800.33846999999992</v>
      </c>
      <c r="AG1406" s="121">
        <v>-800.33846999999992</v>
      </c>
      <c r="AH1406" s="121">
        <v>-800.33846999999992</v>
      </c>
      <c r="AI1406" s="161">
        <v>-800.33846999999992</v>
      </c>
      <c r="AJ1406" s="161">
        <v>-800.33846999999992</v>
      </c>
      <c r="AK1406" s="161">
        <v>-800.33846999999992</v>
      </c>
      <c r="AL1406" s="161">
        <v>-800.33846999999992</v>
      </c>
      <c r="AM1406" s="161">
        <v>-800.33846999999992</v>
      </c>
      <c r="AN1406" s="161">
        <v>-800.33846999999992</v>
      </c>
      <c r="AO1406" s="161">
        <v>-800.33846999999992</v>
      </c>
      <c r="AP1406" s="125" t="str">
        <f>CONCATENATE(A1406,M1406)</f>
        <v>Def TaxR</v>
      </c>
      <c r="AQ1406" s="125" t="str">
        <f>CONCATENATE(AP1406,L1406,H1406)</f>
        <v>Def TaxRR11Gain / Loss on Reacquired Debt</v>
      </c>
      <c r="AS1406" s="125" t="str">
        <f>CONCATENATE(L1406,H1406,J1406)</f>
        <v>R11Gain / Loss on Reacquired Debt</v>
      </c>
    </row>
    <row r="1407" spans="1:45" s="125" customFormat="1" ht="25.5" customHeight="1">
      <c r="A1407" s="216" t="s">
        <v>1996</v>
      </c>
      <c r="B1407" s="217" t="str">
        <f t="shared" si="575"/>
        <v>Def Tax283500Econ Devlp/283.22.29BT010069</v>
      </c>
      <c r="C1407" s="186">
        <v>283500</v>
      </c>
      <c r="D1407" s="201" t="s">
        <v>1747</v>
      </c>
      <c r="E1407" s="162" t="s">
        <v>1125</v>
      </c>
      <c r="F1407" s="169" t="s">
        <v>300</v>
      </c>
      <c r="G1407" s="117" t="s">
        <v>244</v>
      </c>
      <c r="H1407" s="118" t="s">
        <v>310</v>
      </c>
      <c r="I1407" s="119"/>
      <c r="J1407" s="231"/>
      <c r="K1407" s="120" t="str">
        <f t="shared" si="585"/>
        <v/>
      </c>
      <c r="L1407" s="170" t="s">
        <v>2821</v>
      </c>
      <c r="M1407" s="122" t="str">
        <f t="shared" si="586"/>
        <v>N</v>
      </c>
      <c r="N1407" s="116" t="str">
        <f>IF($L1407&lt;&gt;"",VLOOKUP($L1407,Categories!$E:$G,2,FALSE),IF($F1407&lt;&gt;"","NO CAT",""))</f>
        <v>Not in Rate Base</v>
      </c>
      <c r="O1407" s="116" t="str">
        <f>IF($L1407&lt;&gt;"",VLOOKUP($L1407,Categories!$E:$G,3,FALSE),IF($F1407&lt;&gt;"","NO CAT",""))</f>
        <v>Deferrals Accruing Non-Cash Return   (other than ASGA)</v>
      </c>
      <c r="P1407" s="170" t="s">
        <v>1186</v>
      </c>
      <c r="Q1407" s="123" t="s">
        <v>1187</v>
      </c>
      <c r="R1407" s="124">
        <v>0</v>
      </c>
      <c r="S1407" s="124">
        <v>0</v>
      </c>
      <c r="T1407" s="124">
        <v>1</v>
      </c>
      <c r="U1407" s="121">
        <f t="shared" si="576"/>
        <v>0</v>
      </c>
      <c r="V1407" s="121">
        <f t="shared" si="577"/>
        <v>0</v>
      </c>
      <c r="W1407" s="121">
        <f t="shared" si="578"/>
        <v>4891.1533645833297</v>
      </c>
      <c r="X1407" s="121">
        <f t="shared" si="572"/>
        <v>4891.1533645833297</v>
      </c>
      <c r="Y1407" s="121">
        <f t="shared" si="579"/>
        <v>0</v>
      </c>
      <c r="Z1407" s="121">
        <f t="shared" si="580"/>
        <v>0</v>
      </c>
      <c r="AA1407" s="121">
        <f t="shared" si="581"/>
        <v>4718.5608499999998</v>
      </c>
      <c r="AB1407" s="121">
        <f t="shared" si="573"/>
        <v>4718.5608499999971</v>
      </c>
      <c r="AC1407" s="121">
        <v>4567.2990399999981</v>
      </c>
      <c r="AD1407" s="121">
        <v>4640.7244899999987</v>
      </c>
      <c r="AE1407" s="121">
        <v>4825.1420099999978</v>
      </c>
      <c r="AF1407" s="121">
        <v>4952.6818299999986</v>
      </c>
      <c r="AG1407" s="121">
        <v>4604.4026399999975</v>
      </c>
      <c r="AH1407" s="121">
        <v>4789.027009999998</v>
      </c>
      <c r="AI1407" s="161">
        <v>4744.086089999998</v>
      </c>
      <c r="AJ1407" s="161">
        <v>4897.2917299999981</v>
      </c>
      <c r="AK1407" s="161">
        <v>5057.0627899999972</v>
      </c>
      <c r="AL1407" s="161">
        <v>5242.7347199999967</v>
      </c>
      <c r="AM1407" s="161">
        <v>5380.6487899999975</v>
      </c>
      <c r="AN1407" s="161">
        <v>4917.1083299999973</v>
      </c>
      <c r="AO1407" s="161">
        <v>4718.5608499999971</v>
      </c>
      <c r="AP1407" s="125" t="str">
        <f>CONCATENATE(A1407,M1407)</f>
        <v>Def TaxN</v>
      </c>
      <c r="AQ1407" s="125" t="str">
        <f>CONCATENATE(AP1407,L1407,H1407)</f>
        <v>Def TaxNN10Economic Development</v>
      </c>
      <c r="AS1407" s="125" t="str">
        <f>CONCATENATE(L1407,H1407,J1407)</f>
        <v>N10Economic Development</v>
      </c>
    </row>
    <row r="1408" spans="1:45" s="125" customFormat="1" ht="25.5" customHeight="1">
      <c r="A1408" s="216" t="s">
        <v>1996</v>
      </c>
      <c r="B1408" s="217" t="str">
        <f t="shared" si="575"/>
        <v>Def Tax283500Env RABT010072</v>
      </c>
      <c r="C1408" s="186">
        <v>283500</v>
      </c>
      <c r="D1408" s="201" t="s">
        <v>2286</v>
      </c>
      <c r="E1408" s="162" t="s">
        <v>91</v>
      </c>
      <c r="F1408" s="169" t="s">
        <v>300</v>
      </c>
      <c r="G1408" s="117" t="s">
        <v>2285</v>
      </c>
      <c r="H1408" s="118" t="s">
        <v>2369</v>
      </c>
      <c r="I1408" s="119"/>
      <c r="J1408" s="120"/>
      <c r="K1408" s="120" t="str">
        <f t="shared" si="585"/>
        <v/>
      </c>
      <c r="L1408" s="170" t="s">
        <v>928</v>
      </c>
      <c r="M1408" s="122" t="str">
        <f t="shared" si="586"/>
        <v>N</v>
      </c>
      <c r="N1408" s="116" t="str">
        <f>IF($L1408&lt;&gt;"",VLOOKUP($L1408,Categories!$E:$G,2,FALSE),IF($F1408&lt;&gt;"","NO CAT",""))</f>
        <v>Not in Rate Base</v>
      </c>
      <c r="O1408" s="116" t="str">
        <f>IF($L1408&lt;&gt;"",VLOOKUP($L1408,Categories!$E:$G,3,FALSE),IF($F1408&lt;&gt;"","NO CAT",""))</f>
        <v>Direct Assign Items Not in RB</v>
      </c>
      <c r="P1408" s="170" t="s">
        <v>1186</v>
      </c>
      <c r="Q1408" s="123" t="s">
        <v>1187</v>
      </c>
      <c r="R1408" s="124">
        <v>0</v>
      </c>
      <c r="S1408" s="124">
        <v>0</v>
      </c>
      <c r="T1408" s="124">
        <v>1</v>
      </c>
      <c r="U1408" s="121">
        <f t="shared" si="576"/>
        <v>0</v>
      </c>
      <c r="V1408" s="121">
        <f t="shared" si="577"/>
        <v>0</v>
      </c>
      <c r="W1408" s="121">
        <f t="shared" si="578"/>
        <v>-44690.185684166703</v>
      </c>
      <c r="X1408" s="121">
        <f t="shared" si="572"/>
        <v>-44690.185684166703</v>
      </c>
      <c r="Y1408" s="121">
        <f t="shared" si="579"/>
        <v>0</v>
      </c>
      <c r="Z1408" s="121">
        <f t="shared" si="580"/>
        <v>0</v>
      </c>
      <c r="AA1408" s="121">
        <f t="shared" si="581"/>
        <v>-43156.597229999999</v>
      </c>
      <c r="AB1408" s="121">
        <f t="shared" si="573"/>
        <v>-43156.597230000036</v>
      </c>
      <c r="AC1408" s="121">
        <v>-45542.633650000018</v>
      </c>
      <c r="AD1408" s="121">
        <v>-45321.652990000024</v>
      </c>
      <c r="AE1408" s="121">
        <v>-44766.55953000002</v>
      </c>
      <c r="AF1408" s="121">
        <v>-44669.253090000027</v>
      </c>
      <c r="AG1408" s="121">
        <v>-44543.209930000026</v>
      </c>
      <c r="AH1408" s="121">
        <v>-44799.363520000035</v>
      </c>
      <c r="AI1408" s="161">
        <v>-44779.566580000035</v>
      </c>
      <c r="AJ1408" s="161">
        <v>-44833.448390000041</v>
      </c>
      <c r="AK1408" s="161">
        <v>-44808.058930000036</v>
      </c>
      <c r="AL1408" s="161">
        <v>-44957.644710000037</v>
      </c>
      <c r="AM1408" s="161">
        <v>-45169.689560000043</v>
      </c>
      <c r="AN1408" s="161">
        <v>-43284.165540000038</v>
      </c>
      <c r="AO1408" s="161">
        <v>-43156.597230000036</v>
      </c>
      <c r="AP1408" s="125" t="str">
        <f>CONCATENATE(A1408,M1408)</f>
        <v>Def TaxN</v>
      </c>
      <c r="AQ1408" s="125" t="str">
        <f>CONCATENATE(AP1408,L1408,H1408)</f>
        <v>Def TaxNN2Environmental</v>
      </c>
      <c r="AS1408" s="125" t="str">
        <f>CONCATENATE(L1408,H1408,J1408)</f>
        <v>N2Environmental</v>
      </c>
    </row>
    <row r="1409" spans="1:45" s="125" customFormat="1" ht="25.5" customHeight="1">
      <c r="A1409" s="216" t="s">
        <v>1996</v>
      </c>
      <c r="B1409" s="217" t="str">
        <f t="shared" si="575"/>
        <v>Def Tax283500FAS 158 - OPEBBT030562</v>
      </c>
      <c r="C1409" s="186">
        <v>283500</v>
      </c>
      <c r="D1409" s="201" t="s">
        <v>722</v>
      </c>
      <c r="E1409" s="162" t="s">
        <v>1548</v>
      </c>
      <c r="F1409" s="169" t="s">
        <v>300</v>
      </c>
      <c r="G1409" s="117" t="s">
        <v>942</v>
      </c>
      <c r="H1409" s="118" t="s">
        <v>170</v>
      </c>
      <c r="I1409" s="119"/>
      <c r="J1409" s="120"/>
      <c r="K1409" s="120" t="str">
        <f t="shared" si="585"/>
        <v/>
      </c>
      <c r="L1409" s="170" t="s">
        <v>1895</v>
      </c>
      <c r="M1409" s="122" t="str">
        <f t="shared" si="586"/>
        <v>R</v>
      </c>
      <c r="N1409" s="116" t="str">
        <f>IF($L1409&lt;&gt;"",VLOOKUP($L1409,Categories!$E:$G,2,FALSE),IF($F1409&lt;&gt;"","NO CAT",""))</f>
        <v>Rate Base</v>
      </c>
      <c r="O1409" s="116" t="str">
        <f>IF($L1409&lt;&gt;"",VLOOKUP($L1409,Categories!$E:$G,3,FALSE),IF($F1409&lt;&gt;"","NO CAT",""))</f>
        <v>Deferred Income Taxes</v>
      </c>
      <c r="P1409" s="170" t="s">
        <v>1553</v>
      </c>
      <c r="Q1409" s="123" t="s">
        <v>2587</v>
      </c>
      <c r="R1409" s="124">
        <v>0.81899999999999995</v>
      </c>
      <c r="S1409" s="124">
        <v>0.18099999999999999</v>
      </c>
      <c r="T1409" s="124">
        <v>0</v>
      </c>
      <c r="U1409" s="121" t="str">
        <f t="shared" si="576"/>
        <v/>
      </c>
      <c r="V1409" s="121" t="str">
        <f t="shared" si="577"/>
        <v/>
      </c>
      <c r="W1409" s="121" t="str">
        <f t="shared" si="578"/>
        <v/>
      </c>
      <c r="X1409" s="121">
        <f t="shared" si="572"/>
        <v>0</v>
      </c>
      <c r="Y1409" s="121" t="str">
        <f t="shared" si="579"/>
        <v/>
      </c>
      <c r="Z1409" s="121" t="str">
        <f t="shared" si="580"/>
        <v/>
      </c>
      <c r="AA1409" s="121" t="str">
        <f t="shared" si="581"/>
        <v/>
      </c>
      <c r="AB1409" s="121">
        <f t="shared" si="573"/>
        <v>0</v>
      </c>
      <c r="AC1409" s="121">
        <v>0</v>
      </c>
      <c r="AD1409" s="121">
        <v>0</v>
      </c>
      <c r="AE1409" s="121">
        <v>0</v>
      </c>
      <c r="AF1409" s="121">
        <v>0</v>
      </c>
      <c r="AG1409" s="121">
        <v>0</v>
      </c>
      <c r="AH1409" s="121">
        <v>0</v>
      </c>
      <c r="AI1409" s="121">
        <v>0</v>
      </c>
      <c r="AJ1409" s="121">
        <f t="shared" ref="AJ1409" si="587">IF(AI1409=0,0,0)</f>
        <v>0</v>
      </c>
      <c r="AK1409" s="161">
        <v>0</v>
      </c>
      <c r="AL1409" s="161">
        <v>0</v>
      </c>
      <c r="AM1409" s="161">
        <v>0</v>
      </c>
      <c r="AN1409" s="161">
        <v>0</v>
      </c>
      <c r="AO1409" s="161">
        <v>0</v>
      </c>
      <c r="AP1409" s="125" t="str">
        <f>CONCATENATE(A1409,M1409)</f>
        <v>Def TaxR</v>
      </c>
      <c r="AQ1409" s="125" t="str">
        <f>CONCATENATE(AP1409,L1409,H1409)</f>
        <v>Def TaxRR11OPEBs</v>
      </c>
      <c r="AS1409" s="125" t="str">
        <f>CONCATENATE(L1409,H1409,J1409)</f>
        <v>R11OPEBs</v>
      </c>
    </row>
    <row r="1410" spans="1:45" s="125" customFormat="1" ht="25.5" customHeight="1">
      <c r="A1410" s="216" t="s">
        <v>1996</v>
      </c>
      <c r="B1410" s="217" t="str">
        <f t="shared" si="575"/>
        <v>Def Tax2835000-283.21.97BE030175</v>
      </c>
      <c r="C1410" s="186">
        <v>283500</v>
      </c>
      <c r="D1410" s="201" t="s">
        <v>1496</v>
      </c>
      <c r="E1410" s="162" t="s">
        <v>1729</v>
      </c>
      <c r="F1410" s="169" t="s">
        <v>300</v>
      </c>
      <c r="G1410" s="117" t="s">
        <v>943</v>
      </c>
      <c r="H1410" s="118" t="s">
        <v>1665</v>
      </c>
      <c r="I1410" s="119"/>
      <c r="J1410" s="231"/>
      <c r="K1410" s="120" t="str">
        <f t="shared" si="585"/>
        <v/>
      </c>
      <c r="L1410" s="170" t="s">
        <v>1895</v>
      </c>
      <c r="M1410" s="122" t="str">
        <f t="shared" si="586"/>
        <v>R</v>
      </c>
      <c r="N1410" s="116" t="str">
        <f>IF($L1410&lt;&gt;"",VLOOKUP($L1410,Categories!$E:$G,2,FALSE),IF($F1410&lt;&gt;"","NO CAT",""))</f>
        <v>Rate Base</v>
      </c>
      <c r="O1410" s="116" t="str">
        <f>IF($L1410&lt;&gt;"",VLOOKUP($L1410,Categories!$E:$G,3,FALSE),IF($F1410&lt;&gt;"","NO CAT",""))</f>
        <v>Deferred Income Taxes</v>
      </c>
      <c r="P1410" s="170" t="s">
        <v>1183</v>
      </c>
      <c r="Q1410" s="123" t="s">
        <v>1177</v>
      </c>
      <c r="R1410" s="124">
        <v>1</v>
      </c>
      <c r="S1410" s="124">
        <v>0</v>
      </c>
      <c r="T1410" s="124">
        <v>0</v>
      </c>
      <c r="U1410" s="121">
        <f t="shared" si="576"/>
        <v>3.5041500000000099</v>
      </c>
      <c r="V1410" s="121">
        <f t="shared" si="577"/>
        <v>0</v>
      </c>
      <c r="W1410" s="121">
        <f t="shared" si="578"/>
        <v>0</v>
      </c>
      <c r="X1410" s="121">
        <f t="shared" si="572"/>
        <v>3.5041500000000099</v>
      </c>
      <c r="Y1410" s="121">
        <f t="shared" si="579"/>
        <v>3.5041500000000099</v>
      </c>
      <c r="Z1410" s="121">
        <f t="shared" si="580"/>
        <v>0</v>
      </c>
      <c r="AA1410" s="121">
        <f t="shared" si="581"/>
        <v>0</v>
      </c>
      <c r="AB1410" s="121">
        <f t="shared" si="573"/>
        <v>3.5041500000000085</v>
      </c>
      <c r="AC1410" s="121">
        <v>3.5041500000000085</v>
      </c>
      <c r="AD1410" s="121">
        <v>3.5041500000000085</v>
      </c>
      <c r="AE1410" s="121">
        <v>3.5041500000000085</v>
      </c>
      <c r="AF1410" s="121">
        <v>3.5041500000000085</v>
      </c>
      <c r="AG1410" s="121">
        <v>3.5041500000000085</v>
      </c>
      <c r="AH1410" s="121">
        <v>3.5041500000000085</v>
      </c>
      <c r="AI1410" s="161">
        <v>3.5041500000000085</v>
      </c>
      <c r="AJ1410" s="161">
        <v>3.5041500000000085</v>
      </c>
      <c r="AK1410" s="161">
        <v>3.5041500000000085</v>
      </c>
      <c r="AL1410" s="161">
        <v>3.5041500000000085</v>
      </c>
      <c r="AM1410" s="161">
        <v>3.5041500000000085</v>
      </c>
      <c r="AN1410" s="161">
        <v>3.5041500000000085</v>
      </c>
      <c r="AO1410" s="161">
        <v>3.5041500000000085</v>
      </c>
      <c r="AP1410" s="125" t="str">
        <f>CONCATENATE(A1410,M1410)</f>
        <v>Def TaxR</v>
      </c>
      <c r="AQ1410" s="125" t="str">
        <f>CONCATENATE(AP1410,L1410,H1410)</f>
        <v>Def TaxRR11NYPA Ancillaries</v>
      </c>
      <c r="AS1410" s="125" t="str">
        <f>CONCATENATE(L1410,H1410,J1410)</f>
        <v>R11NYPA Ancillaries</v>
      </c>
    </row>
    <row r="1411" spans="1:45" s="125" customFormat="1" ht="25.5" customHeight="1">
      <c r="A1411" s="216" t="s">
        <v>1996</v>
      </c>
      <c r="B1411" s="217" t="str">
        <f t="shared" si="575"/>
        <v>Def Tax283500MFCBE030155</v>
      </c>
      <c r="C1411" s="186">
        <v>283500</v>
      </c>
      <c r="D1411" s="201" t="s">
        <v>339</v>
      </c>
      <c r="E1411" s="162" t="s">
        <v>1611</v>
      </c>
      <c r="F1411" s="169" t="s">
        <v>300</v>
      </c>
      <c r="G1411" s="117" t="s">
        <v>601</v>
      </c>
      <c r="H1411" s="118" t="s">
        <v>556</v>
      </c>
      <c r="I1411" s="119"/>
      <c r="J1411" s="231"/>
      <c r="K1411" s="120" t="str">
        <f t="shared" ref="K1411:K1418" si="588">IF(L1411="N3","SFAS-109","")</f>
        <v/>
      </c>
      <c r="L1411" s="170" t="s">
        <v>928</v>
      </c>
      <c r="M1411" s="122" t="str">
        <f t="shared" si="586"/>
        <v>N</v>
      </c>
      <c r="N1411" s="116" t="str">
        <f>IF($L1411&lt;&gt;"",VLOOKUP($L1411,Categories!$E:$G,2,FALSE),IF($F1411&lt;&gt;"","NO CAT",""))</f>
        <v>Not in Rate Base</v>
      </c>
      <c r="O1411" s="116" t="str">
        <f>IF($L1411&lt;&gt;"",VLOOKUP($L1411,Categories!$E:$G,3,FALSE),IF($F1411&lt;&gt;"","NO CAT",""))</f>
        <v>Direct Assign Items Not in RB</v>
      </c>
      <c r="P1411" s="170" t="s">
        <v>1186</v>
      </c>
      <c r="Q1411" s="123" t="s">
        <v>1187</v>
      </c>
      <c r="R1411" s="124">
        <v>0</v>
      </c>
      <c r="S1411" s="124">
        <v>0</v>
      </c>
      <c r="T1411" s="124">
        <v>1</v>
      </c>
      <c r="U1411" s="121">
        <f t="shared" si="576"/>
        <v>0</v>
      </c>
      <c r="V1411" s="121">
        <f t="shared" si="577"/>
        <v>0</v>
      </c>
      <c r="W1411" s="121">
        <f t="shared" si="578"/>
        <v>93.421321250000204</v>
      </c>
      <c r="X1411" s="121">
        <f t="shared" ref="X1411:X1459" si="589">IF(ISERROR(ROUND((SUM(AC1411:AO1411)-((AC1411+AO1411))/2)/12,15)),"",ROUND((SUM(AC1411:AO1411)-((AC1411+AO1411))/2)/12,15))</f>
        <v>93.421321250000204</v>
      </c>
      <c r="Y1411" s="121">
        <f t="shared" si="579"/>
        <v>0</v>
      </c>
      <c r="Z1411" s="121">
        <f t="shared" si="580"/>
        <v>0</v>
      </c>
      <c r="AA1411" s="121">
        <f t="shared" si="581"/>
        <v>-360.16986000000003</v>
      </c>
      <c r="AB1411" s="121">
        <f t="shared" ref="AB1411:AB1459" si="590">IF(AO1411="",0,+AO1411)</f>
        <v>-360.16985999999974</v>
      </c>
      <c r="AC1411" s="121">
        <v>186.66721000000024</v>
      </c>
      <c r="AD1411" s="121">
        <v>259.33352000000025</v>
      </c>
      <c r="AE1411" s="121">
        <v>301.0423600000002</v>
      </c>
      <c r="AF1411" s="121">
        <v>327.15578000000022</v>
      </c>
      <c r="AG1411" s="121">
        <v>286.62799000000024</v>
      </c>
      <c r="AH1411" s="121">
        <v>201.57843000000022</v>
      </c>
      <c r="AI1411" s="161">
        <v>169.09050000000022</v>
      </c>
      <c r="AJ1411" s="161">
        <v>134.02262000000022</v>
      </c>
      <c r="AK1411" s="161">
        <v>73.404020000000216</v>
      </c>
      <c r="AL1411" s="161">
        <v>-56.500339999999781</v>
      </c>
      <c r="AM1411" s="161">
        <v>-189.16738999999978</v>
      </c>
      <c r="AN1411" s="161">
        <v>-298.78030999999976</v>
      </c>
      <c r="AO1411" s="161">
        <v>-360.16985999999974</v>
      </c>
      <c r="AP1411" s="125" t="str">
        <f>CONCATENATE(A1411,M1411)</f>
        <v>Def TaxN</v>
      </c>
      <c r="AQ1411" s="125" t="str">
        <f>CONCATENATE(AP1411,L1411,H1411)</f>
        <v>Def TaxNN2Merchant Function Charge - Electric</v>
      </c>
      <c r="AS1411" s="125" t="str">
        <f>CONCATENATE(L1411,H1411,J1411)</f>
        <v>N2Merchant Function Charge - Electric</v>
      </c>
    </row>
    <row r="1412" spans="1:45" s="125" customFormat="1" ht="25.5" customHeight="1">
      <c r="A1412" s="216" t="s">
        <v>1996</v>
      </c>
      <c r="B1412" s="217" t="str">
        <f t="shared" si="575"/>
        <v>Def Tax283500MHP Meter CostsBE030587</v>
      </c>
      <c r="C1412" s="186">
        <v>283500</v>
      </c>
      <c r="D1412" s="201" t="s">
        <v>924</v>
      </c>
      <c r="E1412" s="162" t="s">
        <v>3440</v>
      </c>
      <c r="F1412" s="169" t="s">
        <v>300</v>
      </c>
      <c r="G1412" s="117" t="s">
        <v>924</v>
      </c>
      <c r="H1412" s="118" t="s">
        <v>3215</v>
      </c>
      <c r="I1412" s="119"/>
      <c r="J1412" s="231"/>
      <c r="K1412" s="120" t="str">
        <f t="shared" si="588"/>
        <v/>
      </c>
      <c r="L1412" s="170" t="s">
        <v>928</v>
      </c>
      <c r="M1412" s="122" t="str">
        <f t="shared" si="586"/>
        <v>N</v>
      </c>
      <c r="N1412" s="116" t="str">
        <f>IF($L1412&lt;&gt;"",VLOOKUP($L1412,Categories!$E:$G,2,FALSE),IF($F1412&lt;&gt;"","NO CAT",""))</f>
        <v>Not in Rate Base</v>
      </c>
      <c r="O1412" s="116" t="str">
        <f>IF($L1412&lt;&gt;"",VLOOKUP($L1412,Categories!$E:$G,3,FALSE),IF($F1412&lt;&gt;"","NO CAT",""))</f>
        <v>Direct Assign Items Not in RB</v>
      </c>
      <c r="P1412" s="170" t="s">
        <v>1186</v>
      </c>
      <c r="Q1412" s="123" t="s">
        <v>1187</v>
      </c>
      <c r="R1412" s="124">
        <v>0</v>
      </c>
      <c r="S1412" s="124">
        <v>0</v>
      </c>
      <c r="T1412" s="124">
        <v>1</v>
      </c>
      <c r="U1412" s="121">
        <f t="shared" si="576"/>
        <v>0</v>
      </c>
      <c r="V1412" s="121">
        <f t="shared" si="577"/>
        <v>0</v>
      </c>
      <c r="W1412" s="121">
        <f t="shared" si="578"/>
        <v>-4.1695500000000001</v>
      </c>
      <c r="X1412" s="121">
        <f t="shared" si="589"/>
        <v>-4.1695500000000001</v>
      </c>
      <c r="Y1412" s="121">
        <f t="shared" si="579"/>
        <v>0</v>
      </c>
      <c r="Z1412" s="121">
        <f t="shared" si="580"/>
        <v>0</v>
      </c>
      <c r="AA1412" s="121">
        <f t="shared" si="581"/>
        <v>-4.1695500000000001</v>
      </c>
      <c r="AB1412" s="121">
        <f t="shared" si="590"/>
        <v>-4.1695500000000001</v>
      </c>
      <c r="AC1412" s="121">
        <v>-4.1695500000000001</v>
      </c>
      <c r="AD1412" s="121">
        <v>-4.1695500000000001</v>
      </c>
      <c r="AE1412" s="121">
        <v>-4.1695500000000001</v>
      </c>
      <c r="AF1412" s="121">
        <v>-4.1695500000000001</v>
      </c>
      <c r="AG1412" s="121">
        <v>-4.1695500000000001</v>
      </c>
      <c r="AH1412" s="121">
        <v>-4.1695500000000001</v>
      </c>
      <c r="AI1412" s="161">
        <v>-4.1695500000000001</v>
      </c>
      <c r="AJ1412" s="161">
        <v>-4.1695500000000001</v>
      </c>
      <c r="AK1412" s="161">
        <v>-4.1695500000000001</v>
      </c>
      <c r="AL1412" s="161">
        <v>-4.1695500000000001</v>
      </c>
      <c r="AM1412" s="161">
        <v>-4.1695500000000001</v>
      </c>
      <c r="AN1412" s="161">
        <v>-4.1695500000000001</v>
      </c>
      <c r="AO1412" s="161">
        <v>-4.1695500000000001</v>
      </c>
      <c r="AP1412" s="125" t="str">
        <f>CONCATENATE(A1412,M1412)</f>
        <v>Def TaxN</v>
      </c>
      <c r="AQ1412" s="125" t="str">
        <f>CONCATENATE(AP1412,L1412,H1412)</f>
        <v>Def TaxNN2MHP Meter Deferral</v>
      </c>
      <c r="AS1412" s="125" t="str">
        <f>CONCATENATE(L1412,H1412,J1412)</f>
        <v>N2MHP Meter Deferral</v>
      </c>
    </row>
    <row r="1413" spans="1:45" s="125" customFormat="1" ht="25.5" customHeight="1">
      <c r="A1413" s="216" t="s">
        <v>1996</v>
      </c>
      <c r="B1413" s="217" t="str">
        <f t="shared" si="575"/>
        <v>Def Tax2835000-283.21.86BT010117</v>
      </c>
      <c r="C1413" s="186">
        <v>283500</v>
      </c>
      <c r="D1413" s="201" t="s">
        <v>2501</v>
      </c>
      <c r="E1413" s="162" t="s">
        <v>292</v>
      </c>
      <c r="F1413" s="169" t="s">
        <v>300</v>
      </c>
      <c r="G1413" s="117" t="s">
        <v>602</v>
      </c>
      <c r="H1413" s="118" t="s">
        <v>1484</v>
      </c>
      <c r="I1413" s="119"/>
      <c r="J1413" s="120"/>
      <c r="K1413" s="120" t="str">
        <f t="shared" si="588"/>
        <v/>
      </c>
      <c r="L1413" s="170" t="s">
        <v>1895</v>
      </c>
      <c r="M1413" s="122" t="str">
        <f t="shared" si="586"/>
        <v>R</v>
      </c>
      <c r="N1413" s="116" t="str">
        <f>IF($L1413&lt;&gt;"",VLOOKUP($L1413,Categories!$E:$G,2,FALSE),IF($F1413&lt;&gt;"","NO CAT",""))</f>
        <v>Rate Base</v>
      </c>
      <c r="O1413" s="116" t="str">
        <f>IF($L1413&lt;&gt;"",VLOOKUP($L1413,Categories!$E:$G,3,FALSE),IF($F1413&lt;&gt;"","NO CAT",""))</f>
        <v>Deferred Income Taxes</v>
      </c>
      <c r="P1413" s="170" t="s">
        <v>1183</v>
      </c>
      <c r="Q1413" s="123" t="s">
        <v>1177</v>
      </c>
      <c r="R1413" s="124">
        <v>1</v>
      </c>
      <c r="S1413" s="124">
        <v>0</v>
      </c>
      <c r="T1413" s="124">
        <v>0</v>
      </c>
      <c r="U1413" s="121">
        <f t="shared" si="576"/>
        <v>-945.61</v>
      </c>
      <c r="V1413" s="121">
        <f t="shared" si="577"/>
        <v>0</v>
      </c>
      <c r="W1413" s="121">
        <f t="shared" si="578"/>
        <v>0</v>
      </c>
      <c r="X1413" s="121">
        <f t="shared" si="589"/>
        <v>-945.61</v>
      </c>
      <c r="Y1413" s="121">
        <f t="shared" si="579"/>
        <v>-945.61</v>
      </c>
      <c r="Z1413" s="121">
        <f t="shared" si="580"/>
        <v>0</v>
      </c>
      <c r="AA1413" s="121">
        <f t="shared" si="581"/>
        <v>0</v>
      </c>
      <c r="AB1413" s="121">
        <f t="shared" si="590"/>
        <v>-945.61</v>
      </c>
      <c r="AC1413" s="121">
        <v>-945.61</v>
      </c>
      <c r="AD1413" s="121">
        <v>-945.61</v>
      </c>
      <c r="AE1413" s="121">
        <v>-945.61</v>
      </c>
      <c r="AF1413" s="121">
        <v>-945.61</v>
      </c>
      <c r="AG1413" s="121">
        <v>-945.61</v>
      </c>
      <c r="AH1413" s="121">
        <v>-945.61</v>
      </c>
      <c r="AI1413" s="161">
        <v>-945.61</v>
      </c>
      <c r="AJ1413" s="161">
        <v>-945.61</v>
      </c>
      <c r="AK1413" s="161">
        <v>-945.61</v>
      </c>
      <c r="AL1413" s="161">
        <v>-945.61</v>
      </c>
      <c r="AM1413" s="161">
        <v>-945.61</v>
      </c>
      <c r="AN1413" s="161">
        <v>-945.61</v>
      </c>
      <c r="AO1413" s="161">
        <v>-945.61</v>
      </c>
      <c r="AP1413" s="125" t="str">
        <f>CONCATENATE(A1413,M1413)</f>
        <v>Def TaxR</v>
      </c>
      <c r="AQ1413" s="125" t="str">
        <f>CONCATENATE(AP1413,L1413,H1413)</f>
        <v>Def TaxRR11MTA Surcharge</v>
      </c>
      <c r="AS1413" s="125" t="str">
        <f>CONCATENATE(L1413,H1413,J1413)</f>
        <v>R11MTA Surcharge</v>
      </c>
    </row>
    <row r="1414" spans="1:45" s="125" customFormat="1" ht="25.5" customHeight="1">
      <c r="A1414" s="216" t="s">
        <v>1996</v>
      </c>
      <c r="B1414" s="217" t="str">
        <f t="shared" ref="B1414:B1466" si="591">CONCATENATE(A1414,C1414,D1414,E1414)</f>
        <v>Def Tax283500NBWC True-upBT010347</v>
      </c>
      <c r="C1414" s="186">
        <v>283500</v>
      </c>
      <c r="D1414" s="201" t="s">
        <v>635</v>
      </c>
      <c r="E1414" s="162" t="s">
        <v>3273</v>
      </c>
      <c r="F1414" s="169" t="s">
        <v>300</v>
      </c>
      <c r="G1414" s="117" t="s">
        <v>429</v>
      </c>
      <c r="H1414" s="118" t="s">
        <v>635</v>
      </c>
      <c r="I1414" s="119"/>
      <c r="J1414" s="231"/>
      <c r="K1414" s="120" t="str">
        <f t="shared" si="588"/>
        <v/>
      </c>
      <c r="L1414" s="170" t="s">
        <v>1895</v>
      </c>
      <c r="M1414" s="122" t="str">
        <f t="shared" si="586"/>
        <v>R</v>
      </c>
      <c r="N1414" s="116" t="str">
        <f>IF($L1414&lt;&gt;"",VLOOKUP($L1414,Categories!$E:$G,2,FALSE),IF($F1414&lt;&gt;"","NO CAT",""))</f>
        <v>Rate Base</v>
      </c>
      <c r="O1414" s="116" t="str">
        <f>IF($L1414&lt;&gt;"",VLOOKUP($L1414,Categories!$E:$G,3,FALSE),IF($F1414&lt;&gt;"","NO CAT",""))</f>
        <v>Deferred Income Taxes</v>
      </c>
      <c r="P1414" s="170" t="s">
        <v>1183</v>
      </c>
      <c r="Q1414" s="123" t="s">
        <v>1177</v>
      </c>
      <c r="R1414" s="124">
        <v>1</v>
      </c>
      <c r="S1414" s="124">
        <v>0</v>
      </c>
      <c r="T1414" s="124">
        <v>0</v>
      </c>
      <c r="U1414" s="121">
        <f t="shared" si="576"/>
        <v>-4672.3296491666597</v>
      </c>
      <c r="V1414" s="121">
        <f t="shared" si="577"/>
        <v>0</v>
      </c>
      <c r="W1414" s="121">
        <f t="shared" si="578"/>
        <v>0</v>
      </c>
      <c r="X1414" s="121">
        <f t="shared" si="589"/>
        <v>-4672.3296491666697</v>
      </c>
      <c r="Y1414" s="121">
        <f t="shared" si="579"/>
        <v>-1827.6507999999999</v>
      </c>
      <c r="Z1414" s="121">
        <f t="shared" si="580"/>
        <v>0</v>
      </c>
      <c r="AA1414" s="121">
        <f t="shared" si="581"/>
        <v>0</v>
      </c>
      <c r="AB1414" s="121">
        <f t="shared" si="590"/>
        <v>-1827.6508000000026</v>
      </c>
      <c r="AC1414" s="121">
        <v>-1277.2412800000022</v>
      </c>
      <c r="AD1414" s="121">
        <v>-7910.6247900000017</v>
      </c>
      <c r="AE1414" s="121">
        <v>-7545.6767100000015</v>
      </c>
      <c r="AF1414" s="121">
        <v>-5873.6631700000016</v>
      </c>
      <c r="AG1414" s="121">
        <v>-5197.8623000000016</v>
      </c>
      <c r="AH1414" s="121">
        <v>-3846.7939000000019</v>
      </c>
      <c r="AI1414" s="161">
        <v>-2618.7210000000018</v>
      </c>
      <c r="AJ1414" s="161">
        <v>-5678.0883200000026</v>
      </c>
      <c r="AK1414" s="161">
        <v>-5809.0609900000018</v>
      </c>
      <c r="AL1414" s="161">
        <v>-3932.860860000002</v>
      </c>
      <c r="AM1414" s="161">
        <v>-3717.1853200000023</v>
      </c>
      <c r="AN1414" s="161">
        <v>-2384.9723900000026</v>
      </c>
      <c r="AO1414" s="161">
        <v>-1827.6508000000026</v>
      </c>
      <c r="AP1414" s="125" t="str">
        <f>CONCATENATE(A1414,M1414)</f>
        <v>Def TaxR</v>
      </c>
      <c r="AQ1414" s="125" t="str">
        <f>CONCATENATE(AP1414,L1414,H1414)</f>
        <v>Def TaxRR11NBWC True-up</v>
      </c>
      <c r="AS1414" s="125" t="str">
        <f>CONCATENATE(L1414,H1414,J1414)</f>
        <v>R11NBWC True-up</v>
      </c>
    </row>
    <row r="1415" spans="1:45" s="125" customFormat="1" ht="25.5" customHeight="1">
      <c r="A1415" s="216" t="s">
        <v>1996</v>
      </c>
      <c r="B1415" s="217" t="str">
        <f t="shared" si="591"/>
        <v>Def Tax2835000-149.49.27BE030208</v>
      </c>
      <c r="C1415" s="186">
        <v>283500</v>
      </c>
      <c r="D1415" s="201" t="s">
        <v>860</v>
      </c>
      <c r="E1415" s="162" t="s">
        <v>847</v>
      </c>
      <c r="F1415" s="169" t="s">
        <v>300</v>
      </c>
      <c r="G1415" s="117" t="s">
        <v>1086</v>
      </c>
      <c r="H1415" s="118" t="s">
        <v>2762</v>
      </c>
      <c r="I1415" s="119"/>
      <c r="J1415" s="120"/>
      <c r="K1415" s="120" t="str">
        <f t="shared" si="588"/>
        <v/>
      </c>
      <c r="L1415" s="170" t="s">
        <v>2819</v>
      </c>
      <c r="M1415" s="122" t="str">
        <f t="shared" si="586"/>
        <v>N</v>
      </c>
      <c r="N1415" s="116" t="str">
        <f>IF($L1415&lt;&gt;"",VLOOKUP($L1415,Categories!$E:$G,2,FALSE),IF($F1415&lt;&gt;"","NO CAT",""))</f>
        <v>Not in Rate Base</v>
      </c>
      <c r="O1415" s="116" t="str">
        <f>IF($L1415&lt;&gt;"",VLOOKUP($L1415,Categories!$E:$G,3,FALSE),IF($F1415&lt;&gt;"","NO CAT",""))</f>
        <v>Nine Mile Costs</v>
      </c>
      <c r="P1415" s="170" t="s">
        <v>1186</v>
      </c>
      <c r="Q1415" s="123" t="s">
        <v>1187</v>
      </c>
      <c r="R1415" s="124">
        <v>0</v>
      </c>
      <c r="S1415" s="124">
        <v>0</v>
      </c>
      <c r="T1415" s="124">
        <v>1</v>
      </c>
      <c r="U1415" s="121">
        <f t="shared" si="576"/>
        <v>0</v>
      </c>
      <c r="V1415" s="121">
        <f t="shared" si="577"/>
        <v>0</v>
      </c>
      <c r="W1415" s="121">
        <f t="shared" si="578"/>
        <v>-24.341999999999999</v>
      </c>
      <c r="X1415" s="121">
        <f t="shared" si="589"/>
        <v>-24.341999999999999</v>
      </c>
      <c r="Y1415" s="121">
        <f t="shared" si="579"/>
        <v>0</v>
      </c>
      <c r="Z1415" s="121">
        <f t="shared" si="580"/>
        <v>0</v>
      </c>
      <c r="AA1415" s="121">
        <f t="shared" si="581"/>
        <v>-24.341999999999999</v>
      </c>
      <c r="AB1415" s="121">
        <f t="shared" si="590"/>
        <v>-24.341999999999999</v>
      </c>
      <c r="AC1415" s="121">
        <v>-24.341999999999999</v>
      </c>
      <c r="AD1415" s="121">
        <v>-24.341999999999999</v>
      </c>
      <c r="AE1415" s="121">
        <v>-24.341999999999999</v>
      </c>
      <c r="AF1415" s="121">
        <v>-24.341999999999999</v>
      </c>
      <c r="AG1415" s="121">
        <v>-24.341999999999999</v>
      </c>
      <c r="AH1415" s="121">
        <v>-24.341999999999999</v>
      </c>
      <c r="AI1415" s="161">
        <v>-24.341999999999999</v>
      </c>
      <c r="AJ1415" s="161">
        <v>-24.341999999999999</v>
      </c>
      <c r="AK1415" s="161">
        <v>-24.341999999999999</v>
      </c>
      <c r="AL1415" s="161">
        <v>-24.341999999999999</v>
      </c>
      <c r="AM1415" s="161">
        <v>-24.341999999999999</v>
      </c>
      <c r="AN1415" s="161">
        <v>-24.341999999999999</v>
      </c>
      <c r="AO1415" s="161">
        <v>-24.341999999999999</v>
      </c>
      <c r="AP1415" s="125" t="str">
        <f>CONCATENATE(A1415,M1415)</f>
        <v>Def TaxN</v>
      </c>
      <c r="AQ1415" s="125" t="str">
        <f>CONCATENATE(AP1415,L1415,H1415)</f>
        <v>Def TaxNN9Nine Mile 2 Costs</v>
      </c>
      <c r="AS1415" s="125" t="str">
        <f>CONCATENATE(L1415,H1415,J1415)</f>
        <v>N9Nine Mile 2 Costs</v>
      </c>
    </row>
    <row r="1416" spans="1:45" s="125" customFormat="1" ht="25.5" customHeight="1">
      <c r="A1416" s="216" t="s">
        <v>1996</v>
      </c>
      <c r="B1416" s="217" t="str">
        <f t="shared" si="591"/>
        <v>Def Tax2835000-283.22.25BE030175</v>
      </c>
      <c r="C1416" s="186">
        <v>283500</v>
      </c>
      <c r="D1416" s="201" t="s">
        <v>1470</v>
      </c>
      <c r="E1416" s="162" t="s">
        <v>1729</v>
      </c>
      <c r="F1416" s="169" t="s">
        <v>300</v>
      </c>
      <c r="G1416" s="117" t="s">
        <v>1471</v>
      </c>
      <c r="H1416" s="118" t="s">
        <v>1665</v>
      </c>
      <c r="I1416" s="119"/>
      <c r="J1416" s="231"/>
      <c r="K1416" s="120" t="str">
        <f t="shared" si="588"/>
        <v/>
      </c>
      <c r="L1416" s="170" t="s">
        <v>1895</v>
      </c>
      <c r="M1416" s="122" t="str">
        <f t="shared" si="586"/>
        <v>R</v>
      </c>
      <c r="N1416" s="116" t="str">
        <f>IF($L1416&lt;&gt;"",VLOOKUP($L1416,Categories!$E:$G,2,FALSE),IF($F1416&lt;&gt;"","NO CAT",""))</f>
        <v>Rate Base</v>
      </c>
      <c r="O1416" s="116" t="str">
        <f>IF($L1416&lt;&gt;"",VLOOKUP($L1416,Categories!$E:$G,3,FALSE),IF($F1416&lt;&gt;"","NO CAT",""))</f>
        <v>Deferred Income Taxes</v>
      </c>
      <c r="P1416" s="170" t="s">
        <v>1183</v>
      </c>
      <c r="Q1416" s="123" t="s">
        <v>1177</v>
      </c>
      <c r="R1416" s="124">
        <v>1</v>
      </c>
      <c r="S1416" s="124">
        <v>0</v>
      </c>
      <c r="T1416" s="124">
        <v>0</v>
      </c>
      <c r="U1416" s="121">
        <f t="shared" si="576"/>
        <v>-6.4072899999999899</v>
      </c>
      <c r="V1416" s="121">
        <f t="shared" si="577"/>
        <v>0</v>
      </c>
      <c r="W1416" s="121">
        <f t="shared" si="578"/>
        <v>0</v>
      </c>
      <c r="X1416" s="121">
        <f t="shared" si="589"/>
        <v>-6.4072899999999899</v>
      </c>
      <c r="Y1416" s="121">
        <f t="shared" si="579"/>
        <v>-6.4072899999999899</v>
      </c>
      <c r="Z1416" s="121">
        <f t="shared" si="580"/>
        <v>0</v>
      </c>
      <c r="AA1416" s="121">
        <f t="shared" si="581"/>
        <v>0</v>
      </c>
      <c r="AB1416" s="121">
        <f t="shared" si="590"/>
        <v>-6.4072899999999899</v>
      </c>
      <c r="AC1416" s="121">
        <v>-6.4072899999999899</v>
      </c>
      <c r="AD1416" s="121">
        <v>-6.4072899999999899</v>
      </c>
      <c r="AE1416" s="121">
        <v>-6.4072899999999899</v>
      </c>
      <c r="AF1416" s="121">
        <v>-6.4072899999999899</v>
      </c>
      <c r="AG1416" s="121">
        <v>-6.4072899999999899</v>
      </c>
      <c r="AH1416" s="121">
        <v>-6.4072899999999899</v>
      </c>
      <c r="AI1416" s="121">
        <v>-6.4072899999999899</v>
      </c>
      <c r="AJ1416" s="121">
        <v>-6.4072899999999899</v>
      </c>
      <c r="AK1416" s="161">
        <v>-6.4072899999999899</v>
      </c>
      <c r="AL1416" s="161">
        <v>-6.4072899999999899</v>
      </c>
      <c r="AM1416" s="161">
        <v>-6.4072899999999899</v>
      </c>
      <c r="AN1416" s="161">
        <v>-6.4072899999999899</v>
      </c>
      <c r="AO1416" s="161">
        <v>-6.4072899999999899</v>
      </c>
      <c r="AP1416" s="125" t="str">
        <f>CONCATENATE(A1416,M1416)</f>
        <v>Def TaxR</v>
      </c>
      <c r="AQ1416" s="125" t="str">
        <f>CONCATENATE(AP1416,L1416,H1416)</f>
        <v>Def TaxRR11NYPA Ancillaries</v>
      </c>
      <c r="AS1416" s="125" t="str">
        <f>CONCATENATE(L1416,H1416,J1416)</f>
        <v>R11NYPA Ancillaries</v>
      </c>
    </row>
    <row r="1417" spans="1:45" s="125" customFormat="1" ht="25.5" customHeight="1">
      <c r="A1417" s="216" t="s">
        <v>1996</v>
      </c>
      <c r="B1417" s="217" t="str">
        <f t="shared" si="591"/>
        <v>Def Tax283500NyserdaBE030183</v>
      </c>
      <c r="C1417" s="186">
        <v>283500</v>
      </c>
      <c r="D1417" s="201" t="s">
        <v>2256</v>
      </c>
      <c r="E1417" s="162" t="s">
        <v>1948</v>
      </c>
      <c r="F1417" s="169" t="s">
        <v>300</v>
      </c>
      <c r="G1417" s="117" t="s">
        <v>2826</v>
      </c>
      <c r="H1417" s="118" t="s">
        <v>593</v>
      </c>
      <c r="I1417" s="119"/>
      <c r="J1417" s="120"/>
      <c r="K1417" s="120" t="str">
        <f t="shared" si="588"/>
        <v/>
      </c>
      <c r="L1417" s="170" t="s">
        <v>928</v>
      </c>
      <c r="M1417" s="122" t="str">
        <f t="shared" si="586"/>
        <v>N</v>
      </c>
      <c r="N1417" s="116" t="str">
        <f>IF($L1417&lt;&gt;"",VLOOKUP($L1417,Categories!$E:$G,2,FALSE),IF($F1417&lt;&gt;"","NO CAT",""))</f>
        <v>Not in Rate Base</v>
      </c>
      <c r="O1417" s="116" t="str">
        <f>IF($L1417&lt;&gt;"",VLOOKUP($L1417,Categories!$E:$G,3,FALSE),IF($F1417&lt;&gt;"","NO CAT",""))</f>
        <v>Direct Assign Items Not in RB</v>
      </c>
      <c r="P1417" s="170" t="s">
        <v>1186</v>
      </c>
      <c r="Q1417" s="123" t="s">
        <v>1187</v>
      </c>
      <c r="R1417" s="124">
        <v>0</v>
      </c>
      <c r="S1417" s="124">
        <v>0</v>
      </c>
      <c r="T1417" s="124">
        <v>1</v>
      </c>
      <c r="U1417" s="121">
        <f t="shared" si="576"/>
        <v>0</v>
      </c>
      <c r="V1417" s="121">
        <f t="shared" si="577"/>
        <v>0</v>
      </c>
      <c r="W1417" s="121">
        <f t="shared" si="578"/>
        <v>4.6958333333399998E-4</v>
      </c>
      <c r="X1417" s="121">
        <f t="shared" si="589"/>
        <v>4.6958333333399998E-4</v>
      </c>
      <c r="Y1417" s="121">
        <f t="shared" si="579"/>
        <v>0</v>
      </c>
      <c r="Z1417" s="121">
        <f t="shared" si="580"/>
        <v>0</v>
      </c>
      <c r="AA1417" s="121">
        <f t="shared" si="581"/>
        <v>4.8999999999999998E-4</v>
      </c>
      <c r="AB1417" s="121">
        <f t="shared" si="590"/>
        <v>4.9000000000033663E-4</v>
      </c>
      <c r="AC1417" s="121">
        <v>0</v>
      </c>
      <c r="AD1417" s="121">
        <v>4.9000000000033663E-4</v>
      </c>
      <c r="AE1417" s="121">
        <v>4.9000000000033663E-4</v>
      </c>
      <c r="AF1417" s="121">
        <v>4.9000000000033663E-4</v>
      </c>
      <c r="AG1417" s="121">
        <v>4.9000000000033663E-4</v>
      </c>
      <c r="AH1417" s="121">
        <v>4.9000000000033663E-4</v>
      </c>
      <c r="AI1417" s="161">
        <v>4.9000000000033663E-4</v>
      </c>
      <c r="AJ1417" s="161">
        <v>4.9000000000033663E-4</v>
      </c>
      <c r="AK1417" s="161">
        <v>4.9000000000033663E-4</v>
      </c>
      <c r="AL1417" s="161">
        <v>4.9000000000033663E-4</v>
      </c>
      <c r="AM1417" s="161">
        <v>4.9000000000033663E-4</v>
      </c>
      <c r="AN1417" s="161">
        <v>4.9000000000033663E-4</v>
      </c>
      <c r="AO1417" s="161">
        <v>4.9000000000033663E-4</v>
      </c>
      <c r="AP1417" s="125" t="str">
        <f>CONCATENATE(A1417,M1417)</f>
        <v>Def TaxN</v>
      </c>
      <c r="AQ1417" s="125" t="str">
        <f>CONCATENATE(AP1417,L1417,H1417)</f>
        <v>Def TaxNN2Energy Efficiency</v>
      </c>
      <c r="AS1417" s="125" t="str">
        <f>CONCATENATE(L1417,H1417,J1417)</f>
        <v>N2Energy Efficiency</v>
      </c>
    </row>
    <row r="1418" spans="1:45" s="125" customFormat="1" ht="25.5" customHeight="1">
      <c r="A1418" s="216" t="s">
        <v>1996</v>
      </c>
      <c r="B1418" s="217" t="str">
        <f t="shared" si="591"/>
        <v>Def Tax283500FAS 158 - PenBC030561</v>
      </c>
      <c r="C1418" s="186">
        <v>283500</v>
      </c>
      <c r="D1418" s="201" t="s">
        <v>1740</v>
      </c>
      <c r="E1418" s="162" t="s">
        <v>734</v>
      </c>
      <c r="F1418" s="169" t="s">
        <v>300</v>
      </c>
      <c r="G1418" s="117" t="s">
        <v>1088</v>
      </c>
      <c r="H1418" s="118" t="s">
        <v>1002</v>
      </c>
      <c r="I1418" s="119"/>
      <c r="J1418" s="120"/>
      <c r="K1418" s="120" t="str">
        <f t="shared" si="588"/>
        <v/>
      </c>
      <c r="L1418" s="170" t="s">
        <v>1895</v>
      </c>
      <c r="M1418" s="122" t="str">
        <f t="shared" si="586"/>
        <v>R</v>
      </c>
      <c r="N1418" s="116" t="str">
        <f>IF($L1418&lt;&gt;"",VLOOKUP($L1418,Categories!$E:$G,2,FALSE),IF($F1418&lt;&gt;"","NO CAT",""))</f>
        <v>Rate Base</v>
      </c>
      <c r="O1418" s="116" t="str">
        <f>IF($L1418&lt;&gt;"",VLOOKUP($L1418,Categories!$E:$G,3,FALSE),IF($F1418&lt;&gt;"","NO CAT",""))</f>
        <v>Deferred Income Taxes</v>
      </c>
      <c r="P1418" s="170" t="s">
        <v>1553</v>
      </c>
      <c r="Q1418" s="123" t="s">
        <v>2587</v>
      </c>
      <c r="R1418" s="124">
        <v>0.81899999999999995</v>
      </c>
      <c r="S1418" s="124">
        <v>0.18099999999999999</v>
      </c>
      <c r="T1418" s="124">
        <v>0</v>
      </c>
      <c r="U1418" s="121" t="str">
        <f t="shared" si="576"/>
        <v/>
      </c>
      <c r="V1418" s="121" t="str">
        <f t="shared" si="577"/>
        <v/>
      </c>
      <c r="W1418" s="121" t="str">
        <f t="shared" si="578"/>
        <v/>
      </c>
      <c r="X1418" s="121">
        <f t="shared" si="589"/>
        <v>0</v>
      </c>
      <c r="Y1418" s="121" t="str">
        <f t="shared" si="579"/>
        <v/>
      </c>
      <c r="Z1418" s="121" t="str">
        <f t="shared" si="580"/>
        <v/>
      </c>
      <c r="AA1418" s="121" t="str">
        <f t="shared" si="581"/>
        <v/>
      </c>
      <c r="AB1418" s="121">
        <f t="shared" si="590"/>
        <v>0</v>
      </c>
      <c r="AC1418" s="121">
        <v>0</v>
      </c>
      <c r="AD1418" s="121">
        <v>0</v>
      </c>
      <c r="AE1418" s="121">
        <v>0</v>
      </c>
      <c r="AF1418" s="121">
        <v>0</v>
      </c>
      <c r="AG1418" s="121">
        <v>0</v>
      </c>
      <c r="AH1418" s="121">
        <v>0</v>
      </c>
      <c r="AI1418" s="121">
        <v>0</v>
      </c>
      <c r="AJ1418" s="121">
        <f>IF(AI1418=0,0,0)</f>
        <v>0</v>
      </c>
      <c r="AK1418" s="161">
        <v>0</v>
      </c>
      <c r="AL1418" s="161">
        <v>0</v>
      </c>
      <c r="AM1418" s="161">
        <v>0</v>
      </c>
      <c r="AN1418" s="161">
        <v>0</v>
      </c>
      <c r="AO1418" s="161">
        <v>0</v>
      </c>
      <c r="AP1418" s="125" t="str">
        <f>CONCATENATE(A1418,M1418)</f>
        <v>Def TaxR</v>
      </c>
      <c r="AQ1418" s="125" t="str">
        <f>CONCATENATE(AP1418,L1418,H1418)</f>
        <v>Def TaxRR11Accrued Pension</v>
      </c>
      <c r="AS1418" s="125" t="str">
        <f>CONCATENATE(L1418,H1418,J1418)</f>
        <v>R11Accrued Pension</v>
      </c>
    </row>
    <row r="1419" spans="1:45" s="125" customFormat="1" ht="25.5" customHeight="1">
      <c r="A1419" s="216" t="s">
        <v>1996</v>
      </c>
      <c r="B1419" s="217" t="str">
        <f t="shared" si="591"/>
        <v>Def Tax283500Ptax DefBT010268</v>
      </c>
      <c r="C1419" s="186">
        <v>283500</v>
      </c>
      <c r="D1419" s="201" t="s">
        <v>940</v>
      </c>
      <c r="E1419" s="162" t="s">
        <v>278</v>
      </c>
      <c r="F1419" s="169" t="s">
        <v>300</v>
      </c>
      <c r="G1419" s="117" t="s">
        <v>815</v>
      </c>
      <c r="H1419" s="118" t="s">
        <v>815</v>
      </c>
      <c r="I1419" s="119"/>
      <c r="J1419" s="120" t="s">
        <v>105</v>
      </c>
      <c r="K1419" s="120" t="str">
        <f>IF(L1419="N3","SFAS-109","")</f>
        <v/>
      </c>
      <c r="L1419" s="170" t="s">
        <v>2821</v>
      </c>
      <c r="M1419" s="122" t="str">
        <f t="shared" si="586"/>
        <v>N</v>
      </c>
      <c r="N1419" s="116" t="str">
        <f>IF($L1419&lt;&gt;"",VLOOKUP($L1419,Categories!$E:$G,2,FALSE),IF($F1419&lt;&gt;"","NO CAT",""))</f>
        <v>Not in Rate Base</v>
      </c>
      <c r="O1419" s="116" t="str">
        <f>IF($L1419&lt;&gt;"",VLOOKUP($L1419,Categories!$E:$G,3,FALSE),IF($F1419&lt;&gt;"","NO CAT",""))</f>
        <v>Deferrals Accruing Non-Cash Return   (other than ASGA)</v>
      </c>
      <c r="P1419" s="170" t="s">
        <v>1186</v>
      </c>
      <c r="Q1419" s="123" t="s">
        <v>1187</v>
      </c>
      <c r="R1419" s="124">
        <v>0</v>
      </c>
      <c r="S1419" s="124">
        <v>0</v>
      </c>
      <c r="T1419" s="124">
        <v>1</v>
      </c>
      <c r="U1419" s="121">
        <f t="shared" si="576"/>
        <v>0</v>
      </c>
      <c r="V1419" s="121">
        <f t="shared" si="577"/>
        <v>0</v>
      </c>
      <c r="W1419" s="121">
        <f t="shared" si="578"/>
        <v>-6609.3510729166701</v>
      </c>
      <c r="X1419" s="121">
        <f t="shared" si="589"/>
        <v>-6609.3510729166701</v>
      </c>
      <c r="Y1419" s="121">
        <f t="shared" si="579"/>
        <v>0</v>
      </c>
      <c r="Z1419" s="121">
        <f t="shared" si="580"/>
        <v>0</v>
      </c>
      <c r="AA1419" s="121">
        <f t="shared" si="581"/>
        <v>-7890.9782500000001</v>
      </c>
      <c r="AB1419" s="121">
        <f t="shared" si="590"/>
        <v>-7890.9782500000001</v>
      </c>
      <c r="AC1419" s="121">
        <v>-5587.95298</v>
      </c>
      <c r="AD1419" s="121">
        <v>-5711.2437800000007</v>
      </c>
      <c r="AE1419" s="121">
        <v>-5901.6434100000006</v>
      </c>
      <c r="AF1419" s="121">
        <v>-6098.36474</v>
      </c>
      <c r="AG1419" s="121">
        <v>-6319.4530600000007</v>
      </c>
      <c r="AH1419" s="121">
        <v>-6232.5898800000004</v>
      </c>
      <c r="AI1419" s="161">
        <v>-6458.6376000000009</v>
      </c>
      <c r="AJ1419" s="161">
        <v>-6681.2536200000004</v>
      </c>
      <c r="AK1419" s="161">
        <v>-6907.6324100000002</v>
      </c>
      <c r="AL1419" s="161">
        <v>-7184.01199</v>
      </c>
      <c r="AM1419" s="161">
        <v>-7403.5742799999998</v>
      </c>
      <c r="AN1419" s="161">
        <v>-7674.34249</v>
      </c>
      <c r="AO1419" s="161">
        <v>-7890.9782500000001</v>
      </c>
      <c r="AP1419" s="125" t="str">
        <f>CONCATENATE(A1419,M1419)</f>
        <v>Def TaxN</v>
      </c>
      <c r="AQ1419" s="125" t="str">
        <f>CONCATENATE(AP1419,L1419,H1419)</f>
        <v>Def TaxNN10Property Tax Deferral</v>
      </c>
      <c r="AS1419" s="125" t="str">
        <f>CONCATENATE(L1419,H1419,J1419)</f>
        <v>N10Property Tax DeferralNCR</v>
      </c>
    </row>
    <row r="1420" spans="1:45" s="125" customFormat="1" ht="25.5" customHeight="1">
      <c r="A1420" s="216" t="s">
        <v>1996</v>
      </c>
      <c r="B1420" s="217" t="str">
        <f t="shared" si="591"/>
        <v>Def Tax283500POR CostsBT010159</v>
      </c>
      <c r="C1420" s="186">
        <v>283500</v>
      </c>
      <c r="D1420" s="201" t="s">
        <v>82</v>
      </c>
      <c r="E1420" s="162" t="s">
        <v>114</v>
      </c>
      <c r="F1420" s="169" t="s">
        <v>300</v>
      </c>
      <c r="G1420" s="117" t="s">
        <v>83</v>
      </c>
      <c r="H1420" s="118" t="s">
        <v>2858</v>
      </c>
      <c r="I1420" s="119"/>
      <c r="J1420" s="120"/>
      <c r="K1420" s="120" t="str">
        <f t="shared" ref="K1420:K1429" si="592">IF(L1420="N3","SFAS-109","")</f>
        <v/>
      </c>
      <c r="L1420" s="170" t="s">
        <v>1895</v>
      </c>
      <c r="M1420" s="122" t="str">
        <f t="shared" si="586"/>
        <v>R</v>
      </c>
      <c r="N1420" s="116" t="str">
        <f>IF($L1420&lt;&gt;"",VLOOKUP($L1420,Categories!$E:$G,2,FALSE),IF($F1420&lt;&gt;"","NO CAT",""))</f>
        <v>Rate Base</v>
      </c>
      <c r="O1420" s="116" t="str">
        <f>IF($L1420&lt;&gt;"",VLOOKUP($L1420,Categories!$E:$G,3,FALSE),IF($F1420&lt;&gt;"","NO CAT",""))</f>
        <v>Deferred Income Taxes</v>
      </c>
      <c r="P1420" s="170" t="s">
        <v>1183</v>
      </c>
      <c r="Q1420" s="123" t="s">
        <v>1177</v>
      </c>
      <c r="R1420" s="124">
        <v>1</v>
      </c>
      <c r="S1420" s="124">
        <v>0</v>
      </c>
      <c r="T1420" s="124">
        <v>0</v>
      </c>
      <c r="U1420" s="121">
        <f t="shared" si="576"/>
        <v>263.61301583333301</v>
      </c>
      <c r="V1420" s="121">
        <f t="shared" si="577"/>
        <v>0</v>
      </c>
      <c r="W1420" s="121">
        <f t="shared" si="578"/>
        <v>0</v>
      </c>
      <c r="X1420" s="121">
        <f t="shared" si="589"/>
        <v>263.61301583333301</v>
      </c>
      <c r="Y1420" s="121">
        <f t="shared" si="579"/>
        <v>237.68869000000001</v>
      </c>
      <c r="Z1420" s="121">
        <f t="shared" si="580"/>
        <v>0</v>
      </c>
      <c r="AA1420" s="121">
        <f t="shared" si="581"/>
        <v>0</v>
      </c>
      <c r="AB1420" s="121">
        <f t="shared" si="590"/>
        <v>237.68869000000001</v>
      </c>
      <c r="AC1420" s="121">
        <v>74.517449999999997</v>
      </c>
      <c r="AD1420" s="121">
        <v>127.08637</v>
      </c>
      <c r="AE1420" s="121">
        <v>185.78846999999999</v>
      </c>
      <c r="AF1420" s="121">
        <v>262.60777000000002</v>
      </c>
      <c r="AG1420" s="121">
        <v>279.85502000000002</v>
      </c>
      <c r="AH1420" s="121">
        <v>294.24220000000003</v>
      </c>
      <c r="AI1420" s="161">
        <v>307.13198000000006</v>
      </c>
      <c r="AJ1420" s="161">
        <v>329.22176000000002</v>
      </c>
      <c r="AK1420" s="161">
        <v>347.39638000000002</v>
      </c>
      <c r="AL1420" s="161">
        <v>323.78059000000002</v>
      </c>
      <c r="AM1420" s="161">
        <v>295.19736999999998</v>
      </c>
      <c r="AN1420" s="161">
        <v>254.94521</v>
      </c>
      <c r="AO1420" s="161">
        <v>237.68869000000001</v>
      </c>
      <c r="AP1420" s="125" t="str">
        <f>CONCATENATE(A1420,M1420)</f>
        <v>Def TaxR</v>
      </c>
      <c r="AQ1420" s="125" t="str">
        <f>CONCATENATE(AP1420,L1420,H1420)</f>
        <v>Def TaxRR11Purchase of Receivables</v>
      </c>
      <c r="AS1420" s="125" t="str">
        <f>CONCATENATE(L1420,H1420,J1420)</f>
        <v>R11Purchase of Receivables</v>
      </c>
    </row>
    <row r="1421" spans="1:45" s="125" customFormat="1" ht="25.5" customHeight="1">
      <c r="A1421" s="216" t="s">
        <v>1996</v>
      </c>
      <c r="B1421" s="217" t="str">
        <f t="shared" si="591"/>
        <v>Def Tax2835000-184.11.00BTHUNGDT</v>
      </c>
      <c r="C1421" s="186">
        <v>283500</v>
      </c>
      <c r="D1421" s="201" t="s">
        <v>3</v>
      </c>
      <c r="E1421" s="162" t="s">
        <v>616</v>
      </c>
      <c r="F1421" s="169" t="s">
        <v>300</v>
      </c>
      <c r="G1421" s="117" t="s">
        <v>120</v>
      </c>
      <c r="H1421" s="118" t="s">
        <v>1167</v>
      </c>
      <c r="I1421" s="119"/>
      <c r="J1421" s="120"/>
      <c r="K1421" s="120" t="str">
        <f t="shared" si="592"/>
        <v/>
      </c>
      <c r="L1421" s="170" t="s">
        <v>1895</v>
      </c>
      <c r="M1421" s="122" t="str">
        <f t="shared" si="586"/>
        <v>R</v>
      </c>
      <c r="N1421" s="116" t="str">
        <f>IF($L1421&lt;&gt;"",VLOOKUP($L1421,Categories!$E:$G,2,FALSE),IF($F1421&lt;&gt;"","NO CAT",""))</f>
        <v>Rate Base</v>
      </c>
      <c r="O1421" s="116" t="str">
        <f>IF($L1421&lt;&gt;"",VLOOKUP($L1421,Categories!$E:$G,3,FALSE),IF($F1421&lt;&gt;"","NO CAT",""))</f>
        <v>Deferred Income Taxes</v>
      </c>
      <c r="P1421" s="170" t="s">
        <v>1183</v>
      </c>
      <c r="Q1421" s="123" t="s">
        <v>1177</v>
      </c>
      <c r="R1421" s="124">
        <v>1</v>
      </c>
      <c r="S1421" s="124">
        <v>0</v>
      </c>
      <c r="T1421" s="124">
        <v>0</v>
      </c>
      <c r="U1421" s="121">
        <f t="shared" ref="U1421:U1476" si="593">IF(ABS(X1421)=0,"",IF($R1421="NO ALLOC","NO ALLOC",ROUND($R1421*X1421,15)))</f>
        <v>-729.66300000000001</v>
      </c>
      <c r="V1421" s="121">
        <f t="shared" ref="V1421:V1476" si="594">IF(ABS(X1421)=0,"",IF($S1421="NO ALLOC","NO ALLOC",ROUND($S1421*X1421,15)))</f>
        <v>0</v>
      </c>
      <c r="W1421" s="121">
        <f t="shared" ref="W1421:W1476" si="595">IF(ABS(X1421)=0,"",IF($T1421="NO ALLOC","NO ALLOC",ROUND($T1421*X1421,15)))</f>
        <v>0</v>
      </c>
      <c r="X1421" s="121">
        <f t="shared" si="589"/>
        <v>-729.66300000000001</v>
      </c>
      <c r="Y1421" s="121">
        <f t="shared" ref="Y1421:Y1476" si="596">IF(ABS(AB1421)=0,"",IF($R1421="NO ALLOC","NO ALLOC",ROUND($R1421*AB1421,15)))</f>
        <v>-729.66300000000001</v>
      </c>
      <c r="Z1421" s="121">
        <f t="shared" ref="Z1421:Z1476" si="597">IF(ABS(AB1421)=0,"",IF($S1421="NO ALLOC","NO ALLOC",ROUND($S1421*AB1421,15)))</f>
        <v>0</v>
      </c>
      <c r="AA1421" s="121">
        <f t="shared" ref="AA1421:AA1476" si="598">IF(ABS(AB1421)=0,"",IF($T1421="NO ALLOC","NO ALLOC",ROUND($T1421*AB1421,15)))</f>
        <v>0</v>
      </c>
      <c r="AB1421" s="121">
        <f t="shared" si="590"/>
        <v>-729.66300000000001</v>
      </c>
      <c r="AC1421" s="121">
        <v>-729.66300000000001</v>
      </c>
      <c r="AD1421" s="121">
        <v>-729.66300000000001</v>
      </c>
      <c r="AE1421" s="121">
        <v>-729.66300000000001</v>
      </c>
      <c r="AF1421" s="121">
        <v>-729.66300000000001</v>
      </c>
      <c r="AG1421" s="121">
        <v>-729.66300000000001</v>
      </c>
      <c r="AH1421" s="121">
        <v>-729.66300000000001</v>
      </c>
      <c r="AI1421" s="161">
        <v>-729.66300000000001</v>
      </c>
      <c r="AJ1421" s="161">
        <v>-729.66300000000001</v>
      </c>
      <c r="AK1421" s="161">
        <v>-729.66300000000001</v>
      </c>
      <c r="AL1421" s="161">
        <v>-729.66300000000001</v>
      </c>
      <c r="AM1421" s="161">
        <v>-729.66300000000001</v>
      </c>
      <c r="AN1421" s="161">
        <v>-729.66300000000001</v>
      </c>
      <c r="AO1421" s="161">
        <v>-729.66300000000001</v>
      </c>
      <c r="AP1421" s="125" t="str">
        <f>CONCATENATE(A1421,M1421)</f>
        <v>Def TaxR</v>
      </c>
      <c r="AQ1421" s="125" t="str">
        <f>CONCATENATE(AP1421,L1421,H1421)</f>
        <v>Def TaxRR11Hung Deferred Taxes</v>
      </c>
      <c r="AS1421" s="125" t="str">
        <f>CONCATENATE(L1421,H1421,J1421)</f>
        <v>R11Hung Deferred Taxes</v>
      </c>
    </row>
    <row r="1422" spans="1:45" s="125" customFormat="1" ht="25.5" customHeight="1">
      <c r="A1422" s="216" t="s">
        <v>1996</v>
      </c>
      <c r="B1422" s="217" t="str">
        <f t="shared" si="591"/>
        <v>Def Tax2835000-283.22.28-aBT010221</v>
      </c>
      <c r="C1422" s="186">
        <v>283500</v>
      </c>
      <c r="D1422" s="201" t="s">
        <v>2708</v>
      </c>
      <c r="E1422" s="162" t="s">
        <v>870</v>
      </c>
      <c r="F1422" s="169" t="s">
        <v>300</v>
      </c>
      <c r="G1422" s="117" t="s">
        <v>1833</v>
      </c>
      <c r="H1422" s="118" t="s">
        <v>1833</v>
      </c>
      <c r="I1422" s="119"/>
      <c r="J1422" s="231" t="s">
        <v>105</v>
      </c>
      <c r="K1422" s="120" t="str">
        <f t="shared" si="592"/>
        <v/>
      </c>
      <c r="L1422" s="170" t="s">
        <v>2821</v>
      </c>
      <c r="M1422" s="122" t="str">
        <f t="shared" si="586"/>
        <v>N</v>
      </c>
      <c r="N1422" s="116" t="str">
        <f>IF($L1422&lt;&gt;"",VLOOKUP($L1422,Categories!$E:$G,2,FALSE),IF($F1422&lt;&gt;"","NO CAT",""))</f>
        <v>Not in Rate Base</v>
      </c>
      <c r="O1422" s="116" t="str">
        <f>IF($L1422&lt;&gt;"",VLOOKUP($L1422,Categories!$E:$G,3,FALSE),IF($F1422&lt;&gt;"","NO CAT",""))</f>
        <v>Deferrals Accruing Non-Cash Return   (other than ASGA)</v>
      </c>
      <c r="P1422" s="170" t="s">
        <v>1186</v>
      </c>
      <c r="Q1422" s="123" t="s">
        <v>1187</v>
      </c>
      <c r="R1422" s="124">
        <v>0</v>
      </c>
      <c r="S1422" s="124">
        <v>0</v>
      </c>
      <c r="T1422" s="124">
        <v>1</v>
      </c>
      <c r="U1422" s="121">
        <f t="shared" si="593"/>
        <v>0</v>
      </c>
      <c r="V1422" s="121">
        <f t="shared" si="594"/>
        <v>0</v>
      </c>
      <c r="W1422" s="121">
        <f t="shared" si="595"/>
        <v>-73872.435048750005</v>
      </c>
      <c r="X1422" s="121">
        <f t="shared" si="589"/>
        <v>-73872.435048750005</v>
      </c>
      <c r="Y1422" s="121">
        <f t="shared" si="596"/>
        <v>0</v>
      </c>
      <c r="Z1422" s="121">
        <f t="shared" si="597"/>
        <v>0</v>
      </c>
      <c r="AA1422" s="121">
        <f t="shared" si="598"/>
        <v>-78316.023950000003</v>
      </c>
      <c r="AB1422" s="121">
        <f t="shared" si="590"/>
        <v>-78316.023950000003</v>
      </c>
      <c r="AC1422" s="121">
        <v>-71933.882140000016</v>
      </c>
      <c r="AD1422" s="121">
        <v>-72353.155150000021</v>
      </c>
      <c r="AE1422" s="121">
        <v>-72674.84169000003</v>
      </c>
      <c r="AF1422" s="121">
        <v>-72537.546380000029</v>
      </c>
      <c r="AG1422" s="121">
        <v>-72553.754740000019</v>
      </c>
      <c r="AH1422" s="121">
        <v>-72594.589020000029</v>
      </c>
      <c r="AI1422" s="161">
        <v>-72934.80928000003</v>
      </c>
      <c r="AJ1422" s="161">
        <v>-74815.543820000035</v>
      </c>
      <c r="AK1422" s="161">
        <v>-74709.122090000033</v>
      </c>
      <c r="AL1422" s="161">
        <v>-74874.717460000044</v>
      </c>
      <c r="AM1422" s="161">
        <v>-74942.169940000036</v>
      </c>
      <c r="AN1422" s="161">
        <v>-76354.017970000044</v>
      </c>
      <c r="AO1422" s="161">
        <v>-78316.023950000003</v>
      </c>
      <c r="AP1422" s="125" t="str">
        <f>CONCATENATE(A1422,M1422)</f>
        <v>Def TaxN</v>
      </c>
      <c r="AQ1422" s="125" t="str">
        <f>CONCATENATE(AP1422,L1422,H1422)</f>
        <v>Def TaxNN10Storm Costs</v>
      </c>
      <c r="AS1422" s="125" t="str">
        <f>CONCATENATE(L1422,H1422,J1422)</f>
        <v>N10Storm CostsNCR</v>
      </c>
    </row>
    <row r="1423" spans="1:45" s="125" customFormat="1" ht="25.5" customHeight="1">
      <c r="A1423" s="216" t="s">
        <v>1996</v>
      </c>
      <c r="B1423" s="217" t="str">
        <f t="shared" si="591"/>
        <v>Def Tax2835000-283.20.11BC030163</v>
      </c>
      <c r="C1423" s="186">
        <v>283500</v>
      </c>
      <c r="D1423" s="201" t="s">
        <v>1955</v>
      </c>
      <c r="E1423" s="162" t="s">
        <v>1727</v>
      </c>
      <c r="F1423" s="169" t="s">
        <v>300</v>
      </c>
      <c r="G1423" s="117" t="s">
        <v>1956</v>
      </c>
      <c r="H1423" s="118" t="s">
        <v>1484</v>
      </c>
      <c r="I1423" s="119"/>
      <c r="J1423" s="120"/>
      <c r="K1423" s="120" t="str">
        <f t="shared" si="592"/>
        <v/>
      </c>
      <c r="L1423" s="170" t="s">
        <v>1895</v>
      </c>
      <c r="M1423" s="122" t="str">
        <f t="shared" si="586"/>
        <v>R</v>
      </c>
      <c r="N1423" s="116" t="str">
        <f>IF($L1423&lt;&gt;"",VLOOKUP($L1423,Categories!$E:$G,2,FALSE),IF($F1423&lt;&gt;"","NO CAT",""))</f>
        <v>Rate Base</v>
      </c>
      <c r="O1423" s="116" t="str">
        <f>IF($L1423&lt;&gt;"",VLOOKUP($L1423,Categories!$E:$G,3,FALSE),IF($F1423&lt;&gt;"","NO CAT",""))</f>
        <v>Deferred Income Taxes</v>
      </c>
      <c r="P1423" s="170" t="s">
        <v>1183</v>
      </c>
      <c r="Q1423" s="123" t="s">
        <v>1177</v>
      </c>
      <c r="R1423" s="124">
        <v>1</v>
      </c>
      <c r="S1423" s="124">
        <v>0</v>
      </c>
      <c r="T1423" s="124">
        <v>0</v>
      </c>
      <c r="U1423" s="121">
        <f t="shared" si="593"/>
        <v>-397.27337749999998</v>
      </c>
      <c r="V1423" s="121">
        <f t="shared" si="594"/>
        <v>0</v>
      </c>
      <c r="W1423" s="121">
        <f t="shared" si="595"/>
        <v>0</v>
      </c>
      <c r="X1423" s="121">
        <f t="shared" si="589"/>
        <v>-397.27337749999998</v>
      </c>
      <c r="Y1423" s="121">
        <f t="shared" si="596"/>
        <v>-639.96351000000004</v>
      </c>
      <c r="Z1423" s="121">
        <f t="shared" si="597"/>
        <v>0</v>
      </c>
      <c r="AA1423" s="121">
        <f t="shared" si="598"/>
        <v>0</v>
      </c>
      <c r="AB1423" s="121">
        <f t="shared" si="590"/>
        <v>-639.9635099999997</v>
      </c>
      <c r="AC1423" s="121">
        <v>-384.67956999999967</v>
      </c>
      <c r="AD1423" s="121">
        <v>-378.15383999999966</v>
      </c>
      <c r="AE1423" s="121">
        <v>-371.62810999999971</v>
      </c>
      <c r="AF1423" s="121">
        <v>-365.1023799999997</v>
      </c>
      <c r="AG1423" s="121">
        <v>-358.08</v>
      </c>
      <c r="AH1423" s="121">
        <v>-352.05092999999971</v>
      </c>
      <c r="AI1423" s="161">
        <v>-511.26589999999965</v>
      </c>
      <c r="AJ1423" s="161">
        <v>-264.61896000000002</v>
      </c>
      <c r="AK1423" s="161">
        <v>-269.12855999999971</v>
      </c>
      <c r="AL1423" s="161">
        <v>-377.16531999999972</v>
      </c>
      <c r="AM1423" s="161">
        <v>-372.65572999999966</v>
      </c>
      <c r="AN1423" s="161">
        <v>-635.10925999999972</v>
      </c>
      <c r="AO1423" s="161">
        <v>-639.9635099999997</v>
      </c>
      <c r="AP1423" s="125" t="str">
        <f>CONCATENATE(A1423,M1423)</f>
        <v>Def TaxR</v>
      </c>
      <c r="AQ1423" s="125" t="str">
        <f>CONCATENATE(AP1423,L1423,H1423)</f>
        <v>Def TaxRR11MTA Surcharge</v>
      </c>
      <c r="AS1423" s="125" t="str">
        <f>CONCATENATE(L1423,H1423,J1423)</f>
        <v>R11MTA Surcharge</v>
      </c>
    </row>
    <row r="1424" spans="1:45" s="125" customFormat="1" ht="25.5" customHeight="1">
      <c r="A1424" s="216" t="s">
        <v>1996</v>
      </c>
      <c r="B1424" s="217" t="str">
        <f t="shared" si="591"/>
        <v>Def Tax283500VERP CTABE030903</v>
      </c>
      <c r="C1424" s="186">
        <v>283500</v>
      </c>
      <c r="D1424" s="201" t="s">
        <v>941</v>
      </c>
      <c r="E1424" s="162" t="s">
        <v>703</v>
      </c>
      <c r="F1424" s="169" t="s">
        <v>300</v>
      </c>
      <c r="G1424" s="117" t="s">
        <v>1025</v>
      </c>
      <c r="H1424" s="118" t="s">
        <v>1151</v>
      </c>
      <c r="I1424" s="119"/>
      <c r="J1424" s="120"/>
      <c r="K1424" s="120" t="str">
        <f t="shared" si="592"/>
        <v/>
      </c>
      <c r="L1424" s="170" t="s">
        <v>1895</v>
      </c>
      <c r="M1424" s="122" t="str">
        <f t="shared" si="586"/>
        <v>R</v>
      </c>
      <c r="N1424" s="116" t="str">
        <f>IF($L1424&lt;&gt;"",VLOOKUP($L1424,Categories!$E:$G,2,FALSE),IF($F1424&lt;&gt;"","NO CAT",""))</f>
        <v>Rate Base</v>
      </c>
      <c r="O1424" s="116" t="str">
        <f>IF($L1424&lt;&gt;"",VLOOKUP($L1424,Categories!$E:$G,3,FALSE),IF($F1424&lt;&gt;"","NO CAT",""))</f>
        <v>Deferred Income Taxes</v>
      </c>
      <c r="P1424" s="170" t="s">
        <v>1183</v>
      </c>
      <c r="Q1424" s="123" t="s">
        <v>1177</v>
      </c>
      <c r="R1424" s="124">
        <v>1</v>
      </c>
      <c r="S1424" s="124">
        <v>0</v>
      </c>
      <c r="T1424" s="124">
        <v>0</v>
      </c>
      <c r="U1424" s="121">
        <f t="shared" si="593"/>
        <v>-207.24329000000199</v>
      </c>
      <c r="V1424" s="121">
        <f t="shared" si="594"/>
        <v>0</v>
      </c>
      <c r="W1424" s="121">
        <f t="shared" si="595"/>
        <v>0</v>
      </c>
      <c r="X1424" s="121">
        <f t="shared" si="589"/>
        <v>-207.24329000000199</v>
      </c>
      <c r="Y1424" s="121">
        <f t="shared" si="596"/>
        <v>-207.24329000000199</v>
      </c>
      <c r="Z1424" s="121">
        <f t="shared" si="597"/>
        <v>0</v>
      </c>
      <c r="AA1424" s="121">
        <f t="shared" si="598"/>
        <v>0</v>
      </c>
      <c r="AB1424" s="121">
        <f t="shared" si="590"/>
        <v>-207.24329000000165</v>
      </c>
      <c r="AC1424" s="121">
        <v>-207.24329000000165</v>
      </c>
      <c r="AD1424" s="121">
        <v>-207.24329000000165</v>
      </c>
      <c r="AE1424" s="121">
        <v>-207.24329000000165</v>
      </c>
      <c r="AF1424" s="121">
        <v>-207.24329000000165</v>
      </c>
      <c r="AG1424" s="121">
        <v>-207.24329000000165</v>
      </c>
      <c r="AH1424" s="121">
        <v>-207.24329000000165</v>
      </c>
      <c r="AI1424" s="161">
        <v>-207.24329000000165</v>
      </c>
      <c r="AJ1424" s="161">
        <v>-207.24329000000165</v>
      </c>
      <c r="AK1424" s="161">
        <v>-207.24329000000165</v>
      </c>
      <c r="AL1424" s="161">
        <v>-207.24329000000165</v>
      </c>
      <c r="AM1424" s="161">
        <v>-207.24329000000165</v>
      </c>
      <c r="AN1424" s="161">
        <v>-207.24329000000165</v>
      </c>
      <c r="AO1424" s="161">
        <v>-207.24329000000165</v>
      </c>
      <c r="AP1424" s="125" t="str">
        <f>CONCATENATE(A1424,M1424)</f>
        <v>Def TaxR</v>
      </c>
      <c r="AQ1424" s="125" t="str">
        <f>CONCATENATE(AP1424,L1424,H1424)</f>
        <v>Def TaxRR11CTA Efficiency</v>
      </c>
      <c r="AS1424" s="125" t="str">
        <f>CONCATENATE(L1424,H1424,J1424)</f>
        <v>R11CTA Efficiency</v>
      </c>
    </row>
    <row r="1425" spans="1:45" s="125" customFormat="1" ht="25.5" customHeight="1">
      <c r="A1425" s="216" t="s">
        <v>1996</v>
      </c>
      <c r="B1425" s="217" t="str">
        <f t="shared" si="591"/>
        <v>Def Tax283500BE030904</v>
      </c>
      <c r="C1425" s="186">
        <v>283500</v>
      </c>
      <c r="D1425" s="201"/>
      <c r="E1425" s="162" t="s">
        <v>112</v>
      </c>
      <c r="F1425" s="169" t="s">
        <v>300</v>
      </c>
      <c r="G1425" s="117" t="s">
        <v>110</v>
      </c>
      <c r="H1425" s="118" t="s">
        <v>623</v>
      </c>
      <c r="I1425" s="119"/>
      <c r="J1425" s="120" t="s">
        <v>105</v>
      </c>
      <c r="K1425" s="120" t="str">
        <f t="shared" si="592"/>
        <v/>
      </c>
      <c r="L1425" s="170" t="s">
        <v>2821</v>
      </c>
      <c r="M1425" s="122" t="str">
        <f t="shared" si="586"/>
        <v>N</v>
      </c>
      <c r="N1425" s="116" t="str">
        <f>IF($L1425&lt;&gt;"",VLOOKUP($L1425,Categories!$E:$G,2,FALSE),IF($F1425&lt;&gt;"","NO CAT",""))</f>
        <v>Not in Rate Base</v>
      </c>
      <c r="O1425" s="116" t="str">
        <f>IF($L1425&lt;&gt;"",VLOOKUP($L1425,Categories!$E:$G,3,FALSE),IF($F1425&lt;&gt;"","NO CAT",""))</f>
        <v>Deferrals Accruing Non-Cash Return   (other than ASGA)</v>
      </c>
      <c r="P1425" s="170" t="s">
        <v>1186</v>
      </c>
      <c r="Q1425" s="123" t="s">
        <v>1187</v>
      </c>
      <c r="R1425" s="124">
        <v>0</v>
      </c>
      <c r="S1425" s="124">
        <v>0</v>
      </c>
      <c r="T1425" s="124">
        <v>1</v>
      </c>
      <c r="U1425" s="121">
        <f t="shared" si="593"/>
        <v>0</v>
      </c>
      <c r="V1425" s="121">
        <f t="shared" si="594"/>
        <v>0</v>
      </c>
      <c r="W1425" s="121">
        <f t="shared" si="595"/>
        <v>1292.1688425</v>
      </c>
      <c r="X1425" s="121">
        <f t="shared" si="589"/>
        <v>1292.1688425</v>
      </c>
      <c r="Y1425" s="121">
        <f t="shared" si="596"/>
        <v>0</v>
      </c>
      <c r="Z1425" s="121">
        <f t="shared" si="597"/>
        <v>0</v>
      </c>
      <c r="AA1425" s="121">
        <f t="shared" si="598"/>
        <v>-668.03143</v>
      </c>
      <c r="AB1425" s="121">
        <f t="shared" si="590"/>
        <v>-668.03143000000023</v>
      </c>
      <c r="AC1425" s="121">
        <v>-141.3565700000004</v>
      </c>
      <c r="AD1425" s="121">
        <v>891.91748999999959</v>
      </c>
      <c r="AE1425" s="121">
        <v>1985.6517499999995</v>
      </c>
      <c r="AF1425" s="121">
        <v>2650.5872199999999</v>
      </c>
      <c r="AG1425" s="121">
        <v>2887.2302199999999</v>
      </c>
      <c r="AH1425" s="121">
        <v>2212.1355099999996</v>
      </c>
      <c r="AI1425" s="161">
        <v>2045.6384599999997</v>
      </c>
      <c r="AJ1425" s="161">
        <v>1300.3085299999998</v>
      </c>
      <c r="AK1425" s="161">
        <v>858.72078999999985</v>
      </c>
      <c r="AL1425" s="161">
        <v>1111.7972499999998</v>
      </c>
      <c r="AM1425" s="161">
        <v>28.591759999999777</v>
      </c>
      <c r="AN1425" s="161">
        <v>-61.858870000000231</v>
      </c>
      <c r="AO1425" s="161">
        <v>-668.03143000000023</v>
      </c>
      <c r="AP1425" s="125" t="str">
        <f>CONCATENATE(A1425,M1425)</f>
        <v>Def TaxN</v>
      </c>
      <c r="AQ1425" s="125" t="str">
        <f>CONCATENATE(AP1425,L1425,H1425)</f>
        <v>Def TaxNN10RDM</v>
      </c>
      <c r="AS1425" s="125" t="str">
        <f>CONCATENATE(L1425,H1425,J1425)</f>
        <v>N10RDMNCR</v>
      </c>
    </row>
    <row r="1426" spans="1:45" s="125" customFormat="1" ht="25.5" customHeight="1">
      <c r="A1426" s="216" t="s">
        <v>1996</v>
      </c>
      <c r="B1426" s="217" t="str">
        <f t="shared" si="591"/>
        <v>Def Tax283500BE030182</v>
      </c>
      <c r="C1426" s="186">
        <v>283500</v>
      </c>
      <c r="D1426" s="201"/>
      <c r="E1426" s="162" t="s">
        <v>397</v>
      </c>
      <c r="F1426" s="169" t="s">
        <v>300</v>
      </c>
      <c r="G1426" s="117" t="s">
        <v>111</v>
      </c>
      <c r="H1426" s="118" t="s">
        <v>1805</v>
      </c>
      <c r="I1426" s="119"/>
      <c r="J1426" s="120"/>
      <c r="K1426" s="120" t="str">
        <f t="shared" si="592"/>
        <v/>
      </c>
      <c r="L1426" s="170" t="s">
        <v>1895</v>
      </c>
      <c r="M1426" s="122" t="str">
        <f t="shared" si="586"/>
        <v>R</v>
      </c>
      <c r="N1426" s="116" t="str">
        <f>IF($L1426&lt;&gt;"",VLOOKUP($L1426,Categories!$E:$G,2,FALSE),IF($F1426&lt;&gt;"","NO CAT",""))</f>
        <v>Rate Base</v>
      </c>
      <c r="O1426" s="116" t="str">
        <f>IF($L1426&lt;&gt;"",VLOOKUP($L1426,Categories!$E:$G,3,FALSE),IF($F1426&lt;&gt;"","NO CAT",""))</f>
        <v>Deferred Income Taxes</v>
      </c>
      <c r="P1426" s="170" t="s">
        <v>1183</v>
      </c>
      <c r="Q1426" s="123" t="s">
        <v>1177</v>
      </c>
      <c r="R1426" s="124">
        <v>1</v>
      </c>
      <c r="S1426" s="124">
        <v>0</v>
      </c>
      <c r="T1426" s="124">
        <v>0</v>
      </c>
      <c r="U1426" s="121">
        <f t="shared" si="593"/>
        <v>-9.0000000026E-5</v>
      </c>
      <c r="V1426" s="121">
        <f t="shared" si="594"/>
        <v>0</v>
      </c>
      <c r="W1426" s="121">
        <f t="shared" si="595"/>
        <v>0</v>
      </c>
      <c r="X1426" s="121">
        <f t="shared" si="589"/>
        <v>-9.0000000026E-5</v>
      </c>
      <c r="Y1426" s="121">
        <f t="shared" si="596"/>
        <v>-9.0000000026E-5</v>
      </c>
      <c r="Z1426" s="121">
        <f t="shared" si="597"/>
        <v>0</v>
      </c>
      <c r="AA1426" s="121">
        <f t="shared" si="598"/>
        <v>0</v>
      </c>
      <c r="AB1426" s="121">
        <f t="shared" si="590"/>
        <v>-9.0000000025611368E-5</v>
      </c>
      <c r="AC1426" s="121">
        <v>-9.0000000025611368E-5</v>
      </c>
      <c r="AD1426" s="121">
        <v>-9.0000000025611368E-5</v>
      </c>
      <c r="AE1426" s="121">
        <v>-9.0000000025611368E-5</v>
      </c>
      <c r="AF1426" s="121">
        <v>-9.0000000025611368E-5</v>
      </c>
      <c r="AG1426" s="121">
        <v>-9.0000000025611368E-5</v>
      </c>
      <c r="AH1426" s="121">
        <v>-9.0000000025611368E-5</v>
      </c>
      <c r="AI1426" s="161">
        <v>-9.0000000025611368E-5</v>
      </c>
      <c r="AJ1426" s="161">
        <v>-9.0000000025611368E-5</v>
      </c>
      <c r="AK1426" s="161">
        <v>-9.0000000025611368E-5</v>
      </c>
      <c r="AL1426" s="161">
        <v>-9.0000000025611368E-5</v>
      </c>
      <c r="AM1426" s="161">
        <v>-9.0000000025611368E-5</v>
      </c>
      <c r="AN1426" s="161">
        <v>-9.0000000025611368E-5</v>
      </c>
      <c r="AO1426" s="161">
        <v>-9.0000000025611368E-5</v>
      </c>
      <c r="AP1426" s="125" t="str">
        <f>CONCATENATE(A1426,M1426)</f>
        <v>Def TaxR</v>
      </c>
      <c r="AQ1426" s="125" t="str">
        <f>CONCATENATE(AP1426,L1426,H1426)</f>
        <v>Def TaxRR11Capitalized Installation Costs</v>
      </c>
      <c r="AS1426" s="125" t="str">
        <f>CONCATENATE(L1426,H1426,J1426)</f>
        <v>R11Capitalized Installation Costs</v>
      </c>
    </row>
    <row r="1427" spans="1:45" s="125" customFormat="1" ht="25.5" customHeight="1">
      <c r="A1427" s="216" t="s">
        <v>1996</v>
      </c>
      <c r="B1427" s="217" t="str">
        <f t="shared" si="591"/>
        <v>Def Tax283500Multiple: 283.20.43/286.01.23/286.01.24/283.30.67/283.30.63/283.30.64/283.30.53/283.30.54/183.06.00/183.07.00/186.01.03/186.01.04/283.21.95/Loss Re Debt/283.20.42/283.21.96-aBT010096</v>
      </c>
      <c r="C1427" s="186">
        <v>283500</v>
      </c>
      <c r="D1427" s="201" t="s">
        <v>2557</v>
      </c>
      <c r="E1427" s="162" t="s">
        <v>2990</v>
      </c>
      <c r="F1427" s="169" t="s">
        <v>300</v>
      </c>
      <c r="G1427" s="117" t="s">
        <v>1380</v>
      </c>
      <c r="H1427" s="118" t="s">
        <v>45</v>
      </c>
      <c r="I1427" s="119"/>
      <c r="J1427" s="120"/>
      <c r="K1427" s="120" t="str">
        <f t="shared" si="592"/>
        <v/>
      </c>
      <c r="L1427" s="170" t="s">
        <v>1895</v>
      </c>
      <c r="M1427" s="122" t="str">
        <f t="shared" si="586"/>
        <v>R</v>
      </c>
      <c r="N1427" s="116" t="str">
        <f>IF($L1427&lt;&gt;"",VLOOKUP($L1427,Categories!$E:$G,2,FALSE),IF($F1427&lt;&gt;"","NO CAT",""))</f>
        <v>Rate Base</v>
      </c>
      <c r="O1427" s="116" t="str">
        <f>IF($L1427&lt;&gt;"",VLOOKUP($L1427,Categories!$E:$G,3,FALSE),IF($F1427&lt;&gt;"","NO CAT",""))</f>
        <v>Deferred Income Taxes</v>
      </c>
      <c r="P1427" s="170" t="s">
        <v>1183</v>
      </c>
      <c r="Q1427" s="123" t="s">
        <v>1177</v>
      </c>
      <c r="R1427" s="124">
        <v>1</v>
      </c>
      <c r="S1427" s="124">
        <v>0</v>
      </c>
      <c r="T1427" s="124">
        <v>0</v>
      </c>
      <c r="U1427" s="121">
        <f t="shared" si="593"/>
        <v>-9639.90942</v>
      </c>
      <c r="V1427" s="121">
        <f t="shared" si="594"/>
        <v>0</v>
      </c>
      <c r="W1427" s="121">
        <f t="shared" si="595"/>
        <v>0</v>
      </c>
      <c r="X1427" s="121">
        <f t="shared" si="589"/>
        <v>-9639.90942</v>
      </c>
      <c r="Y1427" s="121">
        <f t="shared" si="596"/>
        <v>-9639.90942</v>
      </c>
      <c r="Z1427" s="121">
        <f t="shared" si="597"/>
        <v>0</v>
      </c>
      <c r="AA1427" s="121">
        <f t="shared" si="598"/>
        <v>0</v>
      </c>
      <c r="AB1427" s="121">
        <f>IF(AO1427="",0,+AO1427)</f>
        <v>-9639.90942</v>
      </c>
      <c r="AC1427" s="121">
        <v>-9639.90942</v>
      </c>
      <c r="AD1427" s="121">
        <v>-9639.90942</v>
      </c>
      <c r="AE1427" s="121">
        <v>-9639.90942</v>
      </c>
      <c r="AF1427" s="121">
        <v>-9639.90942</v>
      </c>
      <c r="AG1427" s="121">
        <v>-9639.90942</v>
      </c>
      <c r="AH1427" s="121">
        <v>-9639.90942</v>
      </c>
      <c r="AI1427" s="161">
        <v>-9639.90942</v>
      </c>
      <c r="AJ1427" s="161">
        <v>-9639.90942</v>
      </c>
      <c r="AK1427" s="161">
        <v>-9639.90942</v>
      </c>
      <c r="AL1427" s="161">
        <v>-9639.90942</v>
      </c>
      <c r="AM1427" s="161">
        <v>-9639.90942</v>
      </c>
      <c r="AN1427" s="161">
        <v>-9639.90942</v>
      </c>
      <c r="AO1427" s="161">
        <v>-9639.90942</v>
      </c>
      <c r="AP1427" s="125" t="str">
        <f>CONCATENATE(A1427,M1427)</f>
        <v>Def TaxR</v>
      </c>
      <c r="AQ1427" s="125" t="str">
        <f>CONCATENATE(AP1427,L1427,H1427)</f>
        <v>Def TaxRR11Gain / Loss on Reacquired Debt</v>
      </c>
      <c r="AS1427" s="125" t="str">
        <f>CONCATENATE(L1427,H1427,J1427)</f>
        <v>R11Gain / Loss on Reacquired Debt</v>
      </c>
    </row>
    <row r="1428" spans="1:45" s="125" customFormat="1" ht="25.5" customHeight="1">
      <c r="A1428" s="216" t="s">
        <v>1996</v>
      </c>
      <c r="B1428" s="217" t="str">
        <f t="shared" si="591"/>
        <v>Def Tax283500Bonus DeprBE030192</v>
      </c>
      <c r="C1428" s="186">
        <v>283500</v>
      </c>
      <c r="D1428" s="201" t="s">
        <v>1452</v>
      </c>
      <c r="E1428" s="162" t="s">
        <v>1156</v>
      </c>
      <c r="F1428" s="169" t="s">
        <v>300</v>
      </c>
      <c r="G1428" s="117" t="s">
        <v>1936</v>
      </c>
      <c r="H1428" s="118" t="s">
        <v>891</v>
      </c>
      <c r="I1428" s="119"/>
      <c r="J1428" s="120" t="s">
        <v>105</v>
      </c>
      <c r="K1428" s="120" t="str">
        <f t="shared" si="592"/>
        <v/>
      </c>
      <c r="L1428" s="170" t="s">
        <v>2821</v>
      </c>
      <c r="M1428" s="122" t="str">
        <f t="shared" si="586"/>
        <v>N</v>
      </c>
      <c r="N1428" s="116" t="str">
        <f>IF($L1428&lt;&gt;"",VLOOKUP($L1428,Categories!$E:$G,2,FALSE),IF($F1428&lt;&gt;"","NO CAT",""))</f>
        <v>Not in Rate Base</v>
      </c>
      <c r="O1428" s="116" t="str">
        <f>IF($L1428&lt;&gt;"",VLOOKUP($L1428,Categories!$E:$G,3,FALSE),IF($F1428&lt;&gt;"","NO CAT",""))</f>
        <v>Deferrals Accruing Non-Cash Return   (other than ASGA)</v>
      </c>
      <c r="P1428" s="170" t="s">
        <v>1186</v>
      </c>
      <c r="Q1428" s="123" t="s">
        <v>1187</v>
      </c>
      <c r="R1428" s="124">
        <v>0</v>
      </c>
      <c r="S1428" s="124">
        <v>0</v>
      </c>
      <c r="T1428" s="124">
        <v>1</v>
      </c>
      <c r="U1428" s="121">
        <f t="shared" si="593"/>
        <v>0</v>
      </c>
      <c r="V1428" s="121">
        <f t="shared" si="594"/>
        <v>0</v>
      </c>
      <c r="W1428" s="121">
        <f t="shared" si="595"/>
        <v>9790.6066800000008</v>
      </c>
      <c r="X1428" s="121">
        <f t="shared" si="589"/>
        <v>9790.6066800000008</v>
      </c>
      <c r="Y1428" s="121">
        <f t="shared" si="596"/>
        <v>0</v>
      </c>
      <c r="Z1428" s="121">
        <f t="shared" si="597"/>
        <v>0</v>
      </c>
      <c r="AA1428" s="121">
        <f t="shared" si="598"/>
        <v>11425.06458</v>
      </c>
      <c r="AB1428" s="121">
        <f t="shared" si="590"/>
        <v>11425.06458</v>
      </c>
      <c r="AC1428" s="121">
        <v>7941.4704000000002</v>
      </c>
      <c r="AD1428" s="121">
        <v>8274.2163400000009</v>
      </c>
      <c r="AE1428" s="121">
        <v>8606.1613500000021</v>
      </c>
      <c r="AF1428" s="121">
        <v>8937.3012400000025</v>
      </c>
      <c r="AG1428" s="121">
        <v>9267.6318500000016</v>
      </c>
      <c r="AH1428" s="121">
        <v>9597.1489400000009</v>
      </c>
      <c r="AI1428" s="161">
        <v>9925.8483000000015</v>
      </c>
      <c r="AJ1428" s="161">
        <v>10253.72566</v>
      </c>
      <c r="AK1428" s="161">
        <v>10580.776760000001</v>
      </c>
      <c r="AL1428" s="161">
        <v>10490.13762</v>
      </c>
      <c r="AM1428" s="161">
        <v>10787.3601</v>
      </c>
      <c r="AN1428" s="161">
        <v>11083.70451</v>
      </c>
      <c r="AO1428" s="161">
        <v>11425.06458</v>
      </c>
      <c r="AP1428" s="125" t="str">
        <f>CONCATENATE(A1428,M1428)</f>
        <v>Def TaxN</v>
      </c>
      <c r="AQ1428" s="125" t="str">
        <f>CONCATENATE(AP1428,L1428,H1428)</f>
        <v>Def TaxNN10Bonus Depreciation</v>
      </c>
      <c r="AS1428" s="125" t="str">
        <f>CONCATENATE(L1428,H1428,J1428)</f>
        <v>N10Bonus DepreciationNCR</v>
      </c>
    </row>
    <row r="1429" spans="1:45" s="125" customFormat="1" ht="25.5" customHeight="1">
      <c r="A1429" s="216" t="s">
        <v>1996</v>
      </c>
      <c r="B1429" s="217" t="str">
        <f t="shared" si="591"/>
        <v>Def Tax283500SBCBE030915</v>
      </c>
      <c r="C1429" s="186">
        <v>283500</v>
      </c>
      <c r="D1429" s="201" t="s">
        <v>625</v>
      </c>
      <c r="E1429" s="162" t="s">
        <v>1158</v>
      </c>
      <c r="F1429" s="169" t="s">
        <v>300</v>
      </c>
      <c r="G1429" s="117" t="s">
        <v>1937</v>
      </c>
      <c r="H1429" s="118" t="s">
        <v>2496</v>
      </c>
      <c r="I1429" s="119"/>
      <c r="J1429" s="120" t="s">
        <v>105</v>
      </c>
      <c r="K1429" s="120" t="str">
        <f t="shared" si="592"/>
        <v/>
      </c>
      <c r="L1429" s="170" t="s">
        <v>2821</v>
      </c>
      <c r="M1429" s="122" t="str">
        <f t="shared" si="586"/>
        <v>N</v>
      </c>
      <c r="N1429" s="116" t="str">
        <f>IF($L1429&lt;&gt;"",VLOOKUP($L1429,Categories!$E:$G,2,FALSE),IF($F1429&lt;&gt;"","NO CAT",""))</f>
        <v>Not in Rate Base</v>
      </c>
      <c r="O1429" s="116" t="str">
        <f>IF($L1429&lt;&gt;"",VLOOKUP($L1429,Categories!$E:$G,3,FALSE),IF($F1429&lt;&gt;"","NO CAT",""))</f>
        <v>Deferrals Accruing Non-Cash Return   (other than ASGA)</v>
      </c>
      <c r="P1429" s="170" t="s">
        <v>1186</v>
      </c>
      <c r="Q1429" s="123" t="s">
        <v>1187</v>
      </c>
      <c r="R1429" s="124">
        <v>0</v>
      </c>
      <c r="S1429" s="124">
        <v>0</v>
      </c>
      <c r="T1429" s="124">
        <v>1</v>
      </c>
      <c r="U1429" s="121">
        <f t="shared" si="593"/>
        <v>0</v>
      </c>
      <c r="V1429" s="121">
        <f t="shared" si="594"/>
        <v>0</v>
      </c>
      <c r="W1429" s="121">
        <f t="shared" si="595"/>
        <v>7.0000000000000001E-15</v>
      </c>
      <c r="X1429" s="121">
        <f t="shared" si="589"/>
        <v>7.0000000000000001E-15</v>
      </c>
      <c r="Y1429" s="121">
        <f t="shared" si="596"/>
        <v>0</v>
      </c>
      <c r="Z1429" s="121">
        <f t="shared" si="597"/>
        <v>0</v>
      </c>
      <c r="AA1429" s="121">
        <f t="shared" si="598"/>
        <v>7.0000000000000001E-15</v>
      </c>
      <c r="AB1429" s="121">
        <f t="shared" si="590"/>
        <v>7.2759576141834261E-15</v>
      </c>
      <c r="AC1429" s="121">
        <v>7.2759576141834261E-15</v>
      </c>
      <c r="AD1429" s="121">
        <v>7.2759576141834261E-15</v>
      </c>
      <c r="AE1429" s="121">
        <v>7.2759576141834261E-15</v>
      </c>
      <c r="AF1429" s="121">
        <v>7.2759576141834261E-15</v>
      </c>
      <c r="AG1429" s="121">
        <v>7.2759576141834261E-15</v>
      </c>
      <c r="AH1429" s="121">
        <v>7.2759576141834261E-15</v>
      </c>
      <c r="AI1429" s="161">
        <v>7.2759576141834261E-15</v>
      </c>
      <c r="AJ1429" s="161">
        <v>7.2759576141834261E-15</v>
      </c>
      <c r="AK1429" s="161">
        <v>7.2759576141834261E-15</v>
      </c>
      <c r="AL1429" s="161">
        <v>7.2759576141834261E-15</v>
      </c>
      <c r="AM1429" s="161">
        <v>7.2759576141834261E-15</v>
      </c>
      <c r="AN1429" s="161">
        <v>7.2759576141834261E-15</v>
      </c>
      <c r="AO1429" s="161">
        <v>7.2759576141834261E-15</v>
      </c>
      <c r="AP1429" s="125" t="str">
        <f>CONCATENATE(A1429,M1429)</f>
        <v>Def TaxN</v>
      </c>
      <c r="AQ1429" s="125" t="str">
        <f>CONCATENATE(AP1429,L1429,H1429)</f>
        <v>Def TaxNN10System Benefits Charge</v>
      </c>
      <c r="AS1429" s="125" t="str">
        <f>CONCATENATE(L1429,H1429,J1429)</f>
        <v>N10System Benefits ChargeNCR</v>
      </c>
    </row>
    <row r="1430" spans="1:45" s="125" customFormat="1" ht="25.5" customHeight="1">
      <c r="A1430" s="216" t="s">
        <v>1996</v>
      </c>
      <c r="B1430" s="217" t="str">
        <f t="shared" si="591"/>
        <v>Def Tax283500Multiple: 283.20.43/286.01.23/286.01.24/283.30.67/283.30.63/283.30.64/283.30.53/283.30.54/183.06.00/183.07.00/186.01.03/186.01.04/283.21.95/Loss Re Debt/283.20.42/283.21.96-bBT010096</v>
      </c>
      <c r="C1430" s="186">
        <v>283500</v>
      </c>
      <c r="D1430" s="201" t="s">
        <v>2558</v>
      </c>
      <c r="E1430" s="162" t="s">
        <v>2990</v>
      </c>
      <c r="F1430" s="169" t="s">
        <v>300</v>
      </c>
      <c r="G1430" s="117" t="s">
        <v>191</v>
      </c>
      <c r="H1430" s="118" t="s">
        <v>45</v>
      </c>
      <c r="I1430" s="119"/>
      <c r="J1430" s="120"/>
      <c r="K1430" s="120" t="str">
        <f t="shared" ref="K1430:K1461" si="599">IF(L1430="N3","SFAS-109","")</f>
        <v/>
      </c>
      <c r="L1430" s="170" t="s">
        <v>1895</v>
      </c>
      <c r="M1430" s="122" t="str">
        <f t="shared" si="586"/>
        <v>R</v>
      </c>
      <c r="N1430" s="116" t="str">
        <f>IF($L1430&lt;&gt;"",VLOOKUP($L1430,Categories!$E:$G,2,FALSE),IF($F1430&lt;&gt;"","NO CAT",""))</f>
        <v>Rate Base</v>
      </c>
      <c r="O1430" s="116" t="str">
        <f>IF($L1430&lt;&gt;"",VLOOKUP($L1430,Categories!$E:$G,3,FALSE),IF($F1430&lt;&gt;"","NO CAT",""))</f>
        <v>Deferred Income Taxes</v>
      </c>
      <c r="P1430" s="170" t="s">
        <v>1183</v>
      </c>
      <c r="Q1430" s="123" t="s">
        <v>1177</v>
      </c>
      <c r="R1430" s="124">
        <v>1</v>
      </c>
      <c r="S1430" s="124">
        <v>0</v>
      </c>
      <c r="T1430" s="124">
        <v>0</v>
      </c>
      <c r="U1430" s="121">
        <f t="shared" si="593"/>
        <v>-112.29058000000001</v>
      </c>
      <c r="V1430" s="121">
        <f t="shared" si="594"/>
        <v>0</v>
      </c>
      <c r="W1430" s="121">
        <f t="shared" si="595"/>
        <v>0</v>
      </c>
      <c r="X1430" s="121">
        <f t="shared" si="589"/>
        <v>-112.29058000000001</v>
      </c>
      <c r="Y1430" s="121">
        <f t="shared" si="596"/>
        <v>-112.29058000000001</v>
      </c>
      <c r="Z1430" s="121">
        <f t="shared" si="597"/>
        <v>0</v>
      </c>
      <c r="AA1430" s="121">
        <f t="shared" si="598"/>
        <v>0</v>
      </c>
      <c r="AB1430" s="121">
        <f>IF(AO1430="",0,+AO1430)</f>
        <v>-112.29058000000001</v>
      </c>
      <c r="AC1430" s="121">
        <v>-112.29058000000001</v>
      </c>
      <c r="AD1430" s="121">
        <v>-112.29058000000001</v>
      </c>
      <c r="AE1430" s="121">
        <v>-112.29058000000001</v>
      </c>
      <c r="AF1430" s="121">
        <v>-112.29058000000001</v>
      </c>
      <c r="AG1430" s="121">
        <v>-112.29058000000001</v>
      </c>
      <c r="AH1430" s="121">
        <v>-112.29058000000001</v>
      </c>
      <c r="AI1430" s="161">
        <v>-112.29058000000001</v>
      </c>
      <c r="AJ1430" s="161">
        <v>-112.29058000000001</v>
      </c>
      <c r="AK1430" s="161">
        <v>-112.29058000000001</v>
      </c>
      <c r="AL1430" s="161">
        <v>-112.29058000000001</v>
      </c>
      <c r="AM1430" s="161">
        <v>-112.29058000000001</v>
      </c>
      <c r="AN1430" s="161">
        <v>-112.29058000000001</v>
      </c>
      <c r="AO1430" s="161">
        <v>-112.29058000000001</v>
      </c>
      <c r="AP1430" s="125" t="str">
        <f>CONCATENATE(A1430,M1430)</f>
        <v>Def TaxR</v>
      </c>
      <c r="AQ1430" s="125" t="str">
        <f>CONCATENATE(AP1430,L1430,H1430)</f>
        <v>Def TaxRR11Gain / Loss on Reacquired Debt</v>
      </c>
      <c r="AS1430" s="125" t="str">
        <f>CONCATENATE(L1430,H1430,J1430)</f>
        <v>R11Gain / Loss on Reacquired Debt</v>
      </c>
    </row>
    <row r="1431" spans="1:45" s="125" customFormat="1" ht="25.5" customHeight="1">
      <c r="A1431" s="216" t="s">
        <v>1996</v>
      </c>
      <c r="B1431" s="217" t="str">
        <f t="shared" si="591"/>
        <v>Def Tax283500BT010225</v>
      </c>
      <c r="C1431" s="186">
        <v>283500</v>
      </c>
      <c r="D1431" s="201"/>
      <c r="E1431" s="162" t="s">
        <v>396</v>
      </c>
      <c r="F1431" s="169" t="s">
        <v>300</v>
      </c>
      <c r="G1431" s="117" t="s">
        <v>2653</v>
      </c>
      <c r="H1431" s="118" t="s">
        <v>2711</v>
      </c>
      <c r="I1431" s="119"/>
      <c r="J1431" s="120" t="s">
        <v>105</v>
      </c>
      <c r="K1431" s="120" t="str">
        <f t="shared" ref="K1431:K1436" si="600">IF(L1431="N3","SFAS-109","")</f>
        <v/>
      </c>
      <c r="L1431" s="170" t="s">
        <v>2821</v>
      </c>
      <c r="M1431" s="122" t="str">
        <f t="shared" si="586"/>
        <v>N</v>
      </c>
      <c r="N1431" s="116" t="str">
        <f>IF($L1431&lt;&gt;"",VLOOKUP($L1431,Categories!$E:$G,2,FALSE),IF($F1431&lt;&gt;"","NO CAT",""))</f>
        <v>Not in Rate Base</v>
      </c>
      <c r="O1431" s="116" t="str">
        <f>IF($L1431&lt;&gt;"",VLOOKUP($L1431,Categories!$E:$G,3,FALSE),IF($F1431&lt;&gt;"","NO CAT",""))</f>
        <v>Deferrals Accruing Non-Cash Return   (other than ASGA)</v>
      </c>
      <c r="P1431" s="170" t="s">
        <v>1186</v>
      </c>
      <c r="Q1431" s="123" t="s">
        <v>1187</v>
      </c>
      <c r="R1431" s="124">
        <v>0</v>
      </c>
      <c r="S1431" s="124">
        <v>0</v>
      </c>
      <c r="T1431" s="124">
        <v>1</v>
      </c>
      <c r="U1431" s="121">
        <f t="shared" si="593"/>
        <v>0</v>
      </c>
      <c r="V1431" s="121">
        <f t="shared" si="594"/>
        <v>0</v>
      </c>
      <c r="W1431" s="121">
        <f t="shared" si="595"/>
        <v>-28.5445125</v>
      </c>
      <c r="X1431" s="121">
        <f t="shared" si="589"/>
        <v>-28.5445125</v>
      </c>
      <c r="Y1431" s="121">
        <f t="shared" si="596"/>
        <v>0</v>
      </c>
      <c r="Z1431" s="121">
        <f t="shared" si="597"/>
        <v>0</v>
      </c>
      <c r="AA1431" s="121">
        <f t="shared" si="598"/>
        <v>-29.442399999999999</v>
      </c>
      <c r="AB1431" s="121">
        <f t="shared" si="590"/>
        <v>-29.442400000000006</v>
      </c>
      <c r="AC1431" s="121">
        <v>-27.664940000000005</v>
      </c>
      <c r="AD1431" s="121">
        <v>-27.808870000000006</v>
      </c>
      <c r="AE1431" s="121">
        <v>-27.953550000000007</v>
      </c>
      <c r="AF1431" s="121">
        <v>-28.098980000000008</v>
      </c>
      <c r="AG1431" s="121">
        <v>-28.245170000000005</v>
      </c>
      <c r="AH1431" s="121">
        <v>-28.392120000000006</v>
      </c>
      <c r="AI1431" s="161">
        <v>-28.539840000000009</v>
      </c>
      <c r="AJ1431" s="161">
        <v>-28.688320000000008</v>
      </c>
      <c r="AK1431" s="161">
        <v>-28.837580000000006</v>
      </c>
      <c r="AL1431" s="161">
        <v>-28.987610000000004</v>
      </c>
      <c r="AM1431" s="161">
        <v>-29.138420000000007</v>
      </c>
      <c r="AN1431" s="161">
        <v>-29.290020000000005</v>
      </c>
      <c r="AO1431" s="161">
        <v>-29.442400000000006</v>
      </c>
      <c r="AP1431" s="125" t="str">
        <f>CONCATENATE(A1431,M1431)</f>
        <v>Def TaxN</v>
      </c>
      <c r="AQ1431" s="125" t="str">
        <f>CONCATENATE(AP1431,L1431,H1431)</f>
        <v>Def TaxNN10Unit of Property CTA</v>
      </c>
      <c r="AS1431" s="125" t="str">
        <f>CONCATENATE(L1431,H1431,J1431)</f>
        <v>N10Unit of Property CTANCR</v>
      </c>
    </row>
    <row r="1432" spans="1:45" s="125" customFormat="1" ht="25.5" customHeight="1">
      <c r="A1432" s="216" t="s">
        <v>1996</v>
      </c>
      <c r="B1432" s="217" t="str">
        <f t="shared" si="591"/>
        <v>Def Tax283500Theoretical ReserveBE030908</v>
      </c>
      <c r="C1432" s="186">
        <v>283500</v>
      </c>
      <c r="D1432" s="201" t="s">
        <v>1436</v>
      </c>
      <c r="E1432" s="162" t="s">
        <v>2532</v>
      </c>
      <c r="F1432" s="169" t="s">
        <v>300</v>
      </c>
      <c r="G1432" s="117" t="s">
        <v>1533</v>
      </c>
      <c r="H1432" s="118" t="s">
        <v>1436</v>
      </c>
      <c r="I1432" s="119"/>
      <c r="J1432" s="120"/>
      <c r="K1432" s="120" t="str">
        <f t="shared" si="600"/>
        <v/>
      </c>
      <c r="L1432" s="170" t="s">
        <v>2821</v>
      </c>
      <c r="M1432" s="122" t="str">
        <f t="shared" si="586"/>
        <v>N</v>
      </c>
      <c r="N1432" s="116" t="str">
        <f>IF($L1432&lt;&gt;"",VLOOKUP($L1432,Categories!$E:$G,2,FALSE),IF($F1432&lt;&gt;"","NO CAT",""))</f>
        <v>Not in Rate Base</v>
      </c>
      <c r="O1432" s="116" t="str">
        <f>IF($L1432&lt;&gt;"",VLOOKUP($L1432,Categories!$E:$G,3,FALSE),IF($F1432&lt;&gt;"","NO CAT",""))</f>
        <v>Deferrals Accruing Non-Cash Return   (other than ASGA)</v>
      </c>
      <c r="P1432" s="170" t="s">
        <v>1186</v>
      </c>
      <c r="Q1432" s="123" t="s">
        <v>1187</v>
      </c>
      <c r="R1432" s="124">
        <v>0</v>
      </c>
      <c r="S1432" s="124">
        <v>0</v>
      </c>
      <c r="T1432" s="124">
        <v>1</v>
      </c>
      <c r="U1432" s="121">
        <f t="shared" si="593"/>
        <v>0</v>
      </c>
      <c r="V1432" s="121">
        <f t="shared" si="594"/>
        <v>0</v>
      </c>
      <c r="W1432" s="121">
        <f t="shared" si="595"/>
        <v>5662.6285808333296</v>
      </c>
      <c r="X1432" s="121">
        <f t="shared" si="589"/>
        <v>5662.6285808333296</v>
      </c>
      <c r="Y1432" s="121">
        <f t="shared" si="596"/>
        <v>0</v>
      </c>
      <c r="Z1432" s="121">
        <f t="shared" si="597"/>
        <v>0</v>
      </c>
      <c r="AA1432" s="121">
        <f t="shared" si="598"/>
        <v>6500.9341199999999</v>
      </c>
      <c r="AB1432" s="121">
        <f t="shared" si="590"/>
        <v>6500.934119999999</v>
      </c>
      <c r="AC1432" s="121">
        <v>4841.42526</v>
      </c>
      <c r="AD1432" s="121">
        <v>4975.8049700000001</v>
      </c>
      <c r="AE1432" s="121">
        <v>5110.8838199999991</v>
      </c>
      <c r="AF1432" s="121">
        <v>5246.66543</v>
      </c>
      <c r="AG1432" s="121">
        <v>5383.1534599999995</v>
      </c>
      <c r="AH1432" s="121">
        <v>5520.3516</v>
      </c>
      <c r="AI1432" s="161">
        <v>5658.2635299999993</v>
      </c>
      <c r="AJ1432" s="161">
        <v>5796.8929699999999</v>
      </c>
      <c r="AK1432" s="161">
        <v>5936.2436499999994</v>
      </c>
      <c r="AL1432" s="161">
        <v>6076.3193299999994</v>
      </c>
      <c r="AM1432" s="161">
        <v>6217.1237599999986</v>
      </c>
      <c r="AN1432" s="161">
        <v>6358.6607599999988</v>
      </c>
      <c r="AO1432" s="161">
        <v>6500.934119999999</v>
      </c>
      <c r="AP1432" s="125" t="str">
        <f>CONCATENATE(A1432,M1432)</f>
        <v>Def TaxN</v>
      </c>
      <c r="AQ1432" s="125" t="str">
        <f>CONCATENATE(AP1432,L1432,H1432)</f>
        <v>Def TaxNN10Theoretical Reserve</v>
      </c>
      <c r="AS1432" s="125" t="str">
        <f>CONCATENATE(L1432,H1432,J1432)</f>
        <v>N10Theoretical Reserve</v>
      </c>
    </row>
    <row r="1433" spans="1:45" s="125" customFormat="1" ht="25.5" customHeight="1">
      <c r="A1433" s="216" t="s">
        <v>1996</v>
      </c>
      <c r="B1433" s="217" t="str">
        <f>CONCATENATE(A1433,C1433,D1433,E1433)</f>
        <v>Def Tax283500Funded DIT True-upBE030932</v>
      </c>
      <c r="C1433" s="186">
        <v>283500</v>
      </c>
      <c r="D1433" s="201" t="s">
        <v>4391</v>
      </c>
      <c r="E1433" s="162" t="s">
        <v>4392</v>
      </c>
      <c r="F1433" s="169" t="s">
        <v>300</v>
      </c>
      <c r="G1433" s="117" t="s">
        <v>4393</v>
      </c>
      <c r="H1433" s="118" t="s">
        <v>4564</v>
      </c>
      <c r="I1433" s="119"/>
      <c r="J1433" s="120"/>
      <c r="K1433" s="120" t="str">
        <f t="shared" si="600"/>
        <v/>
      </c>
      <c r="L1433" s="170" t="s">
        <v>1895</v>
      </c>
      <c r="M1433" s="122" t="str">
        <f>LEFT(L1433,1)</f>
        <v>R</v>
      </c>
      <c r="N1433" s="116" t="str">
        <f>IF($L1433&lt;&gt;"",VLOOKUP($L1433,Categories!$E:$G,2,FALSE),IF($F1433&lt;&gt;"","NO CAT",""))</f>
        <v>Rate Base</v>
      </c>
      <c r="O1433" s="116" t="str">
        <f>IF($L1433&lt;&gt;"",VLOOKUP($L1433,Categories!$E:$G,3,FALSE),IF($F1433&lt;&gt;"","NO CAT",""))</f>
        <v>Deferred Income Taxes</v>
      </c>
      <c r="P1433" s="170" t="s">
        <v>1183</v>
      </c>
      <c r="Q1433" s="123" t="s">
        <v>1177</v>
      </c>
      <c r="R1433" s="124">
        <v>1</v>
      </c>
      <c r="S1433" s="124">
        <v>0</v>
      </c>
      <c r="T1433" s="124">
        <v>0</v>
      </c>
      <c r="U1433" s="121">
        <f>IF(ABS(X1433)=0,"",IF($R1433="NO ALLOC","NO ALLOC",ROUND($R1433*X1433,15)))</f>
        <v>-10484.4343429167</v>
      </c>
      <c r="V1433" s="121">
        <f>IF(ABS(X1433)=0,"",IF($S1433="NO ALLOC","NO ALLOC",ROUND($S1433*X1433,15)))</f>
        <v>0</v>
      </c>
      <c r="W1433" s="121">
        <f>IF(ABS(X1433)=0,"",IF($T1433="NO ALLOC","NO ALLOC",ROUND($T1433*X1433,15)))</f>
        <v>0</v>
      </c>
      <c r="X1433" s="121">
        <f t="shared" si="589"/>
        <v>-10484.4343429167</v>
      </c>
      <c r="Y1433" s="121">
        <f>IF(ABS(AB1433)=0,"",IF($R1433="NO ALLOC","NO ALLOC",ROUND($R1433*AB1433,15)))</f>
        <v>-13445.37169</v>
      </c>
      <c r="Z1433" s="121">
        <f>IF(ABS(AB1433)=0,"",IF($S1433="NO ALLOC","NO ALLOC",ROUND($S1433*AB1433,15)))</f>
        <v>0</v>
      </c>
      <c r="AA1433" s="121">
        <f>IF(ABS(AB1433)=0,"",IF($T1433="NO ALLOC","NO ALLOC",ROUND($T1433*AB1433,15)))</f>
        <v>0</v>
      </c>
      <c r="AB1433" s="121">
        <f t="shared" si="590"/>
        <v>-13445.371689999996</v>
      </c>
      <c r="AC1433" s="121">
        <v>-8931.7897399999983</v>
      </c>
      <c r="AD1433" s="121">
        <v>-9179.8947299999982</v>
      </c>
      <c r="AE1433" s="121">
        <v>-9427.9999899999984</v>
      </c>
      <c r="AF1433" s="121">
        <v>-9676.1052499999987</v>
      </c>
      <c r="AG1433" s="121">
        <v>-9924.2105099999972</v>
      </c>
      <c r="AH1433" s="121">
        <v>-10172.315769999997</v>
      </c>
      <c r="AI1433" s="161">
        <v>-10420.421039999997</v>
      </c>
      <c r="AJ1433" s="161">
        <v>-10668.526299999998</v>
      </c>
      <c r="AK1433" s="161">
        <v>-10916.631559999996</v>
      </c>
      <c r="AL1433" s="161">
        <v>-11164.736819999996</v>
      </c>
      <c r="AM1433" s="161">
        <v>-11412.842079999997</v>
      </c>
      <c r="AN1433" s="161">
        <v>-11660.947349999997</v>
      </c>
      <c r="AO1433" s="161">
        <v>-13445.371689999996</v>
      </c>
      <c r="AP1433" s="125" t="str">
        <f>CONCATENATE(A1433,M1433)</f>
        <v>Def TaxR</v>
      </c>
      <c r="AQ1433" s="125" t="str">
        <f>CONCATENATE(AP1433,L1433,H1433)</f>
        <v>Def TaxRR11Funded DIT Tax True-up Deferral</v>
      </c>
      <c r="AS1433" s="125" t="str">
        <f>CONCATENATE(L1433,H1433,J1433)</f>
        <v>R11Funded DIT Tax True-up Deferral</v>
      </c>
    </row>
    <row r="1434" spans="1:45" s="125" customFormat="1" ht="25.5" customHeight="1">
      <c r="A1434" s="216" t="s">
        <v>1996</v>
      </c>
      <c r="B1434" s="217" t="str">
        <f>CONCATENATE(A1434,C1434,D1434,E1434)</f>
        <v>Def Tax283500BE030934</v>
      </c>
      <c r="C1434" s="186">
        <v>283500</v>
      </c>
      <c r="D1434" s="201"/>
      <c r="E1434" s="162" t="s">
        <v>4563</v>
      </c>
      <c r="F1434" s="169" t="s">
        <v>300</v>
      </c>
      <c r="G1434" s="117" t="s">
        <v>4528</v>
      </c>
      <c r="H1434" s="118" t="s">
        <v>4529</v>
      </c>
      <c r="I1434" s="119"/>
      <c r="J1434" s="120"/>
      <c r="K1434" s="120" t="str">
        <f t="shared" si="600"/>
        <v/>
      </c>
      <c r="L1434" s="170" t="s">
        <v>2821</v>
      </c>
      <c r="M1434" s="122" t="str">
        <f>LEFT(L1434,1)</f>
        <v>N</v>
      </c>
      <c r="N1434" s="116" t="str">
        <f>IF($L1434&lt;&gt;"",VLOOKUP($L1434,Categories!$E:$G,2,FALSE),IF($F1434&lt;&gt;"","NO CAT",""))</f>
        <v>Not in Rate Base</v>
      </c>
      <c r="O1434" s="116" t="str">
        <f>IF($L1434&lt;&gt;"",VLOOKUP($L1434,Categories!$E:$G,3,FALSE),IF($F1434&lt;&gt;"","NO CAT",""))</f>
        <v>Deferrals Accruing Non-Cash Return   (other than ASGA)</v>
      </c>
      <c r="P1434" s="170" t="s">
        <v>1186</v>
      </c>
      <c r="Q1434" s="123" t="s">
        <v>1187</v>
      </c>
      <c r="R1434" s="124">
        <v>0</v>
      </c>
      <c r="S1434" s="124">
        <v>0</v>
      </c>
      <c r="T1434" s="124">
        <v>1</v>
      </c>
      <c r="U1434" s="121">
        <f>IF(ABS(X1434)=0,"",IF($R1434="NO ALLOC","NO ALLOC",ROUND($R1434*X1434,15)))</f>
        <v>0</v>
      </c>
      <c r="V1434" s="121">
        <f>IF(ABS(X1434)=0,"",IF($S1434="NO ALLOC","NO ALLOC",ROUND($S1434*X1434,15)))</f>
        <v>0</v>
      </c>
      <c r="W1434" s="121">
        <f>IF(ABS(X1434)=0,"",IF($T1434="NO ALLOC","NO ALLOC",ROUND($T1434*X1434,15)))</f>
        <v>4492.7322437499997</v>
      </c>
      <c r="X1434" s="121">
        <f t="shared" si="589"/>
        <v>4492.7322437499997</v>
      </c>
      <c r="Y1434" s="121">
        <f>IF(ABS(AB1434)=0,"",IF($R1434="NO ALLOC","NO ALLOC",ROUND($R1434*AB1434,15)))</f>
        <v>0</v>
      </c>
      <c r="Z1434" s="121">
        <f>IF(ABS(AB1434)=0,"",IF($S1434="NO ALLOC","NO ALLOC",ROUND($S1434*AB1434,15)))</f>
        <v>0</v>
      </c>
      <c r="AA1434" s="121">
        <f>IF(ABS(AB1434)=0,"",IF($T1434="NO ALLOC","NO ALLOC",ROUND($T1434*AB1434,15)))</f>
        <v>5896.6083500000004</v>
      </c>
      <c r="AB1434" s="121">
        <f t="shared" si="590"/>
        <v>5896.6083499999986</v>
      </c>
      <c r="AC1434" s="121">
        <v>2351.06194</v>
      </c>
      <c r="AD1434" s="121">
        <v>2468.8515200000002</v>
      </c>
      <c r="AE1434" s="121">
        <v>2763.67166</v>
      </c>
      <c r="AF1434" s="121">
        <v>3935.0894700000003</v>
      </c>
      <c r="AG1434" s="121">
        <v>4063.6495199999999</v>
      </c>
      <c r="AH1434" s="121">
        <v>3476.1684599999999</v>
      </c>
      <c r="AI1434" s="161">
        <v>3180.7027899999998</v>
      </c>
      <c r="AJ1434" s="161">
        <v>3044.6089300000003</v>
      </c>
      <c r="AK1434" s="161">
        <v>7410.3273599999993</v>
      </c>
      <c r="AL1434" s="161">
        <v>6892.4566099999993</v>
      </c>
      <c r="AM1434" s="161">
        <v>6525.6429899999994</v>
      </c>
      <c r="AN1434" s="161">
        <v>6027.7824699999992</v>
      </c>
      <c r="AO1434" s="161">
        <v>5896.6083499999986</v>
      </c>
      <c r="AP1434" s="125" t="str">
        <f>CONCATENATE(A1434,M1434)</f>
        <v>Def TaxN</v>
      </c>
      <c r="AQ1434" s="125" t="str">
        <f>CONCATENATE(AP1434,L1434,H1434)</f>
        <v>Def TaxNN10Reliability Support Services (RSS)</v>
      </c>
      <c r="AS1434" s="125" t="str">
        <f>CONCATENATE(L1434,H1434,J1434)</f>
        <v>N10Reliability Support Services (RSS)</v>
      </c>
    </row>
    <row r="1435" spans="1:45" s="125" customFormat="1" ht="25.5" customHeight="1">
      <c r="A1435" s="216" t="s">
        <v>1996</v>
      </c>
      <c r="B1435" s="217" t="str">
        <f>CONCATENATE(A1435,C1435,D1435,E1435)</f>
        <v>Def Tax283500BT010391</v>
      </c>
      <c r="C1435" s="186">
        <v>283500</v>
      </c>
      <c r="D1435" s="201"/>
      <c r="E1435" s="162" t="s">
        <v>4732</v>
      </c>
      <c r="F1435" s="169" t="s">
        <v>300</v>
      </c>
      <c r="G1435" s="117" t="s">
        <v>4731</v>
      </c>
      <c r="H1435" s="118" t="s">
        <v>4673</v>
      </c>
      <c r="I1435" s="119"/>
      <c r="J1435" s="120"/>
      <c r="K1435" s="120" t="str">
        <f t="shared" si="600"/>
        <v/>
      </c>
      <c r="L1435" s="170" t="s">
        <v>1895</v>
      </c>
      <c r="M1435" s="122" t="str">
        <f>LEFT(L1435,1)</f>
        <v>R</v>
      </c>
      <c r="N1435" s="116" t="str">
        <f>IF($L1435&lt;&gt;"",VLOOKUP($L1435,Categories!$E:$G,2,FALSE),IF($F1435&lt;&gt;"","NO CAT",""))</f>
        <v>Rate Base</v>
      </c>
      <c r="O1435" s="116" t="str">
        <f>IF($L1435&lt;&gt;"",VLOOKUP($L1435,Categories!$E:$G,3,FALSE),IF($F1435&lt;&gt;"","NO CAT",""))</f>
        <v>Deferred Income Taxes</v>
      </c>
      <c r="P1435" s="170" t="s">
        <v>1183</v>
      </c>
      <c r="Q1435" s="123" t="s">
        <v>1177</v>
      </c>
      <c r="R1435" s="124">
        <v>1</v>
      </c>
      <c r="S1435" s="124">
        <v>0</v>
      </c>
      <c r="T1435" s="124">
        <v>0</v>
      </c>
      <c r="U1435" s="121">
        <f>IF(ABS(X1435)=0,"",IF($R1435="NO ALLOC","NO ALLOC",ROUND($R1435*X1435,15)))</f>
        <v>-1099.4540833333299</v>
      </c>
      <c r="V1435" s="121">
        <f>IF(ABS(X1435)=0,"",IF($S1435="NO ALLOC","NO ALLOC",ROUND($S1435*X1435,15)))</f>
        <v>0</v>
      </c>
      <c r="W1435" s="121">
        <f>IF(ABS(X1435)=0,"",IF($T1435="NO ALLOC","NO ALLOC",ROUND($T1435*X1435,15)))</f>
        <v>0</v>
      </c>
      <c r="X1435" s="121">
        <f t="shared" si="589"/>
        <v>-1099.4540833333299</v>
      </c>
      <c r="Y1435" s="121">
        <f>IF(ABS(AB1435)=0,"",IF($R1435="NO ALLOC","NO ALLOC",ROUND($R1435*AB1435,15)))</f>
        <v>-2229.8787000000002</v>
      </c>
      <c r="Z1435" s="121">
        <f>IF(ABS(AB1435)=0,"",IF($S1435="NO ALLOC","NO ALLOC",ROUND($S1435*AB1435,15)))</f>
        <v>0</v>
      </c>
      <c r="AA1435" s="121">
        <f>IF(ABS(AB1435)=0,"",IF($T1435="NO ALLOC","NO ALLOC",ROUND($T1435*AB1435,15)))</f>
        <v>0</v>
      </c>
      <c r="AB1435" s="121">
        <f t="shared" si="590"/>
        <v>-2229.8787000000002</v>
      </c>
      <c r="AC1435" s="121"/>
      <c r="AD1435" s="121"/>
      <c r="AE1435" s="121">
        <v>-371.64645000000002</v>
      </c>
      <c r="AF1435" s="121">
        <v>-557.46968000000004</v>
      </c>
      <c r="AG1435" s="121">
        <v>-743.29290000000003</v>
      </c>
      <c r="AH1435" s="121">
        <v>-929.11613</v>
      </c>
      <c r="AI1435" s="161">
        <v>-1114.9393500000001</v>
      </c>
      <c r="AJ1435" s="161">
        <v>-1300.7625800000001</v>
      </c>
      <c r="AK1435" s="161">
        <v>-1486.5858000000001</v>
      </c>
      <c r="AL1435" s="161">
        <v>-1672.40903</v>
      </c>
      <c r="AM1435" s="161">
        <v>-1858.23225</v>
      </c>
      <c r="AN1435" s="161">
        <v>-2044.05548</v>
      </c>
      <c r="AO1435" s="161">
        <v>-2229.8787000000002</v>
      </c>
      <c r="AP1435" s="125" t="str">
        <f>CONCATENATE(A1435,M1435)</f>
        <v>Def TaxR</v>
      </c>
      <c r="AQ1435" s="125" t="str">
        <f>CONCATENATE(AP1435,L1435,H1435)</f>
        <v>Def TaxRR11Continuation of Current Amorts Until New Rates Reset</v>
      </c>
      <c r="AS1435" s="125" t="str">
        <f>CONCATENATE(L1435,H1435,J1435)</f>
        <v>R11Continuation of Current Amorts Until New Rates Reset</v>
      </c>
    </row>
    <row r="1436" spans="1:45" s="125" customFormat="1" ht="25.5" customHeight="1">
      <c r="A1436" s="216" t="s">
        <v>1996</v>
      </c>
      <c r="B1436" s="217" t="str">
        <f>CONCATENATE(A1436,C1436,D1436,E1436)</f>
        <v>Def Tax283500Hung DeferredBEHUNGDT</v>
      </c>
      <c r="C1436" s="186">
        <v>283500</v>
      </c>
      <c r="D1436" s="201" t="s">
        <v>4395</v>
      </c>
      <c r="E1436" s="162" t="s">
        <v>4396</v>
      </c>
      <c r="F1436" s="169" t="s">
        <v>300</v>
      </c>
      <c r="G1436" s="117" t="s">
        <v>4397</v>
      </c>
      <c r="H1436" s="118" t="s">
        <v>1167</v>
      </c>
      <c r="I1436" s="119"/>
      <c r="J1436" s="120"/>
      <c r="K1436" s="120" t="str">
        <f t="shared" si="600"/>
        <v/>
      </c>
      <c r="L1436" s="170" t="s">
        <v>1895</v>
      </c>
      <c r="M1436" s="122" t="str">
        <f>LEFT(L1436,1)</f>
        <v>R</v>
      </c>
      <c r="N1436" s="116" t="str">
        <f>IF($L1436&lt;&gt;"",VLOOKUP($L1436,Categories!$E:$G,2,FALSE),IF($F1436&lt;&gt;"","NO CAT",""))</f>
        <v>Rate Base</v>
      </c>
      <c r="O1436" s="116" t="str">
        <f>IF($L1436&lt;&gt;"",VLOOKUP($L1436,Categories!$E:$G,3,FALSE),IF($F1436&lt;&gt;"","NO CAT",""))</f>
        <v>Deferred Income Taxes</v>
      </c>
      <c r="P1436" s="170" t="s">
        <v>1183</v>
      </c>
      <c r="Q1436" s="123" t="s">
        <v>1177</v>
      </c>
      <c r="R1436" s="124">
        <v>1</v>
      </c>
      <c r="S1436" s="124">
        <v>0</v>
      </c>
      <c r="T1436" s="124">
        <v>0</v>
      </c>
      <c r="U1436" s="121" t="str">
        <f>IF(ABS(X1436)=0,"",IF($R1436="NO ALLOC","NO ALLOC",ROUND($R1436*X1436,15)))</f>
        <v/>
      </c>
      <c r="V1436" s="121" t="str">
        <f>IF(ABS(X1436)=0,"",IF($S1436="NO ALLOC","NO ALLOC",ROUND($S1436*X1436,15)))</f>
        <v/>
      </c>
      <c r="W1436" s="121" t="str">
        <f>IF(ABS(X1436)=0,"",IF($T1436="NO ALLOC","NO ALLOC",ROUND($T1436*X1436,15)))</f>
        <v/>
      </c>
      <c r="X1436" s="121">
        <f t="shared" si="589"/>
        <v>0</v>
      </c>
      <c r="Y1436" s="121" t="str">
        <f>IF(ABS(AB1436)=0,"",IF($R1436="NO ALLOC","NO ALLOC",ROUND($R1436*AB1436,15)))</f>
        <v/>
      </c>
      <c r="Z1436" s="121" t="str">
        <f>IF(ABS(AB1436)=0,"",IF($S1436="NO ALLOC","NO ALLOC",ROUND($S1436*AB1436,15)))</f>
        <v/>
      </c>
      <c r="AA1436" s="121" t="str">
        <f>IF(ABS(AB1436)=0,"",IF($T1436="NO ALLOC","NO ALLOC",ROUND($T1436*AB1436,15)))</f>
        <v/>
      </c>
      <c r="AB1436" s="121">
        <f t="shared" si="590"/>
        <v>0</v>
      </c>
      <c r="AC1436" s="121">
        <v>0</v>
      </c>
      <c r="AD1436" s="121">
        <v>0</v>
      </c>
      <c r="AE1436" s="121">
        <v>0</v>
      </c>
      <c r="AF1436" s="121">
        <v>0</v>
      </c>
      <c r="AG1436" s="121">
        <v>0</v>
      </c>
      <c r="AH1436" s="121">
        <v>0</v>
      </c>
      <c r="AI1436" s="121">
        <v>0</v>
      </c>
      <c r="AJ1436" s="121">
        <f>IF(AI1436=0,0,0)</f>
        <v>0</v>
      </c>
      <c r="AK1436" s="161">
        <v>0</v>
      </c>
      <c r="AL1436" s="161">
        <v>0</v>
      </c>
      <c r="AM1436" s="161">
        <v>0</v>
      </c>
      <c r="AN1436" s="161">
        <v>0</v>
      </c>
      <c r="AO1436" s="161">
        <v>0</v>
      </c>
      <c r="AP1436" s="125" t="str">
        <f>CONCATENATE(A1436,M1436)</f>
        <v>Def TaxR</v>
      </c>
      <c r="AQ1436" s="125" t="str">
        <f>CONCATENATE(AP1436,L1436,H1436)</f>
        <v>Def TaxRR11Hung Deferred Taxes</v>
      </c>
      <c r="AS1436" s="125" t="str">
        <f>CONCATENATE(L1436,H1436,J1436)</f>
        <v>R11Hung Deferred Taxes</v>
      </c>
    </row>
    <row r="1437" spans="1:45" s="125" customFormat="1" ht="25.5" customHeight="1">
      <c r="A1437" s="216" t="s">
        <v>1996</v>
      </c>
      <c r="B1437" s="217" t="str">
        <f>CONCATENATE(A1437,C1437,D1437,E1437)</f>
        <v>Def Tax283500BE030597</v>
      </c>
      <c r="C1437" s="186">
        <v>283500</v>
      </c>
      <c r="D1437" s="201"/>
      <c r="E1437" s="162" t="s">
        <v>1935</v>
      </c>
      <c r="F1437" s="169" t="s">
        <v>300</v>
      </c>
      <c r="G1437" s="117" t="s">
        <v>4543</v>
      </c>
      <c r="H1437" s="118" t="s">
        <v>2574</v>
      </c>
      <c r="I1437" s="119"/>
      <c r="J1437" s="120" t="s">
        <v>105</v>
      </c>
      <c r="K1437" s="120" t="str">
        <f t="shared" ref="K1437" si="601">IF(L1437="N3","SFAS-109","")</f>
        <v/>
      </c>
      <c r="L1437" s="170" t="s">
        <v>2821</v>
      </c>
      <c r="M1437" s="122" t="str">
        <f>LEFT(L1437,1)</f>
        <v>N</v>
      </c>
      <c r="N1437" s="116" t="str">
        <f>IF($L1437&lt;&gt;"",VLOOKUP($L1437,Categories!$E:$G,2,FALSE),IF($F1437&lt;&gt;"","NO CAT",""))</f>
        <v>Not in Rate Base</v>
      </c>
      <c r="O1437" s="116" t="str">
        <f>IF($L1437&lt;&gt;"",VLOOKUP($L1437,Categories!$E:$G,3,FALSE),IF($F1437&lt;&gt;"","NO CAT",""))</f>
        <v>Deferrals Accruing Non-Cash Return   (other than ASGA)</v>
      </c>
      <c r="P1437" s="170" t="s">
        <v>1186</v>
      </c>
      <c r="Q1437" s="123" t="s">
        <v>1187</v>
      </c>
      <c r="R1437" s="124">
        <v>0</v>
      </c>
      <c r="S1437" s="124">
        <v>0</v>
      </c>
      <c r="T1437" s="124">
        <v>1</v>
      </c>
      <c r="U1437" s="121">
        <f>IF(ABS(X1437)=0,"",IF($R1437="NO ALLOC","NO ALLOC",ROUND($R1437*X1437,15)))</f>
        <v>0</v>
      </c>
      <c r="V1437" s="121">
        <f>IF(ABS(X1437)=0,"",IF($S1437="NO ALLOC","NO ALLOC",ROUND($S1437*X1437,15)))</f>
        <v>0</v>
      </c>
      <c r="W1437" s="121">
        <f>IF(ABS(X1437)=0,"",IF($T1437="NO ALLOC","NO ALLOC",ROUND($T1437*X1437,15)))</f>
        <v>-1.1607208333333301</v>
      </c>
      <c r="X1437" s="121">
        <f t="shared" si="589"/>
        <v>-1.1607208333333301</v>
      </c>
      <c r="Y1437" s="121">
        <f>IF(ABS(AB1437)=0,"",IF($R1437="NO ALLOC","NO ALLOC",ROUND($R1437*AB1437,15)))</f>
        <v>0</v>
      </c>
      <c r="Z1437" s="121">
        <f>IF(ABS(AB1437)=0,"",IF($S1437="NO ALLOC","NO ALLOC",ROUND($S1437*AB1437,15)))</f>
        <v>0</v>
      </c>
      <c r="AA1437" s="121">
        <f>IF(ABS(AB1437)=0,"",IF($T1437="NO ALLOC","NO ALLOC",ROUND($T1437*AB1437,15)))</f>
        <v>-27.857299999999999</v>
      </c>
      <c r="AB1437" s="121">
        <f t="shared" si="590"/>
        <v>-27.857299999999999</v>
      </c>
      <c r="AC1437" s="121"/>
      <c r="AD1437" s="121"/>
      <c r="AE1437" s="121"/>
      <c r="AF1437" s="121"/>
      <c r="AG1437" s="121"/>
      <c r="AH1437" s="121"/>
      <c r="AI1437" s="121"/>
      <c r="AJ1437" s="121"/>
      <c r="AK1437" s="161"/>
      <c r="AL1437" s="161"/>
      <c r="AM1437" s="161"/>
      <c r="AN1437" s="161"/>
      <c r="AO1437" s="161">
        <v>-27.857299999999999</v>
      </c>
      <c r="AP1437" s="125" t="str">
        <f>CONCATENATE(A1437,M1437)</f>
        <v>Def TaxN</v>
      </c>
      <c r="AQ1437" s="125" t="str">
        <f>CONCATENATE(AP1437,L1437,H1437)</f>
        <v>Def TaxNN10CAIDI/SAIFI Study</v>
      </c>
      <c r="AS1437" s="125" t="str">
        <f>CONCATENATE(L1437,H1437,J1437)</f>
        <v>N10CAIDI/SAIFI StudyNCR</v>
      </c>
    </row>
    <row r="1438" spans="1:45" s="125" customFormat="1" ht="25.5" customHeight="1">
      <c r="A1438" s="216" t="s">
        <v>1996</v>
      </c>
      <c r="B1438" s="217" t="str">
        <f t="shared" si="591"/>
        <v>Def Tax283505SFAS-109FAS109</v>
      </c>
      <c r="C1438" s="186">
        <v>283505</v>
      </c>
      <c r="D1438" s="201" t="s">
        <v>1149</v>
      </c>
      <c r="E1438" s="162" t="s">
        <v>4707</v>
      </c>
      <c r="F1438" s="169" t="s">
        <v>881</v>
      </c>
      <c r="G1438" s="117" t="s">
        <v>881</v>
      </c>
      <c r="H1438" s="118" t="s">
        <v>1149</v>
      </c>
      <c r="I1438" s="119"/>
      <c r="J1438" s="120"/>
      <c r="K1438" s="120" t="str">
        <f t="shared" si="599"/>
        <v>SFAS-109</v>
      </c>
      <c r="L1438" s="170" t="s">
        <v>930</v>
      </c>
      <c r="M1438" s="122" t="str">
        <f t="shared" si="586"/>
        <v>N</v>
      </c>
      <c r="N1438" s="116" t="str">
        <f>IF($L1438&lt;&gt;"",VLOOKUP($L1438,Categories!$E:$G,2,FALSE),IF($F1438&lt;&gt;"","NO CAT",""))</f>
        <v>Not in Rate Base</v>
      </c>
      <c r="O1438" s="116" t="str">
        <f>IF($L1438&lt;&gt;"",VLOOKUP($L1438,Categories!$E:$G,3,FALSE),IF($F1438&lt;&gt;"","NO CAT",""))</f>
        <v>SFAS-109   (offsetting)</v>
      </c>
      <c r="P1438" s="170" t="s">
        <v>1186</v>
      </c>
      <c r="Q1438" s="123" t="s">
        <v>1187</v>
      </c>
      <c r="R1438" s="124">
        <v>0</v>
      </c>
      <c r="S1438" s="124">
        <v>0</v>
      </c>
      <c r="T1438" s="124">
        <v>1</v>
      </c>
      <c r="U1438" s="121">
        <f t="shared" si="593"/>
        <v>0</v>
      </c>
      <c r="V1438" s="121">
        <f t="shared" si="594"/>
        <v>0</v>
      </c>
      <c r="W1438" s="121">
        <f t="shared" si="595"/>
        <v>-31012.228488749999</v>
      </c>
      <c r="X1438" s="121">
        <f t="shared" si="589"/>
        <v>-31012.228488749999</v>
      </c>
      <c r="Y1438" s="121">
        <f t="shared" si="596"/>
        <v>0</v>
      </c>
      <c r="Z1438" s="121">
        <f t="shared" si="597"/>
        <v>0</v>
      </c>
      <c r="AA1438" s="121">
        <f t="shared" si="598"/>
        <v>-26832.598139999998</v>
      </c>
      <c r="AB1438" s="121">
        <f t="shared" si="590"/>
        <v>-26832.59813999998</v>
      </c>
      <c r="AC1438" s="121">
        <v>-32141.402229999974</v>
      </c>
      <c r="AD1438" s="121">
        <v>-31656.846829999977</v>
      </c>
      <c r="AE1438" s="121">
        <v>-31206.118109999978</v>
      </c>
      <c r="AF1438" s="121">
        <v>-30701.579199999978</v>
      </c>
      <c r="AG1438" s="121">
        <v>-31804.620419999977</v>
      </c>
      <c r="AH1438" s="121">
        <v>-31704.662699999975</v>
      </c>
      <c r="AI1438" s="161">
        <v>-31578.808699999976</v>
      </c>
      <c r="AJ1438" s="161">
        <v>-31493.773719999976</v>
      </c>
      <c r="AK1438" s="161">
        <v>-31416.559919999974</v>
      </c>
      <c r="AL1438" s="161">
        <v>-31445.319529999975</v>
      </c>
      <c r="AM1438" s="161">
        <v>-31405.848349999975</v>
      </c>
      <c r="AN1438" s="161">
        <v>-28245.604199999976</v>
      </c>
      <c r="AO1438" s="161">
        <v>-26832.59813999998</v>
      </c>
      <c r="AP1438" s="125" t="str">
        <f>CONCATENATE(A1438,M1438)</f>
        <v>Def TaxN</v>
      </c>
      <c r="AQ1438" s="125" t="str">
        <f>CONCATENATE(AP1438,L1438,H1438)</f>
        <v>Def TaxNN3SFAS-109</v>
      </c>
      <c r="AS1438" s="125" t="str">
        <f>CONCATENATE(L1438,H1438,J1438)</f>
        <v>N3SFAS-109</v>
      </c>
    </row>
    <row r="1439" spans="1:45" s="125" customFormat="1" ht="25.5" customHeight="1">
      <c r="A1439" s="216" t="s">
        <v>1996</v>
      </c>
      <c r="B1439" s="217" t="str">
        <f t="shared" si="591"/>
        <v>Def Tax283505BT010125</v>
      </c>
      <c r="C1439" s="186">
        <v>283505</v>
      </c>
      <c r="D1439" s="201"/>
      <c r="E1439" s="162" t="s">
        <v>1024</v>
      </c>
      <c r="F1439" s="169" t="s">
        <v>881</v>
      </c>
      <c r="G1439" s="117" t="s">
        <v>914</v>
      </c>
      <c r="H1439" s="118" t="s">
        <v>914</v>
      </c>
      <c r="I1439" s="119"/>
      <c r="J1439" s="120"/>
      <c r="K1439" s="120" t="str">
        <f t="shared" si="599"/>
        <v/>
      </c>
      <c r="L1439" s="170" t="s">
        <v>1895</v>
      </c>
      <c r="M1439" s="122" t="str">
        <f t="shared" si="586"/>
        <v>R</v>
      </c>
      <c r="N1439" s="116" t="str">
        <f>IF($L1439&lt;&gt;"",VLOOKUP($L1439,Categories!$E:$G,2,FALSE),IF($F1439&lt;&gt;"","NO CAT",""))</f>
        <v>Rate Base</v>
      </c>
      <c r="O1439" s="116" t="str">
        <f>IF($L1439&lt;&gt;"",VLOOKUP($L1439,Categories!$E:$G,3,FALSE),IF($F1439&lt;&gt;"","NO CAT",""))</f>
        <v>Deferred Income Taxes</v>
      </c>
      <c r="P1439" s="170" t="s">
        <v>1553</v>
      </c>
      <c r="Q1439" s="123" t="s">
        <v>2587</v>
      </c>
      <c r="R1439" s="124">
        <v>0.81899999999999995</v>
      </c>
      <c r="S1439" s="124">
        <v>0.18099999999999999</v>
      </c>
      <c r="T1439" s="124">
        <v>0</v>
      </c>
      <c r="U1439" s="121">
        <f t="shared" si="593"/>
        <v>-227.71041247499801</v>
      </c>
      <c r="V1439" s="121">
        <f t="shared" si="594"/>
        <v>-50.3242791916662</v>
      </c>
      <c r="W1439" s="121">
        <f t="shared" si="595"/>
        <v>0</v>
      </c>
      <c r="X1439" s="121">
        <f t="shared" si="589"/>
        <v>-278.034691666664</v>
      </c>
      <c r="Y1439" s="121">
        <f t="shared" si="596"/>
        <v>2.2879999999999999E-12</v>
      </c>
      <c r="Z1439" s="121">
        <f t="shared" si="597"/>
        <v>5.0599999999999996E-13</v>
      </c>
      <c r="AA1439" s="121">
        <f t="shared" si="598"/>
        <v>0</v>
      </c>
      <c r="AB1439" s="121">
        <f t="shared" si="590"/>
        <v>2.7939677238464356E-12</v>
      </c>
      <c r="AC1439" s="121">
        <v>-1334.5665199999971</v>
      </c>
      <c r="AD1439" s="121">
        <v>-1334.5665199999971</v>
      </c>
      <c r="AE1439" s="121">
        <v>-1334.5665199999971</v>
      </c>
      <c r="AF1439" s="121">
        <v>0</v>
      </c>
      <c r="AG1439" s="121">
        <v>0</v>
      </c>
      <c r="AH1439" s="121">
        <v>2.7939677238464356E-12</v>
      </c>
      <c r="AI1439" s="161">
        <v>2.7939677238464356E-12</v>
      </c>
      <c r="AJ1439" s="161">
        <v>2.7939677238464356E-12</v>
      </c>
      <c r="AK1439" s="161">
        <v>2.7939677238464356E-12</v>
      </c>
      <c r="AL1439" s="161">
        <v>2.7939677238464356E-12</v>
      </c>
      <c r="AM1439" s="161">
        <v>2.7939677238464356E-12</v>
      </c>
      <c r="AN1439" s="161">
        <v>2.7939677238464356E-12</v>
      </c>
      <c r="AO1439" s="161">
        <v>2.7939677238464356E-12</v>
      </c>
      <c r="AP1439" s="125" t="str">
        <f>CONCATENATE(A1439,M1439)</f>
        <v>Def TaxR</v>
      </c>
      <c r="AQ1439" s="125" t="str">
        <f>CONCATENATE(AP1439,L1439,H1439)</f>
        <v>Def TaxRR11Medicare Subsidy</v>
      </c>
      <c r="AS1439" s="125" t="str">
        <f>CONCATENATE(L1439,H1439,J1439)</f>
        <v>R11Medicare Subsidy</v>
      </c>
    </row>
    <row r="1440" spans="1:45" s="125" customFormat="1" ht="25.5" customHeight="1">
      <c r="A1440" s="216" t="s">
        <v>1996</v>
      </c>
      <c r="B1440" s="217" t="str">
        <f t="shared" si="591"/>
        <v>Def Tax283506SFAS-109FAS109</v>
      </c>
      <c r="C1440" s="186">
        <v>283506</v>
      </c>
      <c r="D1440" s="201" t="s">
        <v>1149</v>
      </c>
      <c r="E1440" s="162" t="s">
        <v>4707</v>
      </c>
      <c r="F1440" s="169" t="s">
        <v>882</v>
      </c>
      <c r="G1440" s="117" t="s">
        <v>882</v>
      </c>
      <c r="H1440" s="118" t="s">
        <v>1149</v>
      </c>
      <c r="I1440" s="119"/>
      <c r="J1440" s="120"/>
      <c r="K1440" s="120" t="str">
        <f t="shared" si="599"/>
        <v>SFAS-109</v>
      </c>
      <c r="L1440" s="170" t="s">
        <v>930</v>
      </c>
      <c r="M1440" s="122" t="str">
        <f t="shared" si="586"/>
        <v>N</v>
      </c>
      <c r="N1440" s="116" t="str">
        <f>IF($L1440&lt;&gt;"",VLOOKUP($L1440,Categories!$E:$G,2,FALSE),IF($F1440&lt;&gt;"","NO CAT",""))</f>
        <v>Not in Rate Base</v>
      </c>
      <c r="O1440" s="116" t="str">
        <f>IF($L1440&lt;&gt;"",VLOOKUP($L1440,Categories!$E:$G,3,FALSE),IF($F1440&lt;&gt;"","NO CAT",""))</f>
        <v>SFAS-109   (offsetting)</v>
      </c>
      <c r="P1440" s="170" t="s">
        <v>1186</v>
      </c>
      <c r="Q1440" s="123" t="s">
        <v>1187</v>
      </c>
      <c r="R1440" s="124">
        <v>0</v>
      </c>
      <c r="S1440" s="124">
        <v>0</v>
      </c>
      <c r="T1440" s="124">
        <v>1</v>
      </c>
      <c r="U1440" s="121">
        <f t="shared" si="593"/>
        <v>0</v>
      </c>
      <c r="V1440" s="121">
        <f t="shared" si="594"/>
        <v>0</v>
      </c>
      <c r="W1440" s="121">
        <f t="shared" si="595"/>
        <v>35265.8943604167</v>
      </c>
      <c r="X1440" s="121">
        <f t="shared" si="589"/>
        <v>35265.8943604167</v>
      </c>
      <c r="Y1440" s="121">
        <f t="shared" si="596"/>
        <v>0</v>
      </c>
      <c r="Z1440" s="121">
        <f t="shared" si="597"/>
        <v>0</v>
      </c>
      <c r="AA1440" s="121">
        <f t="shared" si="598"/>
        <v>33504.544029999997</v>
      </c>
      <c r="AB1440" s="121">
        <f t="shared" si="590"/>
        <v>33504.544029999997</v>
      </c>
      <c r="AC1440" s="121">
        <v>34031.57</v>
      </c>
      <c r="AD1440" s="121">
        <v>34345.326950000002</v>
      </c>
      <c r="AE1440" s="121">
        <v>34701.82602</v>
      </c>
      <c r="AF1440" s="121">
        <v>35028.024860000005</v>
      </c>
      <c r="AG1440" s="121">
        <v>34921.912150000004</v>
      </c>
      <c r="AH1440" s="121">
        <v>35135.956550000003</v>
      </c>
      <c r="AI1440" s="161">
        <v>35350.528780000001</v>
      </c>
      <c r="AJ1440" s="161">
        <v>35562.909009999996</v>
      </c>
      <c r="AK1440" s="161">
        <v>35779.404040000001</v>
      </c>
      <c r="AL1440" s="161">
        <v>35989.457119999999</v>
      </c>
      <c r="AM1440" s="161">
        <v>36199.625659999998</v>
      </c>
      <c r="AN1440" s="161">
        <v>36407.704169999997</v>
      </c>
      <c r="AO1440" s="161">
        <v>33504.544029999997</v>
      </c>
      <c r="AP1440" s="125" t="str">
        <f>CONCATENATE(A1440,M1440)</f>
        <v>Def TaxN</v>
      </c>
      <c r="AQ1440" s="125" t="str">
        <f>CONCATENATE(AP1440,L1440,H1440)</f>
        <v>Def TaxNN3SFAS-109</v>
      </c>
      <c r="AS1440" s="125" t="str">
        <f>CONCATENATE(L1440,H1440,J1440)</f>
        <v>N3SFAS-109</v>
      </c>
    </row>
    <row r="1441" spans="1:45" s="125" customFormat="1" ht="25.5" customHeight="1">
      <c r="A1441" s="216" t="s">
        <v>1996</v>
      </c>
      <c r="B1441" s="217" t="str">
        <f t="shared" si="591"/>
        <v>Def Tax283506BT010125</v>
      </c>
      <c r="C1441" s="186">
        <v>283506</v>
      </c>
      <c r="D1441" s="201"/>
      <c r="E1441" s="162" t="s">
        <v>1024</v>
      </c>
      <c r="F1441" s="169" t="s">
        <v>882</v>
      </c>
      <c r="G1441" s="117" t="s">
        <v>914</v>
      </c>
      <c r="H1441" s="118" t="s">
        <v>914</v>
      </c>
      <c r="I1441" s="119"/>
      <c r="J1441" s="120"/>
      <c r="K1441" s="120" t="str">
        <f t="shared" si="599"/>
        <v/>
      </c>
      <c r="L1441" s="170" t="s">
        <v>1895</v>
      </c>
      <c r="M1441" s="122" t="str">
        <f t="shared" si="586"/>
        <v>R</v>
      </c>
      <c r="N1441" s="116" t="str">
        <f>IF($L1441&lt;&gt;"",VLOOKUP($L1441,Categories!$E:$G,2,FALSE),IF($F1441&lt;&gt;"","NO CAT",""))</f>
        <v>Rate Base</v>
      </c>
      <c r="O1441" s="116" t="str">
        <f>IF($L1441&lt;&gt;"",VLOOKUP($L1441,Categories!$E:$G,3,FALSE),IF($F1441&lt;&gt;"","NO CAT",""))</f>
        <v>Deferred Income Taxes</v>
      </c>
      <c r="P1441" s="170" t="s">
        <v>1553</v>
      </c>
      <c r="Q1441" s="123" t="s">
        <v>2587</v>
      </c>
      <c r="R1441" s="124">
        <v>0.81899999999999995</v>
      </c>
      <c r="S1441" s="124">
        <v>0.18099999999999999</v>
      </c>
      <c r="T1441" s="124">
        <v>0</v>
      </c>
      <c r="U1441" s="121">
        <f t="shared" si="593"/>
        <v>183.14628661875</v>
      </c>
      <c r="V1441" s="121">
        <f t="shared" si="594"/>
        <v>40.475552964583301</v>
      </c>
      <c r="W1441" s="121">
        <f t="shared" si="595"/>
        <v>0</v>
      </c>
      <c r="X1441" s="121">
        <f t="shared" si="589"/>
        <v>223.62183958333301</v>
      </c>
      <c r="Y1441" s="121" t="str">
        <f t="shared" si="596"/>
        <v/>
      </c>
      <c r="Z1441" s="121" t="str">
        <f t="shared" si="597"/>
        <v/>
      </c>
      <c r="AA1441" s="121" t="str">
        <f t="shared" si="598"/>
        <v/>
      </c>
      <c r="AB1441" s="121">
        <f t="shared" si="590"/>
        <v>0</v>
      </c>
      <c r="AC1441" s="121">
        <v>1073.3848299999991</v>
      </c>
      <c r="AD1441" s="121">
        <v>1073.3848299999991</v>
      </c>
      <c r="AE1441" s="121">
        <v>1073.3848299999991</v>
      </c>
      <c r="AF1441" s="121">
        <v>0</v>
      </c>
      <c r="AG1441" s="121">
        <v>0</v>
      </c>
      <c r="AH1441" s="121">
        <v>0</v>
      </c>
      <c r="AI1441" s="121">
        <v>0</v>
      </c>
      <c r="AJ1441" s="121">
        <f>IF(AI1441=0,0,0)</f>
        <v>0</v>
      </c>
      <c r="AK1441" s="161">
        <v>0</v>
      </c>
      <c r="AL1441" s="161">
        <v>0</v>
      </c>
      <c r="AM1441" s="161">
        <v>0</v>
      </c>
      <c r="AN1441" s="161">
        <v>0</v>
      </c>
      <c r="AO1441" s="161">
        <v>0</v>
      </c>
      <c r="AP1441" s="125" t="str">
        <f>CONCATENATE(A1441,M1441)</f>
        <v>Def TaxR</v>
      </c>
      <c r="AQ1441" s="125" t="str">
        <f>CONCATENATE(AP1441,L1441,H1441)</f>
        <v>Def TaxRR11Medicare Subsidy</v>
      </c>
      <c r="AS1441" s="125" t="str">
        <f>CONCATENATE(L1441,H1441,J1441)</f>
        <v>R11Medicare Subsidy</v>
      </c>
    </row>
    <row r="1442" spans="1:45" s="125" customFormat="1" ht="25.5" customHeight="1">
      <c r="A1442" s="216" t="s">
        <v>1996</v>
      </c>
      <c r="B1442" s="217" t="str">
        <f t="shared" si="591"/>
        <v>Def Tax283510AMIIBT010288</v>
      </c>
      <c r="C1442" s="186">
        <v>283510</v>
      </c>
      <c r="D1442" s="201" t="s">
        <v>1307</v>
      </c>
      <c r="E1442" s="162" t="s">
        <v>871</v>
      </c>
      <c r="F1442" s="169" t="s">
        <v>2883</v>
      </c>
      <c r="G1442" s="117" t="s">
        <v>2260</v>
      </c>
      <c r="H1442" s="118" t="s">
        <v>1307</v>
      </c>
      <c r="I1442" s="119"/>
      <c r="J1442" s="120"/>
      <c r="K1442" s="120" t="str">
        <f t="shared" si="599"/>
        <v/>
      </c>
      <c r="L1442" s="170" t="s">
        <v>928</v>
      </c>
      <c r="M1442" s="122" t="str">
        <f t="shared" si="586"/>
        <v>N</v>
      </c>
      <c r="N1442" s="116" t="str">
        <f>IF($L1442&lt;&gt;"",VLOOKUP($L1442,Categories!$E:$G,2,FALSE),IF($F1442&lt;&gt;"","NO CAT",""))</f>
        <v>Not in Rate Base</v>
      </c>
      <c r="O1442" s="116" t="str">
        <f>IF($L1442&lt;&gt;"",VLOOKUP($L1442,Categories!$E:$G,3,FALSE),IF($F1442&lt;&gt;"","NO CAT",""))</f>
        <v>Direct Assign Items Not in RB</v>
      </c>
      <c r="P1442" s="170" t="s">
        <v>1186</v>
      </c>
      <c r="Q1442" s="123" t="s">
        <v>1187</v>
      </c>
      <c r="R1442" s="124">
        <v>0</v>
      </c>
      <c r="S1442" s="124">
        <v>0</v>
      </c>
      <c r="T1442" s="124">
        <v>1</v>
      </c>
      <c r="U1442" s="121">
        <f t="shared" si="593"/>
        <v>0</v>
      </c>
      <c r="V1442" s="121">
        <f t="shared" si="594"/>
        <v>0</v>
      </c>
      <c r="W1442" s="121">
        <f t="shared" si="595"/>
        <v>-3.8000000000000002E-4</v>
      </c>
      <c r="X1442" s="121">
        <f t="shared" si="589"/>
        <v>-3.8000000000000002E-4</v>
      </c>
      <c r="Y1442" s="121">
        <f t="shared" si="596"/>
        <v>0</v>
      </c>
      <c r="Z1442" s="121">
        <f t="shared" si="597"/>
        <v>0</v>
      </c>
      <c r="AA1442" s="121">
        <f t="shared" si="598"/>
        <v>-3.8000000000000002E-4</v>
      </c>
      <c r="AB1442" s="121">
        <f t="shared" si="590"/>
        <v>-3.8000000000010915E-4</v>
      </c>
      <c r="AC1442" s="121">
        <v>-3.8000000000010915E-4</v>
      </c>
      <c r="AD1442" s="121">
        <v>-3.8000000000010915E-4</v>
      </c>
      <c r="AE1442" s="121">
        <v>-3.8000000000010915E-4</v>
      </c>
      <c r="AF1442" s="121">
        <v>-3.8000000000010915E-4</v>
      </c>
      <c r="AG1442" s="121">
        <v>-3.8000000000010915E-4</v>
      </c>
      <c r="AH1442" s="121">
        <v>-3.8000000000010915E-4</v>
      </c>
      <c r="AI1442" s="161">
        <v>-3.8000000000010915E-4</v>
      </c>
      <c r="AJ1442" s="161">
        <v>-3.8000000000010915E-4</v>
      </c>
      <c r="AK1442" s="161">
        <v>-3.8000000000010915E-4</v>
      </c>
      <c r="AL1442" s="161">
        <v>-3.8000000000010915E-4</v>
      </c>
      <c r="AM1442" s="161">
        <v>-3.8000000000010915E-4</v>
      </c>
      <c r="AN1442" s="161">
        <v>-3.8000000000010915E-4</v>
      </c>
      <c r="AO1442" s="161">
        <v>-3.8000000000010915E-4</v>
      </c>
      <c r="AP1442" s="125" t="str">
        <f>CONCATENATE(A1442,M1442)</f>
        <v>Def TaxN</v>
      </c>
      <c r="AQ1442" s="125" t="str">
        <f>CONCATENATE(AP1442,L1442,H1442)</f>
        <v>Def TaxNN2AMII</v>
      </c>
      <c r="AS1442" s="125" t="str">
        <f>CONCATENATE(L1442,H1442,J1442)</f>
        <v>N2AMII</v>
      </c>
    </row>
    <row r="1443" spans="1:45" s="125" customFormat="1" ht="25.5" customHeight="1">
      <c r="A1443" s="216" t="s">
        <v>1996</v>
      </c>
      <c r="B1443" s="217" t="str">
        <f t="shared" si="591"/>
        <v>Def Tax283510AROBT010323</v>
      </c>
      <c r="C1443" s="186">
        <v>283510</v>
      </c>
      <c r="D1443" s="201" t="s">
        <v>993</v>
      </c>
      <c r="E1443" s="162" t="s">
        <v>1197</v>
      </c>
      <c r="F1443" s="169" t="s">
        <v>2883</v>
      </c>
      <c r="G1443" s="117" t="s">
        <v>1196</v>
      </c>
      <c r="H1443" s="118" t="s">
        <v>972</v>
      </c>
      <c r="I1443" s="119"/>
      <c r="J1443" s="231"/>
      <c r="K1443" s="120" t="str">
        <f t="shared" si="599"/>
        <v/>
      </c>
      <c r="L1443" s="170" t="s">
        <v>928</v>
      </c>
      <c r="M1443" s="122" t="str">
        <f t="shared" si="586"/>
        <v>N</v>
      </c>
      <c r="N1443" s="116" t="str">
        <f>IF($L1443&lt;&gt;"",VLOOKUP($L1443,Categories!$E:$G,2,FALSE),IF($F1443&lt;&gt;"","NO CAT",""))</f>
        <v>Not in Rate Base</v>
      </c>
      <c r="O1443" s="116" t="str">
        <f>IF($L1443&lt;&gt;"",VLOOKUP($L1443,Categories!$E:$G,3,FALSE),IF($F1443&lt;&gt;"","NO CAT",""))</f>
        <v>Direct Assign Items Not in RB</v>
      </c>
      <c r="P1443" s="170" t="s">
        <v>1186</v>
      </c>
      <c r="Q1443" s="123" t="s">
        <v>1187</v>
      </c>
      <c r="R1443" s="124">
        <v>0</v>
      </c>
      <c r="S1443" s="124">
        <v>0</v>
      </c>
      <c r="T1443" s="124">
        <v>1</v>
      </c>
      <c r="U1443" s="121">
        <f t="shared" si="593"/>
        <v>0</v>
      </c>
      <c r="V1443" s="121">
        <f t="shared" si="594"/>
        <v>0</v>
      </c>
      <c r="W1443" s="121">
        <f t="shared" si="595"/>
        <v>-4260.6432175</v>
      </c>
      <c r="X1443" s="121">
        <f t="shared" si="589"/>
        <v>-4260.6432175</v>
      </c>
      <c r="Y1443" s="121">
        <f t="shared" si="596"/>
        <v>0</v>
      </c>
      <c r="Z1443" s="121">
        <f t="shared" si="597"/>
        <v>0</v>
      </c>
      <c r="AA1443" s="121">
        <f t="shared" si="598"/>
        <v>-3677.7399</v>
      </c>
      <c r="AB1443" s="121">
        <f t="shared" si="590"/>
        <v>-3677.7399000000019</v>
      </c>
      <c r="AC1443" s="121">
        <v>-4394.0531600000013</v>
      </c>
      <c r="AD1443" s="121">
        <v>-4404.7306100000014</v>
      </c>
      <c r="AE1443" s="121">
        <v>-4415.4652700000015</v>
      </c>
      <c r="AF1443" s="121">
        <v>-4426.257450000001</v>
      </c>
      <c r="AG1443" s="121">
        <v>-4437.1073600000009</v>
      </c>
      <c r="AH1443" s="121">
        <v>-4448.0153000000018</v>
      </c>
      <c r="AI1443" s="161">
        <v>-4458.9815000000017</v>
      </c>
      <c r="AJ1443" s="161">
        <v>-4470.006220000002</v>
      </c>
      <c r="AK1443" s="161">
        <v>-4481.0897300000015</v>
      </c>
      <c r="AL1443" s="161">
        <v>-3935.6004100000014</v>
      </c>
      <c r="AM1443" s="161">
        <v>-3949.2067800000018</v>
      </c>
      <c r="AN1443" s="161">
        <v>-3665.3614500000017</v>
      </c>
      <c r="AO1443" s="161">
        <v>-3677.7399000000019</v>
      </c>
      <c r="AP1443" s="125" t="str">
        <f>CONCATENATE(A1443,M1443)</f>
        <v>Def TaxN</v>
      </c>
      <c r="AQ1443" s="125" t="str">
        <f>CONCATENATE(AP1443,L1443,H1443)</f>
        <v>Def TaxNN2Asset Retirement Obligation</v>
      </c>
      <c r="AS1443" s="125" t="str">
        <f>CONCATENATE(L1443,H1443,J1443)</f>
        <v>N2Asset Retirement Obligation</v>
      </c>
    </row>
    <row r="1444" spans="1:45" s="125" customFormat="1" ht="25.5" customHeight="1">
      <c r="A1444" s="216" t="s">
        <v>1996</v>
      </c>
      <c r="B1444" s="217" t="str">
        <f t="shared" si="591"/>
        <v>Def Tax2835100-283.22.23BG030302</v>
      </c>
      <c r="C1444" s="186">
        <v>283510</v>
      </c>
      <c r="D1444" s="201" t="s">
        <v>1354</v>
      </c>
      <c r="E1444" s="162" t="s">
        <v>2684</v>
      </c>
      <c r="F1444" s="169" t="s">
        <v>2883</v>
      </c>
      <c r="G1444" s="117" t="s">
        <v>1355</v>
      </c>
      <c r="H1444" s="118" t="s">
        <v>2768</v>
      </c>
      <c r="I1444" s="119"/>
      <c r="J1444" s="120"/>
      <c r="K1444" s="120" t="str">
        <f t="shared" si="599"/>
        <v/>
      </c>
      <c r="L1444" s="170" t="s">
        <v>928</v>
      </c>
      <c r="M1444" s="122" t="str">
        <f t="shared" si="586"/>
        <v>N</v>
      </c>
      <c r="N1444" s="116" t="str">
        <f>IF($L1444&lt;&gt;"",VLOOKUP($L1444,Categories!$E:$G,2,FALSE),IF($F1444&lt;&gt;"","NO CAT",""))</f>
        <v>Not in Rate Base</v>
      </c>
      <c r="O1444" s="116" t="str">
        <f>IF($L1444&lt;&gt;"",VLOOKUP($L1444,Categories!$E:$G,3,FALSE),IF($F1444&lt;&gt;"","NO CAT",""))</f>
        <v>Direct Assign Items Not in RB</v>
      </c>
      <c r="P1444" s="170" t="s">
        <v>1186</v>
      </c>
      <c r="Q1444" s="123" t="s">
        <v>1187</v>
      </c>
      <c r="R1444" s="124">
        <v>0</v>
      </c>
      <c r="S1444" s="124">
        <v>0</v>
      </c>
      <c r="T1444" s="124">
        <v>1</v>
      </c>
      <c r="U1444" s="121">
        <f t="shared" si="593"/>
        <v>0</v>
      </c>
      <c r="V1444" s="121">
        <f t="shared" si="594"/>
        <v>0</v>
      </c>
      <c r="W1444" s="121">
        <f t="shared" si="595"/>
        <v>-3650.4569200000001</v>
      </c>
      <c r="X1444" s="121">
        <f t="shared" si="589"/>
        <v>-3650.4569200000001</v>
      </c>
      <c r="Y1444" s="121">
        <f t="shared" si="596"/>
        <v>0</v>
      </c>
      <c r="Z1444" s="121">
        <f t="shared" si="597"/>
        <v>0</v>
      </c>
      <c r="AA1444" s="121">
        <f t="shared" si="598"/>
        <v>-3650.4569200000001</v>
      </c>
      <c r="AB1444" s="121">
        <f t="shared" si="590"/>
        <v>-3650.4569200000001</v>
      </c>
      <c r="AC1444" s="121">
        <v>-3650.4569200000001</v>
      </c>
      <c r="AD1444" s="121">
        <v>-3650.4569200000001</v>
      </c>
      <c r="AE1444" s="121">
        <v>-3650.4569200000001</v>
      </c>
      <c r="AF1444" s="121">
        <v>-3650.4569200000001</v>
      </c>
      <c r="AG1444" s="121">
        <v>-3650.4569200000001</v>
      </c>
      <c r="AH1444" s="121">
        <v>-3650.4569200000001</v>
      </c>
      <c r="AI1444" s="161">
        <v>-3650.4569200000001</v>
      </c>
      <c r="AJ1444" s="161">
        <v>-3650.4569200000001</v>
      </c>
      <c r="AK1444" s="161">
        <v>-3650.4569200000001</v>
      </c>
      <c r="AL1444" s="161">
        <v>-3650.4569200000001</v>
      </c>
      <c r="AM1444" s="161">
        <v>-3650.4569200000001</v>
      </c>
      <c r="AN1444" s="161">
        <v>-3650.4569200000001</v>
      </c>
      <c r="AO1444" s="161">
        <v>-3650.4569200000001</v>
      </c>
      <c r="AP1444" s="125" t="str">
        <f>CONCATENATE(A1444,M1444)</f>
        <v>Def TaxN</v>
      </c>
      <c r="AQ1444" s="125" t="str">
        <f>CONCATENATE(AP1444,L1444,H1444)</f>
        <v>Def TaxNN2Gas Bill Mitigation</v>
      </c>
      <c r="AS1444" s="125" t="str">
        <f>CONCATENATE(L1444,H1444,J1444)</f>
        <v>N2Gas Bill Mitigation</v>
      </c>
    </row>
    <row r="1445" spans="1:45" s="125" customFormat="1" ht="25.5" customHeight="1">
      <c r="A1445" s="216" t="s">
        <v>1996</v>
      </c>
      <c r="B1445" s="217" t="str">
        <f t="shared" si="591"/>
        <v>Def Tax283510Reacq Debt AdjBT010371</v>
      </c>
      <c r="C1445" s="186">
        <v>283510</v>
      </c>
      <c r="D1445" s="201" t="s">
        <v>427</v>
      </c>
      <c r="E1445" s="162" t="s">
        <v>4706</v>
      </c>
      <c r="F1445" s="169" t="s">
        <v>2883</v>
      </c>
      <c r="G1445" s="117" t="s">
        <v>426</v>
      </c>
      <c r="H1445" s="118" t="s">
        <v>45</v>
      </c>
      <c r="I1445" s="119"/>
      <c r="J1445" s="231"/>
      <c r="K1445" s="120" t="str">
        <f t="shared" si="599"/>
        <v/>
      </c>
      <c r="L1445" s="170" t="s">
        <v>1895</v>
      </c>
      <c r="M1445" s="122" t="str">
        <f t="shared" si="586"/>
        <v>R</v>
      </c>
      <c r="N1445" s="116" t="str">
        <f>IF($L1445&lt;&gt;"",VLOOKUP($L1445,Categories!$E:$G,2,FALSE),IF($F1445&lt;&gt;"","NO CAT",""))</f>
        <v>Rate Base</v>
      </c>
      <c r="O1445" s="116" t="str">
        <f>IF($L1445&lt;&gt;"",VLOOKUP($L1445,Categories!$E:$G,3,FALSE),IF($F1445&lt;&gt;"","NO CAT",""))</f>
        <v>Deferred Income Taxes</v>
      </c>
      <c r="P1445" s="170" t="s">
        <v>1184</v>
      </c>
      <c r="Q1445" s="123" t="s">
        <v>1178</v>
      </c>
      <c r="R1445" s="124">
        <v>0</v>
      </c>
      <c r="S1445" s="124">
        <v>1</v>
      </c>
      <c r="T1445" s="124">
        <v>0</v>
      </c>
      <c r="U1445" s="121">
        <f t="shared" si="593"/>
        <v>0</v>
      </c>
      <c r="V1445" s="121">
        <f t="shared" si="594"/>
        <v>-266.78298000000001</v>
      </c>
      <c r="W1445" s="121">
        <f t="shared" si="595"/>
        <v>0</v>
      </c>
      <c r="X1445" s="121">
        <f t="shared" si="589"/>
        <v>-266.78298000000001</v>
      </c>
      <c r="Y1445" s="121">
        <f t="shared" si="596"/>
        <v>0</v>
      </c>
      <c r="Z1445" s="121">
        <f t="shared" si="597"/>
        <v>-266.78298000000001</v>
      </c>
      <c r="AA1445" s="121">
        <f t="shared" si="598"/>
        <v>0</v>
      </c>
      <c r="AB1445" s="121">
        <f>IF(AO1445="",0,+AO1445)</f>
        <v>-266.78298000000007</v>
      </c>
      <c r="AC1445" s="121">
        <v>-266.78298000000007</v>
      </c>
      <c r="AD1445" s="121">
        <v>-266.78298000000007</v>
      </c>
      <c r="AE1445" s="121">
        <v>-266.78298000000007</v>
      </c>
      <c r="AF1445" s="121">
        <v>-266.78298000000007</v>
      </c>
      <c r="AG1445" s="121">
        <v>-266.78298000000007</v>
      </c>
      <c r="AH1445" s="121">
        <v>-266.78298000000007</v>
      </c>
      <c r="AI1445" s="161">
        <v>-266.78298000000007</v>
      </c>
      <c r="AJ1445" s="161">
        <v>-266.78298000000007</v>
      </c>
      <c r="AK1445" s="161">
        <v>-266.78298000000007</v>
      </c>
      <c r="AL1445" s="161">
        <v>-266.78298000000007</v>
      </c>
      <c r="AM1445" s="161">
        <v>-266.78298000000007</v>
      </c>
      <c r="AN1445" s="161">
        <v>-266.78298000000007</v>
      </c>
      <c r="AO1445" s="161">
        <v>-266.78298000000007</v>
      </c>
      <c r="AP1445" s="125" t="str">
        <f>CONCATENATE(A1445,M1445)</f>
        <v>Def TaxR</v>
      </c>
      <c r="AQ1445" s="125" t="str">
        <f>CONCATENATE(AP1445,L1445,H1445)</f>
        <v>Def TaxRR11Gain / Loss on Reacquired Debt</v>
      </c>
      <c r="AS1445" s="125" t="str">
        <f>CONCATENATE(L1445,H1445,J1445)</f>
        <v>R11Gain / Loss on Reacquired Debt</v>
      </c>
    </row>
    <row r="1446" spans="1:45" s="125" customFormat="1" ht="25.5" customHeight="1">
      <c r="A1446" s="216" t="s">
        <v>1996</v>
      </c>
      <c r="B1446" s="217" t="str">
        <f t="shared" si="591"/>
        <v>Def Tax2835100-283.22.19BG030147</v>
      </c>
      <c r="C1446" s="186">
        <v>283510</v>
      </c>
      <c r="D1446" s="201" t="s">
        <v>2882</v>
      </c>
      <c r="E1446" s="162" t="s">
        <v>2687</v>
      </c>
      <c r="F1446" s="169" t="s">
        <v>2883</v>
      </c>
      <c r="G1446" s="117" t="s">
        <v>2258</v>
      </c>
      <c r="H1446" s="118" t="s">
        <v>102</v>
      </c>
      <c r="I1446" s="119"/>
      <c r="J1446" s="120"/>
      <c r="K1446" s="120" t="str">
        <f t="shared" si="599"/>
        <v/>
      </c>
      <c r="L1446" s="170" t="s">
        <v>1895</v>
      </c>
      <c r="M1446" s="122" t="str">
        <f t="shared" si="586"/>
        <v>R</v>
      </c>
      <c r="N1446" s="116" t="str">
        <f>IF($L1446&lt;&gt;"",VLOOKUP($L1446,Categories!$E:$G,2,FALSE),IF($F1446&lt;&gt;"","NO CAT",""))</f>
        <v>Rate Base</v>
      </c>
      <c r="O1446" s="116" t="str">
        <f>IF($L1446&lt;&gt;"",VLOOKUP($L1446,Categories!$E:$G,3,FALSE),IF($F1446&lt;&gt;"","NO CAT",""))</f>
        <v>Deferred Income Taxes</v>
      </c>
      <c r="P1446" s="170" t="s">
        <v>1184</v>
      </c>
      <c r="Q1446" s="123" t="s">
        <v>1178</v>
      </c>
      <c r="R1446" s="124">
        <v>0</v>
      </c>
      <c r="S1446" s="124">
        <v>1</v>
      </c>
      <c r="T1446" s="124">
        <v>0</v>
      </c>
      <c r="U1446" s="121">
        <f t="shared" si="593"/>
        <v>0</v>
      </c>
      <c r="V1446" s="121">
        <f t="shared" si="594"/>
        <v>2.1385416666668999E-2</v>
      </c>
      <c r="W1446" s="121">
        <f t="shared" si="595"/>
        <v>0</v>
      </c>
      <c r="X1446" s="121">
        <f t="shared" si="589"/>
        <v>2.1385416666668999E-2</v>
      </c>
      <c r="Y1446" s="121" t="str">
        <f t="shared" si="596"/>
        <v/>
      </c>
      <c r="Z1446" s="121" t="str">
        <f t="shared" si="597"/>
        <v/>
      </c>
      <c r="AA1446" s="121" t="str">
        <f t="shared" si="598"/>
        <v/>
      </c>
      <c r="AB1446" s="121">
        <f t="shared" si="590"/>
        <v>0</v>
      </c>
      <c r="AC1446" s="121">
        <v>3.9550000000001778E-2</v>
      </c>
      <c r="AD1446" s="121">
        <v>3.9460000000005276E-2</v>
      </c>
      <c r="AE1446" s="121">
        <v>3.9550000000001778E-2</v>
      </c>
      <c r="AF1446" s="121">
        <v>3.9460000000005276E-2</v>
      </c>
      <c r="AG1446" s="121">
        <v>3.9460000000005276E-2</v>
      </c>
      <c r="AH1446" s="121">
        <v>3.9460000000005276E-2</v>
      </c>
      <c r="AI1446" s="161">
        <v>0</v>
      </c>
      <c r="AJ1446" s="161">
        <f>IF(AI1446=0,0,0)</f>
        <v>0</v>
      </c>
      <c r="AK1446" s="161">
        <v>3.9460000000005269E-2</v>
      </c>
      <c r="AL1446" s="161">
        <v>0</v>
      </c>
      <c r="AM1446" s="161">
        <v>0</v>
      </c>
      <c r="AN1446" s="161">
        <v>0</v>
      </c>
      <c r="AO1446" s="161">
        <v>0</v>
      </c>
      <c r="AP1446" s="125" t="str">
        <f>CONCATENATE(A1446,M1446)</f>
        <v>Def TaxR</v>
      </c>
      <c r="AQ1446" s="125" t="str">
        <f>CONCATENATE(AP1446,L1446,H1446)</f>
        <v>Def TaxRR11Deferred Gas Costs</v>
      </c>
      <c r="AS1446" s="125" t="str">
        <f>CONCATENATE(L1446,H1446,J1446)</f>
        <v>R11Deferred Gas Costs</v>
      </c>
    </row>
    <row r="1447" spans="1:45" s="125" customFormat="1" ht="25.5" customHeight="1">
      <c r="A1447" s="216" t="s">
        <v>1996</v>
      </c>
      <c r="B1447" s="217" t="str">
        <f t="shared" si="591"/>
        <v>Def Tax283510Outreach &amp; EdBT010156</v>
      </c>
      <c r="C1447" s="186">
        <v>283510</v>
      </c>
      <c r="D1447" s="201" t="s">
        <v>898</v>
      </c>
      <c r="E1447" s="162" t="s">
        <v>1282</v>
      </c>
      <c r="F1447" s="169" t="s">
        <v>2883</v>
      </c>
      <c r="G1447" s="117" t="s">
        <v>897</v>
      </c>
      <c r="H1447" s="118" t="s">
        <v>1493</v>
      </c>
      <c r="I1447" s="119"/>
      <c r="J1447" s="231" t="s">
        <v>105</v>
      </c>
      <c r="K1447" s="120" t="str">
        <f t="shared" si="599"/>
        <v/>
      </c>
      <c r="L1447" s="170" t="s">
        <v>2821</v>
      </c>
      <c r="M1447" s="122" t="str">
        <f t="shared" si="586"/>
        <v>N</v>
      </c>
      <c r="N1447" s="116" t="str">
        <f>IF($L1447&lt;&gt;"",VLOOKUP($L1447,Categories!$E:$G,2,FALSE),IF($F1447&lt;&gt;"","NO CAT",""))</f>
        <v>Not in Rate Base</v>
      </c>
      <c r="O1447" s="116" t="str">
        <f>IF($L1447&lt;&gt;"",VLOOKUP($L1447,Categories!$E:$G,3,FALSE),IF($F1447&lt;&gt;"","NO CAT",""))</f>
        <v>Deferrals Accruing Non-Cash Return   (other than ASGA)</v>
      </c>
      <c r="P1447" s="170" t="s">
        <v>1186</v>
      </c>
      <c r="Q1447" s="123" t="s">
        <v>1187</v>
      </c>
      <c r="R1447" s="124">
        <v>0</v>
      </c>
      <c r="S1447" s="124">
        <v>0</v>
      </c>
      <c r="T1447" s="124">
        <v>1</v>
      </c>
      <c r="U1447" s="121">
        <f t="shared" si="593"/>
        <v>0</v>
      </c>
      <c r="V1447" s="121">
        <f t="shared" si="594"/>
        <v>0</v>
      </c>
      <c r="W1447" s="121">
        <f t="shared" si="595"/>
        <v>-91.264987083333295</v>
      </c>
      <c r="X1447" s="121">
        <f t="shared" si="589"/>
        <v>-91.264987083333295</v>
      </c>
      <c r="Y1447" s="121">
        <f t="shared" si="596"/>
        <v>0</v>
      </c>
      <c r="Z1447" s="121">
        <f t="shared" si="597"/>
        <v>0</v>
      </c>
      <c r="AA1447" s="121">
        <f t="shared" si="598"/>
        <v>-94.058859999999996</v>
      </c>
      <c r="AB1447" s="121">
        <f t="shared" si="590"/>
        <v>-94.058859999999996</v>
      </c>
      <c r="AC1447" s="121">
        <v>-88.528109999999984</v>
      </c>
      <c r="AD1447" s="121">
        <v>-88.97596999999999</v>
      </c>
      <c r="AE1447" s="121">
        <v>-89.426149999999978</v>
      </c>
      <c r="AF1447" s="121">
        <v>-89.878679999999974</v>
      </c>
      <c r="AG1447" s="121">
        <v>-90.333559999999977</v>
      </c>
      <c r="AH1447" s="121">
        <v>-90.790809999999979</v>
      </c>
      <c r="AI1447" s="161">
        <v>-91.250439999999983</v>
      </c>
      <c r="AJ1447" s="161">
        <v>-91.712459999999993</v>
      </c>
      <c r="AK1447" s="161">
        <v>-92.176879999999997</v>
      </c>
      <c r="AL1447" s="161">
        <v>-92.643719999999988</v>
      </c>
      <c r="AM1447" s="161">
        <v>-93.112989999999996</v>
      </c>
      <c r="AN1447" s="161">
        <v>-93.584699999999998</v>
      </c>
      <c r="AO1447" s="161">
        <v>-94.058859999999996</v>
      </c>
      <c r="AP1447" s="125" t="str">
        <f>CONCATENATE(A1447,M1447)</f>
        <v>Def TaxN</v>
      </c>
      <c r="AQ1447" s="125" t="str">
        <f>CONCATENATE(AP1447,L1447,H1447)</f>
        <v>Def TaxNN10Outreach &amp; Education</v>
      </c>
      <c r="AS1447" s="125" t="str">
        <f>CONCATENATE(L1447,H1447,J1447)</f>
        <v>N10Outreach &amp; EducationNCR</v>
      </c>
    </row>
    <row r="1448" spans="1:45" s="125" customFormat="1" ht="25.5" customHeight="1">
      <c r="A1448" s="216" t="s">
        <v>1996</v>
      </c>
      <c r="B1448" s="217" t="str">
        <f t="shared" si="591"/>
        <v>Def Tax2835100-283.22.20BG030147</v>
      </c>
      <c r="C1448" s="186">
        <v>283510</v>
      </c>
      <c r="D1448" s="201" t="s">
        <v>2774</v>
      </c>
      <c r="E1448" s="162" t="s">
        <v>2687</v>
      </c>
      <c r="F1448" s="169" t="s">
        <v>2883</v>
      </c>
      <c r="G1448" s="117" t="s">
        <v>2259</v>
      </c>
      <c r="H1448" s="118" t="s">
        <v>102</v>
      </c>
      <c r="I1448" s="119"/>
      <c r="J1448" s="120"/>
      <c r="K1448" s="120" t="str">
        <f t="shared" si="599"/>
        <v/>
      </c>
      <c r="L1448" s="170" t="s">
        <v>928</v>
      </c>
      <c r="M1448" s="122" t="str">
        <f t="shared" si="586"/>
        <v>N</v>
      </c>
      <c r="N1448" s="116" t="str">
        <f>IF($L1448&lt;&gt;"",VLOOKUP($L1448,Categories!$E:$G,2,FALSE),IF($F1448&lt;&gt;"","NO CAT",""))</f>
        <v>Not in Rate Base</v>
      </c>
      <c r="O1448" s="116" t="str">
        <f>IF($L1448&lt;&gt;"",VLOOKUP($L1448,Categories!$E:$G,3,FALSE),IF($F1448&lt;&gt;"","NO CAT",""))</f>
        <v>Direct Assign Items Not in RB</v>
      </c>
      <c r="P1448" s="170" t="s">
        <v>1186</v>
      </c>
      <c r="Q1448" s="123" t="s">
        <v>1187</v>
      </c>
      <c r="R1448" s="124">
        <v>0</v>
      </c>
      <c r="S1448" s="124">
        <v>0</v>
      </c>
      <c r="T1448" s="124">
        <v>1</v>
      </c>
      <c r="U1448" s="121">
        <f t="shared" si="593"/>
        <v>0</v>
      </c>
      <c r="V1448" s="121">
        <f t="shared" si="594"/>
        <v>0</v>
      </c>
      <c r="W1448" s="121">
        <f t="shared" si="595"/>
        <v>1.3134583333335999E-2</v>
      </c>
      <c r="X1448" s="121">
        <f t="shared" si="589"/>
        <v>1.3134583333335999E-2</v>
      </c>
      <c r="Y1448" s="121" t="str">
        <f t="shared" si="596"/>
        <v/>
      </c>
      <c r="Z1448" s="121" t="str">
        <f t="shared" si="597"/>
        <v/>
      </c>
      <c r="AA1448" s="121" t="str">
        <f t="shared" si="598"/>
        <v/>
      </c>
      <c r="AB1448" s="121">
        <f t="shared" si="590"/>
        <v>0</v>
      </c>
      <c r="AC1448" s="121">
        <v>-8.9999999996507547E-5</v>
      </c>
      <c r="AD1448" s="121">
        <v>-8.9999999996507547E-5</v>
      </c>
      <c r="AE1448" s="121">
        <v>-8.9999999996507547E-5</v>
      </c>
      <c r="AF1448" s="121">
        <v>3.9460000000005276E-2</v>
      </c>
      <c r="AG1448" s="121">
        <v>3.9460000000005276E-2</v>
      </c>
      <c r="AH1448" s="121">
        <v>3.9460000000005276E-2</v>
      </c>
      <c r="AI1448" s="161">
        <v>0</v>
      </c>
      <c r="AJ1448" s="161">
        <f>IF(AI1448=0,0,0)</f>
        <v>0</v>
      </c>
      <c r="AK1448" s="161">
        <v>3.9460000000005269E-2</v>
      </c>
      <c r="AL1448" s="161">
        <v>0</v>
      </c>
      <c r="AM1448" s="161">
        <v>0</v>
      </c>
      <c r="AN1448" s="161">
        <v>0</v>
      </c>
      <c r="AO1448" s="161">
        <v>0</v>
      </c>
      <c r="AP1448" s="125" t="str">
        <f>CONCATENATE(A1448,M1448)</f>
        <v>Def TaxN</v>
      </c>
      <c r="AQ1448" s="125" t="str">
        <f>CONCATENATE(AP1448,L1448,H1448)</f>
        <v>Def TaxNN2Deferred Gas Costs</v>
      </c>
      <c r="AS1448" s="125" t="str">
        <f>CONCATENATE(L1448,H1448,J1448)</f>
        <v>N2Deferred Gas Costs</v>
      </c>
    </row>
    <row r="1449" spans="1:45" s="125" customFormat="1" ht="25.5" customHeight="1">
      <c r="A1449" s="216" t="s">
        <v>1996</v>
      </c>
      <c r="B1449" s="217" t="str">
        <f t="shared" si="591"/>
        <v>Def Tax2835100-283.22.37BG030168</v>
      </c>
      <c r="C1449" s="186">
        <v>283510</v>
      </c>
      <c r="D1449" s="201" t="s">
        <v>418</v>
      </c>
      <c r="E1449" s="162" t="s">
        <v>79</v>
      </c>
      <c r="F1449" s="169" t="s">
        <v>2883</v>
      </c>
      <c r="G1449" s="117" t="s">
        <v>419</v>
      </c>
      <c r="H1449" s="118" t="s">
        <v>815</v>
      </c>
      <c r="I1449" s="119"/>
      <c r="J1449" s="120"/>
      <c r="K1449" s="120" t="str">
        <f t="shared" si="599"/>
        <v/>
      </c>
      <c r="L1449" s="170" t="s">
        <v>1895</v>
      </c>
      <c r="M1449" s="122" t="str">
        <f t="shared" si="586"/>
        <v>R</v>
      </c>
      <c r="N1449" s="116" t="str">
        <f>IF($L1449&lt;&gt;"",VLOOKUP($L1449,Categories!$E:$G,2,FALSE),IF($F1449&lt;&gt;"","NO CAT",""))</f>
        <v>Rate Base</v>
      </c>
      <c r="O1449" s="116" t="str">
        <f>IF($L1449&lt;&gt;"",VLOOKUP($L1449,Categories!$E:$G,3,FALSE),IF($F1449&lt;&gt;"","NO CAT",""))</f>
        <v>Deferred Income Taxes</v>
      </c>
      <c r="P1449" s="170" t="s">
        <v>1184</v>
      </c>
      <c r="Q1449" s="123" t="s">
        <v>1178</v>
      </c>
      <c r="R1449" s="124">
        <v>0</v>
      </c>
      <c r="S1449" s="124">
        <v>1</v>
      </c>
      <c r="T1449" s="124">
        <v>0</v>
      </c>
      <c r="U1449" s="121">
        <f t="shared" si="593"/>
        <v>0</v>
      </c>
      <c r="V1449" s="121">
        <f t="shared" si="594"/>
        <v>-6.6243416666666999</v>
      </c>
      <c r="W1449" s="121">
        <f t="shared" si="595"/>
        <v>0</v>
      </c>
      <c r="X1449" s="121">
        <f t="shared" si="589"/>
        <v>-6.6243416666666999</v>
      </c>
      <c r="Y1449" s="121">
        <f t="shared" si="596"/>
        <v>0</v>
      </c>
      <c r="Z1449" s="121">
        <f t="shared" si="597"/>
        <v>1.679999999971E-3</v>
      </c>
      <c r="AA1449" s="121">
        <f t="shared" si="598"/>
        <v>0</v>
      </c>
      <c r="AB1449" s="121">
        <f t="shared" si="590"/>
        <v>1.6799999999711872E-3</v>
      </c>
      <c r="AC1449" s="121">
        <v>-17.464720000000032</v>
      </c>
      <c r="AD1449" s="121">
        <v>-17.555590000000031</v>
      </c>
      <c r="AE1449" s="121">
        <v>-17.646940000000029</v>
      </c>
      <c r="AF1449" s="121">
        <v>-17.738760000000028</v>
      </c>
      <c r="AG1449" s="121">
        <v>-17.83105000000003</v>
      </c>
      <c r="AH1449" s="121">
        <v>1.6799999999711872E-3</v>
      </c>
      <c r="AI1449" s="161">
        <v>1.6799999999711872E-3</v>
      </c>
      <c r="AJ1449" s="161">
        <v>1.6799999999711872E-3</v>
      </c>
      <c r="AK1449" s="161">
        <v>1.6799999999711872E-3</v>
      </c>
      <c r="AL1449" s="161">
        <v>1.6799999999711872E-3</v>
      </c>
      <c r="AM1449" s="161">
        <v>1.6799999999711872E-3</v>
      </c>
      <c r="AN1449" s="161">
        <v>1.6799999999711872E-3</v>
      </c>
      <c r="AO1449" s="161">
        <v>1.6799999999711872E-3</v>
      </c>
      <c r="AP1449" s="125" t="str">
        <f>CONCATENATE(A1449,M1449)</f>
        <v>Def TaxR</v>
      </c>
      <c r="AQ1449" s="125" t="str">
        <f>CONCATENATE(AP1449,L1449,H1449)</f>
        <v>Def TaxRR11Property Tax Deferral</v>
      </c>
      <c r="AS1449" s="125" t="str">
        <f>CONCATENATE(L1449,H1449,J1449)</f>
        <v>R11Property Tax Deferral</v>
      </c>
    </row>
    <row r="1450" spans="1:45" s="125" customFormat="1" ht="25.5" customHeight="1">
      <c r="A1450" s="216" t="s">
        <v>1996</v>
      </c>
      <c r="B1450" s="217" t="str">
        <f t="shared" si="591"/>
        <v>Def Tax283510Econ DevlpBT010069</v>
      </c>
      <c r="C1450" s="186">
        <v>283510</v>
      </c>
      <c r="D1450" s="201" t="s">
        <v>239</v>
      </c>
      <c r="E1450" s="162" t="s">
        <v>1125</v>
      </c>
      <c r="F1450" s="169" t="s">
        <v>2883</v>
      </c>
      <c r="G1450" s="117" t="s">
        <v>240</v>
      </c>
      <c r="H1450" s="118" t="s">
        <v>310</v>
      </c>
      <c r="I1450" s="119"/>
      <c r="J1450" s="231"/>
      <c r="K1450" s="120" t="str">
        <f t="shared" si="599"/>
        <v/>
      </c>
      <c r="L1450" s="170" t="s">
        <v>2821</v>
      </c>
      <c r="M1450" s="122" t="str">
        <f t="shared" si="586"/>
        <v>N</v>
      </c>
      <c r="N1450" s="116" t="str">
        <f>IF($L1450&lt;&gt;"",VLOOKUP($L1450,Categories!$E:$G,2,FALSE),IF($F1450&lt;&gt;"","NO CAT",""))</f>
        <v>Not in Rate Base</v>
      </c>
      <c r="O1450" s="116" t="str">
        <f>IF($L1450&lt;&gt;"",VLOOKUP($L1450,Categories!$E:$G,3,FALSE),IF($F1450&lt;&gt;"","NO CAT",""))</f>
        <v>Deferrals Accruing Non-Cash Return   (other than ASGA)</v>
      </c>
      <c r="P1450" s="170" t="s">
        <v>1186</v>
      </c>
      <c r="Q1450" s="123" t="s">
        <v>1187</v>
      </c>
      <c r="R1450" s="124">
        <v>0</v>
      </c>
      <c r="S1450" s="124">
        <v>0</v>
      </c>
      <c r="T1450" s="124">
        <v>1</v>
      </c>
      <c r="U1450" s="121">
        <f t="shared" si="593"/>
        <v>0</v>
      </c>
      <c r="V1450" s="121">
        <f t="shared" si="594"/>
        <v>0</v>
      </c>
      <c r="W1450" s="121">
        <f t="shared" si="595"/>
        <v>337.40925625</v>
      </c>
      <c r="X1450" s="121">
        <f t="shared" si="589"/>
        <v>337.40925625</v>
      </c>
      <c r="Y1450" s="121">
        <f t="shared" si="596"/>
        <v>0</v>
      </c>
      <c r="Z1450" s="121">
        <f t="shared" si="597"/>
        <v>0</v>
      </c>
      <c r="AA1450" s="121">
        <f t="shared" si="598"/>
        <v>544.59742000000006</v>
      </c>
      <c r="AB1450" s="121">
        <f t="shared" si="590"/>
        <v>544.59742000000006</v>
      </c>
      <c r="AC1450" s="121">
        <v>2.918810000000045</v>
      </c>
      <c r="AD1450" s="121">
        <v>15.683140000000044</v>
      </c>
      <c r="AE1450" s="121">
        <v>28.522700000000043</v>
      </c>
      <c r="AF1450" s="121">
        <v>41.615300000000047</v>
      </c>
      <c r="AG1450" s="121">
        <v>398.03324000000003</v>
      </c>
      <c r="AH1450" s="121">
        <v>415.86252000000002</v>
      </c>
      <c r="AI1450" s="161">
        <v>434.67574999999999</v>
      </c>
      <c r="AJ1450" s="161">
        <v>453.19347999999997</v>
      </c>
      <c r="AK1450" s="161">
        <v>472.56747999999999</v>
      </c>
      <c r="AL1450" s="161">
        <v>491.28050999999999</v>
      </c>
      <c r="AM1450" s="161">
        <v>501.55397999999997</v>
      </c>
      <c r="AN1450" s="161">
        <v>522.16485999999998</v>
      </c>
      <c r="AO1450" s="161">
        <v>544.59742000000006</v>
      </c>
      <c r="AP1450" s="125" t="str">
        <f>CONCATENATE(A1450,M1450)</f>
        <v>Def TaxN</v>
      </c>
      <c r="AQ1450" s="125" t="str">
        <f>CONCATENATE(AP1450,L1450,H1450)</f>
        <v>Def TaxNN10Economic Development</v>
      </c>
      <c r="AS1450" s="125" t="str">
        <f>CONCATENATE(L1450,H1450,J1450)</f>
        <v>N10Economic Development</v>
      </c>
    </row>
    <row r="1451" spans="1:45" s="125" customFormat="1" ht="25.5" customHeight="1">
      <c r="A1451" s="216" t="s">
        <v>1996</v>
      </c>
      <c r="B1451" s="217" t="str">
        <f t="shared" si="591"/>
        <v>Def Tax283510Env RABT010072</v>
      </c>
      <c r="C1451" s="186">
        <v>283510</v>
      </c>
      <c r="D1451" s="201" t="s">
        <v>2286</v>
      </c>
      <c r="E1451" s="162" t="s">
        <v>91</v>
      </c>
      <c r="F1451" s="169" t="s">
        <v>2883</v>
      </c>
      <c r="G1451" s="117" t="s">
        <v>2285</v>
      </c>
      <c r="H1451" s="118" t="s">
        <v>2369</v>
      </c>
      <c r="I1451" s="119"/>
      <c r="J1451" s="120"/>
      <c r="K1451" s="120" t="str">
        <f t="shared" si="599"/>
        <v/>
      </c>
      <c r="L1451" s="170" t="s">
        <v>928</v>
      </c>
      <c r="M1451" s="122" t="str">
        <f t="shared" si="586"/>
        <v>N</v>
      </c>
      <c r="N1451" s="116" t="str">
        <f>IF($L1451&lt;&gt;"",VLOOKUP($L1451,Categories!$E:$G,2,FALSE),IF($F1451&lt;&gt;"","NO CAT",""))</f>
        <v>Not in Rate Base</v>
      </c>
      <c r="O1451" s="116" t="str">
        <f>IF($L1451&lt;&gt;"",VLOOKUP($L1451,Categories!$E:$G,3,FALSE),IF($F1451&lt;&gt;"","NO CAT",""))</f>
        <v>Direct Assign Items Not in RB</v>
      </c>
      <c r="P1451" s="170" t="s">
        <v>1186</v>
      </c>
      <c r="Q1451" s="123" t="s">
        <v>1187</v>
      </c>
      <c r="R1451" s="124">
        <v>0</v>
      </c>
      <c r="S1451" s="124">
        <v>0</v>
      </c>
      <c r="T1451" s="124">
        <v>1</v>
      </c>
      <c r="U1451" s="121">
        <f t="shared" si="593"/>
        <v>0</v>
      </c>
      <c r="V1451" s="121">
        <f t="shared" si="594"/>
        <v>0</v>
      </c>
      <c r="W1451" s="121">
        <f t="shared" si="595"/>
        <v>-2914.1699037500098</v>
      </c>
      <c r="X1451" s="121">
        <f t="shared" si="589"/>
        <v>-2914.1699037500098</v>
      </c>
      <c r="Y1451" s="121">
        <f t="shared" si="596"/>
        <v>0</v>
      </c>
      <c r="Z1451" s="121">
        <f t="shared" si="597"/>
        <v>0</v>
      </c>
      <c r="AA1451" s="121">
        <f t="shared" si="598"/>
        <v>-2402.3390400000098</v>
      </c>
      <c r="AB1451" s="121">
        <f t="shared" si="590"/>
        <v>-2402.3390400000103</v>
      </c>
      <c r="AC1451" s="121">
        <v>-3397.8121900000101</v>
      </c>
      <c r="AD1451" s="121">
        <v>-3310.5830000000096</v>
      </c>
      <c r="AE1451" s="121">
        <v>-3174.18226000001</v>
      </c>
      <c r="AF1451" s="121">
        <v>-3103.5043800000103</v>
      </c>
      <c r="AG1451" s="121">
        <v>-3029.3960400000101</v>
      </c>
      <c r="AH1451" s="121">
        <v>-3010.6328600000102</v>
      </c>
      <c r="AI1451" s="161">
        <v>-2949.3634000000102</v>
      </c>
      <c r="AJ1451" s="161">
        <v>-2899.3243700000103</v>
      </c>
      <c r="AK1451" s="161">
        <v>-2838.9583400000106</v>
      </c>
      <c r="AL1451" s="161">
        <v>-2805.2808900000105</v>
      </c>
      <c r="AM1451" s="161">
        <v>-2783.0101800000102</v>
      </c>
      <c r="AN1451" s="161">
        <v>-2165.7275100000106</v>
      </c>
      <c r="AO1451" s="161">
        <v>-2402.3390400000103</v>
      </c>
      <c r="AP1451" s="125" t="str">
        <f>CONCATENATE(A1451,M1451)</f>
        <v>Def TaxN</v>
      </c>
      <c r="AQ1451" s="125" t="str">
        <f>CONCATENATE(AP1451,L1451,H1451)</f>
        <v>Def TaxNN2Environmental</v>
      </c>
      <c r="AS1451" s="125" t="str">
        <f>CONCATENATE(L1451,H1451,J1451)</f>
        <v>N2Environmental</v>
      </c>
    </row>
    <row r="1452" spans="1:45" s="125" customFormat="1" ht="25.5" customHeight="1">
      <c r="A1452" s="216" t="s">
        <v>1996</v>
      </c>
      <c r="B1452" s="217" t="str">
        <f t="shared" si="591"/>
        <v>Def Tax283510Env RemedBT010269</v>
      </c>
      <c r="C1452" s="186">
        <v>283510</v>
      </c>
      <c r="D1452" s="201" t="s">
        <v>764</v>
      </c>
      <c r="E1452" s="162" t="s">
        <v>1126</v>
      </c>
      <c r="F1452" s="169" t="s">
        <v>2883</v>
      </c>
      <c r="G1452" s="117" t="s">
        <v>765</v>
      </c>
      <c r="H1452" s="118" t="s">
        <v>2369</v>
      </c>
      <c r="I1452" s="119"/>
      <c r="J1452" s="231" t="s">
        <v>105</v>
      </c>
      <c r="K1452" s="120" t="str">
        <f t="shared" si="599"/>
        <v/>
      </c>
      <c r="L1452" s="170" t="s">
        <v>928</v>
      </c>
      <c r="M1452" s="122" t="str">
        <f t="shared" si="586"/>
        <v>N</v>
      </c>
      <c r="N1452" s="116" t="str">
        <f>IF($L1452&lt;&gt;"",VLOOKUP($L1452,Categories!$E:$G,2,FALSE),IF($F1452&lt;&gt;"","NO CAT",""))</f>
        <v>Not in Rate Base</v>
      </c>
      <c r="O1452" s="116" t="str">
        <f>IF($L1452&lt;&gt;"",VLOOKUP($L1452,Categories!$E:$G,3,FALSE),IF($F1452&lt;&gt;"","NO CAT",""))</f>
        <v>Direct Assign Items Not in RB</v>
      </c>
      <c r="P1452" s="170" t="s">
        <v>1186</v>
      </c>
      <c r="Q1452" s="123" t="s">
        <v>1187</v>
      </c>
      <c r="R1452" s="124">
        <v>0</v>
      </c>
      <c r="S1452" s="124">
        <v>0</v>
      </c>
      <c r="T1452" s="124">
        <v>1</v>
      </c>
      <c r="U1452" s="121">
        <f t="shared" si="593"/>
        <v>0</v>
      </c>
      <c r="V1452" s="121">
        <f t="shared" si="594"/>
        <v>0</v>
      </c>
      <c r="W1452" s="121">
        <f t="shared" si="595"/>
        <v>-2.4999999998100001E-4</v>
      </c>
      <c r="X1452" s="121">
        <f t="shared" si="589"/>
        <v>-2.4999999998100001E-4</v>
      </c>
      <c r="Y1452" s="121">
        <f t="shared" si="596"/>
        <v>0</v>
      </c>
      <c r="Z1452" s="121">
        <f t="shared" si="597"/>
        <v>0</v>
      </c>
      <c r="AA1452" s="121">
        <f t="shared" si="598"/>
        <v>-2.4999999998100001E-4</v>
      </c>
      <c r="AB1452" s="121">
        <f t="shared" si="590"/>
        <v>-2.4999999998137352E-4</v>
      </c>
      <c r="AC1452" s="121">
        <v>-2.4999999998137352E-4</v>
      </c>
      <c r="AD1452" s="121">
        <v>-2.4999999998137352E-4</v>
      </c>
      <c r="AE1452" s="121">
        <v>-2.4999999998137352E-4</v>
      </c>
      <c r="AF1452" s="121">
        <v>-2.4999999998137352E-4</v>
      </c>
      <c r="AG1452" s="121">
        <v>-2.4999999998137352E-4</v>
      </c>
      <c r="AH1452" s="121">
        <v>-2.4999999998137352E-4</v>
      </c>
      <c r="AI1452" s="161">
        <v>-2.4999999998137352E-4</v>
      </c>
      <c r="AJ1452" s="161">
        <v>-2.4999999998137352E-4</v>
      </c>
      <c r="AK1452" s="161">
        <v>-2.4999999998137352E-4</v>
      </c>
      <c r="AL1452" s="161">
        <v>-2.4999999998137352E-4</v>
      </c>
      <c r="AM1452" s="161">
        <v>-2.4999999998137352E-4</v>
      </c>
      <c r="AN1452" s="161">
        <v>-2.4999999998137352E-4</v>
      </c>
      <c r="AO1452" s="161">
        <v>-2.4999999998137352E-4</v>
      </c>
      <c r="AP1452" s="125" t="str">
        <f>CONCATENATE(A1452,M1452)</f>
        <v>Def TaxN</v>
      </c>
      <c r="AQ1452" s="125" t="str">
        <f>CONCATENATE(AP1452,L1452,H1452)</f>
        <v>Def TaxNN2Environmental</v>
      </c>
      <c r="AS1452" s="125" t="str">
        <f>CONCATENATE(L1452,H1452,J1452)</f>
        <v>N2EnvironmentalNCR</v>
      </c>
    </row>
    <row r="1453" spans="1:45" s="125" customFormat="1" ht="25.5" customHeight="1">
      <c r="A1453" s="216" t="s">
        <v>1996</v>
      </c>
      <c r="B1453" s="217" t="str">
        <f t="shared" si="591"/>
        <v>Def Tax283510FloodBG030184</v>
      </c>
      <c r="C1453" s="186">
        <v>283510</v>
      </c>
      <c r="D1453" s="201" t="s">
        <v>620</v>
      </c>
      <c r="E1453" s="162" t="s">
        <v>529</v>
      </c>
      <c r="F1453" s="169" t="s">
        <v>2883</v>
      </c>
      <c r="G1453" s="117" t="s">
        <v>619</v>
      </c>
      <c r="H1453" s="118" t="s">
        <v>620</v>
      </c>
      <c r="I1453" s="119"/>
      <c r="J1453" s="231" t="s">
        <v>105</v>
      </c>
      <c r="K1453" s="120" t="str">
        <f t="shared" si="599"/>
        <v/>
      </c>
      <c r="L1453" s="170" t="s">
        <v>2821</v>
      </c>
      <c r="M1453" s="122" t="str">
        <f t="shared" si="586"/>
        <v>N</v>
      </c>
      <c r="N1453" s="116" t="str">
        <f>IF($L1453&lt;&gt;"",VLOOKUP($L1453,Categories!$E:$G,2,FALSE),IF($F1453&lt;&gt;"","NO CAT",""))</f>
        <v>Not in Rate Base</v>
      </c>
      <c r="O1453" s="116" t="str">
        <f>IF($L1453&lt;&gt;"",VLOOKUP($L1453,Categories!$E:$G,3,FALSE),IF($F1453&lt;&gt;"","NO CAT",""))</f>
        <v>Deferrals Accruing Non-Cash Return   (other than ASGA)</v>
      </c>
      <c r="P1453" s="170" t="s">
        <v>1186</v>
      </c>
      <c r="Q1453" s="123" t="s">
        <v>1187</v>
      </c>
      <c r="R1453" s="124">
        <v>0</v>
      </c>
      <c r="S1453" s="124">
        <v>0</v>
      </c>
      <c r="T1453" s="124">
        <v>1</v>
      </c>
      <c r="U1453" s="121">
        <f t="shared" si="593"/>
        <v>0</v>
      </c>
      <c r="V1453" s="121">
        <f t="shared" si="594"/>
        <v>0</v>
      </c>
      <c r="W1453" s="121">
        <f t="shared" si="595"/>
        <v>-10.9273783333329</v>
      </c>
      <c r="X1453" s="121">
        <f t="shared" si="589"/>
        <v>-10.9273783333329</v>
      </c>
      <c r="Y1453" s="121">
        <f t="shared" si="596"/>
        <v>0</v>
      </c>
      <c r="Z1453" s="121">
        <f t="shared" si="597"/>
        <v>0</v>
      </c>
      <c r="AA1453" s="121">
        <f t="shared" si="598"/>
        <v>5.4000000042799998E-4</v>
      </c>
      <c r="AB1453" s="121">
        <f t="shared" si="590"/>
        <v>5.4000000042826279E-4</v>
      </c>
      <c r="AC1453" s="121">
        <v>-98.665039999999578</v>
      </c>
      <c r="AD1453" s="121">
        <v>-58.59243999999957</v>
      </c>
      <c r="AE1453" s="121">
        <v>-23.209369999999574</v>
      </c>
      <c r="AF1453" s="121">
        <v>8.700000004282629E-4</v>
      </c>
      <c r="AG1453" s="121">
        <v>8.700000004282629E-4</v>
      </c>
      <c r="AH1453" s="121">
        <v>5.4000000042826279E-4</v>
      </c>
      <c r="AI1453" s="161">
        <v>5.4000000042826279E-4</v>
      </c>
      <c r="AJ1453" s="161">
        <v>5.4000000042826279E-4</v>
      </c>
      <c r="AK1453" s="161">
        <v>5.4000000042826279E-4</v>
      </c>
      <c r="AL1453" s="161">
        <v>5.4000000042826279E-4</v>
      </c>
      <c r="AM1453" s="161">
        <v>5.4000000042826279E-4</v>
      </c>
      <c r="AN1453" s="161">
        <v>5.4000000042826279E-4</v>
      </c>
      <c r="AO1453" s="161">
        <v>5.4000000042826279E-4</v>
      </c>
      <c r="AP1453" s="125" t="str">
        <f>CONCATENATE(A1453,M1453)</f>
        <v>Def TaxN</v>
      </c>
      <c r="AQ1453" s="125" t="str">
        <f>CONCATENATE(AP1453,L1453,H1453)</f>
        <v>Def TaxNN10Flood</v>
      </c>
      <c r="AS1453" s="125" t="str">
        <f>CONCATENATE(L1453,H1453,J1453)</f>
        <v>N10FloodNCR</v>
      </c>
    </row>
    <row r="1454" spans="1:45" s="125" customFormat="1" ht="25.5" customHeight="1">
      <c r="A1454" s="216" t="s">
        <v>1996</v>
      </c>
      <c r="B1454" s="217" t="str">
        <f t="shared" si="591"/>
        <v>Def Tax2835100-283.22.36BG030167</v>
      </c>
      <c r="C1454" s="186">
        <v>283510</v>
      </c>
      <c r="D1454" s="201" t="s">
        <v>416</v>
      </c>
      <c r="E1454" s="162" t="s">
        <v>2779</v>
      </c>
      <c r="F1454" s="169" t="s">
        <v>2883</v>
      </c>
      <c r="G1454" s="117" t="s">
        <v>417</v>
      </c>
      <c r="H1454" s="118" t="s">
        <v>1553</v>
      </c>
      <c r="I1454" s="119"/>
      <c r="J1454" s="231" t="s">
        <v>105</v>
      </c>
      <c r="K1454" s="120" t="str">
        <f t="shared" si="599"/>
        <v/>
      </c>
      <c r="L1454" s="170" t="s">
        <v>2821</v>
      </c>
      <c r="M1454" s="122" t="str">
        <f t="shared" si="586"/>
        <v>N</v>
      </c>
      <c r="N1454" s="116" t="str">
        <f>IF($L1454&lt;&gt;"",VLOOKUP($L1454,Categories!$E:$G,2,FALSE),IF($F1454&lt;&gt;"","NO CAT",""))</f>
        <v>Not in Rate Base</v>
      </c>
      <c r="O1454" s="116" t="str">
        <f>IF($L1454&lt;&gt;"",VLOOKUP($L1454,Categories!$E:$G,3,FALSE),IF($F1454&lt;&gt;"","NO CAT",""))</f>
        <v>Deferrals Accruing Non-Cash Return   (other than ASGA)</v>
      </c>
      <c r="P1454" s="170" t="s">
        <v>1186</v>
      </c>
      <c r="Q1454" s="123" t="s">
        <v>1187</v>
      </c>
      <c r="R1454" s="124">
        <v>0</v>
      </c>
      <c r="S1454" s="124">
        <v>0</v>
      </c>
      <c r="T1454" s="124">
        <v>1</v>
      </c>
      <c r="U1454" s="121">
        <f t="shared" si="593"/>
        <v>0</v>
      </c>
      <c r="V1454" s="121">
        <f t="shared" si="594"/>
        <v>0</v>
      </c>
      <c r="W1454" s="121">
        <f t="shared" si="595"/>
        <v>-1.1640000000000001E-12</v>
      </c>
      <c r="X1454" s="121">
        <f t="shared" si="589"/>
        <v>-1.1640000000000001E-12</v>
      </c>
      <c r="Y1454" s="121">
        <f t="shared" si="596"/>
        <v>0</v>
      </c>
      <c r="Z1454" s="121">
        <f t="shared" si="597"/>
        <v>0</v>
      </c>
      <c r="AA1454" s="121">
        <f t="shared" si="598"/>
        <v>-1.863E-12</v>
      </c>
      <c r="AB1454" s="121">
        <f t="shared" si="590"/>
        <v>-1.8626451492309571E-12</v>
      </c>
      <c r="AC1454" s="121">
        <v>0</v>
      </c>
      <c r="AD1454" s="121">
        <v>0</v>
      </c>
      <c r="AE1454" s="121">
        <v>0</v>
      </c>
      <c r="AF1454" s="121">
        <v>0</v>
      </c>
      <c r="AG1454" s="121">
        <v>0</v>
      </c>
      <c r="AH1454" s="121">
        <v>-1.8626451492309571E-12</v>
      </c>
      <c r="AI1454" s="161">
        <v>-1.8626451492309571E-12</v>
      </c>
      <c r="AJ1454" s="161">
        <v>-1.8626451492309571E-12</v>
      </c>
      <c r="AK1454" s="161">
        <v>-1.8626451492309571E-12</v>
      </c>
      <c r="AL1454" s="161">
        <v>-1.8626451492309571E-12</v>
      </c>
      <c r="AM1454" s="161">
        <v>-1.8626451492309571E-12</v>
      </c>
      <c r="AN1454" s="161">
        <v>-1.8626451492309571E-12</v>
      </c>
      <c r="AO1454" s="161">
        <v>-1.8626451492309571E-12</v>
      </c>
      <c r="AP1454" s="125" t="str">
        <f>CONCATENATE(A1454,M1454)</f>
        <v>Def TaxN</v>
      </c>
      <c r="AQ1454" s="125" t="str">
        <f>CONCATENATE(AP1454,L1454,H1454)</f>
        <v>Def TaxNN10Pension</v>
      </c>
      <c r="AS1454" s="125" t="str">
        <f>CONCATENATE(L1454,H1454,J1454)</f>
        <v>N10PensionNCR</v>
      </c>
    </row>
    <row r="1455" spans="1:45" s="125" customFormat="1" ht="25.5" customHeight="1">
      <c r="A1455" s="216" t="s">
        <v>1996</v>
      </c>
      <c r="B1455" s="217" t="str">
        <f t="shared" si="591"/>
        <v>Def Tax2835100-184.22.19BTHUNGDT</v>
      </c>
      <c r="C1455" s="186">
        <v>283510</v>
      </c>
      <c r="D1455" s="201" t="s">
        <v>1283</v>
      </c>
      <c r="E1455" s="162" t="s">
        <v>616</v>
      </c>
      <c r="F1455" s="169" t="s">
        <v>2883</v>
      </c>
      <c r="G1455" s="117" t="s">
        <v>1616</v>
      </c>
      <c r="H1455" s="118" t="s">
        <v>1167</v>
      </c>
      <c r="I1455" s="119"/>
      <c r="J1455" s="120"/>
      <c r="K1455" s="120" t="str">
        <f t="shared" si="599"/>
        <v/>
      </c>
      <c r="L1455" s="170" t="s">
        <v>928</v>
      </c>
      <c r="M1455" s="122" t="str">
        <f t="shared" si="586"/>
        <v>N</v>
      </c>
      <c r="N1455" s="116" t="str">
        <f>IF($L1455&lt;&gt;"",VLOOKUP($L1455,Categories!$E:$G,2,FALSE),IF($F1455&lt;&gt;"","NO CAT",""))</f>
        <v>Not in Rate Base</v>
      </c>
      <c r="O1455" s="116" t="str">
        <f>IF($L1455&lt;&gt;"",VLOOKUP($L1455,Categories!$E:$G,3,FALSE),IF($F1455&lt;&gt;"","NO CAT",""))</f>
        <v>Direct Assign Items Not in RB</v>
      </c>
      <c r="P1455" s="170" t="s">
        <v>1186</v>
      </c>
      <c r="Q1455" s="123" t="s">
        <v>1187</v>
      </c>
      <c r="R1455" s="124">
        <v>0</v>
      </c>
      <c r="S1455" s="124">
        <v>0</v>
      </c>
      <c r="T1455" s="124">
        <v>1</v>
      </c>
      <c r="U1455" s="121" t="str">
        <f t="shared" si="593"/>
        <v/>
      </c>
      <c r="V1455" s="121" t="str">
        <f t="shared" si="594"/>
        <v/>
      </c>
      <c r="W1455" s="121" t="str">
        <f t="shared" si="595"/>
        <v/>
      </c>
      <c r="X1455" s="121">
        <f t="shared" si="589"/>
        <v>0</v>
      </c>
      <c r="Y1455" s="121" t="str">
        <f t="shared" si="596"/>
        <v/>
      </c>
      <c r="Z1455" s="121" t="str">
        <f t="shared" si="597"/>
        <v/>
      </c>
      <c r="AA1455" s="121" t="str">
        <f t="shared" si="598"/>
        <v/>
      </c>
      <c r="AB1455" s="121">
        <f t="shared" si="590"/>
        <v>0</v>
      </c>
      <c r="AC1455" s="121">
        <v>0</v>
      </c>
      <c r="AD1455" s="121">
        <v>0</v>
      </c>
      <c r="AE1455" s="121">
        <v>0</v>
      </c>
      <c r="AF1455" s="121">
        <v>0</v>
      </c>
      <c r="AG1455" s="121">
        <v>0</v>
      </c>
      <c r="AH1455" s="121">
        <v>0</v>
      </c>
      <c r="AI1455" s="121">
        <v>0</v>
      </c>
      <c r="AJ1455" s="121">
        <f t="shared" ref="AJ1455:AK1455" si="602">IF(AI1455=0,0,0)</f>
        <v>0</v>
      </c>
      <c r="AK1455" s="121">
        <f t="shared" si="602"/>
        <v>0</v>
      </c>
      <c r="AL1455" s="121">
        <v>0</v>
      </c>
      <c r="AM1455" s="161">
        <v>0</v>
      </c>
      <c r="AN1455" s="161">
        <v>0</v>
      </c>
      <c r="AO1455" s="161">
        <v>0</v>
      </c>
      <c r="AP1455" s="125" t="str">
        <f>CONCATENATE(A1455,M1455)</f>
        <v>Def TaxN</v>
      </c>
      <c r="AQ1455" s="125" t="str">
        <f>CONCATENATE(AP1455,L1455,H1455)</f>
        <v>Def TaxNN2Hung Deferred Taxes</v>
      </c>
      <c r="AS1455" s="125" t="str">
        <f>CONCATENATE(L1455,H1455,J1455)</f>
        <v>N2Hung Deferred Taxes</v>
      </c>
    </row>
    <row r="1456" spans="1:45" s="125" customFormat="1" ht="25.5" customHeight="1">
      <c r="A1456" s="216" t="s">
        <v>1996</v>
      </c>
      <c r="B1456" s="217" t="str">
        <f t="shared" si="591"/>
        <v>Def Tax283510MFCBG030247</v>
      </c>
      <c r="C1456" s="186">
        <v>283510</v>
      </c>
      <c r="D1456" s="201" t="s">
        <v>339</v>
      </c>
      <c r="E1456" s="162" t="s">
        <v>1675</v>
      </c>
      <c r="F1456" s="169" t="s">
        <v>2883</v>
      </c>
      <c r="G1456" s="117" t="s">
        <v>339</v>
      </c>
      <c r="H1456" s="118" t="s">
        <v>2224</v>
      </c>
      <c r="I1456" s="119"/>
      <c r="J1456" s="231"/>
      <c r="K1456" s="120" t="str">
        <f t="shared" si="599"/>
        <v/>
      </c>
      <c r="L1456" s="170" t="s">
        <v>928</v>
      </c>
      <c r="M1456" s="122" t="str">
        <f>LEFT(L1456,1)</f>
        <v>N</v>
      </c>
      <c r="N1456" s="116" t="str">
        <f>IF($L1456&lt;&gt;"",VLOOKUP($L1456,Categories!$E:$G,2,FALSE),IF($F1456&lt;&gt;"","NO CAT",""))</f>
        <v>Not in Rate Base</v>
      </c>
      <c r="O1456" s="116" t="str">
        <f>IF($L1456&lt;&gt;"",VLOOKUP($L1456,Categories!$E:$G,3,FALSE),IF($F1456&lt;&gt;"","NO CAT",""))</f>
        <v>Direct Assign Items Not in RB</v>
      </c>
      <c r="P1456" s="170" t="s">
        <v>1186</v>
      </c>
      <c r="Q1456" s="123" t="s">
        <v>1187</v>
      </c>
      <c r="R1456" s="124">
        <v>0</v>
      </c>
      <c r="S1456" s="124">
        <v>0</v>
      </c>
      <c r="T1456" s="124">
        <v>1</v>
      </c>
      <c r="U1456" s="121">
        <f t="shared" si="593"/>
        <v>0</v>
      </c>
      <c r="V1456" s="121">
        <f t="shared" si="594"/>
        <v>0</v>
      </c>
      <c r="W1456" s="121">
        <f t="shared" si="595"/>
        <v>400.64470791666702</v>
      </c>
      <c r="X1456" s="121">
        <f t="shared" si="589"/>
        <v>400.64470791666702</v>
      </c>
      <c r="Y1456" s="121">
        <f t="shared" si="596"/>
        <v>0</v>
      </c>
      <c r="Z1456" s="121">
        <f t="shared" si="597"/>
        <v>0</v>
      </c>
      <c r="AA1456" s="121">
        <f t="shared" si="598"/>
        <v>165.49214000000001</v>
      </c>
      <c r="AB1456" s="121">
        <f t="shared" si="590"/>
        <v>165.49214000000006</v>
      </c>
      <c r="AC1456" s="121">
        <v>671.24536999999998</v>
      </c>
      <c r="AD1456" s="121">
        <v>633.01031</v>
      </c>
      <c r="AE1456" s="121">
        <v>599.11087999999995</v>
      </c>
      <c r="AF1456" s="121">
        <v>572.91628000000003</v>
      </c>
      <c r="AG1456" s="121">
        <v>531.55442000000005</v>
      </c>
      <c r="AH1456" s="121">
        <v>480.51771000000002</v>
      </c>
      <c r="AI1456" s="161">
        <v>422.41517000000005</v>
      </c>
      <c r="AJ1456" s="161">
        <v>356.2853300000001</v>
      </c>
      <c r="AK1456" s="161">
        <v>287.54568000000006</v>
      </c>
      <c r="AL1456" s="161">
        <v>216.42222000000004</v>
      </c>
      <c r="AM1456" s="161">
        <v>144.70849000000004</v>
      </c>
      <c r="AN1456" s="161">
        <v>144.88125000000005</v>
      </c>
      <c r="AO1456" s="161">
        <v>165.49214000000006</v>
      </c>
      <c r="AP1456" s="125" t="str">
        <f>CONCATENATE(A1456,M1456)</f>
        <v>Def TaxN</v>
      </c>
      <c r="AQ1456" s="125" t="str">
        <f>CONCATENATE(AP1456,L1456,H1456)</f>
        <v>Def TaxNN2Merchant Function Charge - Gas</v>
      </c>
      <c r="AS1456" s="125" t="str">
        <f>CONCATENATE(L1456,H1456,J1456)</f>
        <v>N2Merchant Function Charge - Gas</v>
      </c>
    </row>
    <row r="1457" spans="1:45" s="125" customFormat="1" ht="25.5" customHeight="1">
      <c r="A1457" s="216" t="s">
        <v>1996</v>
      </c>
      <c r="B1457" s="217" t="str">
        <f t="shared" si="591"/>
        <v>Def Tax283510PandemicBG030559</v>
      </c>
      <c r="C1457" s="186">
        <v>283510</v>
      </c>
      <c r="D1457" s="201" t="s">
        <v>899</v>
      </c>
      <c r="E1457" s="162" t="s">
        <v>531</v>
      </c>
      <c r="F1457" s="169" t="s">
        <v>2883</v>
      </c>
      <c r="G1457" s="117" t="s">
        <v>331</v>
      </c>
      <c r="H1457" s="118" t="s">
        <v>2207</v>
      </c>
      <c r="I1457" s="119"/>
      <c r="J1457" s="231" t="s">
        <v>105</v>
      </c>
      <c r="K1457" s="120" t="str">
        <f t="shared" si="599"/>
        <v/>
      </c>
      <c r="L1457" s="170" t="s">
        <v>2821</v>
      </c>
      <c r="M1457" s="122" t="str">
        <f>LEFT(L1457,1)</f>
        <v>N</v>
      </c>
      <c r="N1457" s="116" t="str">
        <f>IF($L1457&lt;&gt;"",VLOOKUP($L1457,Categories!$E:$G,2,FALSE),IF($F1457&lt;&gt;"","NO CAT",""))</f>
        <v>Not in Rate Base</v>
      </c>
      <c r="O1457" s="116" t="str">
        <f>IF($L1457&lt;&gt;"",VLOOKUP($L1457,Categories!$E:$G,3,FALSE),IF($F1457&lt;&gt;"","NO CAT",""))</f>
        <v>Deferrals Accruing Non-Cash Return   (other than ASGA)</v>
      </c>
      <c r="P1457" s="170" t="s">
        <v>1186</v>
      </c>
      <c r="Q1457" s="123" t="s">
        <v>1187</v>
      </c>
      <c r="R1457" s="124">
        <v>0</v>
      </c>
      <c r="S1457" s="124">
        <v>0</v>
      </c>
      <c r="T1457" s="124">
        <v>1</v>
      </c>
      <c r="U1457" s="121">
        <f t="shared" si="593"/>
        <v>0</v>
      </c>
      <c r="V1457" s="121">
        <f t="shared" si="594"/>
        <v>0</v>
      </c>
      <c r="W1457" s="121">
        <f t="shared" si="595"/>
        <v>-2.4000000000000001E-4</v>
      </c>
      <c r="X1457" s="121">
        <f t="shared" si="589"/>
        <v>-2.4000000000000001E-4</v>
      </c>
      <c r="Y1457" s="121">
        <f t="shared" si="596"/>
        <v>0</v>
      </c>
      <c r="Z1457" s="121">
        <f t="shared" si="597"/>
        <v>0</v>
      </c>
      <c r="AA1457" s="121">
        <f t="shared" si="598"/>
        <v>-2.4000000000000001E-4</v>
      </c>
      <c r="AB1457" s="121">
        <f t="shared" si="590"/>
        <v>-2.4000000000001253E-4</v>
      </c>
      <c r="AC1457" s="121">
        <v>-2.4000000000001253E-4</v>
      </c>
      <c r="AD1457" s="121">
        <v>-2.4000000000001253E-4</v>
      </c>
      <c r="AE1457" s="121">
        <v>-2.4000000000001253E-4</v>
      </c>
      <c r="AF1457" s="121">
        <v>-2.4000000000001253E-4</v>
      </c>
      <c r="AG1457" s="121">
        <v>-2.4000000000001253E-4</v>
      </c>
      <c r="AH1457" s="121">
        <v>-2.4000000000001253E-4</v>
      </c>
      <c r="AI1457" s="161">
        <v>-2.4000000000001253E-4</v>
      </c>
      <c r="AJ1457" s="161">
        <v>-2.4000000000001253E-4</v>
      </c>
      <c r="AK1457" s="161">
        <v>-2.4000000000001253E-4</v>
      </c>
      <c r="AL1457" s="161">
        <v>-2.4000000000001253E-4</v>
      </c>
      <c r="AM1457" s="161">
        <v>-2.4000000000001253E-4</v>
      </c>
      <c r="AN1457" s="161">
        <v>-2.4000000000001253E-4</v>
      </c>
      <c r="AO1457" s="161">
        <v>-2.4000000000001253E-4</v>
      </c>
      <c r="AP1457" s="125" t="str">
        <f>CONCATENATE(A1457,M1457)</f>
        <v>Def TaxN</v>
      </c>
      <c r="AQ1457" s="125" t="str">
        <f>CONCATENATE(AP1457,L1457,H1457)</f>
        <v>Def TaxNN10Pandemic Flu</v>
      </c>
      <c r="AS1457" s="125" t="str">
        <f>CONCATENATE(L1457,H1457,J1457)</f>
        <v>N10Pandemic FluNCR</v>
      </c>
    </row>
    <row r="1458" spans="1:45" s="125" customFormat="1" ht="25.5" customHeight="1">
      <c r="A1458" s="216" t="s">
        <v>1996</v>
      </c>
      <c r="B1458" s="217" t="str">
        <f t="shared" si="591"/>
        <v>Def Tax283510Ptax DefBT010268</v>
      </c>
      <c r="C1458" s="186">
        <v>283510</v>
      </c>
      <c r="D1458" s="201" t="s">
        <v>940</v>
      </c>
      <c r="E1458" s="162" t="s">
        <v>278</v>
      </c>
      <c r="F1458" s="169" t="s">
        <v>2883</v>
      </c>
      <c r="G1458" s="117" t="s">
        <v>815</v>
      </c>
      <c r="H1458" s="118" t="s">
        <v>815</v>
      </c>
      <c r="I1458" s="119"/>
      <c r="J1458" s="231" t="s">
        <v>105</v>
      </c>
      <c r="K1458" s="120" t="str">
        <f t="shared" si="599"/>
        <v/>
      </c>
      <c r="L1458" s="170" t="s">
        <v>2821</v>
      </c>
      <c r="M1458" s="122" t="str">
        <f>LEFT(L1458,1)</f>
        <v>N</v>
      </c>
      <c r="N1458" s="116" t="str">
        <f>IF($L1458&lt;&gt;"",VLOOKUP($L1458,Categories!$E:$G,2,FALSE),IF($F1458&lt;&gt;"","NO CAT",""))</f>
        <v>Not in Rate Base</v>
      </c>
      <c r="O1458" s="116" t="str">
        <f>IF($L1458&lt;&gt;"",VLOOKUP($L1458,Categories!$E:$G,3,FALSE),IF($F1458&lt;&gt;"","NO CAT",""))</f>
        <v>Deferrals Accruing Non-Cash Return   (other than ASGA)</v>
      </c>
      <c r="P1458" s="170" t="s">
        <v>1186</v>
      </c>
      <c r="Q1458" s="123" t="s">
        <v>1187</v>
      </c>
      <c r="R1458" s="124">
        <v>0</v>
      </c>
      <c r="S1458" s="124">
        <v>0</v>
      </c>
      <c r="T1458" s="124">
        <v>1</v>
      </c>
      <c r="U1458" s="121">
        <f t="shared" si="593"/>
        <v>0</v>
      </c>
      <c r="V1458" s="121">
        <f t="shared" si="594"/>
        <v>0</v>
      </c>
      <c r="W1458" s="121">
        <f t="shared" si="595"/>
        <v>-1492.15067916667</v>
      </c>
      <c r="X1458" s="121">
        <f t="shared" si="589"/>
        <v>-1492.15067916667</v>
      </c>
      <c r="Y1458" s="121">
        <f t="shared" si="596"/>
        <v>0</v>
      </c>
      <c r="Z1458" s="121">
        <f t="shared" si="597"/>
        <v>0</v>
      </c>
      <c r="AA1458" s="121">
        <f t="shared" si="598"/>
        <v>-1916.59475</v>
      </c>
      <c r="AB1458" s="121">
        <f t="shared" si="590"/>
        <v>-1916.5947500000004</v>
      </c>
      <c r="AC1458" s="121">
        <v>-1192.5079500000002</v>
      </c>
      <c r="AD1458" s="121">
        <v>-1226.2660600000004</v>
      </c>
      <c r="AE1458" s="121">
        <v>-1274.8218500000003</v>
      </c>
      <c r="AF1458" s="121">
        <v>-1324.2317000000005</v>
      </c>
      <c r="AG1458" s="121">
        <v>-1378.3887000000004</v>
      </c>
      <c r="AH1458" s="121">
        <v>-1403.8867200000004</v>
      </c>
      <c r="AI1458" s="161">
        <v>-1461.3391800000004</v>
      </c>
      <c r="AJ1458" s="161">
        <v>-1520.6074400000005</v>
      </c>
      <c r="AK1458" s="161">
        <v>-1581.7629900000004</v>
      </c>
      <c r="AL1458" s="161">
        <v>-1657.5114500000004</v>
      </c>
      <c r="AM1458" s="161">
        <v>-1719.8609600000004</v>
      </c>
      <c r="AN1458" s="161">
        <v>-1802.5797500000006</v>
      </c>
      <c r="AO1458" s="161">
        <v>-1916.5947500000004</v>
      </c>
      <c r="AP1458" s="125" t="str">
        <f>CONCATENATE(A1458,M1458)</f>
        <v>Def TaxN</v>
      </c>
      <c r="AQ1458" s="125" t="str">
        <f>CONCATENATE(AP1458,L1458,H1458)</f>
        <v>Def TaxNN10Property Tax Deferral</v>
      </c>
      <c r="AS1458" s="125" t="str">
        <f>CONCATENATE(L1458,H1458,J1458)</f>
        <v>N10Property Tax DeferralNCR</v>
      </c>
    </row>
    <row r="1459" spans="1:45" s="125" customFormat="1" ht="25.5" customHeight="1">
      <c r="A1459" s="216" t="s">
        <v>1996</v>
      </c>
      <c r="B1459" s="217" t="str">
        <f t="shared" si="591"/>
        <v>Def Tax283510Sarb-OxleyBG030172</v>
      </c>
      <c r="C1459" s="186">
        <v>283510</v>
      </c>
      <c r="D1459" s="201" t="s">
        <v>999</v>
      </c>
      <c r="E1459" s="162" t="s">
        <v>80</v>
      </c>
      <c r="F1459" s="169" t="s">
        <v>2883</v>
      </c>
      <c r="G1459" s="117" t="s">
        <v>283</v>
      </c>
      <c r="H1459" s="118" t="s">
        <v>3032</v>
      </c>
      <c r="I1459" s="119"/>
      <c r="J1459" s="231"/>
      <c r="K1459" s="120" t="str">
        <f t="shared" si="599"/>
        <v/>
      </c>
      <c r="L1459" s="170" t="s">
        <v>1895</v>
      </c>
      <c r="M1459" s="122" t="str">
        <f t="shared" ref="M1459:M1516" si="603">LEFT(L1459,1)</f>
        <v>R</v>
      </c>
      <c r="N1459" s="116" t="str">
        <f>IF($L1459&lt;&gt;"",VLOOKUP($L1459,Categories!$E:$G,2,FALSE),IF($F1459&lt;&gt;"","NO CAT",""))</f>
        <v>Rate Base</v>
      </c>
      <c r="O1459" s="116" t="str">
        <f>IF($L1459&lt;&gt;"",VLOOKUP($L1459,Categories!$E:$G,3,FALSE),IF($F1459&lt;&gt;"","NO CAT",""))</f>
        <v>Deferred Income Taxes</v>
      </c>
      <c r="P1459" s="170" t="s">
        <v>1184</v>
      </c>
      <c r="Q1459" s="123" t="s">
        <v>1178</v>
      </c>
      <c r="R1459" s="124">
        <v>0</v>
      </c>
      <c r="S1459" s="124">
        <v>1</v>
      </c>
      <c r="T1459" s="124">
        <v>0</v>
      </c>
      <c r="U1459" s="121">
        <f t="shared" si="593"/>
        <v>0</v>
      </c>
      <c r="V1459" s="121">
        <f t="shared" si="594"/>
        <v>-59.297910000000002</v>
      </c>
      <c r="W1459" s="121">
        <f t="shared" si="595"/>
        <v>0</v>
      </c>
      <c r="X1459" s="121">
        <f t="shared" si="589"/>
        <v>-59.297910000000002</v>
      </c>
      <c r="Y1459" s="121">
        <f t="shared" si="596"/>
        <v>0</v>
      </c>
      <c r="Z1459" s="121">
        <f t="shared" si="597"/>
        <v>-59.297910000000002</v>
      </c>
      <c r="AA1459" s="121">
        <f t="shared" si="598"/>
        <v>0</v>
      </c>
      <c r="AB1459" s="121">
        <f t="shared" si="590"/>
        <v>-59.297909999999959</v>
      </c>
      <c r="AC1459" s="121">
        <v>-59.297909999999959</v>
      </c>
      <c r="AD1459" s="121">
        <v>-59.297909999999959</v>
      </c>
      <c r="AE1459" s="121">
        <v>-59.297909999999959</v>
      </c>
      <c r="AF1459" s="121">
        <v>-59.297909999999959</v>
      </c>
      <c r="AG1459" s="121">
        <v>-59.297909999999959</v>
      </c>
      <c r="AH1459" s="121">
        <v>-59.297909999999959</v>
      </c>
      <c r="AI1459" s="161">
        <v>-59.297909999999959</v>
      </c>
      <c r="AJ1459" s="161">
        <v>-59.297909999999959</v>
      </c>
      <c r="AK1459" s="161">
        <v>-59.297909999999959</v>
      </c>
      <c r="AL1459" s="161">
        <v>-59.297909999999959</v>
      </c>
      <c r="AM1459" s="161">
        <v>-59.297909999999959</v>
      </c>
      <c r="AN1459" s="161">
        <v>-59.297909999999959</v>
      </c>
      <c r="AO1459" s="161">
        <v>-59.297909999999959</v>
      </c>
      <c r="AP1459" s="125" t="str">
        <f>CONCATENATE(A1459,M1459)</f>
        <v>Def TaxR</v>
      </c>
      <c r="AQ1459" s="125" t="str">
        <f>CONCATENATE(AP1459,L1459,H1459)</f>
        <v>Def TaxRR11Sarbanes-Oxley</v>
      </c>
      <c r="AS1459" s="125" t="str">
        <f>CONCATENATE(L1459,H1459,J1459)</f>
        <v>R11Sarbanes-Oxley</v>
      </c>
    </row>
    <row r="1460" spans="1:45" s="125" customFormat="1" ht="25.5" customHeight="1">
      <c r="A1460" s="216" t="s">
        <v>1996</v>
      </c>
      <c r="B1460" s="217" t="str">
        <f t="shared" si="591"/>
        <v>Def Tax2835100-184.12.00BTHUNGDT</v>
      </c>
      <c r="C1460" s="186">
        <v>283510</v>
      </c>
      <c r="D1460" s="201" t="s">
        <v>121</v>
      </c>
      <c r="E1460" s="162" t="s">
        <v>616</v>
      </c>
      <c r="F1460" s="169" t="s">
        <v>2883</v>
      </c>
      <c r="G1460" s="117" t="s">
        <v>2</v>
      </c>
      <c r="H1460" s="118" t="s">
        <v>1167</v>
      </c>
      <c r="I1460" s="119"/>
      <c r="J1460" s="120"/>
      <c r="K1460" s="120" t="str">
        <f t="shared" si="599"/>
        <v/>
      </c>
      <c r="L1460" s="170" t="s">
        <v>1895</v>
      </c>
      <c r="M1460" s="122" t="str">
        <f t="shared" si="603"/>
        <v>R</v>
      </c>
      <c r="N1460" s="116" t="str">
        <f>IF($L1460&lt;&gt;"",VLOOKUP($L1460,Categories!$E:$G,2,FALSE),IF($F1460&lt;&gt;"","NO CAT",""))</f>
        <v>Rate Base</v>
      </c>
      <c r="O1460" s="116" t="str">
        <f>IF($L1460&lt;&gt;"",VLOOKUP($L1460,Categories!$E:$G,3,FALSE),IF($F1460&lt;&gt;"","NO CAT",""))</f>
        <v>Deferred Income Taxes</v>
      </c>
      <c r="P1460" s="170" t="s">
        <v>1184</v>
      </c>
      <c r="Q1460" s="123" t="s">
        <v>1178</v>
      </c>
      <c r="R1460" s="124">
        <v>0</v>
      </c>
      <c r="S1460" s="124">
        <v>1</v>
      </c>
      <c r="T1460" s="124">
        <v>0</v>
      </c>
      <c r="U1460" s="121">
        <f t="shared" si="593"/>
        <v>0</v>
      </c>
      <c r="V1460" s="121">
        <f t="shared" si="594"/>
        <v>-77.185000000000002</v>
      </c>
      <c r="W1460" s="121">
        <f t="shared" si="595"/>
        <v>0</v>
      </c>
      <c r="X1460" s="121">
        <f t="shared" ref="X1460:X1497" si="604">IF(ISERROR(ROUND((SUM(AC1460:AO1460)-((AC1460+AO1460))/2)/12,15)),"",ROUND((SUM(AC1460:AO1460)-((AC1460+AO1460))/2)/12,15))</f>
        <v>-77.185000000000002</v>
      </c>
      <c r="Y1460" s="121">
        <f t="shared" si="596"/>
        <v>0</v>
      </c>
      <c r="Z1460" s="121">
        <f t="shared" si="597"/>
        <v>-77.185000000000002</v>
      </c>
      <c r="AA1460" s="121">
        <f t="shared" si="598"/>
        <v>0</v>
      </c>
      <c r="AB1460" s="121">
        <f t="shared" ref="AB1460:AB1497" si="605">IF(AO1460="",0,+AO1460)</f>
        <v>-77.185000000000002</v>
      </c>
      <c r="AC1460" s="121">
        <v>-77.185000000000002</v>
      </c>
      <c r="AD1460" s="121">
        <v>-77.185000000000002</v>
      </c>
      <c r="AE1460" s="121">
        <v>-77.185000000000002</v>
      </c>
      <c r="AF1460" s="121">
        <v>-77.185000000000002</v>
      </c>
      <c r="AG1460" s="121">
        <v>-77.185000000000002</v>
      </c>
      <c r="AH1460" s="121">
        <v>-77.185000000000002</v>
      </c>
      <c r="AI1460" s="161">
        <v>-77.185000000000002</v>
      </c>
      <c r="AJ1460" s="161">
        <v>-77.185000000000002</v>
      </c>
      <c r="AK1460" s="161">
        <v>-77.185000000000002</v>
      </c>
      <c r="AL1460" s="161">
        <v>-77.185000000000002</v>
      </c>
      <c r="AM1460" s="161">
        <v>-77.185000000000002</v>
      </c>
      <c r="AN1460" s="161">
        <v>-77.185000000000002</v>
      </c>
      <c r="AO1460" s="161">
        <v>-77.185000000000002</v>
      </c>
      <c r="AP1460" s="125" t="str">
        <f>CONCATENATE(A1460,M1460)</f>
        <v>Def TaxR</v>
      </c>
      <c r="AQ1460" s="125" t="str">
        <f>CONCATENATE(AP1460,L1460,H1460)</f>
        <v>Def TaxRR11Hung Deferred Taxes</v>
      </c>
      <c r="AS1460" s="125" t="str">
        <f>CONCATENATE(L1460,H1460,J1460)</f>
        <v>R11Hung Deferred Taxes</v>
      </c>
    </row>
    <row r="1461" spans="1:45" s="125" customFormat="1" ht="25.5" customHeight="1">
      <c r="A1461" s="216" t="s">
        <v>1996</v>
      </c>
      <c r="B1461" s="217" t="str">
        <f t="shared" si="591"/>
        <v>Def Tax283510Trans IntegBG030181</v>
      </c>
      <c r="C1461" s="186">
        <v>283510</v>
      </c>
      <c r="D1461" s="201" t="s">
        <v>622</v>
      </c>
      <c r="E1461" s="162" t="s">
        <v>527</v>
      </c>
      <c r="F1461" s="169" t="s">
        <v>2883</v>
      </c>
      <c r="G1461" s="117" t="s">
        <v>621</v>
      </c>
      <c r="H1461" s="118" t="s">
        <v>2522</v>
      </c>
      <c r="I1461" s="119"/>
      <c r="J1461" s="120" t="s">
        <v>105</v>
      </c>
      <c r="K1461" s="120" t="str">
        <f t="shared" si="599"/>
        <v/>
      </c>
      <c r="L1461" s="170" t="s">
        <v>2821</v>
      </c>
      <c r="M1461" s="122" t="str">
        <f t="shared" si="603"/>
        <v>N</v>
      </c>
      <c r="N1461" s="116" t="str">
        <f>IF($L1461&lt;&gt;"",VLOOKUP($L1461,Categories!$E:$G,2,FALSE),IF($F1461&lt;&gt;"","NO CAT",""))</f>
        <v>Not in Rate Base</v>
      </c>
      <c r="O1461" s="116" t="str">
        <f>IF($L1461&lt;&gt;"",VLOOKUP($L1461,Categories!$E:$G,3,FALSE),IF($F1461&lt;&gt;"","NO CAT",""))</f>
        <v>Deferrals Accruing Non-Cash Return   (other than ASGA)</v>
      </c>
      <c r="P1461" s="170" t="s">
        <v>1186</v>
      </c>
      <c r="Q1461" s="123" t="s">
        <v>1187</v>
      </c>
      <c r="R1461" s="124">
        <v>0</v>
      </c>
      <c r="S1461" s="124">
        <v>0</v>
      </c>
      <c r="T1461" s="124">
        <v>1</v>
      </c>
      <c r="U1461" s="121">
        <f t="shared" si="593"/>
        <v>0</v>
      </c>
      <c r="V1461" s="121">
        <f t="shared" si="594"/>
        <v>0</v>
      </c>
      <c r="W1461" s="121">
        <f t="shared" si="595"/>
        <v>8.0027941666666997</v>
      </c>
      <c r="X1461" s="121">
        <f t="shared" si="604"/>
        <v>8.0027941666666997</v>
      </c>
      <c r="Y1461" s="121">
        <f t="shared" si="596"/>
        <v>0</v>
      </c>
      <c r="Z1461" s="121">
        <f t="shared" si="597"/>
        <v>0</v>
      </c>
      <c r="AA1461" s="121">
        <f t="shared" si="598"/>
        <v>30.08493</v>
      </c>
      <c r="AB1461" s="121">
        <f t="shared" si="605"/>
        <v>30.084930000000028</v>
      </c>
      <c r="AC1461" s="121">
        <v>-21.248029999999968</v>
      </c>
      <c r="AD1461" s="121">
        <v>-11.63297999999997</v>
      </c>
      <c r="AE1461" s="121">
        <v>-3.1880699999999704</v>
      </c>
      <c r="AF1461" s="121">
        <v>3.0291800000000295</v>
      </c>
      <c r="AG1461" s="121">
        <v>5.2077100000000298</v>
      </c>
      <c r="AH1461" s="121">
        <v>9.0146100000000295</v>
      </c>
      <c r="AI1461" s="161">
        <v>10.200950000000029</v>
      </c>
      <c r="AJ1461" s="161">
        <v>11.172050000000031</v>
      </c>
      <c r="AK1461" s="161">
        <v>13.036750000000032</v>
      </c>
      <c r="AL1461" s="161">
        <v>14.58789000000003</v>
      </c>
      <c r="AM1461" s="161">
        <v>17.109130000000029</v>
      </c>
      <c r="AN1461" s="161">
        <v>23.07786000000003</v>
      </c>
      <c r="AO1461" s="161">
        <v>30.084930000000028</v>
      </c>
      <c r="AP1461" s="125" t="str">
        <f>CONCATENATE(A1461,M1461)</f>
        <v>Def TaxN</v>
      </c>
      <c r="AQ1461" s="125" t="str">
        <f>CONCATENATE(AP1461,L1461,H1461)</f>
        <v>Def TaxNN10Gas Main Integrity</v>
      </c>
      <c r="AS1461" s="125" t="str">
        <f>CONCATENATE(L1461,H1461,J1461)</f>
        <v>N10Gas Main IntegrityNCR</v>
      </c>
    </row>
    <row r="1462" spans="1:45" s="125" customFormat="1" ht="25.5" customHeight="1">
      <c r="A1462" s="216" t="s">
        <v>1996</v>
      </c>
      <c r="B1462" s="217" t="str">
        <f t="shared" si="591"/>
        <v>Def Tax283510VERP CTABG030903</v>
      </c>
      <c r="C1462" s="186">
        <v>283510</v>
      </c>
      <c r="D1462" s="201" t="s">
        <v>941</v>
      </c>
      <c r="E1462" s="162" t="s">
        <v>1883</v>
      </c>
      <c r="F1462" s="169" t="s">
        <v>2883</v>
      </c>
      <c r="G1462" s="117" t="s">
        <v>1025</v>
      </c>
      <c r="H1462" s="118" t="s">
        <v>1151</v>
      </c>
      <c r="I1462" s="119"/>
      <c r="J1462" s="120"/>
      <c r="K1462" s="120" t="str">
        <f t="shared" ref="K1462:K1466" si="606">IF(L1462="N3","SFAS-109","")</f>
        <v/>
      </c>
      <c r="L1462" s="170" t="s">
        <v>1895</v>
      </c>
      <c r="M1462" s="122" t="str">
        <f t="shared" si="603"/>
        <v>R</v>
      </c>
      <c r="N1462" s="116" t="str">
        <f>IF($L1462&lt;&gt;"",VLOOKUP($L1462,Categories!$E:$G,2,FALSE),IF($F1462&lt;&gt;"","NO CAT",""))</f>
        <v>Rate Base</v>
      </c>
      <c r="O1462" s="116" t="str">
        <f>IF($L1462&lt;&gt;"",VLOOKUP($L1462,Categories!$E:$G,3,FALSE),IF($F1462&lt;&gt;"","NO CAT",""))</f>
        <v>Deferred Income Taxes</v>
      </c>
      <c r="P1462" s="170" t="s">
        <v>1184</v>
      </c>
      <c r="Q1462" s="123" t="s">
        <v>1178</v>
      </c>
      <c r="R1462" s="124">
        <v>0</v>
      </c>
      <c r="S1462" s="124">
        <v>1</v>
      </c>
      <c r="T1462" s="124">
        <v>0</v>
      </c>
      <c r="U1462" s="121">
        <f t="shared" si="593"/>
        <v>0</v>
      </c>
      <c r="V1462" s="121">
        <f t="shared" si="594"/>
        <v>23.697859999999601</v>
      </c>
      <c r="W1462" s="121">
        <f t="shared" si="595"/>
        <v>0</v>
      </c>
      <c r="X1462" s="121">
        <f t="shared" si="604"/>
        <v>23.697859999999601</v>
      </c>
      <c r="Y1462" s="121">
        <f t="shared" si="596"/>
        <v>0</v>
      </c>
      <c r="Z1462" s="121">
        <f t="shared" si="597"/>
        <v>23.697859999999601</v>
      </c>
      <c r="AA1462" s="121">
        <f t="shared" si="598"/>
        <v>0</v>
      </c>
      <c r="AB1462" s="121">
        <f t="shared" si="605"/>
        <v>23.697859999999586</v>
      </c>
      <c r="AC1462" s="121">
        <v>23.697859999999586</v>
      </c>
      <c r="AD1462" s="121">
        <v>23.697859999999586</v>
      </c>
      <c r="AE1462" s="121">
        <v>23.697859999999586</v>
      </c>
      <c r="AF1462" s="121">
        <v>23.697859999999586</v>
      </c>
      <c r="AG1462" s="121">
        <v>23.697859999999586</v>
      </c>
      <c r="AH1462" s="121">
        <v>23.697859999999586</v>
      </c>
      <c r="AI1462" s="161">
        <v>23.697859999999586</v>
      </c>
      <c r="AJ1462" s="161">
        <v>23.697859999999586</v>
      </c>
      <c r="AK1462" s="161">
        <v>23.697859999999586</v>
      </c>
      <c r="AL1462" s="161">
        <v>23.697859999999586</v>
      </c>
      <c r="AM1462" s="161">
        <v>23.697859999999586</v>
      </c>
      <c r="AN1462" s="161">
        <v>23.697859999999586</v>
      </c>
      <c r="AO1462" s="161">
        <v>23.697859999999586</v>
      </c>
      <c r="AP1462" s="125" t="str">
        <f>CONCATENATE(A1462,M1462)</f>
        <v>Def TaxR</v>
      </c>
      <c r="AQ1462" s="125" t="str">
        <f>CONCATENATE(AP1462,L1462,H1462)</f>
        <v>Def TaxRR11CTA Efficiency</v>
      </c>
      <c r="AS1462" s="125" t="str">
        <f>CONCATENATE(L1462,H1462,J1462)</f>
        <v>R11CTA Efficiency</v>
      </c>
    </row>
    <row r="1463" spans="1:45" s="125" customFormat="1" ht="25.5" customHeight="1">
      <c r="A1463" s="216" t="s">
        <v>1996</v>
      </c>
      <c r="B1463" s="217" t="str">
        <f t="shared" si="591"/>
        <v>Def Tax283510BT010159</v>
      </c>
      <c r="C1463" s="186">
        <v>283510</v>
      </c>
      <c r="D1463" s="201"/>
      <c r="E1463" s="162" t="s">
        <v>114</v>
      </c>
      <c r="F1463" s="169" t="s">
        <v>2883</v>
      </c>
      <c r="G1463" s="117" t="s">
        <v>73</v>
      </c>
      <c r="H1463" s="118" t="s">
        <v>2858</v>
      </c>
      <c r="I1463" s="119"/>
      <c r="J1463" s="120"/>
      <c r="K1463" s="120" t="str">
        <f t="shared" si="606"/>
        <v/>
      </c>
      <c r="L1463" s="170" t="s">
        <v>1895</v>
      </c>
      <c r="M1463" s="122" t="str">
        <f t="shared" si="603"/>
        <v>R</v>
      </c>
      <c r="N1463" s="116" t="str">
        <f>IF($L1463&lt;&gt;"",VLOOKUP($L1463,Categories!$E:$G,2,FALSE),IF($F1463&lt;&gt;"","NO CAT",""))</f>
        <v>Rate Base</v>
      </c>
      <c r="O1463" s="116" t="str">
        <f>IF($L1463&lt;&gt;"",VLOOKUP($L1463,Categories!$E:$G,3,FALSE),IF($F1463&lt;&gt;"","NO CAT",""))</f>
        <v>Deferred Income Taxes</v>
      </c>
      <c r="P1463" s="170" t="s">
        <v>1184</v>
      </c>
      <c r="Q1463" s="123" t="s">
        <v>1178</v>
      </c>
      <c r="R1463" s="124">
        <v>0</v>
      </c>
      <c r="S1463" s="124">
        <v>1</v>
      </c>
      <c r="T1463" s="124">
        <v>0</v>
      </c>
      <c r="U1463" s="121">
        <f t="shared" si="593"/>
        <v>0</v>
      </c>
      <c r="V1463" s="121">
        <f t="shared" si="594"/>
        <v>34.555848750000003</v>
      </c>
      <c r="W1463" s="121">
        <f t="shared" si="595"/>
        <v>0</v>
      </c>
      <c r="X1463" s="121">
        <f t="shared" si="604"/>
        <v>34.555848750000003</v>
      </c>
      <c r="Y1463" s="121">
        <f t="shared" si="596"/>
        <v>0</v>
      </c>
      <c r="Z1463" s="121">
        <f t="shared" si="597"/>
        <v>13.53276</v>
      </c>
      <c r="AA1463" s="121">
        <f t="shared" si="598"/>
        <v>0</v>
      </c>
      <c r="AB1463" s="121">
        <f t="shared" si="605"/>
        <v>13.532760000000009</v>
      </c>
      <c r="AC1463" s="121">
        <v>-2.957670000000002</v>
      </c>
      <c r="AD1463" s="121">
        <v>13.335589999999998</v>
      </c>
      <c r="AE1463" s="121">
        <v>28.999009999999998</v>
      </c>
      <c r="AF1463" s="121">
        <v>48.749610000000004</v>
      </c>
      <c r="AG1463" s="121">
        <v>57.059950000000001</v>
      </c>
      <c r="AH1463" s="121">
        <v>57.948709999999998</v>
      </c>
      <c r="AI1463" s="161">
        <v>53.089940000000006</v>
      </c>
      <c r="AJ1463" s="161">
        <v>46.647960000000005</v>
      </c>
      <c r="AK1463" s="161">
        <v>39.260470000000005</v>
      </c>
      <c r="AL1463" s="161">
        <v>29.632180000000009</v>
      </c>
      <c r="AM1463" s="161">
        <v>20.658010000000008</v>
      </c>
      <c r="AN1463" s="161">
        <v>14.001210000000009</v>
      </c>
      <c r="AO1463" s="161">
        <v>13.532760000000009</v>
      </c>
      <c r="AP1463" s="125" t="str">
        <f>CONCATENATE(A1463,M1463)</f>
        <v>Def TaxR</v>
      </c>
      <c r="AQ1463" s="125" t="str">
        <f>CONCATENATE(AP1463,L1463,H1463)</f>
        <v>Def TaxRR11Purchase of Receivables</v>
      </c>
      <c r="AS1463" s="125" t="str">
        <f>CONCATENATE(L1463,H1463,J1463)</f>
        <v>R11Purchase of Receivables</v>
      </c>
    </row>
    <row r="1464" spans="1:45" s="125" customFormat="1" ht="25.5" customHeight="1">
      <c r="A1464" s="216" t="s">
        <v>1996</v>
      </c>
      <c r="B1464" s="217" t="str">
        <f t="shared" si="591"/>
        <v>Def Tax283510Bonus DeprBE030192</v>
      </c>
      <c r="C1464" s="186">
        <v>283510</v>
      </c>
      <c r="D1464" s="201" t="s">
        <v>1452</v>
      </c>
      <c r="E1464" s="162" t="s">
        <v>1156</v>
      </c>
      <c r="F1464" s="169" t="s">
        <v>2883</v>
      </c>
      <c r="G1464" s="117" t="s">
        <v>1936</v>
      </c>
      <c r="H1464" s="118" t="s">
        <v>891</v>
      </c>
      <c r="I1464" s="119"/>
      <c r="J1464" s="120" t="s">
        <v>105</v>
      </c>
      <c r="K1464" s="120" t="str">
        <f t="shared" si="606"/>
        <v/>
      </c>
      <c r="L1464" s="170" t="s">
        <v>2821</v>
      </c>
      <c r="M1464" s="122" t="str">
        <f t="shared" si="603"/>
        <v>N</v>
      </c>
      <c r="N1464" s="116" t="str">
        <f>IF($L1464&lt;&gt;"",VLOOKUP($L1464,Categories!$E:$G,2,FALSE),IF($F1464&lt;&gt;"","NO CAT",""))</f>
        <v>Not in Rate Base</v>
      </c>
      <c r="O1464" s="116" t="str">
        <f>IF($L1464&lt;&gt;"",VLOOKUP($L1464,Categories!$E:$G,3,FALSE),IF($F1464&lt;&gt;"","NO CAT",""))</f>
        <v>Deferrals Accruing Non-Cash Return   (other than ASGA)</v>
      </c>
      <c r="P1464" s="170" t="s">
        <v>1186</v>
      </c>
      <c r="Q1464" s="123" t="s">
        <v>1187</v>
      </c>
      <c r="R1464" s="124">
        <v>0</v>
      </c>
      <c r="S1464" s="124">
        <v>0</v>
      </c>
      <c r="T1464" s="124">
        <v>1</v>
      </c>
      <c r="U1464" s="121">
        <f t="shared" si="593"/>
        <v>0</v>
      </c>
      <c r="V1464" s="121">
        <f t="shared" si="594"/>
        <v>0</v>
      </c>
      <c r="W1464" s="121">
        <f t="shared" si="595"/>
        <v>2000.3945062499999</v>
      </c>
      <c r="X1464" s="121">
        <f t="shared" si="604"/>
        <v>2000.3945062499999</v>
      </c>
      <c r="Y1464" s="121">
        <f t="shared" si="596"/>
        <v>0</v>
      </c>
      <c r="Z1464" s="121">
        <f t="shared" si="597"/>
        <v>0</v>
      </c>
      <c r="AA1464" s="121">
        <f t="shared" si="598"/>
        <v>2426.6644000000001</v>
      </c>
      <c r="AB1464" s="121">
        <f t="shared" si="605"/>
        <v>2426.6644000000006</v>
      </c>
      <c r="AC1464" s="121">
        <v>1579.9114100000002</v>
      </c>
      <c r="AD1464" s="121">
        <v>1650.7077800000002</v>
      </c>
      <c r="AE1464" s="121">
        <v>1721.3605000000002</v>
      </c>
      <c r="AF1464" s="121">
        <v>1791.8688100000004</v>
      </c>
      <c r="AG1464" s="121">
        <v>1862.2319700000003</v>
      </c>
      <c r="AH1464" s="121">
        <v>1932.4492200000002</v>
      </c>
      <c r="AI1464" s="161">
        <v>2002.5198000000003</v>
      </c>
      <c r="AJ1464" s="161">
        <v>2072.4429400000004</v>
      </c>
      <c r="AK1464" s="161">
        <v>2142.2178900000004</v>
      </c>
      <c r="AL1464" s="161">
        <v>2206.2193700000003</v>
      </c>
      <c r="AM1464" s="161">
        <v>2275.26847</v>
      </c>
      <c r="AN1464" s="161">
        <v>2344.1594200000004</v>
      </c>
      <c r="AO1464" s="161">
        <v>2426.6644000000006</v>
      </c>
      <c r="AP1464" s="125" t="str">
        <f>CONCATENATE(A1464,M1464)</f>
        <v>Def TaxN</v>
      </c>
      <c r="AQ1464" s="125" t="str">
        <f>CONCATENATE(AP1464,L1464,H1464)</f>
        <v>Def TaxNN10Bonus Depreciation</v>
      </c>
      <c r="AS1464" s="125" t="str">
        <f>CONCATENATE(L1464,H1464,J1464)</f>
        <v>N10Bonus DepreciationNCR</v>
      </c>
    </row>
    <row r="1465" spans="1:45" s="125" customFormat="1" ht="25.5" customHeight="1">
      <c r="A1465" s="216" t="s">
        <v>1996</v>
      </c>
      <c r="B1465" s="217" t="str">
        <f t="shared" si="591"/>
        <v>Def Tax283510BG030904</v>
      </c>
      <c r="C1465" s="186">
        <v>283510</v>
      </c>
      <c r="D1465" s="201"/>
      <c r="E1465" s="162" t="s">
        <v>2453</v>
      </c>
      <c r="F1465" s="169" t="s">
        <v>2883</v>
      </c>
      <c r="G1465" s="117" t="s">
        <v>113</v>
      </c>
      <c r="H1465" s="118" t="s">
        <v>623</v>
      </c>
      <c r="I1465" s="119"/>
      <c r="J1465" s="120" t="s">
        <v>105</v>
      </c>
      <c r="K1465" s="120" t="str">
        <f t="shared" si="606"/>
        <v/>
      </c>
      <c r="L1465" s="170" t="s">
        <v>2821</v>
      </c>
      <c r="M1465" s="122" t="str">
        <f t="shared" si="603"/>
        <v>N</v>
      </c>
      <c r="N1465" s="116" t="str">
        <f>IF($L1465&lt;&gt;"",VLOOKUP($L1465,Categories!$E:$G,2,FALSE),IF($F1465&lt;&gt;"","NO CAT",""))</f>
        <v>Not in Rate Base</v>
      </c>
      <c r="O1465" s="116" t="str">
        <f>IF($L1465&lt;&gt;"",VLOOKUP($L1465,Categories!$E:$G,3,FALSE),IF($F1465&lt;&gt;"","NO CAT",""))</f>
        <v>Deferrals Accruing Non-Cash Return   (other than ASGA)</v>
      </c>
      <c r="P1465" s="170" t="s">
        <v>1186</v>
      </c>
      <c r="Q1465" s="123" t="s">
        <v>1187</v>
      </c>
      <c r="R1465" s="124">
        <v>0</v>
      </c>
      <c r="S1465" s="124">
        <v>0</v>
      </c>
      <c r="T1465" s="124">
        <v>1</v>
      </c>
      <c r="U1465" s="121">
        <f t="shared" si="593"/>
        <v>0</v>
      </c>
      <c r="V1465" s="121">
        <f t="shared" si="594"/>
        <v>0</v>
      </c>
      <c r="W1465" s="121">
        <f t="shared" si="595"/>
        <v>2053.4008879166699</v>
      </c>
      <c r="X1465" s="121">
        <f t="shared" si="604"/>
        <v>2053.4008879166699</v>
      </c>
      <c r="Y1465" s="121">
        <f t="shared" si="596"/>
        <v>0</v>
      </c>
      <c r="Z1465" s="121">
        <f t="shared" si="597"/>
        <v>0</v>
      </c>
      <c r="AA1465" s="121">
        <f t="shared" si="598"/>
        <v>2791.8674099999998</v>
      </c>
      <c r="AB1465" s="121">
        <f t="shared" si="605"/>
        <v>2791.8674099999998</v>
      </c>
      <c r="AC1465" s="121">
        <v>2716.69848</v>
      </c>
      <c r="AD1465" s="121">
        <v>2790.6872599999997</v>
      </c>
      <c r="AE1465" s="121">
        <v>2710.8841499999999</v>
      </c>
      <c r="AF1465" s="121">
        <v>2740.7598199999998</v>
      </c>
      <c r="AG1465" s="121">
        <v>3019.6294699999999</v>
      </c>
      <c r="AH1465" s="121">
        <v>2598.8510199999996</v>
      </c>
      <c r="AI1465" s="161">
        <v>2179.5411399999998</v>
      </c>
      <c r="AJ1465" s="161">
        <v>1471.5768299999995</v>
      </c>
      <c r="AK1465" s="161">
        <v>1575.4712999999995</v>
      </c>
      <c r="AL1465" s="161">
        <v>1125.3675199999996</v>
      </c>
      <c r="AM1465" s="161">
        <v>397.74937999999952</v>
      </c>
      <c r="AN1465" s="161">
        <v>1276.0098199999993</v>
      </c>
      <c r="AO1465" s="161">
        <v>2791.8674099999998</v>
      </c>
      <c r="AP1465" s="125" t="str">
        <f>CONCATENATE(A1465,M1465)</f>
        <v>Def TaxN</v>
      </c>
      <c r="AQ1465" s="125" t="str">
        <f>CONCATENATE(AP1465,L1465,H1465)</f>
        <v>Def TaxNN10RDM</v>
      </c>
      <c r="AS1465" s="125" t="str">
        <f>CONCATENATE(L1465,H1465,J1465)</f>
        <v>N10RDMNCR</v>
      </c>
    </row>
    <row r="1466" spans="1:45" s="125" customFormat="1" ht="25.5" customHeight="1">
      <c r="A1466" s="216" t="s">
        <v>1996</v>
      </c>
      <c r="B1466" s="217" t="str">
        <f t="shared" si="591"/>
        <v>Def Tax283510BT010225</v>
      </c>
      <c r="C1466" s="186">
        <v>283510</v>
      </c>
      <c r="D1466" s="201"/>
      <c r="E1466" s="162" t="s">
        <v>396</v>
      </c>
      <c r="F1466" s="169" t="s">
        <v>2883</v>
      </c>
      <c r="G1466" s="117" t="s">
        <v>2653</v>
      </c>
      <c r="H1466" s="118" t="s">
        <v>2711</v>
      </c>
      <c r="I1466" s="119"/>
      <c r="J1466" s="120" t="s">
        <v>105</v>
      </c>
      <c r="K1466" s="120" t="str">
        <f t="shared" si="606"/>
        <v/>
      </c>
      <c r="L1466" s="170" t="s">
        <v>2821</v>
      </c>
      <c r="M1466" s="122" t="str">
        <f t="shared" si="603"/>
        <v>N</v>
      </c>
      <c r="N1466" s="116" t="str">
        <f>IF($L1466&lt;&gt;"",VLOOKUP($L1466,Categories!$E:$G,2,FALSE),IF($F1466&lt;&gt;"","NO CAT",""))</f>
        <v>Not in Rate Base</v>
      </c>
      <c r="O1466" s="116" t="str">
        <f>IF($L1466&lt;&gt;"",VLOOKUP($L1466,Categories!$E:$G,3,FALSE),IF($F1466&lt;&gt;"","NO CAT",""))</f>
        <v>Deferrals Accruing Non-Cash Return   (other than ASGA)</v>
      </c>
      <c r="P1466" s="170" t="s">
        <v>1186</v>
      </c>
      <c r="Q1466" s="123" t="s">
        <v>1187</v>
      </c>
      <c r="R1466" s="124">
        <v>0</v>
      </c>
      <c r="S1466" s="124">
        <v>0</v>
      </c>
      <c r="T1466" s="124">
        <v>1</v>
      </c>
      <c r="U1466" s="121">
        <f t="shared" si="593"/>
        <v>0</v>
      </c>
      <c r="V1466" s="121">
        <f t="shared" si="594"/>
        <v>0</v>
      </c>
      <c r="W1466" s="121">
        <f t="shared" si="595"/>
        <v>-597.30119791666698</v>
      </c>
      <c r="X1466" s="121">
        <f t="shared" si="604"/>
        <v>-597.30119791666698</v>
      </c>
      <c r="Y1466" s="121">
        <f t="shared" si="596"/>
        <v>0</v>
      </c>
      <c r="Z1466" s="121">
        <f t="shared" si="597"/>
        <v>0</v>
      </c>
      <c r="AA1466" s="121">
        <f t="shared" si="598"/>
        <v>-655.96118000000001</v>
      </c>
      <c r="AB1466" s="121">
        <f t="shared" si="605"/>
        <v>-655.9611799999999</v>
      </c>
      <c r="AC1466" s="121">
        <v>-538.64393000000007</v>
      </c>
      <c r="AD1466" s="121">
        <v>-548.41975000000002</v>
      </c>
      <c r="AE1466" s="121">
        <v>-558.19567000000006</v>
      </c>
      <c r="AF1466" s="121">
        <v>-567.97171000000003</v>
      </c>
      <c r="AG1466" s="121">
        <v>-577.74786000000006</v>
      </c>
      <c r="AH1466" s="121">
        <v>-587.52413000000013</v>
      </c>
      <c r="AI1466" s="161">
        <v>-597.30051000000014</v>
      </c>
      <c r="AJ1466" s="161">
        <v>-607.07700000000011</v>
      </c>
      <c r="AK1466" s="161">
        <v>-616.85360000000014</v>
      </c>
      <c r="AL1466" s="161">
        <v>-626.6303200000001</v>
      </c>
      <c r="AM1466" s="161">
        <v>-636.40715999999998</v>
      </c>
      <c r="AN1466" s="161">
        <v>-646.18411000000003</v>
      </c>
      <c r="AO1466" s="161">
        <v>-655.9611799999999</v>
      </c>
      <c r="AP1466" s="125" t="str">
        <f>CONCATENATE(A1466,M1466)</f>
        <v>Def TaxN</v>
      </c>
      <c r="AQ1466" s="125" t="str">
        <f>CONCATENATE(AP1466,L1466,H1466)</f>
        <v>Def TaxNN10Unit of Property CTA</v>
      </c>
      <c r="AS1466" s="125" t="str">
        <f>CONCATENATE(L1466,H1466,J1466)</f>
        <v>N10Unit of Property CTANCR</v>
      </c>
    </row>
    <row r="1467" spans="1:45" s="125" customFormat="1" ht="25.5" customHeight="1">
      <c r="A1467" s="216" t="s">
        <v>1996</v>
      </c>
      <c r="B1467" s="217" t="str">
        <f>CONCATENATE(A1467,C1467,D1467,E1467)</f>
        <v>Def Tax283510Funded DIT True-upBG030932</v>
      </c>
      <c r="C1467" s="186">
        <v>283510</v>
      </c>
      <c r="D1467" s="201" t="s">
        <v>4391</v>
      </c>
      <c r="E1467" s="162" t="s">
        <v>4398</v>
      </c>
      <c r="F1467" s="169" t="s">
        <v>2883</v>
      </c>
      <c r="G1467" s="117" t="s">
        <v>4400</v>
      </c>
      <c r="H1467" s="118" t="s">
        <v>4564</v>
      </c>
      <c r="I1467" s="119"/>
      <c r="J1467" s="120"/>
      <c r="K1467" s="120" t="str">
        <f>IF(L1467="N3","SFAS-109","")</f>
        <v/>
      </c>
      <c r="L1467" s="170" t="s">
        <v>1895</v>
      </c>
      <c r="M1467" s="122" t="str">
        <f>LEFT(L1467,1)</f>
        <v>R</v>
      </c>
      <c r="N1467" s="116" t="str">
        <f>IF($L1467&lt;&gt;"",VLOOKUP($L1467,Categories!$E:$G,2,FALSE),IF($F1467&lt;&gt;"","NO CAT",""))</f>
        <v>Rate Base</v>
      </c>
      <c r="O1467" s="116" t="str">
        <f>IF($L1467&lt;&gt;"",VLOOKUP($L1467,Categories!$E:$G,3,FALSE),IF($F1467&lt;&gt;"","NO CAT",""))</f>
        <v>Deferred Income Taxes</v>
      </c>
      <c r="P1467" s="170" t="s">
        <v>1184</v>
      </c>
      <c r="Q1467" s="123" t="s">
        <v>1178</v>
      </c>
      <c r="R1467" s="124">
        <v>0</v>
      </c>
      <c r="S1467" s="124">
        <v>1</v>
      </c>
      <c r="T1467" s="124">
        <v>0</v>
      </c>
      <c r="U1467" s="121">
        <f>IF(ABS(X1467)=0,"",IF($R1467="NO ALLOC","NO ALLOC",ROUND($R1467*X1467,15)))</f>
        <v>0</v>
      </c>
      <c r="V1467" s="121">
        <f>IF(ABS(X1467)=0,"",IF($S1467="NO ALLOC","NO ALLOC",ROUND($S1467*X1467,15)))</f>
        <v>-7469.8507824999997</v>
      </c>
      <c r="W1467" s="121">
        <f>IF(ABS(X1467)=0,"",IF($T1467="NO ALLOC","NO ALLOC",ROUND($T1467*X1467,15)))</f>
        <v>0</v>
      </c>
      <c r="X1467" s="121">
        <f t="shared" si="604"/>
        <v>-7469.8507824999997</v>
      </c>
      <c r="Y1467" s="121">
        <f>IF(ABS(AB1467)=0,"",IF($R1467="NO ALLOC","NO ALLOC",ROUND($R1467*AB1467,15)))</f>
        <v>0</v>
      </c>
      <c r="Z1467" s="121">
        <f>IF(ABS(AB1467)=0,"",IF($S1467="NO ALLOC","NO ALLOC",ROUND($S1467*AB1467,15)))</f>
        <v>-5530.7542100000001</v>
      </c>
      <c r="AA1467" s="121">
        <f>IF(ABS(AB1467)=0,"",IF($T1467="NO ALLOC","NO ALLOC",ROUND($T1467*AB1467,15)))</f>
        <v>0</v>
      </c>
      <c r="AB1467" s="121">
        <f t="shared" si="605"/>
        <v>-5530.7542100000037</v>
      </c>
      <c r="AC1467" s="121">
        <v>-6515.4625300000034</v>
      </c>
      <c r="AD1467" s="121">
        <v>-6696.4474800000035</v>
      </c>
      <c r="AE1467" s="121">
        <v>-6877.4325500000032</v>
      </c>
      <c r="AF1467" s="121">
        <v>-7058.4176200000038</v>
      </c>
      <c r="AG1467" s="121">
        <v>-7239.4026800000038</v>
      </c>
      <c r="AH1467" s="121">
        <v>-7420.3877500000035</v>
      </c>
      <c r="AI1467" s="161">
        <v>-7601.3728200000041</v>
      </c>
      <c r="AJ1467" s="161">
        <v>-7782.3578900000048</v>
      </c>
      <c r="AK1467" s="161">
        <v>-7963.3429600000045</v>
      </c>
      <c r="AL1467" s="161">
        <v>-8144.3280200000045</v>
      </c>
      <c r="AM1467" s="161">
        <v>-8325.3130900000051</v>
      </c>
      <c r="AN1467" s="161">
        <v>-8506.2981600000039</v>
      </c>
      <c r="AO1467" s="161">
        <v>-5530.7542100000037</v>
      </c>
      <c r="AP1467" s="125" t="str">
        <f>CONCATENATE(A1467,M1467)</f>
        <v>Def TaxR</v>
      </c>
      <c r="AQ1467" s="125" t="str">
        <f>CONCATENATE(AP1467,L1467,H1467)</f>
        <v>Def TaxRR11Funded DIT Tax True-up Deferral</v>
      </c>
      <c r="AS1467" s="125" t="str">
        <f>CONCATENATE(L1467,H1467,J1467)</f>
        <v>R11Funded DIT Tax True-up Deferral</v>
      </c>
    </row>
    <row r="1468" spans="1:45" s="125" customFormat="1" ht="25.5" customHeight="1">
      <c r="A1468" s="216" t="s">
        <v>1996</v>
      </c>
      <c r="B1468" s="217" t="str">
        <f>CONCATENATE(A1468,C1468,D1468,E1468)</f>
        <v>Def Tax283510Hung DeferredBGHUNGDT</v>
      </c>
      <c r="C1468" s="186">
        <v>283510</v>
      </c>
      <c r="D1468" s="201" t="s">
        <v>4395</v>
      </c>
      <c r="E1468" s="162" t="s">
        <v>4399</v>
      </c>
      <c r="F1468" s="169" t="s">
        <v>2883</v>
      </c>
      <c r="G1468" s="117" t="s">
        <v>4401</v>
      </c>
      <c r="H1468" s="118" t="s">
        <v>1167</v>
      </c>
      <c r="I1468" s="119"/>
      <c r="J1468" s="120"/>
      <c r="K1468" s="120" t="str">
        <f>IF(L1468="N3","SFAS-109","")</f>
        <v/>
      </c>
      <c r="L1468" s="170" t="s">
        <v>1895</v>
      </c>
      <c r="M1468" s="122" t="str">
        <f>LEFT(L1468,1)</f>
        <v>R</v>
      </c>
      <c r="N1468" s="116" t="str">
        <f>IF($L1468&lt;&gt;"",VLOOKUP($L1468,Categories!$E:$G,2,FALSE),IF($F1468&lt;&gt;"","NO CAT",""))</f>
        <v>Rate Base</v>
      </c>
      <c r="O1468" s="116" t="str">
        <f>IF($L1468&lt;&gt;"",VLOOKUP($L1468,Categories!$E:$G,3,FALSE),IF($F1468&lt;&gt;"","NO CAT",""))</f>
        <v>Deferred Income Taxes</v>
      </c>
      <c r="P1468" s="170" t="s">
        <v>1184</v>
      </c>
      <c r="Q1468" s="123" t="s">
        <v>1178</v>
      </c>
      <c r="R1468" s="124">
        <v>0</v>
      </c>
      <c r="S1468" s="124">
        <v>1</v>
      </c>
      <c r="T1468" s="124">
        <v>0</v>
      </c>
      <c r="U1468" s="121" t="str">
        <f>IF(ABS(X1468)=0,"",IF($R1468="NO ALLOC","NO ALLOC",ROUND($R1468*X1468,15)))</f>
        <v/>
      </c>
      <c r="V1468" s="121" t="str">
        <f>IF(ABS(X1468)=0,"",IF($S1468="NO ALLOC","NO ALLOC",ROUND($S1468*X1468,15)))</f>
        <v/>
      </c>
      <c r="W1468" s="121" t="str">
        <f>IF(ABS(X1468)=0,"",IF($T1468="NO ALLOC","NO ALLOC",ROUND($T1468*X1468,15)))</f>
        <v/>
      </c>
      <c r="X1468" s="121">
        <f t="shared" si="604"/>
        <v>0</v>
      </c>
      <c r="Y1468" s="121" t="str">
        <f>IF(ABS(AB1468)=0,"",IF($R1468="NO ALLOC","NO ALLOC",ROUND($R1468*AB1468,15)))</f>
        <v/>
      </c>
      <c r="Z1468" s="121" t="str">
        <f>IF(ABS(AB1468)=0,"",IF($S1468="NO ALLOC","NO ALLOC",ROUND($S1468*AB1468,15)))</f>
        <v/>
      </c>
      <c r="AA1468" s="121" t="str">
        <f>IF(ABS(AB1468)=0,"",IF($T1468="NO ALLOC","NO ALLOC",ROUND($T1468*AB1468,15)))</f>
        <v/>
      </c>
      <c r="AB1468" s="121">
        <f t="shared" si="605"/>
        <v>0</v>
      </c>
      <c r="AC1468" s="121">
        <v>0</v>
      </c>
      <c r="AD1468" s="121">
        <v>0</v>
      </c>
      <c r="AE1468" s="121">
        <v>0</v>
      </c>
      <c r="AF1468" s="121">
        <v>0</v>
      </c>
      <c r="AG1468" s="121">
        <v>0</v>
      </c>
      <c r="AH1468" s="121">
        <v>0</v>
      </c>
      <c r="AI1468" s="121">
        <v>0</v>
      </c>
      <c r="AJ1468" s="121">
        <f>IF(AI1468=0,0,0)</f>
        <v>0</v>
      </c>
      <c r="AK1468" s="161">
        <v>0</v>
      </c>
      <c r="AL1468" s="161">
        <v>0</v>
      </c>
      <c r="AM1468" s="161">
        <v>0</v>
      </c>
      <c r="AN1468" s="161">
        <v>0</v>
      </c>
      <c r="AO1468" s="161">
        <v>0</v>
      </c>
      <c r="AP1468" s="125" t="str">
        <f>CONCATENATE(A1468,M1468)</f>
        <v>Def TaxR</v>
      </c>
      <c r="AQ1468" s="125" t="str">
        <f>CONCATENATE(AP1468,L1468,H1468)</f>
        <v>Def TaxRR11Hung Deferred Taxes</v>
      </c>
      <c r="AS1468" s="125" t="str">
        <f>CONCATENATE(L1468,H1468,J1468)</f>
        <v>R11Hung Deferred Taxes</v>
      </c>
    </row>
    <row r="1469" spans="1:45" s="125" customFormat="1" ht="25.5" customHeight="1">
      <c r="A1469" s="216" t="s">
        <v>1996</v>
      </c>
      <c r="B1469" s="217" t="str">
        <f t="shared" ref="B1469:B1526" si="607">CONCATENATE(A1469,C1469,D1469,E1469)</f>
        <v>Def Tax283515SFAS-109FAS109</v>
      </c>
      <c r="C1469" s="186">
        <v>283515</v>
      </c>
      <c r="D1469" s="201" t="s">
        <v>1149</v>
      </c>
      <c r="E1469" s="162" t="s">
        <v>4707</v>
      </c>
      <c r="F1469" s="169" t="s">
        <v>883</v>
      </c>
      <c r="G1469" s="117" t="s">
        <v>883</v>
      </c>
      <c r="H1469" s="118" t="s">
        <v>1149</v>
      </c>
      <c r="I1469" s="119"/>
      <c r="J1469" s="120"/>
      <c r="K1469" s="120" t="str">
        <f t="shared" ref="K1469:K1477" si="608">IF(L1469="N3","SFAS-109","")</f>
        <v>SFAS-109</v>
      </c>
      <c r="L1469" s="170" t="s">
        <v>930</v>
      </c>
      <c r="M1469" s="122" t="str">
        <f t="shared" si="603"/>
        <v>N</v>
      </c>
      <c r="N1469" s="116" t="str">
        <f>IF($L1469&lt;&gt;"",VLOOKUP($L1469,Categories!$E:$G,2,FALSE),IF($F1469&lt;&gt;"","NO CAT",""))</f>
        <v>Not in Rate Base</v>
      </c>
      <c r="O1469" s="116" t="str">
        <f>IF($L1469&lt;&gt;"",VLOOKUP($L1469,Categories!$E:$G,3,FALSE),IF($F1469&lt;&gt;"","NO CAT",""))</f>
        <v>SFAS-109   (offsetting)</v>
      </c>
      <c r="P1469" s="170" t="s">
        <v>1186</v>
      </c>
      <c r="Q1469" s="123" t="s">
        <v>1187</v>
      </c>
      <c r="R1469" s="124">
        <v>0</v>
      </c>
      <c r="S1469" s="124">
        <v>0</v>
      </c>
      <c r="T1469" s="124">
        <v>1</v>
      </c>
      <c r="U1469" s="121">
        <f t="shared" si="593"/>
        <v>0</v>
      </c>
      <c r="V1469" s="121">
        <f t="shared" si="594"/>
        <v>0</v>
      </c>
      <c r="W1469" s="121">
        <f t="shared" si="595"/>
        <v>-9298.4013799999993</v>
      </c>
      <c r="X1469" s="121">
        <f t="shared" si="604"/>
        <v>-9298.4013799999993</v>
      </c>
      <c r="Y1469" s="121">
        <f t="shared" si="596"/>
        <v>0</v>
      </c>
      <c r="Z1469" s="121">
        <f t="shared" si="597"/>
        <v>0</v>
      </c>
      <c r="AA1469" s="121">
        <f t="shared" si="598"/>
        <v>-8950.4971499999992</v>
      </c>
      <c r="AB1469" s="121">
        <f t="shared" si="605"/>
        <v>-8950.4971499999992</v>
      </c>
      <c r="AC1469" s="121">
        <v>-9460.9748099999979</v>
      </c>
      <c r="AD1469" s="121">
        <v>-9355.1669499999989</v>
      </c>
      <c r="AE1469" s="121">
        <v>-9256.7454599999983</v>
      </c>
      <c r="AF1469" s="121">
        <v>-9146.573989999999</v>
      </c>
      <c r="AG1469" s="121">
        <v>-9387.4348899999986</v>
      </c>
      <c r="AH1469" s="121">
        <v>-9365.6080299999994</v>
      </c>
      <c r="AI1469" s="161">
        <v>-9338.1264900000006</v>
      </c>
      <c r="AJ1469" s="161">
        <v>-9319.5581600000005</v>
      </c>
      <c r="AK1469" s="161">
        <v>-9302.6976799999993</v>
      </c>
      <c r="AL1469" s="161">
        <v>-9308.9776700000002</v>
      </c>
      <c r="AM1469" s="161">
        <v>-9300.3587200000002</v>
      </c>
      <c r="AN1469" s="161">
        <v>-9293.8325400000012</v>
      </c>
      <c r="AO1469" s="161">
        <v>-8950.4971499999992</v>
      </c>
      <c r="AP1469" s="125" t="str">
        <f>CONCATENATE(A1469,M1469)</f>
        <v>Def TaxN</v>
      </c>
      <c r="AQ1469" s="125" t="str">
        <f>CONCATENATE(AP1469,L1469,H1469)</f>
        <v>Def TaxNN3SFAS-109</v>
      </c>
      <c r="AS1469" s="125" t="str">
        <f>CONCATENATE(L1469,H1469,J1469)</f>
        <v>N3SFAS-109</v>
      </c>
    </row>
    <row r="1470" spans="1:45" s="125" customFormat="1" ht="25.5" customHeight="1">
      <c r="A1470" s="216" t="s">
        <v>1996</v>
      </c>
      <c r="B1470" s="217" t="str">
        <f t="shared" si="607"/>
        <v>Def Tax283515BT010125</v>
      </c>
      <c r="C1470" s="186">
        <v>283515</v>
      </c>
      <c r="D1470" s="201"/>
      <c r="E1470" s="162" t="s">
        <v>1024</v>
      </c>
      <c r="F1470" s="169" t="s">
        <v>883</v>
      </c>
      <c r="G1470" s="117" t="s">
        <v>914</v>
      </c>
      <c r="H1470" s="118" t="s">
        <v>914</v>
      </c>
      <c r="I1470" s="119"/>
      <c r="J1470" s="120"/>
      <c r="K1470" s="120" t="str">
        <f t="shared" si="608"/>
        <v/>
      </c>
      <c r="L1470" s="170" t="s">
        <v>1895</v>
      </c>
      <c r="M1470" s="122" t="str">
        <f t="shared" si="603"/>
        <v>R</v>
      </c>
      <c r="N1470" s="116" t="str">
        <f>IF($L1470&lt;&gt;"",VLOOKUP($L1470,Categories!$E:$G,2,FALSE),IF($F1470&lt;&gt;"","NO CAT",""))</f>
        <v>Rate Base</v>
      </c>
      <c r="O1470" s="116" t="str">
        <f>IF($L1470&lt;&gt;"",VLOOKUP($L1470,Categories!$E:$G,3,FALSE),IF($F1470&lt;&gt;"","NO CAT",""))</f>
        <v>Deferred Income Taxes</v>
      </c>
      <c r="P1470" s="170" t="s">
        <v>1553</v>
      </c>
      <c r="Q1470" s="123" t="s">
        <v>2587</v>
      </c>
      <c r="R1470" s="124">
        <v>0.81899999999999995</v>
      </c>
      <c r="S1470" s="124">
        <v>0.18099999999999999</v>
      </c>
      <c r="T1470" s="124">
        <v>0</v>
      </c>
      <c r="U1470" s="121">
        <f t="shared" si="593"/>
        <v>-91.577527518750301</v>
      </c>
      <c r="V1470" s="121">
        <f t="shared" si="594"/>
        <v>-20.238745397916698</v>
      </c>
      <c r="W1470" s="121">
        <f t="shared" si="595"/>
        <v>0</v>
      </c>
      <c r="X1470" s="121">
        <f t="shared" si="604"/>
        <v>-111.816272916667</v>
      </c>
      <c r="Y1470" s="121" t="str">
        <f t="shared" si="596"/>
        <v/>
      </c>
      <c r="Z1470" s="121" t="str">
        <f t="shared" si="597"/>
        <v/>
      </c>
      <c r="AA1470" s="121" t="str">
        <f t="shared" si="598"/>
        <v/>
      </c>
      <c r="AB1470" s="121">
        <f t="shared" si="605"/>
        <v>0</v>
      </c>
      <c r="AC1470" s="121">
        <v>-536.71811000000059</v>
      </c>
      <c r="AD1470" s="121">
        <v>-536.71811000000059</v>
      </c>
      <c r="AE1470" s="121">
        <v>-536.71811000000059</v>
      </c>
      <c r="AF1470" s="121">
        <v>0</v>
      </c>
      <c r="AG1470" s="121">
        <v>0</v>
      </c>
      <c r="AH1470" s="121">
        <v>0</v>
      </c>
      <c r="AI1470" s="121">
        <v>0</v>
      </c>
      <c r="AJ1470" s="121">
        <f>IF(AI1470=0,0,0)</f>
        <v>0</v>
      </c>
      <c r="AK1470" s="161">
        <v>0</v>
      </c>
      <c r="AL1470" s="161">
        <v>0</v>
      </c>
      <c r="AM1470" s="161">
        <v>0</v>
      </c>
      <c r="AN1470" s="161">
        <v>0</v>
      </c>
      <c r="AO1470" s="161">
        <v>0</v>
      </c>
      <c r="AP1470" s="125" t="str">
        <f>CONCATENATE(A1470,M1470)</f>
        <v>Def TaxR</v>
      </c>
      <c r="AQ1470" s="125" t="str">
        <f>CONCATENATE(AP1470,L1470,H1470)</f>
        <v>Def TaxRR11Medicare Subsidy</v>
      </c>
      <c r="AS1470" s="125" t="str">
        <f>CONCATENATE(L1470,H1470,J1470)</f>
        <v>R11Medicare Subsidy</v>
      </c>
    </row>
    <row r="1471" spans="1:45" s="125" customFormat="1" ht="25.5" customHeight="1">
      <c r="A1471" s="216" t="s">
        <v>1996</v>
      </c>
      <c r="B1471" s="217" t="str">
        <f t="shared" si="607"/>
        <v>Def Tax283516SFAS-109FAS109</v>
      </c>
      <c r="C1471" s="186">
        <v>283516</v>
      </c>
      <c r="D1471" s="201" t="s">
        <v>1149</v>
      </c>
      <c r="E1471" s="162" t="s">
        <v>4707</v>
      </c>
      <c r="F1471" s="169" t="s">
        <v>1216</v>
      </c>
      <c r="G1471" s="117" t="s">
        <v>1216</v>
      </c>
      <c r="H1471" s="118" t="s">
        <v>1149</v>
      </c>
      <c r="I1471" s="119"/>
      <c r="J1471" s="120"/>
      <c r="K1471" s="120" t="str">
        <f t="shared" si="608"/>
        <v>SFAS-109</v>
      </c>
      <c r="L1471" s="170" t="s">
        <v>930</v>
      </c>
      <c r="M1471" s="122" t="str">
        <f t="shared" si="603"/>
        <v>N</v>
      </c>
      <c r="N1471" s="116" t="str">
        <f>IF($L1471&lt;&gt;"",VLOOKUP($L1471,Categories!$E:$G,2,FALSE),IF($F1471&lt;&gt;"","NO CAT",""))</f>
        <v>Not in Rate Base</v>
      </c>
      <c r="O1471" s="116" t="str">
        <f>IF($L1471&lt;&gt;"",VLOOKUP($L1471,Categories!$E:$G,3,FALSE),IF($F1471&lt;&gt;"","NO CAT",""))</f>
        <v>SFAS-109   (offsetting)</v>
      </c>
      <c r="P1471" s="170" t="s">
        <v>1186</v>
      </c>
      <c r="Q1471" s="123" t="s">
        <v>1187</v>
      </c>
      <c r="R1471" s="124">
        <v>0</v>
      </c>
      <c r="S1471" s="124">
        <v>0</v>
      </c>
      <c r="T1471" s="124">
        <v>1</v>
      </c>
      <c r="U1471" s="121">
        <f t="shared" si="593"/>
        <v>0</v>
      </c>
      <c r="V1471" s="121">
        <f t="shared" si="594"/>
        <v>0</v>
      </c>
      <c r="W1471" s="121">
        <f t="shared" si="595"/>
        <v>7848.1302133333302</v>
      </c>
      <c r="X1471" s="121">
        <f t="shared" si="604"/>
        <v>7848.1302133333302</v>
      </c>
      <c r="Y1471" s="121">
        <f t="shared" si="596"/>
        <v>0</v>
      </c>
      <c r="Z1471" s="121">
        <f t="shared" si="597"/>
        <v>0</v>
      </c>
      <c r="AA1471" s="121">
        <f t="shared" si="598"/>
        <v>7463.5204100000001</v>
      </c>
      <c r="AB1471" s="121">
        <f t="shared" si="605"/>
        <v>7463.5204100000028</v>
      </c>
      <c r="AC1471" s="121">
        <v>7578.6022300000013</v>
      </c>
      <c r="AD1471" s="121">
        <v>7647.1144300000014</v>
      </c>
      <c r="AE1471" s="121">
        <v>7724.9598100000012</v>
      </c>
      <c r="AF1471" s="121">
        <v>7796.1888300000019</v>
      </c>
      <c r="AG1471" s="121">
        <v>7773.0180000000018</v>
      </c>
      <c r="AH1471" s="121">
        <v>7819.7569199999998</v>
      </c>
      <c r="AI1471" s="161">
        <v>7866.6110300000018</v>
      </c>
      <c r="AJ1471" s="161">
        <v>7912.9865600000021</v>
      </c>
      <c r="AK1471" s="161">
        <v>7960.2605900000026</v>
      </c>
      <c r="AL1471" s="161">
        <v>8006.1279100000029</v>
      </c>
      <c r="AM1471" s="161">
        <v>8052.0204900000026</v>
      </c>
      <c r="AN1471" s="161">
        <v>8097.4566700000023</v>
      </c>
      <c r="AO1471" s="161">
        <v>7463.5204100000028</v>
      </c>
      <c r="AP1471" s="125" t="str">
        <f>CONCATENATE(A1471,M1471)</f>
        <v>Def TaxN</v>
      </c>
      <c r="AQ1471" s="125" t="str">
        <f>CONCATENATE(AP1471,L1471,H1471)</f>
        <v>Def TaxNN3SFAS-109</v>
      </c>
      <c r="AS1471" s="125" t="str">
        <f>CONCATENATE(L1471,H1471,J1471)</f>
        <v>N3SFAS-109</v>
      </c>
    </row>
    <row r="1472" spans="1:45" s="125" customFormat="1" ht="25.5" customHeight="1">
      <c r="A1472" s="216" t="s">
        <v>1996</v>
      </c>
      <c r="B1472" s="217" t="str">
        <f t="shared" si="607"/>
        <v>Def Tax283516BT010125</v>
      </c>
      <c r="C1472" s="186">
        <v>283516</v>
      </c>
      <c r="D1472" s="201"/>
      <c r="E1472" s="162" t="s">
        <v>1024</v>
      </c>
      <c r="F1472" s="169" t="s">
        <v>1216</v>
      </c>
      <c r="G1472" s="117" t="s">
        <v>914</v>
      </c>
      <c r="H1472" s="118" t="s">
        <v>914</v>
      </c>
      <c r="I1472" s="119"/>
      <c r="J1472" s="120"/>
      <c r="K1472" s="120" t="str">
        <f>IF(L1472="N3","SFAS-109","")</f>
        <v/>
      </c>
      <c r="L1472" s="170" t="s">
        <v>1895</v>
      </c>
      <c r="M1472" s="122" t="str">
        <f t="shared" si="603"/>
        <v>R</v>
      </c>
      <c r="N1472" s="116" t="str">
        <f>IF($L1472&lt;&gt;"",VLOOKUP($L1472,Categories!$E:$G,2,FALSE),IF($F1472&lt;&gt;"","NO CAT",""))</f>
        <v>Rate Base</v>
      </c>
      <c r="O1472" s="116" t="str">
        <f>IF($L1472&lt;&gt;"",VLOOKUP($L1472,Categories!$E:$G,3,FALSE),IF($F1472&lt;&gt;"","NO CAT",""))</f>
        <v>Deferred Income Taxes</v>
      </c>
      <c r="P1472" s="170" t="s">
        <v>1553</v>
      </c>
      <c r="Q1472" s="123" t="s">
        <v>2587</v>
      </c>
      <c r="R1472" s="124">
        <v>0.81899999999999995</v>
      </c>
      <c r="S1472" s="124">
        <v>0.18099999999999999</v>
      </c>
      <c r="T1472" s="124">
        <v>0</v>
      </c>
      <c r="U1472" s="121">
        <f t="shared" si="593"/>
        <v>40.233728193749997</v>
      </c>
      <c r="V1472" s="121">
        <f t="shared" si="594"/>
        <v>8.8917030562499999</v>
      </c>
      <c r="W1472" s="121">
        <f t="shared" si="595"/>
        <v>0</v>
      </c>
      <c r="X1472" s="121">
        <f t="shared" si="604"/>
        <v>49.125431249999998</v>
      </c>
      <c r="Y1472" s="121" t="str">
        <f t="shared" si="596"/>
        <v/>
      </c>
      <c r="Z1472" s="121" t="str">
        <f t="shared" si="597"/>
        <v/>
      </c>
      <c r="AA1472" s="121" t="str">
        <f t="shared" si="598"/>
        <v/>
      </c>
      <c r="AB1472" s="121">
        <f t="shared" si="605"/>
        <v>0</v>
      </c>
      <c r="AC1472" s="121">
        <v>235.80207000000001</v>
      </c>
      <c r="AD1472" s="121">
        <v>235.80207000000001</v>
      </c>
      <c r="AE1472" s="121">
        <v>235.80207000000001</v>
      </c>
      <c r="AF1472" s="121">
        <v>0</v>
      </c>
      <c r="AG1472" s="121">
        <v>0</v>
      </c>
      <c r="AH1472" s="121">
        <v>0</v>
      </c>
      <c r="AI1472" s="121">
        <v>0</v>
      </c>
      <c r="AJ1472" s="121">
        <f>IF(AI1472=0,0,0)</f>
        <v>0</v>
      </c>
      <c r="AK1472" s="161">
        <v>0</v>
      </c>
      <c r="AL1472" s="161">
        <v>0</v>
      </c>
      <c r="AM1472" s="161">
        <v>0</v>
      </c>
      <c r="AN1472" s="161">
        <v>0</v>
      </c>
      <c r="AO1472" s="161">
        <v>0</v>
      </c>
      <c r="AP1472" s="125" t="str">
        <f>CONCATENATE(A1472,M1472)</f>
        <v>Def TaxR</v>
      </c>
      <c r="AQ1472" s="125" t="str">
        <f>CONCATENATE(AP1472,L1472,H1472)</f>
        <v>Def TaxRR11Medicare Subsidy</v>
      </c>
      <c r="AS1472" s="125" t="str">
        <f>CONCATENATE(L1472,H1472,J1472)</f>
        <v>R11Medicare Subsidy</v>
      </c>
    </row>
    <row r="1473" spans="1:45" s="125" customFormat="1" ht="25.5" customHeight="1">
      <c r="A1473" s="216" t="s">
        <v>1996</v>
      </c>
      <c r="B1473" s="217" t="str">
        <f t="shared" si="607"/>
        <v>Def Tax283550BT010323</v>
      </c>
      <c r="C1473" s="186">
        <v>283550</v>
      </c>
      <c r="D1473" s="201"/>
      <c r="E1473" s="162" t="s">
        <v>1197</v>
      </c>
      <c r="F1473" s="169" t="s">
        <v>848</v>
      </c>
      <c r="G1473" s="117" t="s">
        <v>1196</v>
      </c>
      <c r="H1473" s="118" t="s">
        <v>972</v>
      </c>
      <c r="I1473" s="119"/>
      <c r="J1473" s="231"/>
      <c r="K1473" s="120" t="str">
        <f t="shared" si="608"/>
        <v/>
      </c>
      <c r="L1473" s="170" t="s">
        <v>928</v>
      </c>
      <c r="M1473" s="122" t="str">
        <f t="shared" si="603"/>
        <v>N</v>
      </c>
      <c r="N1473" s="116" t="str">
        <f>IF($L1473&lt;&gt;"",VLOOKUP($L1473,Categories!$E:$G,2,FALSE),IF($F1473&lt;&gt;"","NO CAT",""))</f>
        <v>Not in Rate Base</v>
      </c>
      <c r="O1473" s="116" t="str">
        <f>IF($L1473&lt;&gt;"",VLOOKUP($L1473,Categories!$E:$G,3,FALSE),IF($F1473&lt;&gt;"","NO CAT",""))</f>
        <v>Direct Assign Items Not in RB</v>
      </c>
      <c r="P1473" s="170" t="s">
        <v>1186</v>
      </c>
      <c r="Q1473" s="123" t="s">
        <v>1187</v>
      </c>
      <c r="R1473" s="124">
        <v>0</v>
      </c>
      <c r="S1473" s="124">
        <v>0</v>
      </c>
      <c r="T1473" s="124">
        <v>1</v>
      </c>
      <c r="U1473" s="121">
        <f t="shared" si="593"/>
        <v>0</v>
      </c>
      <c r="V1473" s="121">
        <f t="shared" si="594"/>
        <v>0</v>
      </c>
      <c r="W1473" s="121">
        <f t="shared" si="595"/>
        <v>-422.97658541666698</v>
      </c>
      <c r="X1473" s="121">
        <f t="shared" si="604"/>
        <v>-422.97658541666698</v>
      </c>
      <c r="Y1473" s="121">
        <f t="shared" si="596"/>
        <v>0</v>
      </c>
      <c r="Z1473" s="121">
        <f t="shared" si="597"/>
        <v>0</v>
      </c>
      <c r="AA1473" s="121">
        <f t="shared" si="598"/>
        <v>-422.67529000000002</v>
      </c>
      <c r="AB1473" s="121">
        <f t="shared" si="605"/>
        <v>-422.6752899999999</v>
      </c>
      <c r="AC1473" s="121">
        <v>-411.44153999999997</v>
      </c>
      <c r="AD1473" s="121">
        <v>-413.66662000000002</v>
      </c>
      <c r="AE1473" s="121">
        <v>-415.90037999999998</v>
      </c>
      <c r="AF1473" s="121">
        <v>-418.14287000000002</v>
      </c>
      <c r="AG1473" s="121">
        <v>-420.39409999999998</v>
      </c>
      <c r="AH1473" s="121">
        <v>-422.65413999999998</v>
      </c>
      <c r="AI1473" s="161">
        <v>-424.92299999999994</v>
      </c>
      <c r="AJ1473" s="161">
        <v>-427.20072999999991</v>
      </c>
      <c r="AK1473" s="161">
        <v>-429.48736999999994</v>
      </c>
      <c r="AL1473" s="161">
        <v>-431.78294999999997</v>
      </c>
      <c r="AM1473" s="161">
        <v>-434.08751999999998</v>
      </c>
      <c r="AN1473" s="161">
        <v>-420.42092999999994</v>
      </c>
      <c r="AO1473" s="161">
        <v>-422.6752899999999</v>
      </c>
      <c r="AP1473" s="125" t="str">
        <f>CONCATENATE(A1473,M1473)</f>
        <v>Def TaxN</v>
      </c>
      <c r="AQ1473" s="125" t="str">
        <f>CONCATENATE(AP1473,L1473,H1473)</f>
        <v>Def TaxNN2Asset Retirement Obligation</v>
      </c>
      <c r="AS1473" s="125" t="str">
        <f>CONCATENATE(L1473,H1473,J1473)</f>
        <v>N2Asset Retirement Obligation</v>
      </c>
    </row>
    <row r="1474" spans="1:45" s="125" customFormat="1" ht="25.5" customHeight="1">
      <c r="A1474" s="216" t="s">
        <v>1996</v>
      </c>
      <c r="B1474" s="217" t="str">
        <f t="shared" si="607"/>
        <v>Def Tax283550Reacq Debt AdjBT010371</v>
      </c>
      <c r="C1474" s="186">
        <v>283550</v>
      </c>
      <c r="D1474" s="201" t="s">
        <v>427</v>
      </c>
      <c r="E1474" s="162" t="s">
        <v>4706</v>
      </c>
      <c r="F1474" s="169" t="s">
        <v>848</v>
      </c>
      <c r="G1474" s="117" t="s">
        <v>426</v>
      </c>
      <c r="H1474" s="118" t="s">
        <v>45</v>
      </c>
      <c r="I1474" s="119"/>
      <c r="J1474" s="231"/>
      <c r="K1474" s="120" t="str">
        <f t="shared" si="608"/>
        <v/>
      </c>
      <c r="L1474" s="170" t="s">
        <v>1895</v>
      </c>
      <c r="M1474" s="122" t="str">
        <f t="shared" si="603"/>
        <v>R</v>
      </c>
      <c r="N1474" s="116" t="str">
        <f>IF($L1474&lt;&gt;"",VLOOKUP($L1474,Categories!$E:$G,2,FALSE),IF($F1474&lt;&gt;"","NO CAT",""))</f>
        <v>Rate Base</v>
      </c>
      <c r="O1474" s="116" t="str">
        <f>IF($L1474&lt;&gt;"",VLOOKUP($L1474,Categories!$E:$G,3,FALSE),IF($F1474&lt;&gt;"","NO CAT",""))</f>
        <v>Deferred Income Taxes</v>
      </c>
      <c r="P1474" s="170" t="s">
        <v>1183</v>
      </c>
      <c r="Q1474" s="123" t="s">
        <v>1177</v>
      </c>
      <c r="R1474" s="124">
        <v>1</v>
      </c>
      <c r="S1474" s="124">
        <v>0</v>
      </c>
      <c r="T1474" s="124">
        <v>0</v>
      </c>
      <c r="U1474" s="121">
        <f t="shared" si="593"/>
        <v>-174.76471000000001</v>
      </c>
      <c r="V1474" s="121">
        <f t="shared" si="594"/>
        <v>0</v>
      </c>
      <c r="W1474" s="121">
        <f t="shared" si="595"/>
        <v>0</v>
      </c>
      <c r="X1474" s="121">
        <f t="shared" si="604"/>
        <v>-174.76471000000001</v>
      </c>
      <c r="Y1474" s="121">
        <f t="shared" si="596"/>
        <v>-174.76471000000001</v>
      </c>
      <c r="Z1474" s="121">
        <f t="shared" si="597"/>
        <v>0</v>
      </c>
      <c r="AA1474" s="121">
        <f t="shared" si="598"/>
        <v>0</v>
      </c>
      <c r="AB1474" s="121">
        <f>IF(AO1474="",0,+AO1474)</f>
        <v>-174.76470999999998</v>
      </c>
      <c r="AC1474" s="121">
        <v>-174.76470999999998</v>
      </c>
      <c r="AD1474" s="121">
        <v>-174.76470999999998</v>
      </c>
      <c r="AE1474" s="121">
        <v>-174.76470999999998</v>
      </c>
      <c r="AF1474" s="121">
        <v>-174.76470999999998</v>
      </c>
      <c r="AG1474" s="121">
        <v>-174.76470999999998</v>
      </c>
      <c r="AH1474" s="121">
        <v>-174.76470999999998</v>
      </c>
      <c r="AI1474" s="161">
        <v>-174.76470999999998</v>
      </c>
      <c r="AJ1474" s="161">
        <v>-174.76470999999998</v>
      </c>
      <c r="AK1474" s="161">
        <v>-174.76470999999998</v>
      </c>
      <c r="AL1474" s="161">
        <v>-174.76470999999998</v>
      </c>
      <c r="AM1474" s="161">
        <v>-174.76470999999998</v>
      </c>
      <c r="AN1474" s="161">
        <v>-174.76470999999998</v>
      </c>
      <c r="AO1474" s="161">
        <v>-174.76470999999998</v>
      </c>
      <c r="AP1474" s="125" t="str">
        <f>CONCATENATE(A1474,M1474)</f>
        <v>Def TaxR</v>
      </c>
      <c r="AQ1474" s="125" t="str">
        <f>CONCATENATE(AP1474,L1474,H1474)</f>
        <v>Def TaxRR11Gain / Loss on Reacquired Debt</v>
      </c>
      <c r="AS1474" s="125" t="str">
        <f>CONCATENATE(L1474,H1474,J1474)</f>
        <v>R11Gain / Loss on Reacquired Debt</v>
      </c>
    </row>
    <row r="1475" spans="1:45" s="125" customFormat="1" ht="25.5" customHeight="1">
      <c r="A1475" s="216" t="s">
        <v>1996</v>
      </c>
      <c r="B1475" s="217" t="str">
        <f t="shared" si="607"/>
        <v>Def Tax283550Econ Devlp/286.01.43BT010069</v>
      </c>
      <c r="C1475" s="186">
        <v>283550</v>
      </c>
      <c r="D1475" s="201" t="s">
        <v>1748</v>
      </c>
      <c r="E1475" s="162" t="s">
        <v>1125</v>
      </c>
      <c r="F1475" s="169" t="s">
        <v>848</v>
      </c>
      <c r="G1475" s="117" t="s">
        <v>244</v>
      </c>
      <c r="H1475" s="118" t="s">
        <v>310</v>
      </c>
      <c r="I1475" s="119"/>
      <c r="J1475" s="231"/>
      <c r="K1475" s="120" t="str">
        <f t="shared" si="608"/>
        <v/>
      </c>
      <c r="L1475" s="170" t="s">
        <v>2821</v>
      </c>
      <c r="M1475" s="122" t="str">
        <f t="shared" si="603"/>
        <v>N</v>
      </c>
      <c r="N1475" s="116" t="str">
        <f>IF($L1475&lt;&gt;"",VLOOKUP($L1475,Categories!$E:$G,2,FALSE),IF($F1475&lt;&gt;"","NO CAT",""))</f>
        <v>Not in Rate Base</v>
      </c>
      <c r="O1475" s="116" t="str">
        <f>IF($L1475&lt;&gt;"",VLOOKUP($L1475,Categories!$E:$G,3,FALSE),IF($F1475&lt;&gt;"","NO CAT",""))</f>
        <v>Deferrals Accruing Non-Cash Return   (other than ASGA)</v>
      </c>
      <c r="P1475" s="170" t="s">
        <v>1186</v>
      </c>
      <c r="Q1475" s="123" t="s">
        <v>1187</v>
      </c>
      <c r="R1475" s="124">
        <v>0</v>
      </c>
      <c r="S1475" s="124">
        <v>0</v>
      </c>
      <c r="T1475" s="124">
        <v>1</v>
      </c>
      <c r="U1475" s="121">
        <f t="shared" si="593"/>
        <v>0</v>
      </c>
      <c r="V1475" s="121">
        <f t="shared" si="594"/>
        <v>0</v>
      </c>
      <c r="W1475" s="121">
        <f t="shared" si="595"/>
        <v>1068.0364458333299</v>
      </c>
      <c r="X1475" s="121">
        <f t="shared" si="604"/>
        <v>1068.0364458333299</v>
      </c>
      <c r="Y1475" s="121">
        <f t="shared" si="596"/>
        <v>0</v>
      </c>
      <c r="Z1475" s="121">
        <f t="shared" si="597"/>
        <v>0</v>
      </c>
      <c r="AA1475" s="121">
        <f t="shared" si="598"/>
        <v>1030.3490099999999</v>
      </c>
      <c r="AB1475" s="121">
        <f t="shared" si="605"/>
        <v>1030.3490099999999</v>
      </c>
      <c r="AC1475" s="121">
        <v>997.31937000000016</v>
      </c>
      <c r="AD1475" s="121">
        <v>1013.3526100000001</v>
      </c>
      <c r="AE1475" s="121">
        <v>1053.6221600000001</v>
      </c>
      <c r="AF1475" s="121">
        <v>1081.4718500000001</v>
      </c>
      <c r="AG1475" s="121">
        <v>1005.4213400000001</v>
      </c>
      <c r="AH1475" s="121">
        <v>1045.73606</v>
      </c>
      <c r="AI1475" s="161">
        <v>1035.92272</v>
      </c>
      <c r="AJ1475" s="161">
        <v>1069.37682</v>
      </c>
      <c r="AK1475" s="161">
        <v>1104.2645500000001</v>
      </c>
      <c r="AL1475" s="161">
        <v>1144.8080199999999</v>
      </c>
      <c r="AM1475" s="161">
        <v>1174.9230400000001</v>
      </c>
      <c r="AN1475" s="161">
        <v>1073.70399</v>
      </c>
      <c r="AO1475" s="161">
        <v>1030.3490099999999</v>
      </c>
      <c r="AP1475" s="125" t="str">
        <f>CONCATENATE(A1475,M1475)</f>
        <v>Def TaxN</v>
      </c>
      <c r="AQ1475" s="125" t="str">
        <f>CONCATENATE(AP1475,L1475,H1475)</f>
        <v>Def TaxNN10Economic Development</v>
      </c>
      <c r="AS1475" s="125" t="str">
        <f>CONCATENATE(L1475,H1475,J1475)</f>
        <v>N10Economic Development</v>
      </c>
    </row>
    <row r="1476" spans="1:45" s="125" customFormat="1" ht="25.5" customHeight="1">
      <c r="A1476" s="216" t="s">
        <v>1996</v>
      </c>
      <c r="B1476" s="217" t="str">
        <f t="shared" si="607"/>
        <v>Def Tax283550Env RABT010072</v>
      </c>
      <c r="C1476" s="186">
        <v>283550</v>
      </c>
      <c r="D1476" s="201" t="s">
        <v>2286</v>
      </c>
      <c r="E1476" s="162" t="s">
        <v>91</v>
      </c>
      <c r="F1476" s="169" t="s">
        <v>848</v>
      </c>
      <c r="G1476" s="117" t="s">
        <v>2285</v>
      </c>
      <c r="H1476" s="118" t="s">
        <v>2369</v>
      </c>
      <c r="I1476" s="119"/>
      <c r="J1476" s="120"/>
      <c r="K1476" s="120" t="str">
        <f t="shared" si="608"/>
        <v/>
      </c>
      <c r="L1476" s="170" t="s">
        <v>928</v>
      </c>
      <c r="M1476" s="122" t="str">
        <f t="shared" si="603"/>
        <v>N</v>
      </c>
      <c r="N1476" s="116" t="str">
        <f>IF($L1476&lt;&gt;"",VLOOKUP($L1476,Categories!$E:$G,2,FALSE),IF($F1476&lt;&gt;"","NO CAT",""))</f>
        <v>Not in Rate Base</v>
      </c>
      <c r="O1476" s="116" t="str">
        <f>IF($L1476&lt;&gt;"",VLOOKUP($L1476,Categories!$E:$G,3,FALSE),IF($F1476&lt;&gt;"","NO CAT",""))</f>
        <v>Direct Assign Items Not in RB</v>
      </c>
      <c r="P1476" s="170" t="s">
        <v>1186</v>
      </c>
      <c r="Q1476" s="123" t="s">
        <v>1187</v>
      </c>
      <c r="R1476" s="124">
        <v>0</v>
      </c>
      <c r="S1476" s="124">
        <v>0</v>
      </c>
      <c r="T1476" s="124">
        <v>1</v>
      </c>
      <c r="U1476" s="121">
        <f t="shared" si="593"/>
        <v>0</v>
      </c>
      <c r="V1476" s="121">
        <f t="shared" si="594"/>
        <v>0</v>
      </c>
      <c r="W1476" s="121">
        <f t="shared" si="595"/>
        <v>-10174.742128333301</v>
      </c>
      <c r="X1476" s="121">
        <f t="shared" si="604"/>
        <v>-10174.742128333301</v>
      </c>
      <c r="Y1476" s="121">
        <f t="shared" si="596"/>
        <v>0</v>
      </c>
      <c r="Z1476" s="121">
        <f t="shared" si="597"/>
        <v>0</v>
      </c>
      <c r="AA1476" s="121">
        <f t="shared" si="598"/>
        <v>-9839.8665899999996</v>
      </c>
      <c r="AB1476" s="121">
        <f t="shared" si="605"/>
        <v>-9839.866589999996</v>
      </c>
      <c r="AC1476" s="121">
        <v>-10360.883309999996</v>
      </c>
      <c r="AD1476" s="121">
        <v>-10312.629809999997</v>
      </c>
      <c r="AE1476" s="121">
        <v>-10191.419179999995</v>
      </c>
      <c r="AF1476" s="121">
        <v>-10170.171269999995</v>
      </c>
      <c r="AG1476" s="121">
        <v>-10142.648389999995</v>
      </c>
      <c r="AH1476" s="121">
        <v>-10198.582279999995</v>
      </c>
      <c r="AI1476" s="161">
        <v>-10194.259409999997</v>
      </c>
      <c r="AJ1476" s="161">
        <v>-10206.025079999996</v>
      </c>
      <c r="AK1476" s="161">
        <v>-10200.481019999996</v>
      </c>
      <c r="AL1476" s="161">
        <v>-10233.144679999996</v>
      </c>
      <c r="AM1476" s="161">
        <v>-10279.446959999996</v>
      </c>
      <c r="AN1476" s="161">
        <v>-9867.722509999996</v>
      </c>
      <c r="AO1476" s="161">
        <v>-9839.866589999996</v>
      </c>
      <c r="AP1476" s="125" t="str">
        <f>CONCATENATE(A1476,M1476)</f>
        <v>Def TaxN</v>
      </c>
      <c r="AQ1476" s="125" t="str">
        <f>CONCATENATE(AP1476,L1476,H1476)</f>
        <v>Def TaxNN2Environmental</v>
      </c>
      <c r="AS1476" s="125" t="str">
        <f>CONCATENATE(L1476,H1476,J1476)</f>
        <v>N2Environmental</v>
      </c>
    </row>
    <row r="1477" spans="1:45" s="125" customFormat="1" ht="25.5" customHeight="1">
      <c r="A1477" s="216" t="s">
        <v>1996</v>
      </c>
      <c r="B1477" s="217" t="str">
        <f>CONCATENATE(A1477,C1477,D1477,E1477)</f>
        <v>Def Tax283550BE030175</v>
      </c>
      <c r="C1477" s="186">
        <v>283550</v>
      </c>
      <c r="D1477" s="201"/>
      <c r="E1477" s="162" t="s">
        <v>1729</v>
      </c>
      <c r="F1477" s="169" t="s">
        <v>848</v>
      </c>
      <c r="G1477" s="117" t="s">
        <v>943</v>
      </c>
      <c r="H1477" s="118" t="s">
        <v>1665</v>
      </c>
      <c r="I1477" s="119"/>
      <c r="J1477" s="231"/>
      <c r="K1477" s="120" t="str">
        <f t="shared" si="608"/>
        <v/>
      </c>
      <c r="L1477" s="170" t="s">
        <v>1895</v>
      </c>
      <c r="M1477" s="122" t="str">
        <f t="shared" si="603"/>
        <v>R</v>
      </c>
      <c r="N1477" s="116" t="str">
        <f>IF($L1477&lt;&gt;"",VLOOKUP($L1477,Categories!$E:$G,2,FALSE),IF($F1477&lt;&gt;"","NO CAT",""))</f>
        <v>Rate Base</v>
      </c>
      <c r="O1477" s="116" t="str">
        <f>IF($L1477&lt;&gt;"",VLOOKUP($L1477,Categories!$E:$G,3,FALSE),IF($F1477&lt;&gt;"","NO CAT",""))</f>
        <v>Deferred Income Taxes</v>
      </c>
      <c r="P1477" s="170" t="s">
        <v>1183</v>
      </c>
      <c r="Q1477" s="123" t="s">
        <v>1177</v>
      </c>
      <c r="R1477" s="124">
        <v>1</v>
      </c>
      <c r="S1477" s="124">
        <v>0</v>
      </c>
      <c r="T1477" s="124">
        <v>0</v>
      </c>
      <c r="U1477" s="121">
        <f t="shared" ref="U1477:U1536" si="609">IF(ABS(X1477)=0,"",IF($R1477="NO ALLOC","NO ALLOC",ROUND($R1477*X1477,15)))</f>
        <v>17.13653</v>
      </c>
      <c r="V1477" s="121">
        <f t="shared" ref="V1477:V1536" si="610">IF(ABS(X1477)=0,"",IF($S1477="NO ALLOC","NO ALLOC",ROUND($S1477*X1477,15)))</f>
        <v>0</v>
      </c>
      <c r="W1477" s="121">
        <f t="shared" ref="W1477:W1536" si="611">IF(ABS(X1477)=0,"",IF($T1477="NO ALLOC","NO ALLOC",ROUND($T1477*X1477,15)))</f>
        <v>0</v>
      </c>
      <c r="X1477" s="121">
        <f t="shared" si="604"/>
        <v>17.13653</v>
      </c>
      <c r="Y1477" s="121">
        <f t="shared" ref="Y1477:Y1536" si="612">IF(ABS(AB1477)=0,"",IF($R1477="NO ALLOC","NO ALLOC",ROUND($R1477*AB1477,15)))</f>
        <v>17.13653</v>
      </c>
      <c r="Z1477" s="121">
        <f t="shared" ref="Z1477:Z1536" si="613">IF(ABS(AB1477)=0,"",IF($S1477="NO ALLOC","NO ALLOC",ROUND($S1477*AB1477,15)))</f>
        <v>0</v>
      </c>
      <c r="AA1477" s="121">
        <f t="shared" ref="AA1477:AA1536" si="614">IF(ABS(AB1477)=0,"",IF($T1477="NO ALLOC","NO ALLOC",ROUND($T1477*AB1477,15)))</f>
        <v>0</v>
      </c>
      <c r="AB1477" s="121">
        <f t="shared" si="605"/>
        <v>17.13653</v>
      </c>
      <c r="AC1477" s="121">
        <v>17.13653</v>
      </c>
      <c r="AD1477" s="121">
        <v>17.13653</v>
      </c>
      <c r="AE1477" s="121">
        <v>17.13653</v>
      </c>
      <c r="AF1477" s="121">
        <v>17.13653</v>
      </c>
      <c r="AG1477" s="121">
        <v>17.13653</v>
      </c>
      <c r="AH1477" s="121">
        <v>17.13653</v>
      </c>
      <c r="AI1477" s="121">
        <v>17.13653</v>
      </c>
      <c r="AJ1477" s="121">
        <v>17.13653</v>
      </c>
      <c r="AK1477" s="121">
        <v>17.13653</v>
      </c>
      <c r="AL1477" s="121">
        <v>17.13653</v>
      </c>
      <c r="AM1477" s="161">
        <v>17.13653</v>
      </c>
      <c r="AN1477" s="161">
        <v>17.13653</v>
      </c>
      <c r="AO1477" s="161">
        <v>17.13653</v>
      </c>
      <c r="AP1477" s="125" t="str">
        <f>CONCATENATE(A1477,M1477)</f>
        <v>Def TaxR</v>
      </c>
      <c r="AQ1477" s="125" t="str">
        <f>CONCATENATE(AP1477,L1477,H1477)</f>
        <v>Def TaxRR11NYPA Ancillaries</v>
      </c>
      <c r="AS1477" s="125" t="str">
        <f>CONCATENATE(L1477,H1477,J1477)</f>
        <v>R11NYPA Ancillaries</v>
      </c>
    </row>
    <row r="1478" spans="1:45" s="125" customFormat="1" ht="25.5" customHeight="1">
      <c r="A1478" s="216" t="s">
        <v>1996</v>
      </c>
      <c r="B1478" s="217" t="str">
        <f t="shared" si="607"/>
        <v>Def Tax283550MFCBE030155</v>
      </c>
      <c r="C1478" s="186">
        <v>283550</v>
      </c>
      <c r="D1478" s="201" t="s">
        <v>339</v>
      </c>
      <c r="E1478" s="162" t="s">
        <v>1611</v>
      </c>
      <c r="F1478" s="169" t="s">
        <v>848</v>
      </c>
      <c r="G1478" s="117" t="s">
        <v>339</v>
      </c>
      <c r="H1478" s="118" t="s">
        <v>556</v>
      </c>
      <c r="I1478" s="119"/>
      <c r="J1478" s="231"/>
      <c r="K1478" s="120" t="str">
        <f t="shared" ref="K1478:K1499" si="615">IF(L1478="N3","SFAS-109","")</f>
        <v/>
      </c>
      <c r="L1478" s="170" t="s">
        <v>928</v>
      </c>
      <c r="M1478" s="122" t="str">
        <f t="shared" si="603"/>
        <v>N</v>
      </c>
      <c r="N1478" s="116" t="str">
        <f>IF($L1478&lt;&gt;"",VLOOKUP($L1478,Categories!$E:$G,2,FALSE),IF($F1478&lt;&gt;"","NO CAT",""))</f>
        <v>Not in Rate Base</v>
      </c>
      <c r="O1478" s="116" t="str">
        <f>IF($L1478&lt;&gt;"",VLOOKUP($L1478,Categories!$E:$G,3,FALSE),IF($F1478&lt;&gt;"","NO CAT",""))</f>
        <v>Direct Assign Items Not in RB</v>
      </c>
      <c r="P1478" s="170" t="s">
        <v>1186</v>
      </c>
      <c r="Q1478" s="123" t="s">
        <v>1187</v>
      </c>
      <c r="R1478" s="124">
        <v>0</v>
      </c>
      <c r="S1478" s="124">
        <v>0</v>
      </c>
      <c r="T1478" s="124">
        <v>1</v>
      </c>
      <c r="U1478" s="121">
        <f t="shared" si="609"/>
        <v>0</v>
      </c>
      <c r="V1478" s="121">
        <f t="shared" si="610"/>
        <v>0</v>
      </c>
      <c r="W1478" s="121">
        <f t="shared" si="611"/>
        <v>20.399526666666599</v>
      </c>
      <c r="X1478" s="121">
        <f t="shared" si="604"/>
        <v>20.399526666666599</v>
      </c>
      <c r="Y1478" s="121">
        <f t="shared" si="612"/>
        <v>0</v>
      </c>
      <c r="Z1478" s="121">
        <f t="shared" si="613"/>
        <v>0</v>
      </c>
      <c r="AA1478" s="121">
        <f t="shared" si="614"/>
        <v>-78.646990000000002</v>
      </c>
      <c r="AB1478" s="121">
        <f t="shared" si="605"/>
        <v>-78.646990000000045</v>
      </c>
      <c r="AC1478" s="121">
        <v>40.760769999999951</v>
      </c>
      <c r="AD1478" s="121">
        <v>56.628239999999956</v>
      </c>
      <c r="AE1478" s="121">
        <v>65.735809999999958</v>
      </c>
      <c r="AF1478" s="121">
        <v>71.437959999999947</v>
      </c>
      <c r="AG1478" s="121">
        <v>62.588279999999948</v>
      </c>
      <c r="AH1478" s="121">
        <v>44.016799999999947</v>
      </c>
      <c r="AI1478" s="161">
        <v>36.922709999999945</v>
      </c>
      <c r="AJ1478" s="161">
        <v>29.265259999999948</v>
      </c>
      <c r="AK1478" s="161">
        <v>16.028529999999947</v>
      </c>
      <c r="AL1478" s="161">
        <v>-12.337480000000051</v>
      </c>
      <c r="AM1478" s="161">
        <v>-41.306760000000054</v>
      </c>
      <c r="AN1478" s="161">
        <v>-65.24192000000005</v>
      </c>
      <c r="AO1478" s="161">
        <v>-78.646990000000045</v>
      </c>
      <c r="AP1478" s="125" t="str">
        <f>CONCATENATE(A1478,M1478)</f>
        <v>Def TaxN</v>
      </c>
      <c r="AQ1478" s="125" t="str">
        <f>CONCATENATE(AP1478,L1478,H1478)</f>
        <v>Def TaxNN2Merchant Function Charge - Electric</v>
      </c>
      <c r="AS1478" s="125" t="str">
        <f>CONCATENATE(L1478,H1478,J1478)</f>
        <v>N2Merchant Function Charge - Electric</v>
      </c>
    </row>
    <row r="1479" spans="1:45" s="125" customFormat="1" ht="25.5" customHeight="1">
      <c r="A1479" s="216" t="s">
        <v>1996</v>
      </c>
      <c r="B1479" s="217" t="str">
        <f t="shared" si="607"/>
        <v>Def Tax283550MHP Meter CostsBE030587</v>
      </c>
      <c r="C1479" s="186">
        <v>283550</v>
      </c>
      <c r="D1479" s="201" t="s">
        <v>924</v>
      </c>
      <c r="E1479" s="162" t="s">
        <v>3440</v>
      </c>
      <c r="F1479" s="169" t="s">
        <v>848</v>
      </c>
      <c r="G1479" s="117" t="s">
        <v>924</v>
      </c>
      <c r="H1479" s="118" t="s">
        <v>3215</v>
      </c>
      <c r="I1479" s="119"/>
      <c r="J1479" s="231"/>
      <c r="K1479" s="120" t="str">
        <f t="shared" si="615"/>
        <v/>
      </c>
      <c r="L1479" s="170" t="s">
        <v>928</v>
      </c>
      <c r="M1479" s="122" t="str">
        <f t="shared" si="603"/>
        <v>N</v>
      </c>
      <c r="N1479" s="116" t="str">
        <f>IF($L1479&lt;&gt;"",VLOOKUP($L1479,Categories!$E:$G,2,FALSE),IF($F1479&lt;&gt;"","NO CAT",""))</f>
        <v>Not in Rate Base</v>
      </c>
      <c r="O1479" s="116" t="str">
        <f>IF($L1479&lt;&gt;"",VLOOKUP($L1479,Categories!$E:$G,3,FALSE),IF($F1479&lt;&gt;"","NO CAT",""))</f>
        <v>Direct Assign Items Not in RB</v>
      </c>
      <c r="P1479" s="170" t="s">
        <v>1186</v>
      </c>
      <c r="Q1479" s="123" t="s">
        <v>1187</v>
      </c>
      <c r="R1479" s="124">
        <v>0</v>
      </c>
      <c r="S1479" s="124">
        <v>0</v>
      </c>
      <c r="T1479" s="124">
        <v>1</v>
      </c>
      <c r="U1479" s="121">
        <f t="shared" si="609"/>
        <v>0</v>
      </c>
      <c r="V1479" s="121">
        <f t="shared" si="610"/>
        <v>0</v>
      </c>
      <c r="W1479" s="121">
        <f t="shared" si="611"/>
        <v>-0.91047</v>
      </c>
      <c r="X1479" s="121">
        <f t="shared" si="604"/>
        <v>-0.91047</v>
      </c>
      <c r="Y1479" s="121">
        <f t="shared" si="612"/>
        <v>0</v>
      </c>
      <c r="Z1479" s="121">
        <f t="shared" si="613"/>
        <v>0</v>
      </c>
      <c r="AA1479" s="121">
        <f t="shared" si="614"/>
        <v>-0.91047</v>
      </c>
      <c r="AB1479" s="121">
        <f t="shared" si="605"/>
        <v>-0.91047</v>
      </c>
      <c r="AC1479" s="121">
        <v>-0.91047</v>
      </c>
      <c r="AD1479" s="121">
        <v>-0.91047</v>
      </c>
      <c r="AE1479" s="121">
        <v>-0.91047</v>
      </c>
      <c r="AF1479" s="121">
        <v>-0.91047</v>
      </c>
      <c r="AG1479" s="121">
        <v>-0.91047</v>
      </c>
      <c r="AH1479" s="121">
        <v>-0.91047</v>
      </c>
      <c r="AI1479" s="161">
        <v>-0.91047</v>
      </c>
      <c r="AJ1479" s="161">
        <v>-0.91047</v>
      </c>
      <c r="AK1479" s="161">
        <v>-0.91047</v>
      </c>
      <c r="AL1479" s="161">
        <v>-0.91047</v>
      </c>
      <c r="AM1479" s="161">
        <v>-0.91047</v>
      </c>
      <c r="AN1479" s="161">
        <v>-0.91047</v>
      </c>
      <c r="AO1479" s="161">
        <v>-0.91047</v>
      </c>
      <c r="AP1479" s="125" t="str">
        <f>CONCATENATE(A1479,M1479)</f>
        <v>Def TaxN</v>
      </c>
      <c r="AQ1479" s="125" t="str">
        <f>CONCATENATE(AP1479,L1479,H1479)</f>
        <v>Def TaxNN2MHP Meter Deferral</v>
      </c>
      <c r="AS1479" s="125" t="str">
        <f>CONCATENATE(L1479,H1479,J1479)</f>
        <v>N2MHP Meter Deferral</v>
      </c>
    </row>
    <row r="1480" spans="1:45" s="125" customFormat="1" ht="25.5" customHeight="1">
      <c r="A1480" s="216" t="s">
        <v>1996</v>
      </c>
      <c r="B1480" s="217" t="str">
        <f t="shared" si="607"/>
        <v>Def Tax2835500-286.01.20BT010117</v>
      </c>
      <c r="C1480" s="186">
        <v>283550</v>
      </c>
      <c r="D1480" s="201" t="s">
        <v>2993</v>
      </c>
      <c r="E1480" s="162" t="s">
        <v>292</v>
      </c>
      <c r="F1480" s="169" t="s">
        <v>848</v>
      </c>
      <c r="G1480" s="117" t="s">
        <v>602</v>
      </c>
      <c r="H1480" s="118" t="s">
        <v>1484</v>
      </c>
      <c r="I1480" s="119"/>
      <c r="J1480" s="120"/>
      <c r="K1480" s="120" t="str">
        <f t="shared" si="615"/>
        <v/>
      </c>
      <c r="L1480" s="170" t="s">
        <v>1895</v>
      </c>
      <c r="M1480" s="122" t="str">
        <f t="shared" si="603"/>
        <v>R</v>
      </c>
      <c r="N1480" s="116" t="str">
        <f>IF($L1480&lt;&gt;"",VLOOKUP($L1480,Categories!$E:$G,2,FALSE),IF($F1480&lt;&gt;"","NO CAT",""))</f>
        <v>Rate Base</v>
      </c>
      <c r="O1480" s="116" t="str">
        <f>IF($L1480&lt;&gt;"",VLOOKUP($L1480,Categories!$E:$G,3,FALSE),IF($F1480&lt;&gt;"","NO CAT",""))</f>
        <v>Deferred Income Taxes</v>
      </c>
      <c r="P1480" s="170" t="s">
        <v>1183</v>
      </c>
      <c r="Q1480" s="123" t="s">
        <v>1177</v>
      </c>
      <c r="R1480" s="124">
        <v>1</v>
      </c>
      <c r="S1480" s="124">
        <v>0</v>
      </c>
      <c r="T1480" s="124">
        <v>0</v>
      </c>
      <c r="U1480" s="121">
        <f t="shared" si="609"/>
        <v>-77.131</v>
      </c>
      <c r="V1480" s="121">
        <f t="shared" si="610"/>
        <v>0</v>
      </c>
      <c r="W1480" s="121">
        <f t="shared" si="611"/>
        <v>0</v>
      </c>
      <c r="X1480" s="121">
        <f t="shared" si="604"/>
        <v>-77.131</v>
      </c>
      <c r="Y1480" s="121">
        <f t="shared" si="612"/>
        <v>-77.131</v>
      </c>
      <c r="Z1480" s="121">
        <f t="shared" si="613"/>
        <v>0</v>
      </c>
      <c r="AA1480" s="121">
        <f t="shared" si="614"/>
        <v>0</v>
      </c>
      <c r="AB1480" s="121">
        <f t="shared" si="605"/>
        <v>-77.131</v>
      </c>
      <c r="AC1480" s="121">
        <v>-77.131</v>
      </c>
      <c r="AD1480" s="121">
        <v>-77.131</v>
      </c>
      <c r="AE1480" s="121">
        <v>-77.131</v>
      </c>
      <c r="AF1480" s="121">
        <v>-77.131</v>
      </c>
      <c r="AG1480" s="121">
        <v>-77.131</v>
      </c>
      <c r="AH1480" s="121">
        <v>-77.131</v>
      </c>
      <c r="AI1480" s="161">
        <v>-77.131</v>
      </c>
      <c r="AJ1480" s="161">
        <v>-77.131</v>
      </c>
      <c r="AK1480" s="161">
        <v>-77.131</v>
      </c>
      <c r="AL1480" s="161">
        <v>-77.131</v>
      </c>
      <c r="AM1480" s="161">
        <v>-77.131</v>
      </c>
      <c r="AN1480" s="161">
        <v>-77.131</v>
      </c>
      <c r="AO1480" s="161">
        <v>-77.131</v>
      </c>
      <c r="AP1480" s="125" t="str">
        <f>CONCATENATE(A1480,M1480)</f>
        <v>Def TaxR</v>
      </c>
      <c r="AQ1480" s="125" t="str">
        <f>CONCATENATE(AP1480,L1480,H1480)</f>
        <v>Def TaxRR11MTA Surcharge</v>
      </c>
      <c r="AS1480" s="125" t="str">
        <f>CONCATENATE(L1480,H1480,J1480)</f>
        <v>R11MTA Surcharge</v>
      </c>
    </row>
    <row r="1481" spans="1:45" s="125" customFormat="1" ht="25.5" customHeight="1">
      <c r="A1481" s="216" t="s">
        <v>1996</v>
      </c>
      <c r="B1481" s="217" t="str">
        <f t="shared" si="607"/>
        <v>Def Tax2835500-286.01.03BC030163</v>
      </c>
      <c r="C1481" s="186">
        <v>283550</v>
      </c>
      <c r="D1481" s="201" t="s">
        <v>381</v>
      </c>
      <c r="E1481" s="162" t="s">
        <v>1727</v>
      </c>
      <c r="F1481" s="169" t="s">
        <v>848</v>
      </c>
      <c r="G1481" s="117" t="s">
        <v>373</v>
      </c>
      <c r="H1481" s="118" t="s">
        <v>1484</v>
      </c>
      <c r="I1481" s="119"/>
      <c r="J1481" s="120"/>
      <c r="K1481" s="120" t="str">
        <f t="shared" si="615"/>
        <v/>
      </c>
      <c r="L1481" s="170" t="s">
        <v>1895</v>
      </c>
      <c r="M1481" s="122" t="str">
        <f t="shared" si="603"/>
        <v>R</v>
      </c>
      <c r="N1481" s="116" t="str">
        <f>IF($L1481&lt;&gt;"",VLOOKUP($L1481,Categories!$E:$G,2,FALSE),IF($F1481&lt;&gt;"","NO CAT",""))</f>
        <v>Rate Base</v>
      </c>
      <c r="O1481" s="116" t="str">
        <f>IF($L1481&lt;&gt;"",VLOOKUP($L1481,Categories!$E:$G,3,FALSE),IF($F1481&lt;&gt;"","NO CAT",""))</f>
        <v>Deferred Income Taxes</v>
      </c>
      <c r="P1481" s="170" t="s">
        <v>1183</v>
      </c>
      <c r="Q1481" s="123" t="s">
        <v>1177</v>
      </c>
      <c r="R1481" s="124">
        <v>1</v>
      </c>
      <c r="S1481" s="124">
        <v>0</v>
      </c>
      <c r="T1481" s="124">
        <v>0</v>
      </c>
      <c r="U1481" s="121">
        <f t="shared" si="609"/>
        <v>-374.85411249999999</v>
      </c>
      <c r="V1481" s="121">
        <f t="shared" si="610"/>
        <v>0</v>
      </c>
      <c r="W1481" s="121">
        <f t="shared" si="611"/>
        <v>0</v>
      </c>
      <c r="X1481" s="121">
        <f t="shared" si="604"/>
        <v>-374.85411249999999</v>
      </c>
      <c r="Y1481" s="121">
        <f t="shared" si="612"/>
        <v>-426.70452</v>
      </c>
      <c r="Z1481" s="121">
        <f t="shared" si="613"/>
        <v>0</v>
      </c>
      <c r="AA1481" s="121">
        <f t="shared" si="614"/>
        <v>0</v>
      </c>
      <c r="AB1481" s="121">
        <f t="shared" si="605"/>
        <v>-426.70452000000006</v>
      </c>
      <c r="AC1481" s="121">
        <v>-372.02050000000008</v>
      </c>
      <c r="AD1481" s="121">
        <v>-370.59554000000003</v>
      </c>
      <c r="AE1481" s="121">
        <v>-369.17057000000005</v>
      </c>
      <c r="AF1481" s="121">
        <v>-367.74561000000006</v>
      </c>
      <c r="AG1481" s="121">
        <v>-367.74561000000006</v>
      </c>
      <c r="AH1481" s="121">
        <v>-364.89569000000006</v>
      </c>
      <c r="AI1481" s="161">
        <v>-399.66199000000006</v>
      </c>
      <c r="AJ1481" s="161">
        <v>-345.80398000000002</v>
      </c>
      <c r="AK1481" s="161">
        <v>-346.78869000000009</v>
      </c>
      <c r="AL1481" s="161">
        <v>-370.37968000000006</v>
      </c>
      <c r="AM1481" s="161">
        <v>-369.39496000000008</v>
      </c>
      <c r="AN1481" s="161">
        <v>-426.70452000000006</v>
      </c>
      <c r="AO1481" s="161">
        <v>-426.70452000000006</v>
      </c>
      <c r="AP1481" s="125" t="str">
        <f>CONCATENATE(A1481,M1481)</f>
        <v>Def TaxR</v>
      </c>
      <c r="AQ1481" s="125" t="str">
        <f>CONCATENATE(AP1481,L1481,H1481)</f>
        <v>Def TaxRR11MTA Surcharge</v>
      </c>
      <c r="AS1481" s="125" t="str">
        <f>CONCATENATE(L1481,H1481,J1481)</f>
        <v>R11MTA Surcharge</v>
      </c>
    </row>
    <row r="1482" spans="1:45" s="125" customFormat="1" ht="25.5" customHeight="1">
      <c r="A1482" s="216" t="s">
        <v>1996</v>
      </c>
      <c r="B1482" s="217" t="str">
        <f t="shared" si="607"/>
        <v>Def Tax283550NBCBT010347</v>
      </c>
      <c r="C1482" s="186">
        <v>283550</v>
      </c>
      <c r="D1482" s="201" t="s">
        <v>429</v>
      </c>
      <c r="E1482" s="162" t="s">
        <v>3273</v>
      </c>
      <c r="F1482" s="169" t="s">
        <v>848</v>
      </c>
      <c r="G1482" s="117" t="s">
        <v>429</v>
      </c>
      <c r="H1482" s="118" t="s">
        <v>635</v>
      </c>
      <c r="I1482" s="119"/>
      <c r="J1482" s="231"/>
      <c r="K1482" s="120" t="str">
        <f t="shared" si="615"/>
        <v/>
      </c>
      <c r="L1482" s="170" t="s">
        <v>1895</v>
      </c>
      <c r="M1482" s="122" t="str">
        <f t="shared" si="603"/>
        <v>R</v>
      </c>
      <c r="N1482" s="116" t="str">
        <f>IF($L1482&lt;&gt;"",VLOOKUP($L1482,Categories!$E:$G,2,FALSE),IF($F1482&lt;&gt;"","NO CAT",""))</f>
        <v>Rate Base</v>
      </c>
      <c r="O1482" s="116" t="str">
        <f>IF($L1482&lt;&gt;"",VLOOKUP($L1482,Categories!$E:$G,3,FALSE),IF($F1482&lt;&gt;"","NO CAT",""))</f>
        <v>Deferred Income Taxes</v>
      </c>
      <c r="P1482" s="170" t="s">
        <v>1183</v>
      </c>
      <c r="Q1482" s="123" t="s">
        <v>1177</v>
      </c>
      <c r="R1482" s="124">
        <v>1</v>
      </c>
      <c r="S1482" s="124">
        <v>0</v>
      </c>
      <c r="T1482" s="124">
        <v>0</v>
      </c>
      <c r="U1482" s="121">
        <f t="shared" si="609"/>
        <v>-1020.25343416667</v>
      </c>
      <c r="V1482" s="121">
        <f t="shared" si="610"/>
        <v>0</v>
      </c>
      <c r="W1482" s="121">
        <f t="shared" si="611"/>
        <v>0</v>
      </c>
      <c r="X1482" s="121">
        <f t="shared" si="604"/>
        <v>-1020.25343416667</v>
      </c>
      <c r="Y1482" s="121">
        <f t="shared" si="612"/>
        <v>-399.08721000000003</v>
      </c>
      <c r="Z1482" s="121">
        <f t="shared" si="613"/>
        <v>0</v>
      </c>
      <c r="AA1482" s="121">
        <f t="shared" si="614"/>
        <v>0</v>
      </c>
      <c r="AB1482" s="121">
        <f t="shared" si="605"/>
        <v>-399.08720999999974</v>
      </c>
      <c r="AC1482" s="121">
        <v>-278.89937000000015</v>
      </c>
      <c r="AD1482" s="121">
        <v>-1727.3700100000001</v>
      </c>
      <c r="AE1482" s="121">
        <v>-1647.67967</v>
      </c>
      <c r="AF1482" s="121">
        <v>-1282.5775299999998</v>
      </c>
      <c r="AG1482" s="121">
        <v>-1135.0091399999997</v>
      </c>
      <c r="AH1482" s="121">
        <v>-839.98881999999958</v>
      </c>
      <c r="AI1482" s="161">
        <v>-571.82589999999971</v>
      </c>
      <c r="AJ1482" s="161">
        <v>-1239.8716599999998</v>
      </c>
      <c r="AK1482" s="161">
        <v>-1268.4709499999997</v>
      </c>
      <c r="AL1482" s="161">
        <v>-858.78246999999976</v>
      </c>
      <c r="AM1482" s="161">
        <v>-811.6873999999998</v>
      </c>
      <c r="AN1482" s="161">
        <v>-520.78436999999974</v>
      </c>
      <c r="AO1482" s="161">
        <v>-399.08720999999974</v>
      </c>
      <c r="AP1482" s="125" t="str">
        <f>CONCATENATE(A1482,M1482)</f>
        <v>Def TaxR</v>
      </c>
      <c r="AQ1482" s="125" t="str">
        <f>CONCATENATE(AP1482,L1482,H1482)</f>
        <v>Def TaxRR11NBWC True-up</v>
      </c>
      <c r="AS1482" s="125" t="str">
        <f>CONCATENATE(L1482,H1482,J1482)</f>
        <v>R11NBWC True-up</v>
      </c>
    </row>
    <row r="1483" spans="1:45" s="125" customFormat="1" ht="25.5" customHeight="1">
      <c r="A1483" s="216" t="s">
        <v>1996</v>
      </c>
      <c r="B1483" s="217" t="str">
        <f t="shared" si="607"/>
        <v>Def Tax2835500-149.49.27BE030208</v>
      </c>
      <c r="C1483" s="186">
        <v>283550</v>
      </c>
      <c r="D1483" s="201" t="s">
        <v>860</v>
      </c>
      <c r="E1483" s="162" t="s">
        <v>847</v>
      </c>
      <c r="F1483" s="169" t="s">
        <v>848</v>
      </c>
      <c r="G1483" s="117" t="s">
        <v>2647</v>
      </c>
      <c r="H1483" s="118" t="s">
        <v>2762</v>
      </c>
      <c r="I1483" s="119"/>
      <c r="J1483" s="120"/>
      <c r="K1483" s="120" t="str">
        <f t="shared" si="615"/>
        <v/>
      </c>
      <c r="L1483" s="170" t="s">
        <v>2819</v>
      </c>
      <c r="M1483" s="122" t="str">
        <f t="shared" si="603"/>
        <v>N</v>
      </c>
      <c r="N1483" s="116" t="str">
        <f>IF($L1483&lt;&gt;"",VLOOKUP($L1483,Categories!$E:$G,2,FALSE),IF($F1483&lt;&gt;"","NO CAT",""))</f>
        <v>Not in Rate Base</v>
      </c>
      <c r="O1483" s="116" t="str">
        <f>IF($L1483&lt;&gt;"",VLOOKUP($L1483,Categories!$E:$G,3,FALSE),IF($F1483&lt;&gt;"","NO CAT",""))</f>
        <v>Nine Mile Costs</v>
      </c>
      <c r="P1483" s="170" t="s">
        <v>1186</v>
      </c>
      <c r="Q1483" s="123" t="s">
        <v>1187</v>
      </c>
      <c r="R1483" s="124">
        <v>0</v>
      </c>
      <c r="S1483" s="124">
        <v>0</v>
      </c>
      <c r="T1483" s="124">
        <v>1</v>
      </c>
      <c r="U1483" s="121">
        <f t="shared" si="609"/>
        <v>0</v>
      </c>
      <c r="V1483" s="121">
        <f t="shared" si="610"/>
        <v>0</v>
      </c>
      <c r="W1483" s="121">
        <f t="shared" si="611"/>
        <v>-5.1340000000000003</v>
      </c>
      <c r="X1483" s="121">
        <f t="shared" si="604"/>
        <v>-5.1340000000000003</v>
      </c>
      <c r="Y1483" s="121">
        <f t="shared" si="612"/>
        <v>0</v>
      </c>
      <c r="Z1483" s="121">
        <f t="shared" si="613"/>
        <v>0</v>
      </c>
      <c r="AA1483" s="121">
        <f t="shared" si="614"/>
        <v>-5.1340000000000003</v>
      </c>
      <c r="AB1483" s="121">
        <f t="shared" si="605"/>
        <v>-5.1340000000000003</v>
      </c>
      <c r="AC1483" s="121">
        <v>-5.1340000000000003</v>
      </c>
      <c r="AD1483" s="121">
        <v>-5.1340000000000003</v>
      </c>
      <c r="AE1483" s="121">
        <v>-5.1340000000000003</v>
      </c>
      <c r="AF1483" s="121">
        <v>-5.1340000000000003</v>
      </c>
      <c r="AG1483" s="121">
        <v>-5.1340000000000003</v>
      </c>
      <c r="AH1483" s="121">
        <v>-5.1340000000000003</v>
      </c>
      <c r="AI1483" s="161">
        <v>-5.1340000000000003</v>
      </c>
      <c r="AJ1483" s="161">
        <v>-5.1340000000000003</v>
      </c>
      <c r="AK1483" s="161">
        <v>-5.1340000000000003</v>
      </c>
      <c r="AL1483" s="161">
        <v>-5.1340000000000003</v>
      </c>
      <c r="AM1483" s="161">
        <v>-5.1340000000000003</v>
      </c>
      <c r="AN1483" s="161">
        <v>-5.1340000000000003</v>
      </c>
      <c r="AO1483" s="161">
        <v>-5.1340000000000003</v>
      </c>
      <c r="AP1483" s="125" t="str">
        <f>CONCATENATE(A1483,M1483)</f>
        <v>Def TaxN</v>
      </c>
      <c r="AQ1483" s="125" t="str">
        <f>CONCATENATE(AP1483,L1483,H1483)</f>
        <v>Def TaxNN9Nine Mile 2 Costs</v>
      </c>
      <c r="AS1483" s="125" t="str">
        <f>CONCATENATE(L1483,H1483,J1483)</f>
        <v>N9Nine Mile 2 Costs</v>
      </c>
    </row>
    <row r="1484" spans="1:45" s="125" customFormat="1" ht="25.5" customHeight="1">
      <c r="A1484" s="216" t="s">
        <v>1996</v>
      </c>
      <c r="B1484" s="217" t="str">
        <f t="shared" si="607"/>
        <v>Def Tax2835500-286.01.37BE030175</v>
      </c>
      <c r="C1484" s="186">
        <v>283550</v>
      </c>
      <c r="D1484" s="201" t="s">
        <v>2999</v>
      </c>
      <c r="E1484" s="162" t="s">
        <v>1729</v>
      </c>
      <c r="F1484" s="169" t="s">
        <v>848</v>
      </c>
      <c r="G1484" s="117" t="s">
        <v>1087</v>
      </c>
      <c r="H1484" s="118" t="s">
        <v>1665</v>
      </c>
      <c r="I1484" s="119"/>
      <c r="J1484" s="231"/>
      <c r="K1484" s="120" t="str">
        <f t="shared" si="615"/>
        <v/>
      </c>
      <c r="L1484" s="170" t="s">
        <v>1895</v>
      </c>
      <c r="M1484" s="122" t="str">
        <f t="shared" si="603"/>
        <v>R</v>
      </c>
      <c r="N1484" s="116" t="str">
        <f>IF($L1484&lt;&gt;"",VLOOKUP($L1484,Categories!$E:$G,2,FALSE),IF($F1484&lt;&gt;"","NO CAT",""))</f>
        <v>Rate Base</v>
      </c>
      <c r="O1484" s="116" t="str">
        <f>IF($L1484&lt;&gt;"",VLOOKUP($L1484,Categories!$E:$G,3,FALSE),IF($F1484&lt;&gt;"","NO CAT",""))</f>
        <v>Deferred Income Taxes</v>
      </c>
      <c r="P1484" s="170" t="s">
        <v>1183</v>
      </c>
      <c r="Q1484" s="123" t="s">
        <v>1177</v>
      </c>
      <c r="R1484" s="124">
        <v>1</v>
      </c>
      <c r="S1484" s="124">
        <v>0</v>
      </c>
      <c r="T1484" s="124">
        <v>0</v>
      </c>
      <c r="U1484" s="121">
        <f t="shared" si="609"/>
        <v>-0.71092999999999695</v>
      </c>
      <c r="V1484" s="121">
        <f t="shared" si="610"/>
        <v>0</v>
      </c>
      <c r="W1484" s="121">
        <f t="shared" si="611"/>
        <v>0</v>
      </c>
      <c r="X1484" s="121">
        <f t="shared" si="604"/>
        <v>-0.71092999999999695</v>
      </c>
      <c r="Y1484" s="121">
        <f t="shared" si="612"/>
        <v>-0.71092999999999695</v>
      </c>
      <c r="Z1484" s="121">
        <f t="shared" si="613"/>
        <v>0</v>
      </c>
      <c r="AA1484" s="121">
        <f t="shared" si="614"/>
        <v>0</v>
      </c>
      <c r="AB1484" s="121">
        <f t="shared" si="605"/>
        <v>-0.71092999999999684</v>
      </c>
      <c r="AC1484" s="121">
        <v>-0.71092999999999684</v>
      </c>
      <c r="AD1484" s="121">
        <v>-0.71092999999999684</v>
      </c>
      <c r="AE1484" s="121">
        <v>-0.71092999999999684</v>
      </c>
      <c r="AF1484" s="121">
        <v>-0.71092999999999684</v>
      </c>
      <c r="AG1484" s="121">
        <v>-0.71092999999999684</v>
      </c>
      <c r="AH1484" s="121">
        <v>-0.71092999999999684</v>
      </c>
      <c r="AI1484" s="161">
        <v>-0.71092999999999684</v>
      </c>
      <c r="AJ1484" s="161">
        <v>-0.71092999999999684</v>
      </c>
      <c r="AK1484" s="161">
        <v>-0.71092999999999684</v>
      </c>
      <c r="AL1484" s="161">
        <v>-0.71092999999999684</v>
      </c>
      <c r="AM1484" s="161">
        <v>-0.71092999999999684</v>
      </c>
      <c r="AN1484" s="161">
        <v>-0.71092999999999684</v>
      </c>
      <c r="AO1484" s="161">
        <v>-0.71092999999999684</v>
      </c>
      <c r="AP1484" s="125" t="str">
        <f>CONCATENATE(A1484,M1484)</f>
        <v>Def TaxR</v>
      </c>
      <c r="AQ1484" s="125" t="str">
        <f>CONCATENATE(AP1484,L1484,H1484)</f>
        <v>Def TaxRR11NYPA Ancillaries</v>
      </c>
      <c r="AS1484" s="125" t="str">
        <f>CONCATENATE(L1484,H1484,J1484)</f>
        <v>R11NYPA Ancillaries</v>
      </c>
    </row>
    <row r="1485" spans="1:45" s="125" customFormat="1" ht="25.5" customHeight="1">
      <c r="A1485" s="216" t="s">
        <v>1996</v>
      </c>
      <c r="B1485" s="217" t="str">
        <f t="shared" si="607"/>
        <v>Def Tax283550NyserdaBE030183</v>
      </c>
      <c r="C1485" s="186">
        <v>283550</v>
      </c>
      <c r="D1485" s="201" t="s">
        <v>2256</v>
      </c>
      <c r="E1485" s="162" t="s">
        <v>1948</v>
      </c>
      <c r="F1485" s="169" t="s">
        <v>848</v>
      </c>
      <c r="G1485" s="117" t="s">
        <v>2826</v>
      </c>
      <c r="H1485" s="118" t="s">
        <v>593</v>
      </c>
      <c r="I1485" s="119"/>
      <c r="J1485" s="120"/>
      <c r="K1485" s="120" t="str">
        <f t="shared" si="615"/>
        <v/>
      </c>
      <c r="L1485" s="170" t="s">
        <v>928</v>
      </c>
      <c r="M1485" s="122" t="str">
        <f t="shared" si="603"/>
        <v>N</v>
      </c>
      <c r="N1485" s="116" t="str">
        <f>IF($L1485&lt;&gt;"",VLOOKUP($L1485,Categories!$E:$G,2,FALSE),IF($F1485&lt;&gt;"","NO CAT",""))</f>
        <v>Not in Rate Base</v>
      </c>
      <c r="O1485" s="116" t="str">
        <f>IF($L1485&lt;&gt;"",VLOOKUP($L1485,Categories!$E:$G,3,FALSE),IF($F1485&lt;&gt;"","NO CAT",""))</f>
        <v>Direct Assign Items Not in RB</v>
      </c>
      <c r="P1485" s="170" t="s">
        <v>1186</v>
      </c>
      <c r="Q1485" s="123" t="s">
        <v>1187</v>
      </c>
      <c r="R1485" s="124">
        <v>0</v>
      </c>
      <c r="S1485" s="124">
        <v>0</v>
      </c>
      <c r="T1485" s="124">
        <v>1</v>
      </c>
      <c r="U1485" s="121">
        <f t="shared" si="609"/>
        <v>0</v>
      </c>
      <c r="V1485" s="121">
        <f t="shared" si="610"/>
        <v>0</v>
      </c>
      <c r="W1485" s="121">
        <f t="shared" si="611"/>
        <v>-5.3000000000100005E-4</v>
      </c>
      <c r="X1485" s="121">
        <f t="shared" si="604"/>
        <v>-5.3000000000100005E-4</v>
      </c>
      <c r="Y1485" s="121">
        <f t="shared" si="612"/>
        <v>0</v>
      </c>
      <c r="Z1485" s="121">
        <f t="shared" si="613"/>
        <v>0</v>
      </c>
      <c r="AA1485" s="121">
        <f t="shared" si="614"/>
        <v>-5.3000000000100005E-4</v>
      </c>
      <c r="AB1485" s="121">
        <f t="shared" si="605"/>
        <v>-5.3000000000074125E-4</v>
      </c>
      <c r="AC1485" s="121">
        <v>-5.3000000000074125E-4</v>
      </c>
      <c r="AD1485" s="121">
        <v>-5.3000000000074125E-4</v>
      </c>
      <c r="AE1485" s="121">
        <v>-5.3000000000074125E-4</v>
      </c>
      <c r="AF1485" s="121">
        <v>-5.3000000000074125E-4</v>
      </c>
      <c r="AG1485" s="121">
        <v>-5.3000000000074125E-4</v>
      </c>
      <c r="AH1485" s="121">
        <v>-5.3000000000074125E-4</v>
      </c>
      <c r="AI1485" s="161">
        <v>-5.3000000000074125E-4</v>
      </c>
      <c r="AJ1485" s="161">
        <v>-5.3000000000074125E-4</v>
      </c>
      <c r="AK1485" s="161">
        <v>-5.3000000000074125E-4</v>
      </c>
      <c r="AL1485" s="161">
        <v>-5.3000000000074125E-4</v>
      </c>
      <c r="AM1485" s="161">
        <v>-5.3000000000074125E-4</v>
      </c>
      <c r="AN1485" s="161">
        <v>-5.3000000000074125E-4</v>
      </c>
      <c r="AO1485" s="161">
        <v>-5.3000000000074125E-4</v>
      </c>
      <c r="AP1485" s="125" t="str">
        <f>CONCATENATE(A1485,M1485)</f>
        <v>Def TaxN</v>
      </c>
      <c r="AQ1485" s="125" t="str">
        <f>CONCATENATE(AP1485,L1485,H1485)</f>
        <v>Def TaxNN2Energy Efficiency</v>
      </c>
      <c r="AS1485" s="125" t="str">
        <f>CONCATENATE(L1485,H1485,J1485)</f>
        <v>N2Energy Efficiency</v>
      </c>
    </row>
    <row r="1486" spans="1:45" s="125" customFormat="1" ht="25.5" customHeight="1">
      <c r="A1486" s="216" t="s">
        <v>1996</v>
      </c>
      <c r="B1486" s="217" t="str">
        <f t="shared" si="607"/>
        <v>Def Tax283550FAS 158 - PenBC030561</v>
      </c>
      <c r="C1486" s="186">
        <v>283550</v>
      </c>
      <c r="D1486" s="201" t="s">
        <v>1740</v>
      </c>
      <c r="E1486" s="162" t="s">
        <v>734</v>
      </c>
      <c r="F1486" s="169" t="s">
        <v>848</v>
      </c>
      <c r="G1486" s="117" t="s">
        <v>1088</v>
      </c>
      <c r="H1486" s="118" t="s">
        <v>1002</v>
      </c>
      <c r="I1486" s="119"/>
      <c r="J1486" s="120"/>
      <c r="K1486" s="120" t="str">
        <f t="shared" si="615"/>
        <v/>
      </c>
      <c r="L1486" s="170" t="s">
        <v>1895</v>
      </c>
      <c r="M1486" s="122" t="str">
        <f t="shared" si="603"/>
        <v>R</v>
      </c>
      <c r="N1486" s="116" t="str">
        <f>IF($L1486&lt;&gt;"",VLOOKUP($L1486,Categories!$E:$G,2,FALSE),IF($F1486&lt;&gt;"","NO CAT",""))</f>
        <v>Rate Base</v>
      </c>
      <c r="O1486" s="116" t="str">
        <f>IF($L1486&lt;&gt;"",VLOOKUP($L1486,Categories!$E:$G,3,FALSE),IF($F1486&lt;&gt;"","NO CAT",""))</f>
        <v>Deferred Income Taxes</v>
      </c>
      <c r="P1486" s="170" t="s">
        <v>1553</v>
      </c>
      <c r="Q1486" s="123" t="s">
        <v>2587</v>
      </c>
      <c r="R1486" s="124">
        <v>0.81899999999999995</v>
      </c>
      <c r="S1486" s="124">
        <v>0.18099999999999999</v>
      </c>
      <c r="T1486" s="124">
        <v>0</v>
      </c>
      <c r="U1486" s="121">
        <f t="shared" si="609"/>
        <v>7.2199999999999995E-13</v>
      </c>
      <c r="V1486" s="121">
        <f t="shared" si="610"/>
        <v>1.6E-13</v>
      </c>
      <c r="W1486" s="121">
        <f t="shared" si="611"/>
        <v>0</v>
      </c>
      <c r="X1486" s="121">
        <f t="shared" si="604"/>
        <v>8.8199999999999998E-13</v>
      </c>
      <c r="Y1486" s="121" t="str">
        <f t="shared" si="612"/>
        <v/>
      </c>
      <c r="Z1486" s="121" t="str">
        <f t="shared" si="613"/>
        <v/>
      </c>
      <c r="AA1486" s="121" t="str">
        <f t="shared" si="614"/>
        <v/>
      </c>
      <c r="AB1486" s="121">
        <f t="shared" si="605"/>
        <v>0</v>
      </c>
      <c r="AC1486" s="121">
        <v>2.1159648894153447E-11</v>
      </c>
      <c r="AD1486" s="121">
        <v>0</v>
      </c>
      <c r="AE1486" s="121">
        <v>0</v>
      </c>
      <c r="AF1486" s="121">
        <v>0</v>
      </c>
      <c r="AG1486" s="121">
        <v>0</v>
      </c>
      <c r="AH1486" s="121">
        <v>0</v>
      </c>
      <c r="AI1486" s="121">
        <v>0</v>
      </c>
      <c r="AJ1486" s="121">
        <f>IF(AI1486=0,0,0)</f>
        <v>0</v>
      </c>
      <c r="AK1486" s="161">
        <v>0</v>
      </c>
      <c r="AL1486" s="161">
        <v>0</v>
      </c>
      <c r="AM1486" s="161">
        <v>0</v>
      </c>
      <c r="AN1486" s="161">
        <v>0</v>
      </c>
      <c r="AO1486" s="161">
        <v>0</v>
      </c>
      <c r="AP1486" s="125" t="str">
        <f>CONCATENATE(A1486,M1486)</f>
        <v>Def TaxR</v>
      </c>
      <c r="AQ1486" s="125" t="str">
        <f>CONCATENATE(AP1486,L1486,H1486)</f>
        <v>Def TaxRR11Accrued Pension</v>
      </c>
      <c r="AS1486" s="125" t="str">
        <f>CONCATENATE(L1486,H1486,J1486)</f>
        <v>R11Accrued Pension</v>
      </c>
    </row>
    <row r="1487" spans="1:45" s="125" customFormat="1" ht="25.5" customHeight="1">
      <c r="A1487" s="216" t="s">
        <v>1996</v>
      </c>
      <c r="B1487" s="217" t="str">
        <f t="shared" si="607"/>
        <v>Def Tax283550Ptax DefBT010268</v>
      </c>
      <c r="C1487" s="186">
        <v>283550</v>
      </c>
      <c r="D1487" s="201" t="s">
        <v>940</v>
      </c>
      <c r="E1487" s="162" t="s">
        <v>278</v>
      </c>
      <c r="F1487" s="169" t="s">
        <v>848</v>
      </c>
      <c r="G1487" s="117" t="s">
        <v>815</v>
      </c>
      <c r="H1487" s="118" t="s">
        <v>815</v>
      </c>
      <c r="I1487" s="119"/>
      <c r="J1487" s="120" t="s">
        <v>105</v>
      </c>
      <c r="K1487" s="120" t="str">
        <f t="shared" si="615"/>
        <v/>
      </c>
      <c r="L1487" s="170" t="s">
        <v>2821</v>
      </c>
      <c r="M1487" s="122" t="str">
        <f t="shared" si="603"/>
        <v>N</v>
      </c>
      <c r="N1487" s="116" t="str">
        <f>IF($L1487&lt;&gt;"",VLOOKUP($L1487,Categories!$E:$G,2,FALSE),IF($F1487&lt;&gt;"","NO CAT",""))</f>
        <v>Not in Rate Base</v>
      </c>
      <c r="O1487" s="116" t="str">
        <f>IF($L1487&lt;&gt;"",VLOOKUP($L1487,Categories!$E:$G,3,FALSE),IF($F1487&lt;&gt;"","NO CAT",""))</f>
        <v>Deferrals Accruing Non-Cash Return   (other than ASGA)</v>
      </c>
      <c r="P1487" s="170" t="s">
        <v>1186</v>
      </c>
      <c r="Q1487" s="123" t="s">
        <v>1187</v>
      </c>
      <c r="R1487" s="124">
        <v>0</v>
      </c>
      <c r="S1487" s="124">
        <v>0</v>
      </c>
      <c r="T1487" s="124">
        <v>1</v>
      </c>
      <c r="U1487" s="121">
        <f t="shared" si="609"/>
        <v>0</v>
      </c>
      <c r="V1487" s="121">
        <f t="shared" si="610"/>
        <v>0</v>
      </c>
      <c r="W1487" s="121">
        <f t="shared" si="611"/>
        <v>-1443.22289916667</v>
      </c>
      <c r="X1487" s="121">
        <f t="shared" si="604"/>
        <v>-1443.22289916667</v>
      </c>
      <c r="Y1487" s="121">
        <f t="shared" si="612"/>
        <v>0</v>
      </c>
      <c r="Z1487" s="121">
        <f t="shared" si="613"/>
        <v>0</v>
      </c>
      <c r="AA1487" s="121">
        <f t="shared" si="614"/>
        <v>-1723.07998</v>
      </c>
      <c r="AB1487" s="121">
        <f t="shared" si="605"/>
        <v>-1723.07998</v>
      </c>
      <c r="AC1487" s="121">
        <v>-1220.1896399999998</v>
      </c>
      <c r="AD1487" s="121">
        <v>-1247.11151</v>
      </c>
      <c r="AE1487" s="121">
        <v>-1288.68732</v>
      </c>
      <c r="AF1487" s="121">
        <v>-1331.64354</v>
      </c>
      <c r="AG1487" s="121">
        <v>-1379.92055</v>
      </c>
      <c r="AH1487" s="121">
        <v>-1360.9530400000001</v>
      </c>
      <c r="AI1487" s="161">
        <v>-1410.3129899999999</v>
      </c>
      <c r="AJ1487" s="161">
        <v>-1458.9235900000001</v>
      </c>
      <c r="AK1487" s="161">
        <v>-1508.3558400000002</v>
      </c>
      <c r="AL1487" s="161">
        <v>-1568.7062900000001</v>
      </c>
      <c r="AM1487" s="161">
        <v>-1616.6500800000001</v>
      </c>
      <c r="AN1487" s="161">
        <v>-1675.77523</v>
      </c>
      <c r="AO1487" s="161">
        <v>-1723.07998</v>
      </c>
      <c r="AP1487" s="125" t="str">
        <f>CONCATENATE(A1487,M1487)</f>
        <v>Def TaxN</v>
      </c>
      <c r="AQ1487" s="125" t="str">
        <f>CONCATENATE(AP1487,L1487,H1487)</f>
        <v>Def TaxNN10Property Tax Deferral</v>
      </c>
      <c r="AS1487" s="125" t="str">
        <f>CONCATENATE(L1487,H1487,J1487)</f>
        <v>N10Property Tax DeferralNCR</v>
      </c>
    </row>
    <row r="1488" spans="1:45" s="125" customFormat="1" ht="25.5" customHeight="1">
      <c r="A1488" s="216" t="s">
        <v>1996</v>
      </c>
      <c r="B1488" s="217" t="str">
        <f t="shared" si="607"/>
        <v>Def Tax283550POR CostsBT010159</v>
      </c>
      <c r="C1488" s="186">
        <v>283550</v>
      </c>
      <c r="D1488" s="201" t="s">
        <v>82</v>
      </c>
      <c r="E1488" s="162" t="s">
        <v>114</v>
      </c>
      <c r="F1488" s="169" t="s">
        <v>848</v>
      </c>
      <c r="G1488" s="117" t="s">
        <v>83</v>
      </c>
      <c r="H1488" s="118" t="s">
        <v>2858</v>
      </c>
      <c r="I1488" s="119"/>
      <c r="J1488" s="120"/>
      <c r="K1488" s="120" t="str">
        <f t="shared" si="615"/>
        <v/>
      </c>
      <c r="L1488" s="170" t="s">
        <v>1895</v>
      </c>
      <c r="M1488" s="122" t="str">
        <f t="shared" si="603"/>
        <v>R</v>
      </c>
      <c r="N1488" s="116" t="str">
        <f>IF($L1488&lt;&gt;"",VLOOKUP($L1488,Categories!$E:$G,2,FALSE),IF($F1488&lt;&gt;"","NO CAT",""))</f>
        <v>Rate Base</v>
      </c>
      <c r="O1488" s="116" t="str">
        <f>IF($L1488&lt;&gt;"",VLOOKUP($L1488,Categories!$E:$G,3,FALSE),IF($F1488&lt;&gt;"","NO CAT",""))</f>
        <v>Deferred Income Taxes</v>
      </c>
      <c r="P1488" s="170" t="s">
        <v>1183</v>
      </c>
      <c r="Q1488" s="123" t="s">
        <v>1177</v>
      </c>
      <c r="R1488" s="124">
        <v>1</v>
      </c>
      <c r="S1488" s="124">
        <v>0</v>
      </c>
      <c r="T1488" s="124">
        <v>0</v>
      </c>
      <c r="U1488" s="121">
        <f t="shared" si="609"/>
        <v>57.562740833333301</v>
      </c>
      <c r="V1488" s="121">
        <f t="shared" si="610"/>
        <v>0</v>
      </c>
      <c r="W1488" s="121">
        <f t="shared" si="611"/>
        <v>0</v>
      </c>
      <c r="X1488" s="121">
        <f t="shared" si="604"/>
        <v>57.562740833333301</v>
      </c>
      <c r="Y1488" s="121">
        <f t="shared" si="612"/>
        <v>51.901890000000002</v>
      </c>
      <c r="Z1488" s="121">
        <f t="shared" si="613"/>
        <v>0</v>
      </c>
      <c r="AA1488" s="121">
        <f t="shared" si="614"/>
        <v>0</v>
      </c>
      <c r="AB1488" s="121">
        <f t="shared" si="605"/>
        <v>51.901890000000016</v>
      </c>
      <c r="AC1488" s="121">
        <v>16.27169</v>
      </c>
      <c r="AD1488" s="121">
        <v>27.750679999999999</v>
      </c>
      <c r="AE1488" s="121">
        <v>40.568910000000002</v>
      </c>
      <c r="AF1488" s="121">
        <v>57.343240000000009</v>
      </c>
      <c r="AG1488" s="121">
        <v>61.109360000000009</v>
      </c>
      <c r="AH1488" s="121">
        <v>64.250950000000017</v>
      </c>
      <c r="AI1488" s="161">
        <v>67.065570000000008</v>
      </c>
      <c r="AJ1488" s="161">
        <v>71.889120000000005</v>
      </c>
      <c r="AK1488" s="161">
        <v>75.857740000000007</v>
      </c>
      <c r="AL1488" s="161">
        <v>70.700980000000015</v>
      </c>
      <c r="AM1488" s="161">
        <v>64.459520000000012</v>
      </c>
      <c r="AN1488" s="161">
        <v>55.670030000000011</v>
      </c>
      <c r="AO1488" s="161">
        <v>51.901890000000016</v>
      </c>
      <c r="AP1488" s="125" t="str">
        <f>CONCATENATE(A1488,M1488)</f>
        <v>Def TaxR</v>
      </c>
      <c r="AQ1488" s="125" t="str">
        <f>CONCATENATE(AP1488,L1488,H1488)</f>
        <v>Def TaxRR11Purchase of Receivables</v>
      </c>
      <c r="AS1488" s="125" t="str">
        <f>CONCATENATE(L1488,H1488,J1488)</f>
        <v>R11Purchase of Receivables</v>
      </c>
    </row>
    <row r="1489" spans="1:45" s="125" customFormat="1" ht="25.5" customHeight="1">
      <c r="A1489" s="216" t="s">
        <v>1996</v>
      </c>
      <c r="B1489" s="217" t="str">
        <f t="shared" si="607"/>
        <v>Def Tax2835500-286.01.10BTHUNGDT</v>
      </c>
      <c r="C1489" s="186">
        <v>283550</v>
      </c>
      <c r="D1489" s="201" t="s">
        <v>2699</v>
      </c>
      <c r="E1489" s="162" t="s">
        <v>616</v>
      </c>
      <c r="F1489" s="169" t="s">
        <v>848</v>
      </c>
      <c r="G1489" s="117" t="s">
        <v>1957</v>
      </c>
      <c r="H1489" s="118" t="s">
        <v>1167</v>
      </c>
      <c r="I1489" s="119"/>
      <c r="J1489" s="120"/>
      <c r="K1489" s="120" t="str">
        <f t="shared" si="615"/>
        <v/>
      </c>
      <c r="L1489" s="170" t="s">
        <v>1895</v>
      </c>
      <c r="M1489" s="122" t="str">
        <f t="shared" si="603"/>
        <v>R</v>
      </c>
      <c r="N1489" s="116" t="str">
        <f>IF($L1489&lt;&gt;"",VLOOKUP($L1489,Categories!$E:$G,2,FALSE),IF($F1489&lt;&gt;"","NO CAT",""))</f>
        <v>Rate Base</v>
      </c>
      <c r="O1489" s="116" t="str">
        <f>IF($L1489&lt;&gt;"",VLOOKUP($L1489,Categories!$E:$G,3,FALSE),IF($F1489&lt;&gt;"","NO CAT",""))</f>
        <v>Deferred Income Taxes</v>
      </c>
      <c r="P1489" s="170" t="s">
        <v>1183</v>
      </c>
      <c r="Q1489" s="123" t="s">
        <v>1177</v>
      </c>
      <c r="R1489" s="124">
        <v>1</v>
      </c>
      <c r="S1489" s="124">
        <v>0</v>
      </c>
      <c r="T1489" s="124">
        <v>0</v>
      </c>
      <c r="U1489" s="121" t="str">
        <f t="shared" si="609"/>
        <v/>
      </c>
      <c r="V1489" s="121" t="str">
        <f t="shared" si="610"/>
        <v/>
      </c>
      <c r="W1489" s="121" t="str">
        <f t="shared" si="611"/>
        <v/>
      </c>
      <c r="X1489" s="121">
        <f t="shared" si="604"/>
        <v>0</v>
      </c>
      <c r="Y1489" s="121" t="str">
        <f t="shared" si="612"/>
        <v/>
      </c>
      <c r="Z1489" s="121" t="str">
        <f t="shared" si="613"/>
        <v/>
      </c>
      <c r="AA1489" s="121" t="str">
        <f t="shared" si="614"/>
        <v/>
      </c>
      <c r="AB1489" s="121">
        <f t="shared" si="605"/>
        <v>0</v>
      </c>
      <c r="AC1489" s="121">
        <v>0</v>
      </c>
      <c r="AD1489" s="121">
        <v>0</v>
      </c>
      <c r="AE1489" s="121">
        <v>0</v>
      </c>
      <c r="AF1489" s="121">
        <v>0</v>
      </c>
      <c r="AG1489" s="121">
        <v>0</v>
      </c>
      <c r="AH1489" s="121">
        <v>0</v>
      </c>
      <c r="AI1489" s="121">
        <v>0</v>
      </c>
      <c r="AJ1489" s="121">
        <f>IF(AI1489=0,0,0)</f>
        <v>0</v>
      </c>
      <c r="AK1489" s="161">
        <v>0</v>
      </c>
      <c r="AL1489" s="161">
        <v>0</v>
      </c>
      <c r="AM1489" s="161">
        <v>0</v>
      </c>
      <c r="AN1489" s="161">
        <v>0</v>
      </c>
      <c r="AO1489" s="161">
        <v>0</v>
      </c>
      <c r="AP1489" s="125" t="str">
        <f>CONCATENATE(A1489,M1489)</f>
        <v>Def TaxR</v>
      </c>
      <c r="AQ1489" s="125" t="str">
        <f>CONCATENATE(AP1489,L1489,H1489)</f>
        <v>Def TaxRR11Hung Deferred Taxes</v>
      </c>
      <c r="AS1489" s="125" t="str">
        <f>CONCATENATE(L1489,H1489,J1489)</f>
        <v>R11Hung Deferred Taxes</v>
      </c>
    </row>
    <row r="1490" spans="1:45" s="125" customFormat="1" ht="25.5" customHeight="1">
      <c r="A1490" s="216" t="s">
        <v>1996</v>
      </c>
      <c r="B1490" s="217" t="str">
        <f t="shared" si="607"/>
        <v>Def Tax283550SIRBT010213</v>
      </c>
      <c r="C1490" s="186">
        <v>283550</v>
      </c>
      <c r="D1490" s="201" t="s">
        <v>1108</v>
      </c>
      <c r="E1490" s="162" t="s">
        <v>869</v>
      </c>
      <c r="F1490" s="169" t="s">
        <v>848</v>
      </c>
      <c r="G1490" s="117" t="s">
        <v>1756</v>
      </c>
      <c r="H1490" s="118" t="s">
        <v>2369</v>
      </c>
      <c r="I1490" s="119"/>
      <c r="J1490" s="231" t="s">
        <v>105</v>
      </c>
      <c r="K1490" s="120" t="str">
        <f t="shared" si="615"/>
        <v/>
      </c>
      <c r="L1490" s="170" t="s">
        <v>928</v>
      </c>
      <c r="M1490" s="122" t="str">
        <f t="shared" si="603"/>
        <v>N</v>
      </c>
      <c r="N1490" s="116" t="str">
        <f>IF($L1490&lt;&gt;"",VLOOKUP($L1490,Categories!$E:$G,2,FALSE),IF($F1490&lt;&gt;"","NO CAT",""))</f>
        <v>Not in Rate Base</v>
      </c>
      <c r="O1490" s="116" t="str">
        <f>IF($L1490&lt;&gt;"",VLOOKUP($L1490,Categories!$E:$G,3,FALSE),IF($F1490&lt;&gt;"","NO CAT",""))</f>
        <v>Direct Assign Items Not in RB</v>
      </c>
      <c r="P1490" s="170" t="s">
        <v>1186</v>
      </c>
      <c r="Q1490" s="123" t="s">
        <v>1187</v>
      </c>
      <c r="R1490" s="124">
        <v>0</v>
      </c>
      <c r="S1490" s="124">
        <v>0</v>
      </c>
      <c r="T1490" s="124">
        <v>1</v>
      </c>
      <c r="U1490" s="121">
        <f t="shared" si="609"/>
        <v>0</v>
      </c>
      <c r="V1490" s="121">
        <f t="shared" si="610"/>
        <v>0</v>
      </c>
      <c r="W1490" s="121">
        <f t="shared" si="611"/>
        <v>1.4999999986E-4</v>
      </c>
      <c r="X1490" s="121">
        <f t="shared" si="604"/>
        <v>1.4999999986E-4</v>
      </c>
      <c r="Y1490" s="121">
        <f t="shared" si="612"/>
        <v>0</v>
      </c>
      <c r="Z1490" s="121">
        <f t="shared" si="613"/>
        <v>0</v>
      </c>
      <c r="AA1490" s="121">
        <f t="shared" si="614"/>
        <v>1.4999999986E-4</v>
      </c>
      <c r="AB1490" s="121">
        <f t="shared" si="605"/>
        <v>1.4999999986030159E-4</v>
      </c>
      <c r="AC1490" s="121">
        <v>1.4999999986030159E-4</v>
      </c>
      <c r="AD1490" s="121">
        <v>1.4999999986030159E-4</v>
      </c>
      <c r="AE1490" s="121">
        <v>1.4999999986030159E-4</v>
      </c>
      <c r="AF1490" s="121">
        <v>1.4999999986030159E-4</v>
      </c>
      <c r="AG1490" s="121">
        <v>1.4999999986030159E-4</v>
      </c>
      <c r="AH1490" s="121">
        <v>1.4999999986030159E-4</v>
      </c>
      <c r="AI1490" s="161">
        <v>1.4999999986030159E-4</v>
      </c>
      <c r="AJ1490" s="161">
        <v>1.4999999986030159E-4</v>
      </c>
      <c r="AK1490" s="161">
        <v>1.4999999986030159E-4</v>
      </c>
      <c r="AL1490" s="161">
        <v>1.4999999986030159E-4</v>
      </c>
      <c r="AM1490" s="161">
        <v>1.4999999986030159E-4</v>
      </c>
      <c r="AN1490" s="161">
        <v>1.4999999986030159E-4</v>
      </c>
      <c r="AO1490" s="161">
        <v>1.4999999986030159E-4</v>
      </c>
      <c r="AP1490" s="125" t="str">
        <f>CONCATENATE(A1490,M1490)</f>
        <v>Def TaxN</v>
      </c>
      <c r="AQ1490" s="125" t="str">
        <f>CONCATENATE(AP1490,L1490,H1490)</f>
        <v>Def TaxNN2Environmental</v>
      </c>
      <c r="AS1490" s="125" t="str">
        <f>CONCATENATE(L1490,H1490,J1490)</f>
        <v>N2EnvironmentalNCR</v>
      </c>
    </row>
    <row r="1491" spans="1:45" s="125" customFormat="1" ht="25.5" customHeight="1">
      <c r="A1491" s="216" t="s">
        <v>1996</v>
      </c>
      <c r="B1491" s="217" t="str">
        <f t="shared" si="607"/>
        <v>Def Tax283550VERP CTABE030903</v>
      </c>
      <c r="C1491" s="186">
        <v>283550</v>
      </c>
      <c r="D1491" s="201" t="s">
        <v>941</v>
      </c>
      <c r="E1491" s="162" t="s">
        <v>703</v>
      </c>
      <c r="F1491" s="169" t="s">
        <v>848</v>
      </c>
      <c r="G1491" s="117" t="s">
        <v>1025</v>
      </c>
      <c r="H1491" s="118" t="s">
        <v>1151</v>
      </c>
      <c r="I1491" s="119"/>
      <c r="J1491" s="120"/>
      <c r="K1491" s="120" t="str">
        <f t="shared" si="615"/>
        <v/>
      </c>
      <c r="L1491" s="170" t="s">
        <v>1895</v>
      </c>
      <c r="M1491" s="122" t="str">
        <f t="shared" si="603"/>
        <v>R</v>
      </c>
      <c r="N1491" s="116" t="str">
        <f>IF($L1491&lt;&gt;"",VLOOKUP($L1491,Categories!$E:$G,2,FALSE),IF($F1491&lt;&gt;"","NO CAT",""))</f>
        <v>Rate Base</v>
      </c>
      <c r="O1491" s="116" t="str">
        <f>IF($L1491&lt;&gt;"",VLOOKUP($L1491,Categories!$E:$G,3,FALSE),IF($F1491&lt;&gt;"","NO CAT",""))</f>
        <v>Deferred Income Taxes</v>
      </c>
      <c r="P1491" s="170" t="s">
        <v>1183</v>
      </c>
      <c r="Q1491" s="123" t="s">
        <v>1177</v>
      </c>
      <c r="R1491" s="124">
        <v>1</v>
      </c>
      <c r="S1491" s="124">
        <v>0</v>
      </c>
      <c r="T1491" s="124">
        <v>0</v>
      </c>
      <c r="U1491" s="121">
        <f t="shared" si="609"/>
        <v>-45.2537999999996</v>
      </c>
      <c r="V1491" s="121">
        <f t="shared" si="610"/>
        <v>0</v>
      </c>
      <c r="W1491" s="121">
        <f t="shared" si="611"/>
        <v>0</v>
      </c>
      <c r="X1491" s="121">
        <f t="shared" si="604"/>
        <v>-45.2537999999996</v>
      </c>
      <c r="Y1491" s="121">
        <f t="shared" si="612"/>
        <v>-45.2537999999996</v>
      </c>
      <c r="Z1491" s="121">
        <f t="shared" si="613"/>
        <v>0</v>
      </c>
      <c r="AA1491" s="121">
        <f t="shared" si="614"/>
        <v>0</v>
      </c>
      <c r="AB1491" s="121">
        <f t="shared" si="605"/>
        <v>-45.253799999999558</v>
      </c>
      <c r="AC1491" s="121">
        <v>-45.253799999999558</v>
      </c>
      <c r="AD1491" s="121">
        <v>-45.253799999999558</v>
      </c>
      <c r="AE1491" s="121">
        <v>-45.253799999999558</v>
      </c>
      <c r="AF1491" s="121">
        <v>-45.253799999999558</v>
      </c>
      <c r="AG1491" s="121">
        <v>-45.253799999999558</v>
      </c>
      <c r="AH1491" s="121">
        <v>-45.253799999999558</v>
      </c>
      <c r="AI1491" s="161">
        <v>-45.253799999999558</v>
      </c>
      <c r="AJ1491" s="161">
        <v>-45.253799999999558</v>
      </c>
      <c r="AK1491" s="161">
        <v>-45.253799999999558</v>
      </c>
      <c r="AL1491" s="161">
        <v>-45.253799999999558</v>
      </c>
      <c r="AM1491" s="161">
        <v>-45.253799999999558</v>
      </c>
      <c r="AN1491" s="161">
        <v>-45.253799999999558</v>
      </c>
      <c r="AO1491" s="161">
        <v>-45.253799999999558</v>
      </c>
      <c r="AP1491" s="125" t="str">
        <f>CONCATENATE(A1491,M1491)</f>
        <v>Def TaxR</v>
      </c>
      <c r="AQ1491" s="125" t="str">
        <f>CONCATENATE(AP1491,L1491,H1491)</f>
        <v>Def TaxRR11CTA Efficiency</v>
      </c>
      <c r="AS1491" s="125" t="str">
        <f>CONCATENATE(L1491,H1491,J1491)</f>
        <v>R11CTA Efficiency</v>
      </c>
    </row>
    <row r="1492" spans="1:45" s="125" customFormat="1" ht="25.5" customHeight="1">
      <c r="A1492" s="216" t="s">
        <v>1996</v>
      </c>
      <c r="B1492" s="217" t="str">
        <f t="shared" si="607"/>
        <v>Def Tax2835500-286.01.42-aBT010221</v>
      </c>
      <c r="C1492" s="186">
        <v>283550</v>
      </c>
      <c r="D1492" s="201" t="s">
        <v>2709</v>
      </c>
      <c r="E1492" s="162" t="s">
        <v>870</v>
      </c>
      <c r="F1492" s="169" t="s">
        <v>848</v>
      </c>
      <c r="G1492" s="117" t="s">
        <v>1833</v>
      </c>
      <c r="H1492" s="118" t="s">
        <v>1833</v>
      </c>
      <c r="I1492" s="119"/>
      <c r="J1492" s="120" t="s">
        <v>105</v>
      </c>
      <c r="K1492" s="120" t="str">
        <f t="shared" si="615"/>
        <v/>
      </c>
      <c r="L1492" s="170" t="s">
        <v>2821</v>
      </c>
      <c r="M1492" s="122" t="str">
        <f t="shared" si="603"/>
        <v>N</v>
      </c>
      <c r="N1492" s="116" t="str">
        <f>IF($L1492&lt;&gt;"",VLOOKUP($L1492,Categories!$E:$G,2,FALSE),IF($F1492&lt;&gt;"","NO CAT",""))</f>
        <v>Not in Rate Base</v>
      </c>
      <c r="O1492" s="116" t="str">
        <f>IF($L1492&lt;&gt;"",VLOOKUP($L1492,Categories!$E:$G,3,FALSE),IF($F1492&lt;&gt;"","NO CAT",""))</f>
        <v>Deferrals Accruing Non-Cash Return   (other than ASGA)</v>
      </c>
      <c r="P1492" s="170" t="s">
        <v>1186</v>
      </c>
      <c r="Q1492" s="123" t="s">
        <v>1187</v>
      </c>
      <c r="R1492" s="124">
        <v>0</v>
      </c>
      <c r="S1492" s="124">
        <v>0</v>
      </c>
      <c r="T1492" s="124">
        <v>1</v>
      </c>
      <c r="U1492" s="121">
        <f t="shared" si="609"/>
        <v>0</v>
      </c>
      <c r="V1492" s="121">
        <f t="shared" si="610"/>
        <v>0</v>
      </c>
      <c r="W1492" s="121">
        <f t="shared" si="611"/>
        <v>-16130.84097875</v>
      </c>
      <c r="X1492" s="121">
        <f t="shared" si="604"/>
        <v>-16130.84097875</v>
      </c>
      <c r="Y1492" s="121">
        <f t="shared" si="612"/>
        <v>0</v>
      </c>
      <c r="Z1492" s="121">
        <f t="shared" si="613"/>
        <v>0</v>
      </c>
      <c r="AA1492" s="121">
        <f t="shared" si="614"/>
        <v>-17101.146410000001</v>
      </c>
      <c r="AB1492" s="121">
        <f t="shared" si="605"/>
        <v>-17101.146410000001</v>
      </c>
      <c r="AC1492" s="121">
        <v>-15707.537100000001</v>
      </c>
      <c r="AD1492" s="121">
        <v>-15799.089870000002</v>
      </c>
      <c r="AE1492" s="121">
        <v>-15869.333590000002</v>
      </c>
      <c r="AF1492" s="121">
        <v>-15839.353680000002</v>
      </c>
      <c r="AG1492" s="121">
        <v>-15842.892950000001</v>
      </c>
      <c r="AH1492" s="121">
        <v>-15851.80955</v>
      </c>
      <c r="AI1492" s="161">
        <v>-15926.10031</v>
      </c>
      <c r="AJ1492" s="161">
        <v>-16336.778920000001</v>
      </c>
      <c r="AK1492" s="161">
        <v>-16313.540590000001</v>
      </c>
      <c r="AL1492" s="161">
        <v>-16349.700129999999</v>
      </c>
      <c r="AM1492" s="161">
        <v>-16364.429099999999</v>
      </c>
      <c r="AN1492" s="161">
        <v>-16672.721299999997</v>
      </c>
      <c r="AO1492" s="161">
        <v>-17101.146410000001</v>
      </c>
      <c r="AP1492" s="125" t="str">
        <f>CONCATENATE(A1492,M1492)</f>
        <v>Def TaxN</v>
      </c>
      <c r="AQ1492" s="125" t="str">
        <f>CONCATENATE(AP1492,L1492,H1492)</f>
        <v>Def TaxNN10Storm Costs</v>
      </c>
      <c r="AS1492" s="125" t="str">
        <f>CONCATENATE(L1492,H1492,J1492)</f>
        <v>N10Storm CostsNCR</v>
      </c>
    </row>
    <row r="1493" spans="1:45" s="125" customFormat="1" ht="25.5" customHeight="1">
      <c r="A1493" s="216" t="s">
        <v>1996</v>
      </c>
      <c r="B1493" s="217" t="str">
        <f t="shared" si="607"/>
        <v>Def Tax2835500-286.01.42-b0</v>
      </c>
      <c r="C1493" s="186">
        <v>283550</v>
      </c>
      <c r="D1493" s="201" t="s">
        <v>2710</v>
      </c>
      <c r="E1493" s="162">
        <v>0</v>
      </c>
      <c r="F1493" s="169" t="s">
        <v>848</v>
      </c>
      <c r="G1493" s="117" t="s">
        <v>194</v>
      </c>
      <c r="H1493" s="118" t="s">
        <v>1833</v>
      </c>
      <c r="I1493" s="119"/>
      <c r="J1493" s="120" t="s">
        <v>105</v>
      </c>
      <c r="K1493" s="120" t="str">
        <f t="shared" si="615"/>
        <v/>
      </c>
      <c r="L1493" s="170" t="s">
        <v>2821</v>
      </c>
      <c r="M1493" s="122" t="str">
        <f t="shared" si="603"/>
        <v>N</v>
      </c>
      <c r="N1493" s="116" t="str">
        <f>IF($L1493&lt;&gt;"",VLOOKUP($L1493,Categories!$E:$G,2,FALSE),IF($F1493&lt;&gt;"","NO CAT",""))</f>
        <v>Not in Rate Base</v>
      </c>
      <c r="O1493" s="116" t="str">
        <f>IF($L1493&lt;&gt;"",VLOOKUP($L1493,Categories!$E:$G,3,FALSE),IF($F1493&lt;&gt;"","NO CAT",""))</f>
        <v>Deferrals Accruing Non-Cash Return   (other than ASGA)</v>
      </c>
      <c r="P1493" s="170" t="s">
        <v>1186</v>
      </c>
      <c r="Q1493" s="123" t="s">
        <v>1187</v>
      </c>
      <c r="R1493" s="124">
        <v>0</v>
      </c>
      <c r="S1493" s="124">
        <v>0</v>
      </c>
      <c r="T1493" s="124">
        <v>1</v>
      </c>
      <c r="U1493" s="121" t="str">
        <f t="shared" si="609"/>
        <v/>
      </c>
      <c r="V1493" s="121" t="str">
        <f t="shared" si="610"/>
        <v/>
      </c>
      <c r="W1493" s="121" t="str">
        <f t="shared" si="611"/>
        <v/>
      </c>
      <c r="X1493" s="121">
        <f t="shared" si="604"/>
        <v>0</v>
      </c>
      <c r="Y1493" s="121" t="str">
        <f t="shared" si="612"/>
        <v/>
      </c>
      <c r="Z1493" s="121" t="str">
        <f t="shared" si="613"/>
        <v/>
      </c>
      <c r="AA1493" s="121" t="str">
        <f t="shared" si="614"/>
        <v/>
      </c>
      <c r="AB1493" s="121">
        <f t="shared" si="605"/>
        <v>0</v>
      </c>
      <c r="AC1493" s="121">
        <v>0</v>
      </c>
      <c r="AD1493" s="121">
        <v>0</v>
      </c>
      <c r="AE1493" s="121">
        <v>0</v>
      </c>
      <c r="AF1493" s="121">
        <v>0</v>
      </c>
      <c r="AG1493" s="121">
        <v>0</v>
      </c>
      <c r="AH1493" s="121">
        <v>0</v>
      </c>
      <c r="AI1493" s="121">
        <v>0</v>
      </c>
      <c r="AJ1493" s="121">
        <f>IF(AI1493=0,0,0)</f>
        <v>0</v>
      </c>
      <c r="AK1493" s="161">
        <v>0</v>
      </c>
      <c r="AL1493" s="161">
        <v>0</v>
      </c>
      <c r="AM1493" s="161">
        <v>0</v>
      </c>
      <c r="AN1493" s="161">
        <v>0</v>
      </c>
      <c r="AO1493" s="161">
        <v>0</v>
      </c>
      <c r="AP1493" s="125" t="str">
        <f>CONCATENATE(A1493,M1493)</f>
        <v>Def TaxN</v>
      </c>
      <c r="AQ1493" s="125" t="str">
        <f>CONCATENATE(AP1493,L1493,H1493)</f>
        <v>Def TaxNN10Storm Costs</v>
      </c>
      <c r="AS1493" s="125" t="str">
        <f>CONCATENATE(L1493,H1493,J1493)</f>
        <v>N10Storm CostsNCR</v>
      </c>
    </row>
    <row r="1494" spans="1:45" s="125" customFormat="1" ht="25.5" customHeight="1">
      <c r="A1494" s="216" t="s">
        <v>1996</v>
      </c>
      <c r="B1494" s="217" t="str">
        <f t="shared" si="607"/>
        <v>Def Tax283550BT010182</v>
      </c>
      <c r="C1494" s="186">
        <v>283550</v>
      </c>
      <c r="D1494" s="201"/>
      <c r="E1494" s="162" t="s">
        <v>115</v>
      </c>
      <c r="F1494" s="169" t="s">
        <v>848</v>
      </c>
      <c r="G1494" s="117" t="s">
        <v>111</v>
      </c>
      <c r="H1494" s="118" t="s">
        <v>1805</v>
      </c>
      <c r="I1494" s="119"/>
      <c r="J1494" s="120"/>
      <c r="K1494" s="120" t="str">
        <f t="shared" si="615"/>
        <v/>
      </c>
      <c r="L1494" s="170" t="s">
        <v>1895</v>
      </c>
      <c r="M1494" s="122" t="str">
        <f t="shared" si="603"/>
        <v>R</v>
      </c>
      <c r="N1494" s="116" t="str">
        <f>IF($L1494&lt;&gt;"",VLOOKUP($L1494,Categories!$E:$G,2,FALSE),IF($F1494&lt;&gt;"","NO CAT",""))</f>
        <v>Rate Base</v>
      </c>
      <c r="O1494" s="116" t="str">
        <f>IF($L1494&lt;&gt;"",VLOOKUP($L1494,Categories!$E:$G,3,FALSE),IF($F1494&lt;&gt;"","NO CAT",""))</f>
        <v>Deferred Income Taxes</v>
      </c>
      <c r="P1494" s="170" t="s">
        <v>1183</v>
      </c>
      <c r="Q1494" s="123" t="s">
        <v>1177</v>
      </c>
      <c r="R1494" s="124">
        <v>1</v>
      </c>
      <c r="S1494" s="124">
        <v>0</v>
      </c>
      <c r="T1494" s="124">
        <v>0</v>
      </c>
      <c r="U1494" s="121">
        <f t="shared" si="609"/>
        <v>-8.3333333400000004E-7</v>
      </c>
      <c r="V1494" s="121">
        <f t="shared" si="610"/>
        <v>0</v>
      </c>
      <c r="W1494" s="121">
        <f t="shared" si="611"/>
        <v>0</v>
      </c>
      <c r="X1494" s="121">
        <f t="shared" si="604"/>
        <v>-8.3333333400000004E-7</v>
      </c>
      <c r="Y1494" s="121" t="str">
        <f t="shared" si="612"/>
        <v/>
      </c>
      <c r="Z1494" s="121" t="str">
        <f t="shared" si="613"/>
        <v/>
      </c>
      <c r="AA1494" s="121" t="str">
        <f t="shared" si="614"/>
        <v/>
      </c>
      <c r="AB1494" s="121">
        <f t="shared" si="605"/>
        <v>0</v>
      </c>
      <c r="AC1494" s="121">
        <v>-2.0000000004074535E-5</v>
      </c>
      <c r="AD1494" s="121">
        <v>0</v>
      </c>
      <c r="AE1494" s="121">
        <v>0</v>
      </c>
      <c r="AF1494" s="121">
        <v>0</v>
      </c>
      <c r="AG1494" s="121">
        <v>0</v>
      </c>
      <c r="AH1494" s="121">
        <v>0</v>
      </c>
      <c r="AI1494" s="121">
        <v>0</v>
      </c>
      <c r="AJ1494" s="121">
        <f>IF(AI1494=0,0,0)</f>
        <v>0</v>
      </c>
      <c r="AK1494" s="161">
        <v>0</v>
      </c>
      <c r="AL1494" s="161">
        <v>0</v>
      </c>
      <c r="AM1494" s="161">
        <v>0</v>
      </c>
      <c r="AN1494" s="161">
        <v>0</v>
      </c>
      <c r="AO1494" s="161">
        <v>0</v>
      </c>
      <c r="AP1494" s="125" t="str">
        <f>CONCATENATE(A1494,M1494)</f>
        <v>Def TaxR</v>
      </c>
      <c r="AQ1494" s="125" t="str">
        <f>CONCATENATE(AP1494,L1494,H1494)</f>
        <v>Def TaxRR11Capitalized Installation Costs</v>
      </c>
      <c r="AS1494" s="125" t="str">
        <f>CONCATENATE(L1494,H1494,J1494)</f>
        <v>R11Capitalized Installation Costs</v>
      </c>
    </row>
    <row r="1495" spans="1:45" s="125" customFormat="1" ht="25.5" customHeight="1">
      <c r="A1495" s="216" t="s">
        <v>1996</v>
      </c>
      <c r="B1495" s="217" t="str">
        <f t="shared" si="607"/>
        <v>Def Tax283550Theoretical ReserveBE030908</v>
      </c>
      <c r="C1495" s="186">
        <v>283550</v>
      </c>
      <c r="D1495" s="201" t="s">
        <v>1436</v>
      </c>
      <c r="E1495" s="162" t="s">
        <v>2532</v>
      </c>
      <c r="F1495" s="169" t="s">
        <v>848</v>
      </c>
      <c r="G1495" s="117" t="s">
        <v>1533</v>
      </c>
      <c r="H1495" s="118" t="s">
        <v>1436</v>
      </c>
      <c r="I1495" s="119"/>
      <c r="J1495" s="120"/>
      <c r="K1495" s="120" t="str">
        <f t="shared" si="615"/>
        <v/>
      </c>
      <c r="L1495" s="170" t="s">
        <v>2821</v>
      </c>
      <c r="M1495" s="122" t="str">
        <f t="shared" si="603"/>
        <v>N</v>
      </c>
      <c r="N1495" s="116" t="str">
        <f>IF($L1495&lt;&gt;"",VLOOKUP($L1495,Categories!$E:$G,2,FALSE),IF($F1495&lt;&gt;"","NO CAT",""))</f>
        <v>Not in Rate Base</v>
      </c>
      <c r="O1495" s="116" t="str">
        <f>IF($L1495&lt;&gt;"",VLOOKUP($L1495,Categories!$E:$G,3,FALSE),IF($F1495&lt;&gt;"","NO CAT",""))</f>
        <v>Deferrals Accruing Non-Cash Return   (other than ASGA)</v>
      </c>
      <c r="P1495" s="170" t="s">
        <v>1186</v>
      </c>
      <c r="Q1495" s="123" t="s">
        <v>1187</v>
      </c>
      <c r="R1495" s="124">
        <v>0</v>
      </c>
      <c r="S1495" s="124">
        <v>0</v>
      </c>
      <c r="T1495" s="124">
        <v>1</v>
      </c>
      <c r="U1495" s="121">
        <f t="shared" si="609"/>
        <v>0</v>
      </c>
      <c r="V1495" s="121">
        <f t="shared" si="610"/>
        <v>0</v>
      </c>
      <c r="W1495" s="121">
        <f t="shared" si="611"/>
        <v>1236.49585791667</v>
      </c>
      <c r="X1495" s="121">
        <f t="shared" si="604"/>
        <v>1236.49585791667</v>
      </c>
      <c r="Y1495" s="121">
        <f t="shared" si="612"/>
        <v>0</v>
      </c>
      <c r="Z1495" s="121">
        <f t="shared" si="613"/>
        <v>0</v>
      </c>
      <c r="AA1495" s="121">
        <f t="shared" si="614"/>
        <v>1419.54889</v>
      </c>
      <c r="AB1495" s="121">
        <f t="shared" si="605"/>
        <v>1419.5488899999996</v>
      </c>
      <c r="AC1495" s="121">
        <v>1057.1772800000001</v>
      </c>
      <c r="AD1495" s="121">
        <v>1086.52054</v>
      </c>
      <c r="AE1495" s="121">
        <v>1116.0164499999998</v>
      </c>
      <c r="AF1495" s="121">
        <v>1145.6658299999999</v>
      </c>
      <c r="AG1495" s="121">
        <v>1175.4694599999998</v>
      </c>
      <c r="AH1495" s="121">
        <v>1205.4281499999997</v>
      </c>
      <c r="AI1495" s="161">
        <v>1235.5426999999997</v>
      </c>
      <c r="AJ1495" s="161">
        <v>1265.8139299999998</v>
      </c>
      <c r="AK1495" s="161">
        <v>1296.2426499999997</v>
      </c>
      <c r="AL1495" s="161">
        <v>1326.8296799999996</v>
      </c>
      <c r="AM1495" s="161">
        <v>1357.5758499999997</v>
      </c>
      <c r="AN1495" s="161">
        <v>1388.4819699999998</v>
      </c>
      <c r="AO1495" s="161">
        <v>1419.5488899999996</v>
      </c>
      <c r="AP1495" s="125" t="str">
        <f>CONCATENATE(A1495,M1495)</f>
        <v>Def TaxN</v>
      </c>
      <c r="AQ1495" s="125" t="str">
        <f>CONCATENATE(AP1495,L1495,H1495)</f>
        <v>Def TaxNN10Theoretical Reserve</v>
      </c>
      <c r="AS1495" s="125" t="str">
        <f>CONCATENATE(L1495,H1495,J1495)</f>
        <v>N10Theoretical Reserve</v>
      </c>
    </row>
    <row r="1496" spans="1:45" s="125" customFormat="1" ht="25.5" customHeight="1">
      <c r="A1496" s="216" t="s">
        <v>1996</v>
      </c>
      <c r="B1496" s="217" t="str">
        <f t="shared" si="607"/>
        <v>Def Tax283550Bonus DeprBE030192</v>
      </c>
      <c r="C1496" s="186">
        <v>283550</v>
      </c>
      <c r="D1496" s="201" t="s">
        <v>1452</v>
      </c>
      <c r="E1496" s="162" t="s">
        <v>1156</v>
      </c>
      <c r="F1496" s="169" t="s">
        <v>848</v>
      </c>
      <c r="G1496" s="117" t="s">
        <v>1936</v>
      </c>
      <c r="H1496" s="118" t="s">
        <v>891</v>
      </c>
      <c r="I1496" s="119"/>
      <c r="J1496" s="120" t="s">
        <v>105</v>
      </c>
      <c r="K1496" s="120" t="str">
        <f t="shared" si="615"/>
        <v/>
      </c>
      <c r="L1496" s="170" t="s">
        <v>2821</v>
      </c>
      <c r="M1496" s="122" t="str">
        <f t="shared" si="603"/>
        <v>N</v>
      </c>
      <c r="N1496" s="116" t="str">
        <f>IF($L1496&lt;&gt;"",VLOOKUP($L1496,Categories!$E:$G,2,FALSE),IF($F1496&lt;&gt;"","NO CAT",""))</f>
        <v>Not in Rate Base</v>
      </c>
      <c r="O1496" s="116" t="str">
        <f>IF($L1496&lt;&gt;"",VLOOKUP($L1496,Categories!$E:$G,3,FALSE),IF($F1496&lt;&gt;"","NO CAT",""))</f>
        <v>Deferrals Accruing Non-Cash Return   (other than ASGA)</v>
      </c>
      <c r="P1496" s="170" t="s">
        <v>1186</v>
      </c>
      <c r="Q1496" s="123" t="s">
        <v>1187</v>
      </c>
      <c r="R1496" s="124">
        <v>0</v>
      </c>
      <c r="S1496" s="124">
        <v>0</v>
      </c>
      <c r="T1496" s="124">
        <v>1</v>
      </c>
      <c r="U1496" s="121">
        <f t="shared" si="609"/>
        <v>0</v>
      </c>
      <c r="V1496" s="121">
        <f t="shared" si="610"/>
        <v>0</v>
      </c>
      <c r="W1496" s="121">
        <f t="shared" si="611"/>
        <v>2137.88428833333</v>
      </c>
      <c r="X1496" s="121">
        <f t="shared" si="604"/>
        <v>2137.88428833333</v>
      </c>
      <c r="Y1496" s="121">
        <f t="shared" si="612"/>
        <v>0</v>
      </c>
      <c r="Z1496" s="121">
        <f t="shared" si="613"/>
        <v>0</v>
      </c>
      <c r="AA1496" s="121">
        <f t="shared" si="614"/>
        <v>2494.78575</v>
      </c>
      <c r="AB1496" s="121">
        <f t="shared" si="605"/>
        <v>2494.78575</v>
      </c>
      <c r="AC1496" s="121">
        <v>1734.1054899999997</v>
      </c>
      <c r="AD1496" s="121">
        <v>1806.7641499999997</v>
      </c>
      <c r="AE1496" s="121">
        <v>1879.2479099999996</v>
      </c>
      <c r="AF1496" s="121">
        <v>1951.5558699999997</v>
      </c>
      <c r="AG1496" s="121">
        <v>2023.6871099999996</v>
      </c>
      <c r="AH1496" s="121">
        <v>2095.6407099999997</v>
      </c>
      <c r="AI1496" s="161">
        <v>2167.4157499999997</v>
      </c>
      <c r="AJ1496" s="161">
        <v>2239.0112999999992</v>
      </c>
      <c r="AK1496" s="161">
        <v>2310.4264199999993</v>
      </c>
      <c r="AL1496" s="161">
        <v>2290.6343899999997</v>
      </c>
      <c r="AM1496" s="161">
        <v>2355.5361199999998</v>
      </c>
      <c r="AN1496" s="161">
        <v>2420.24611</v>
      </c>
      <c r="AO1496" s="161">
        <v>2494.78575</v>
      </c>
      <c r="AP1496" s="125" t="str">
        <f>CONCATENATE(A1496,M1496)</f>
        <v>Def TaxN</v>
      </c>
      <c r="AQ1496" s="125" t="str">
        <f>CONCATENATE(AP1496,L1496,H1496)</f>
        <v>Def TaxNN10Bonus Depreciation</v>
      </c>
      <c r="AS1496" s="125" t="str">
        <f>CONCATENATE(L1496,H1496,J1496)</f>
        <v>N10Bonus DepreciationNCR</v>
      </c>
    </row>
    <row r="1497" spans="1:45" s="125" customFormat="1" ht="25.5" customHeight="1">
      <c r="A1497" s="216" t="s">
        <v>1996</v>
      </c>
      <c r="B1497" s="217" t="str">
        <f t="shared" si="607"/>
        <v>Def Tax283550SBCBE030915</v>
      </c>
      <c r="C1497" s="186">
        <v>283550</v>
      </c>
      <c r="D1497" s="201" t="s">
        <v>625</v>
      </c>
      <c r="E1497" s="162" t="s">
        <v>1158</v>
      </c>
      <c r="F1497" s="169" t="s">
        <v>848</v>
      </c>
      <c r="G1497" s="117" t="s">
        <v>1937</v>
      </c>
      <c r="H1497" s="118" t="s">
        <v>2496</v>
      </c>
      <c r="I1497" s="119"/>
      <c r="J1497" s="120" t="s">
        <v>105</v>
      </c>
      <c r="K1497" s="120" t="str">
        <f t="shared" si="615"/>
        <v/>
      </c>
      <c r="L1497" s="170" t="s">
        <v>2821</v>
      </c>
      <c r="M1497" s="122" t="str">
        <f t="shared" si="603"/>
        <v>N</v>
      </c>
      <c r="N1497" s="116" t="str">
        <f>IF($L1497&lt;&gt;"",VLOOKUP($L1497,Categories!$E:$G,2,FALSE),IF($F1497&lt;&gt;"","NO CAT",""))</f>
        <v>Not in Rate Base</v>
      </c>
      <c r="O1497" s="116" t="str">
        <f>IF($L1497&lt;&gt;"",VLOOKUP($L1497,Categories!$E:$G,3,FALSE),IF($F1497&lt;&gt;"","NO CAT",""))</f>
        <v>Deferrals Accruing Non-Cash Return   (other than ASGA)</v>
      </c>
      <c r="P1497" s="170" t="s">
        <v>1186</v>
      </c>
      <c r="Q1497" s="123" t="s">
        <v>1187</v>
      </c>
      <c r="R1497" s="124">
        <v>0</v>
      </c>
      <c r="S1497" s="124">
        <v>0</v>
      </c>
      <c r="T1497" s="124">
        <v>1</v>
      </c>
      <c r="U1497" s="121" t="str">
        <f t="shared" si="609"/>
        <v/>
      </c>
      <c r="V1497" s="121" t="str">
        <f t="shared" si="610"/>
        <v/>
      </c>
      <c r="W1497" s="121" t="str">
        <f t="shared" si="611"/>
        <v/>
      </c>
      <c r="X1497" s="121">
        <f t="shared" si="604"/>
        <v>0</v>
      </c>
      <c r="Y1497" s="121" t="str">
        <f t="shared" si="612"/>
        <v/>
      </c>
      <c r="Z1497" s="121" t="str">
        <f t="shared" si="613"/>
        <v/>
      </c>
      <c r="AA1497" s="121" t="str">
        <f t="shared" si="614"/>
        <v/>
      </c>
      <c r="AB1497" s="121">
        <f t="shared" si="605"/>
        <v>0</v>
      </c>
      <c r="AC1497" s="121">
        <v>0</v>
      </c>
      <c r="AD1497" s="121">
        <v>0</v>
      </c>
      <c r="AE1497" s="121">
        <v>0</v>
      </c>
      <c r="AF1497" s="121">
        <v>0</v>
      </c>
      <c r="AG1497" s="121">
        <v>0</v>
      </c>
      <c r="AH1497" s="121">
        <v>0</v>
      </c>
      <c r="AI1497" s="121">
        <v>0</v>
      </c>
      <c r="AJ1497" s="121">
        <f>IF(AI1497=0,0,0)</f>
        <v>0</v>
      </c>
      <c r="AK1497" s="161">
        <v>0</v>
      </c>
      <c r="AL1497" s="161">
        <v>0</v>
      </c>
      <c r="AM1497" s="161">
        <v>0</v>
      </c>
      <c r="AN1497" s="161">
        <v>0</v>
      </c>
      <c r="AO1497" s="161">
        <v>0</v>
      </c>
      <c r="AP1497" s="125" t="str">
        <f>CONCATENATE(A1497,M1497)</f>
        <v>Def TaxN</v>
      </c>
      <c r="AQ1497" s="125" t="str">
        <f>CONCATENATE(AP1497,L1497,H1497)</f>
        <v>Def TaxNN10System Benefits Charge</v>
      </c>
      <c r="AS1497" s="125" t="str">
        <f>CONCATENATE(L1497,H1497,J1497)</f>
        <v>N10System Benefits ChargeNCR</v>
      </c>
    </row>
    <row r="1498" spans="1:45" s="125" customFormat="1" ht="25.5" customHeight="1">
      <c r="A1498" s="216" t="s">
        <v>1996</v>
      </c>
      <c r="B1498" s="217" t="str">
        <f t="shared" si="607"/>
        <v>Def Tax283550BE030904</v>
      </c>
      <c r="C1498" s="186">
        <v>283550</v>
      </c>
      <c r="D1498" s="201"/>
      <c r="E1498" s="162" t="s">
        <v>112</v>
      </c>
      <c r="F1498" s="169" t="s">
        <v>848</v>
      </c>
      <c r="G1498" s="117" t="s">
        <v>110</v>
      </c>
      <c r="H1498" s="118" t="s">
        <v>623</v>
      </c>
      <c r="I1498" s="119"/>
      <c r="J1498" s="120" t="s">
        <v>105</v>
      </c>
      <c r="K1498" s="120" t="str">
        <f t="shared" si="615"/>
        <v/>
      </c>
      <c r="L1498" s="170" t="s">
        <v>2821</v>
      </c>
      <c r="M1498" s="122" t="str">
        <f t="shared" si="603"/>
        <v>N</v>
      </c>
      <c r="N1498" s="116" t="str">
        <f>IF($L1498&lt;&gt;"",VLOOKUP($L1498,Categories!$E:$G,2,FALSE),IF($F1498&lt;&gt;"","NO CAT",""))</f>
        <v>Not in Rate Base</v>
      </c>
      <c r="O1498" s="116" t="str">
        <f>IF($L1498&lt;&gt;"",VLOOKUP($L1498,Categories!$E:$G,3,FALSE),IF($F1498&lt;&gt;"","NO CAT",""))</f>
        <v>Deferrals Accruing Non-Cash Return   (other than ASGA)</v>
      </c>
      <c r="P1498" s="170" t="s">
        <v>1186</v>
      </c>
      <c r="Q1498" s="123" t="s">
        <v>1187</v>
      </c>
      <c r="R1498" s="124">
        <v>0</v>
      </c>
      <c r="S1498" s="124">
        <v>0</v>
      </c>
      <c r="T1498" s="124">
        <v>1</v>
      </c>
      <c r="U1498" s="121">
        <f t="shared" si="609"/>
        <v>0</v>
      </c>
      <c r="V1498" s="121">
        <f t="shared" si="610"/>
        <v>0</v>
      </c>
      <c r="W1498" s="121">
        <f t="shared" si="611"/>
        <v>282.15896416666698</v>
      </c>
      <c r="X1498" s="121">
        <f t="shared" ref="X1498:X1552" si="616">IF(ISERROR(ROUND((SUM(AC1498:AO1498)-((AC1498+AO1498))/2)/12,15)),"",ROUND((SUM(AC1498:AO1498)-((AC1498+AO1498))/2)/12,15))</f>
        <v>282.15896416666698</v>
      </c>
      <c r="Y1498" s="121">
        <f t="shared" si="612"/>
        <v>0</v>
      </c>
      <c r="Z1498" s="121">
        <f t="shared" si="613"/>
        <v>0</v>
      </c>
      <c r="AA1498" s="121">
        <f t="shared" si="614"/>
        <v>-145.87184999999999</v>
      </c>
      <c r="AB1498" s="121">
        <f t="shared" ref="AB1498:AB1552" si="617">IF(AO1498="",0,+AO1498)</f>
        <v>-145.87184999999994</v>
      </c>
      <c r="AC1498" s="121">
        <v>-30.866730000000068</v>
      </c>
      <c r="AD1498" s="121">
        <v>194.75977999999995</v>
      </c>
      <c r="AE1498" s="121">
        <v>433.5884099999999</v>
      </c>
      <c r="AF1498" s="121">
        <v>578.78422999999998</v>
      </c>
      <c r="AG1498" s="121">
        <v>630.45776999999998</v>
      </c>
      <c r="AH1498" s="121">
        <v>483.04358000000002</v>
      </c>
      <c r="AI1498" s="161">
        <v>446.68716000000001</v>
      </c>
      <c r="AJ1498" s="161">
        <v>283.93635000000006</v>
      </c>
      <c r="AK1498" s="161">
        <v>187.51092000000006</v>
      </c>
      <c r="AL1498" s="161">
        <v>242.77289000000005</v>
      </c>
      <c r="AM1498" s="161">
        <v>6.2433200000000362</v>
      </c>
      <c r="AN1498" s="161">
        <v>-13.507549999999963</v>
      </c>
      <c r="AO1498" s="161">
        <v>-145.87184999999994</v>
      </c>
      <c r="AP1498" s="125" t="str">
        <f>CONCATENATE(A1498,M1498)</f>
        <v>Def TaxN</v>
      </c>
      <c r="AQ1498" s="125" t="str">
        <f>CONCATENATE(AP1498,L1498,H1498)</f>
        <v>Def TaxNN10RDM</v>
      </c>
      <c r="AS1498" s="125" t="str">
        <f>CONCATENATE(L1498,H1498,J1498)</f>
        <v>N10RDMNCR</v>
      </c>
    </row>
    <row r="1499" spans="1:45" s="125" customFormat="1" ht="25.5" customHeight="1">
      <c r="A1499" s="216" t="s">
        <v>1996</v>
      </c>
      <c r="B1499" s="217" t="str">
        <f t="shared" si="607"/>
        <v>Def Tax283550BT010225</v>
      </c>
      <c r="C1499" s="186">
        <v>283550</v>
      </c>
      <c r="D1499" s="201"/>
      <c r="E1499" s="162" t="s">
        <v>396</v>
      </c>
      <c r="F1499" s="169" t="s">
        <v>300</v>
      </c>
      <c r="G1499" s="117" t="s">
        <v>2653</v>
      </c>
      <c r="H1499" s="118" t="s">
        <v>2711</v>
      </c>
      <c r="I1499" s="119"/>
      <c r="J1499" s="120" t="s">
        <v>105</v>
      </c>
      <c r="K1499" s="120" t="str">
        <f t="shared" si="615"/>
        <v/>
      </c>
      <c r="L1499" s="170" t="s">
        <v>2821</v>
      </c>
      <c r="M1499" s="122" t="str">
        <f t="shared" si="603"/>
        <v>N</v>
      </c>
      <c r="N1499" s="116" t="str">
        <f>IF($L1499&lt;&gt;"",VLOOKUP($L1499,Categories!$E:$G,2,FALSE),IF($F1499&lt;&gt;"","NO CAT",""))</f>
        <v>Not in Rate Base</v>
      </c>
      <c r="O1499" s="116" t="str">
        <f>IF($L1499&lt;&gt;"",VLOOKUP($L1499,Categories!$E:$G,3,FALSE),IF($F1499&lt;&gt;"","NO CAT",""))</f>
        <v>Deferrals Accruing Non-Cash Return   (other than ASGA)</v>
      </c>
      <c r="P1499" s="170" t="s">
        <v>1186</v>
      </c>
      <c r="Q1499" s="123" t="s">
        <v>1187</v>
      </c>
      <c r="R1499" s="124">
        <v>0</v>
      </c>
      <c r="S1499" s="124">
        <v>0</v>
      </c>
      <c r="T1499" s="124">
        <v>1</v>
      </c>
      <c r="U1499" s="121">
        <f t="shared" si="609"/>
        <v>0</v>
      </c>
      <c r="V1499" s="121">
        <f t="shared" si="610"/>
        <v>0</v>
      </c>
      <c r="W1499" s="121">
        <f t="shared" si="611"/>
        <v>-6.2330045833333303</v>
      </c>
      <c r="X1499" s="121">
        <f t="shared" si="616"/>
        <v>-6.2330045833333303</v>
      </c>
      <c r="Y1499" s="121">
        <f t="shared" si="612"/>
        <v>0</v>
      </c>
      <c r="Z1499" s="121">
        <f t="shared" si="613"/>
        <v>0</v>
      </c>
      <c r="AA1499" s="121">
        <f t="shared" si="614"/>
        <v>-6.4290700000000003</v>
      </c>
      <c r="AB1499" s="121">
        <f t="shared" si="617"/>
        <v>-6.4290700000000012</v>
      </c>
      <c r="AC1499" s="121">
        <v>-6.04094</v>
      </c>
      <c r="AD1499" s="121">
        <v>-6.0723700000000003</v>
      </c>
      <c r="AE1499" s="121">
        <v>-6.1039599999999998</v>
      </c>
      <c r="AF1499" s="121">
        <v>-6.1357200000000001</v>
      </c>
      <c r="AG1499" s="121">
        <v>-6.1676400000000005</v>
      </c>
      <c r="AH1499" s="121">
        <v>-6.1997300000000006</v>
      </c>
      <c r="AI1499" s="161">
        <v>-6.2319800000000001</v>
      </c>
      <c r="AJ1499" s="161">
        <v>-6.2644100000000007</v>
      </c>
      <c r="AK1499" s="161">
        <v>-6.2970000000000006</v>
      </c>
      <c r="AL1499" s="161">
        <v>-6.3297600000000012</v>
      </c>
      <c r="AM1499" s="161">
        <v>-6.3626900000000015</v>
      </c>
      <c r="AN1499" s="161">
        <v>-6.3957900000000016</v>
      </c>
      <c r="AO1499" s="161">
        <v>-6.4290700000000012</v>
      </c>
      <c r="AP1499" s="125" t="str">
        <f>CONCATENATE(A1499,M1499)</f>
        <v>Def TaxN</v>
      </c>
      <c r="AQ1499" s="125" t="str">
        <f>CONCATENATE(AP1499,L1499,H1499)</f>
        <v>Def TaxNN10Unit of Property CTA</v>
      </c>
      <c r="AS1499" s="125" t="str">
        <f>CONCATENATE(L1499,H1499,J1499)</f>
        <v>N10Unit of Property CTANCR</v>
      </c>
    </row>
    <row r="1500" spans="1:45" s="125" customFormat="1" ht="25.5" customHeight="1">
      <c r="A1500" s="216" t="s">
        <v>1996</v>
      </c>
      <c r="B1500" s="217" t="str">
        <f>CONCATENATE(A1500,C1500,D1500,E1500)</f>
        <v>Def Tax283550Funded DIT True-upBE030932</v>
      </c>
      <c r="C1500" s="186">
        <v>283550</v>
      </c>
      <c r="D1500" s="201" t="s">
        <v>4391</v>
      </c>
      <c r="E1500" s="162" t="s">
        <v>4392</v>
      </c>
      <c r="F1500" s="169" t="s">
        <v>300</v>
      </c>
      <c r="G1500" s="117" t="s">
        <v>4393</v>
      </c>
      <c r="H1500" s="118" t="s">
        <v>4564</v>
      </c>
      <c r="I1500" s="119"/>
      <c r="J1500" s="120"/>
      <c r="K1500" s="120" t="str">
        <f>IF(L1500="N3","SFAS-109","")</f>
        <v/>
      </c>
      <c r="L1500" s="170" t="s">
        <v>1895</v>
      </c>
      <c r="M1500" s="122" t="str">
        <f>LEFT(L1500,1)</f>
        <v>R</v>
      </c>
      <c r="N1500" s="116" t="str">
        <f>IF($L1500&lt;&gt;"",VLOOKUP($L1500,Categories!$E:$G,2,FALSE),IF($F1500&lt;&gt;"","NO CAT",""))</f>
        <v>Rate Base</v>
      </c>
      <c r="O1500" s="116" t="str">
        <f>IF($L1500&lt;&gt;"",VLOOKUP($L1500,Categories!$E:$G,3,FALSE),IF($F1500&lt;&gt;"","NO CAT",""))</f>
        <v>Deferred Income Taxes</v>
      </c>
      <c r="P1500" s="170" t="s">
        <v>1183</v>
      </c>
      <c r="Q1500" s="123" t="s">
        <v>1177</v>
      </c>
      <c r="R1500" s="124">
        <v>1</v>
      </c>
      <c r="S1500" s="124">
        <v>0</v>
      </c>
      <c r="T1500" s="124">
        <v>0</v>
      </c>
      <c r="U1500" s="121">
        <f>IF(ABS(X1500)=0,"",IF($R1500="NO ALLOC","NO ALLOC",ROUND($R1500*X1500,15)))</f>
        <v>-2289.3890204166701</v>
      </c>
      <c r="V1500" s="121">
        <f>IF(ABS(X1500)=0,"",IF($S1500="NO ALLOC","NO ALLOC",ROUND($S1500*X1500,15)))</f>
        <v>0</v>
      </c>
      <c r="W1500" s="121">
        <f>IF(ABS(X1500)=0,"",IF($T1500="NO ALLOC","NO ALLOC",ROUND($T1500*X1500,15)))</f>
        <v>0</v>
      </c>
      <c r="X1500" s="121">
        <f t="shared" si="616"/>
        <v>-2289.3890204166701</v>
      </c>
      <c r="Y1500" s="121">
        <f>IF(ABS(AB1500)=0,"",IF($R1500="NO ALLOC","NO ALLOC",ROUND($R1500*AB1500,15)))</f>
        <v>-2935.9415399999998</v>
      </c>
      <c r="Z1500" s="121">
        <f>IF(ABS(AB1500)=0,"",IF($S1500="NO ALLOC","NO ALLOC",ROUND($S1500*AB1500,15)))</f>
        <v>0</v>
      </c>
      <c r="AA1500" s="121">
        <f>IF(ABS(AB1500)=0,"",IF($T1500="NO ALLOC","NO ALLOC",ROUND($T1500*AB1500,15)))</f>
        <v>0</v>
      </c>
      <c r="AB1500" s="121">
        <f t="shared" si="617"/>
        <v>-2935.9415400000007</v>
      </c>
      <c r="AC1500" s="121">
        <v>-1950.3523699999996</v>
      </c>
      <c r="AD1500" s="121">
        <v>-2004.5287599999995</v>
      </c>
      <c r="AE1500" s="121">
        <v>-2058.7052199999994</v>
      </c>
      <c r="AF1500" s="121">
        <v>-2112.8816699999993</v>
      </c>
      <c r="AG1500" s="121">
        <v>-2167.0581199999997</v>
      </c>
      <c r="AH1500" s="121">
        <v>-2221.2345699999996</v>
      </c>
      <c r="AI1500" s="161">
        <v>-2275.4110299999998</v>
      </c>
      <c r="AJ1500" s="161">
        <v>-2329.5874800000001</v>
      </c>
      <c r="AK1500" s="161">
        <v>-2383.7639300000001</v>
      </c>
      <c r="AL1500" s="161">
        <v>-2437.9403800000005</v>
      </c>
      <c r="AM1500" s="161">
        <v>-2492.1168400000001</v>
      </c>
      <c r="AN1500" s="161">
        <v>-2546.2932900000005</v>
      </c>
      <c r="AO1500" s="161">
        <v>-2935.9415400000007</v>
      </c>
      <c r="AP1500" s="125" t="str">
        <f>CONCATENATE(A1500,M1500)</f>
        <v>Def TaxR</v>
      </c>
      <c r="AQ1500" s="125" t="str">
        <f>CONCATENATE(AP1500,L1500,H1500)</f>
        <v>Def TaxRR11Funded DIT Tax True-up Deferral</v>
      </c>
      <c r="AS1500" s="125" t="str">
        <f>CONCATENATE(L1500,H1500,J1500)</f>
        <v>R11Funded DIT Tax True-up Deferral</v>
      </c>
    </row>
    <row r="1501" spans="1:45" s="125" customFormat="1" ht="25.5" customHeight="1">
      <c r="A1501" s="216" t="s">
        <v>1996</v>
      </c>
      <c r="B1501" s="217" t="str">
        <f>CONCATENATE(A1501,C1501,D1501,E1501)</f>
        <v>Def Tax283550BT030934</v>
      </c>
      <c r="C1501" s="186">
        <v>283550</v>
      </c>
      <c r="D1501" s="201"/>
      <c r="E1501" s="162" t="s">
        <v>4713</v>
      </c>
      <c r="F1501" s="169" t="s">
        <v>300</v>
      </c>
      <c r="G1501" s="117" t="s">
        <v>4528</v>
      </c>
      <c r="H1501" s="118" t="s">
        <v>4529</v>
      </c>
      <c r="I1501" s="119"/>
      <c r="J1501" s="120"/>
      <c r="K1501" s="120" t="str">
        <f>IF(L1501="N3","SFAS-109","")</f>
        <v/>
      </c>
      <c r="L1501" s="170" t="s">
        <v>2821</v>
      </c>
      <c r="M1501" s="122" t="str">
        <f>LEFT(L1501,1)</f>
        <v>N</v>
      </c>
      <c r="N1501" s="116" t="str">
        <f>IF($L1501&lt;&gt;"",VLOOKUP($L1501,Categories!$E:$G,2,FALSE),IF($F1501&lt;&gt;"","NO CAT",""))</f>
        <v>Not in Rate Base</v>
      </c>
      <c r="O1501" s="116" t="str">
        <f>IF($L1501&lt;&gt;"",VLOOKUP($L1501,Categories!$E:$G,3,FALSE),IF($F1501&lt;&gt;"","NO CAT",""))</f>
        <v>Deferrals Accruing Non-Cash Return   (other than ASGA)</v>
      </c>
      <c r="P1501" s="170" t="s">
        <v>1186</v>
      </c>
      <c r="Q1501" s="123" t="s">
        <v>1187</v>
      </c>
      <c r="R1501" s="124">
        <v>0</v>
      </c>
      <c r="S1501" s="124">
        <v>0</v>
      </c>
      <c r="T1501" s="124">
        <v>1</v>
      </c>
      <c r="U1501" s="121">
        <f>IF(ABS(X1501)=0,"",IF($R1501="NO ALLOC","NO ALLOC",ROUND($R1501*X1501,15)))</f>
        <v>0</v>
      </c>
      <c r="V1501" s="121">
        <f>IF(ABS(X1501)=0,"",IF($S1501="NO ALLOC","NO ALLOC",ROUND($S1501*X1501,15)))</f>
        <v>0</v>
      </c>
      <c r="W1501" s="121">
        <f>IF(ABS(X1501)=0,"",IF($T1501="NO ALLOC","NO ALLOC",ROUND($T1501*X1501,15)))</f>
        <v>981.03640833333304</v>
      </c>
      <c r="X1501" s="121">
        <f t="shared" si="616"/>
        <v>981.03640833333304</v>
      </c>
      <c r="Y1501" s="121">
        <f>IF(ABS(AB1501)=0,"",IF($R1501="NO ALLOC","NO ALLOC",ROUND($R1501*AB1501,15)))</f>
        <v>0</v>
      </c>
      <c r="Z1501" s="121">
        <f>IF(ABS(AB1501)=0,"",IF($S1501="NO ALLOC","NO ALLOC",ROUND($S1501*AB1501,15)))</f>
        <v>0</v>
      </c>
      <c r="AA1501" s="121">
        <f>IF(ABS(AB1501)=0,"",IF($T1501="NO ALLOC","NO ALLOC",ROUND($T1501*AB1501,15)))</f>
        <v>1287.5878600000001</v>
      </c>
      <c r="AB1501" s="121">
        <f t="shared" si="617"/>
        <v>1287.5878600000001</v>
      </c>
      <c r="AC1501" s="121">
        <v>513.37966000000006</v>
      </c>
      <c r="AD1501" s="121">
        <v>539.10028</v>
      </c>
      <c r="AE1501" s="121">
        <v>603.47743000000003</v>
      </c>
      <c r="AF1501" s="121">
        <v>859.26911000000007</v>
      </c>
      <c r="AG1501" s="121">
        <v>887.34158000000002</v>
      </c>
      <c r="AH1501" s="121">
        <v>759.05876999999998</v>
      </c>
      <c r="AI1501" s="161">
        <v>694.54066</v>
      </c>
      <c r="AJ1501" s="161">
        <v>664.82309999999995</v>
      </c>
      <c r="AK1501" s="161">
        <v>1618.1246899999999</v>
      </c>
      <c r="AL1501" s="161">
        <v>1505.04204</v>
      </c>
      <c r="AM1501" s="161">
        <v>1424.94434</v>
      </c>
      <c r="AN1501" s="161">
        <v>1316.2311400000001</v>
      </c>
      <c r="AO1501" s="161">
        <v>1287.5878600000001</v>
      </c>
      <c r="AP1501" s="125" t="str">
        <f>CONCATENATE(A1501,M1501)</f>
        <v>Def TaxN</v>
      </c>
      <c r="AQ1501" s="125" t="str">
        <f>CONCATENATE(AP1501,L1501,H1501)</f>
        <v>Def TaxNN10Reliability Support Services (RSS)</v>
      </c>
      <c r="AS1501" s="125" t="str">
        <f>CONCATENATE(L1501,H1501,J1501)</f>
        <v>N10Reliability Support Services (RSS)</v>
      </c>
    </row>
    <row r="1502" spans="1:45" s="125" customFormat="1" ht="25.5" customHeight="1">
      <c r="A1502" s="216" t="s">
        <v>1996</v>
      </c>
      <c r="B1502" s="217" t="str">
        <f>CONCATENATE(A1502,C1502,D1502,E1502)</f>
        <v>Def Tax283550BT010391</v>
      </c>
      <c r="C1502" s="186">
        <v>283550</v>
      </c>
      <c r="D1502" s="201"/>
      <c r="E1502" s="162" t="s">
        <v>4732</v>
      </c>
      <c r="F1502" s="169" t="s">
        <v>300</v>
      </c>
      <c r="G1502" s="117" t="s">
        <v>4731</v>
      </c>
      <c r="H1502" s="118" t="s">
        <v>4673</v>
      </c>
      <c r="I1502" s="119"/>
      <c r="J1502" s="120"/>
      <c r="K1502" s="120" t="str">
        <f>IF(L1502="N3","SFAS-109","")</f>
        <v/>
      </c>
      <c r="L1502" s="170" t="s">
        <v>1895</v>
      </c>
      <c r="M1502" s="122" t="str">
        <f>LEFT(L1502,1)</f>
        <v>R</v>
      </c>
      <c r="N1502" s="116" t="str">
        <f>IF($L1502&lt;&gt;"",VLOOKUP($L1502,Categories!$E:$G,2,FALSE),IF($F1502&lt;&gt;"","NO CAT",""))</f>
        <v>Rate Base</v>
      </c>
      <c r="O1502" s="116" t="str">
        <f>IF($L1502&lt;&gt;"",VLOOKUP($L1502,Categories!$E:$G,3,FALSE),IF($F1502&lt;&gt;"","NO CAT",""))</f>
        <v>Deferred Income Taxes</v>
      </c>
      <c r="P1502" s="170" t="s">
        <v>1183</v>
      </c>
      <c r="Q1502" s="123" t="s">
        <v>1177</v>
      </c>
      <c r="R1502" s="124">
        <v>1</v>
      </c>
      <c r="S1502" s="124">
        <v>0</v>
      </c>
      <c r="T1502" s="124">
        <v>0</v>
      </c>
      <c r="U1502" s="121">
        <f>IF(ABS(X1502)=0,"",IF($R1502="NO ALLOC","NO ALLOC",ROUND($R1502*X1502,15)))</f>
        <v>-240.07762500000001</v>
      </c>
      <c r="V1502" s="121">
        <f>IF(ABS(X1502)=0,"",IF($S1502="NO ALLOC","NO ALLOC",ROUND($S1502*X1502,15)))</f>
        <v>0</v>
      </c>
      <c r="W1502" s="121">
        <f>IF(ABS(X1502)=0,"",IF($T1502="NO ALLOC","NO ALLOC",ROUND($T1502*X1502,15)))</f>
        <v>0</v>
      </c>
      <c r="X1502" s="121">
        <f t="shared" si="616"/>
        <v>-240.07762500000001</v>
      </c>
      <c r="Y1502" s="121">
        <f>IF(ABS(AB1502)=0,"",IF($R1502="NO ALLOC","NO ALLOC",ROUND($R1502*AB1502,15)))</f>
        <v>-486.91800000000001</v>
      </c>
      <c r="Z1502" s="121">
        <f>IF(ABS(AB1502)=0,"",IF($S1502="NO ALLOC","NO ALLOC",ROUND($S1502*AB1502,15)))</f>
        <v>0</v>
      </c>
      <c r="AA1502" s="121">
        <f>IF(ABS(AB1502)=0,"",IF($T1502="NO ALLOC","NO ALLOC",ROUND($T1502*AB1502,15)))</f>
        <v>0</v>
      </c>
      <c r="AB1502" s="121">
        <f t="shared" si="617"/>
        <v>-486.91800000000001</v>
      </c>
      <c r="AC1502" s="121"/>
      <c r="AD1502" s="121"/>
      <c r="AE1502" s="121">
        <v>-81.153000000000006</v>
      </c>
      <c r="AF1502" s="121">
        <v>-121.7295</v>
      </c>
      <c r="AG1502" s="121">
        <v>-162.30600000000001</v>
      </c>
      <c r="AH1502" s="121">
        <v>-202.88249999999999</v>
      </c>
      <c r="AI1502" s="161">
        <v>-243.459</v>
      </c>
      <c r="AJ1502" s="161">
        <v>-284.03550000000001</v>
      </c>
      <c r="AK1502" s="161">
        <v>-324.61200000000002</v>
      </c>
      <c r="AL1502" s="161">
        <v>-365.18849999999998</v>
      </c>
      <c r="AM1502" s="161">
        <v>-405.76499999999999</v>
      </c>
      <c r="AN1502" s="161">
        <v>-446.3415</v>
      </c>
      <c r="AO1502" s="161">
        <v>-486.91800000000001</v>
      </c>
      <c r="AP1502" s="125" t="str">
        <f>CONCATENATE(A1502,M1502)</f>
        <v>Def TaxR</v>
      </c>
      <c r="AQ1502" s="125" t="str">
        <f>CONCATENATE(AP1502,L1502,H1502)</f>
        <v>Def TaxRR11Continuation of Current Amorts Until New Rates Reset</v>
      </c>
      <c r="AS1502" s="125" t="str">
        <f>CONCATENATE(L1502,H1502,J1502)</f>
        <v>R11Continuation of Current Amorts Until New Rates Reset</v>
      </c>
    </row>
    <row r="1503" spans="1:45" s="125" customFormat="1" ht="25.5" customHeight="1">
      <c r="A1503" s="216" t="s">
        <v>1996</v>
      </c>
      <c r="B1503" s="217" t="str">
        <f>CONCATENATE(A1503,C1503,D1503,E1503)</f>
        <v>Def Tax283550Hung DeferredBEHUNGDT</v>
      </c>
      <c r="C1503" s="186">
        <v>283550</v>
      </c>
      <c r="D1503" s="201" t="s">
        <v>4395</v>
      </c>
      <c r="E1503" s="162" t="s">
        <v>4396</v>
      </c>
      <c r="F1503" s="169" t="s">
        <v>300</v>
      </c>
      <c r="G1503" s="117" t="s">
        <v>4402</v>
      </c>
      <c r="H1503" s="118" t="s">
        <v>1167</v>
      </c>
      <c r="I1503" s="119"/>
      <c r="J1503" s="120"/>
      <c r="K1503" s="120" t="str">
        <f>IF(L1503="N3","SFAS-109","")</f>
        <v/>
      </c>
      <c r="L1503" s="170" t="s">
        <v>1895</v>
      </c>
      <c r="M1503" s="122" t="str">
        <f>LEFT(L1503,1)</f>
        <v>R</v>
      </c>
      <c r="N1503" s="116" t="str">
        <f>IF($L1503&lt;&gt;"",VLOOKUP($L1503,Categories!$E:$G,2,FALSE),IF($F1503&lt;&gt;"","NO CAT",""))</f>
        <v>Rate Base</v>
      </c>
      <c r="O1503" s="116" t="str">
        <f>IF($L1503&lt;&gt;"",VLOOKUP($L1503,Categories!$E:$G,3,FALSE),IF($F1503&lt;&gt;"","NO CAT",""))</f>
        <v>Deferred Income Taxes</v>
      </c>
      <c r="P1503" s="170" t="s">
        <v>1183</v>
      </c>
      <c r="Q1503" s="123" t="s">
        <v>1177</v>
      </c>
      <c r="R1503" s="124">
        <v>1</v>
      </c>
      <c r="S1503" s="124">
        <v>0</v>
      </c>
      <c r="T1503" s="124">
        <v>0</v>
      </c>
      <c r="U1503" s="121" t="str">
        <f>IF(ABS(X1503)=0,"",IF($R1503="NO ALLOC","NO ALLOC",ROUND($R1503*X1503,15)))</f>
        <v/>
      </c>
      <c r="V1503" s="121" t="str">
        <f>IF(ABS(X1503)=0,"",IF($S1503="NO ALLOC","NO ALLOC",ROUND($S1503*X1503,15)))</f>
        <v/>
      </c>
      <c r="W1503" s="121" t="str">
        <f>IF(ABS(X1503)=0,"",IF($T1503="NO ALLOC","NO ALLOC",ROUND($T1503*X1503,15)))</f>
        <v/>
      </c>
      <c r="X1503" s="121">
        <f t="shared" si="616"/>
        <v>0</v>
      </c>
      <c r="Y1503" s="121" t="str">
        <f>IF(ABS(AB1503)=0,"",IF($R1503="NO ALLOC","NO ALLOC",ROUND($R1503*AB1503,15)))</f>
        <v/>
      </c>
      <c r="Z1503" s="121" t="str">
        <f>IF(ABS(AB1503)=0,"",IF($S1503="NO ALLOC","NO ALLOC",ROUND($S1503*AB1503,15)))</f>
        <v/>
      </c>
      <c r="AA1503" s="121" t="str">
        <f>IF(ABS(AB1503)=0,"",IF($T1503="NO ALLOC","NO ALLOC",ROUND($T1503*AB1503,15)))</f>
        <v/>
      </c>
      <c r="AB1503" s="121">
        <f t="shared" si="617"/>
        <v>0</v>
      </c>
      <c r="AC1503" s="121">
        <v>0</v>
      </c>
      <c r="AD1503" s="121">
        <v>0</v>
      </c>
      <c r="AE1503" s="121">
        <v>0</v>
      </c>
      <c r="AF1503" s="121">
        <v>0</v>
      </c>
      <c r="AG1503" s="121">
        <v>0</v>
      </c>
      <c r="AH1503" s="121">
        <v>0</v>
      </c>
      <c r="AI1503" s="121">
        <v>0</v>
      </c>
      <c r="AJ1503" s="121">
        <f>IF(AI1503=0,0,0)</f>
        <v>0</v>
      </c>
      <c r="AK1503" s="161">
        <v>0</v>
      </c>
      <c r="AL1503" s="161">
        <v>0</v>
      </c>
      <c r="AM1503" s="161">
        <v>0</v>
      </c>
      <c r="AN1503" s="161">
        <v>0</v>
      </c>
      <c r="AO1503" s="161">
        <v>0</v>
      </c>
      <c r="AP1503" s="125" t="str">
        <f>CONCATENATE(A1503,M1503)</f>
        <v>Def TaxR</v>
      </c>
      <c r="AQ1503" s="125" t="str">
        <f>CONCATENATE(AP1503,L1503,H1503)</f>
        <v>Def TaxRR11Hung Deferred Taxes</v>
      </c>
      <c r="AS1503" s="125" t="str">
        <f>CONCATENATE(L1503,H1503,J1503)</f>
        <v>R11Hung Deferred Taxes</v>
      </c>
    </row>
    <row r="1504" spans="1:45" s="125" customFormat="1" ht="25.5" customHeight="1">
      <c r="A1504" s="216" t="s">
        <v>1996</v>
      </c>
      <c r="B1504" s="217" t="str">
        <f>CONCATENATE(A1504,C1504,D1504,E1504)</f>
        <v>Def Tax283550BE030597</v>
      </c>
      <c r="C1504" s="186">
        <v>283550</v>
      </c>
      <c r="D1504" s="201"/>
      <c r="E1504" s="162" t="s">
        <v>1935</v>
      </c>
      <c r="F1504" s="169" t="s">
        <v>300</v>
      </c>
      <c r="G1504" s="117" t="s">
        <v>4543</v>
      </c>
      <c r="H1504" s="118" t="s">
        <v>2574</v>
      </c>
      <c r="I1504" s="119"/>
      <c r="J1504" s="231" t="s">
        <v>105</v>
      </c>
      <c r="K1504" s="120" t="str">
        <f>IF(L1504="N3","SFAS-109","")</f>
        <v/>
      </c>
      <c r="L1504" s="170" t="s">
        <v>2821</v>
      </c>
      <c r="M1504" s="122" t="str">
        <f t="shared" ref="M1504" si="618">LEFT(L1504,1)</f>
        <v>N</v>
      </c>
      <c r="N1504" s="116" t="str">
        <f>IF($L1504&lt;&gt;"",VLOOKUP($L1504,Categories!$E:$G,2,FALSE),IF($F1504&lt;&gt;"","NO CAT",""))</f>
        <v>Not in Rate Base</v>
      </c>
      <c r="O1504" s="116" t="str">
        <f>IF($L1504&lt;&gt;"",VLOOKUP($L1504,Categories!$E:$G,3,FALSE),IF($F1504&lt;&gt;"","NO CAT",""))</f>
        <v>Deferrals Accruing Non-Cash Return   (other than ASGA)</v>
      </c>
      <c r="P1504" s="170" t="s">
        <v>1186</v>
      </c>
      <c r="Q1504" s="123" t="s">
        <v>1187</v>
      </c>
      <c r="R1504" s="124">
        <v>0</v>
      </c>
      <c r="S1504" s="124">
        <v>0</v>
      </c>
      <c r="T1504" s="124">
        <v>1</v>
      </c>
      <c r="U1504" s="121">
        <f>IF(ABS(X1504)=0,"",IF($R1504="NO ALLOC","NO ALLOC",ROUND($R1504*X1504,15)))</f>
        <v>0</v>
      </c>
      <c r="V1504" s="121">
        <f>IF(ABS(X1504)=0,"",IF($S1504="NO ALLOC","NO ALLOC",ROUND($S1504*X1504,15)))</f>
        <v>0</v>
      </c>
      <c r="W1504" s="121">
        <f>IF(ABS(X1504)=0,"",IF($T1504="NO ALLOC","NO ALLOC",ROUND($T1504*X1504,15)))</f>
        <v>-0.25345583333333299</v>
      </c>
      <c r="X1504" s="121">
        <f t="shared" si="616"/>
        <v>-0.25345583333333299</v>
      </c>
      <c r="Y1504" s="121">
        <f>IF(ABS(AB1504)=0,"",IF($R1504="NO ALLOC","NO ALLOC",ROUND($R1504*AB1504,15)))</f>
        <v>0</v>
      </c>
      <c r="Z1504" s="121">
        <f>IF(ABS(AB1504)=0,"",IF($S1504="NO ALLOC","NO ALLOC",ROUND($S1504*AB1504,15)))</f>
        <v>0</v>
      </c>
      <c r="AA1504" s="121">
        <f>IF(ABS(AB1504)=0,"",IF($T1504="NO ALLOC","NO ALLOC",ROUND($T1504*AB1504,15)))</f>
        <v>-6.0829399999999998</v>
      </c>
      <c r="AB1504" s="121">
        <f t="shared" si="617"/>
        <v>-6.0829399999999998</v>
      </c>
      <c r="AC1504" s="121"/>
      <c r="AD1504" s="121"/>
      <c r="AE1504" s="121"/>
      <c r="AF1504" s="121"/>
      <c r="AG1504" s="121"/>
      <c r="AH1504" s="121"/>
      <c r="AI1504" s="121"/>
      <c r="AJ1504" s="121"/>
      <c r="AK1504" s="161"/>
      <c r="AL1504" s="161"/>
      <c r="AM1504" s="161"/>
      <c r="AN1504" s="161"/>
      <c r="AO1504" s="161">
        <v>-6.0829399999999998</v>
      </c>
      <c r="AP1504" s="125" t="str">
        <f>CONCATENATE(A1504,M1504)</f>
        <v>Def TaxN</v>
      </c>
      <c r="AQ1504" s="125" t="str">
        <f>CONCATENATE(AP1504,L1504,H1504)</f>
        <v>Def TaxNN10CAIDI/SAIFI Study</v>
      </c>
      <c r="AS1504" s="125" t="str">
        <f>CONCATENATE(L1504,H1504,J1504)</f>
        <v>N10CAIDI/SAIFI StudyNCR</v>
      </c>
    </row>
    <row r="1505" spans="1:45" s="125" customFormat="1" ht="25.5" customHeight="1">
      <c r="A1505" s="216" t="s">
        <v>1996</v>
      </c>
      <c r="B1505" s="217" t="str">
        <f t="shared" si="607"/>
        <v>Def Tax283560AMIIBT010288</v>
      </c>
      <c r="C1505" s="186">
        <v>283560</v>
      </c>
      <c r="D1505" s="201" t="s">
        <v>1307</v>
      </c>
      <c r="E1505" s="162" t="s">
        <v>871</v>
      </c>
      <c r="F1505" s="169" t="s">
        <v>905</v>
      </c>
      <c r="G1505" s="117" t="s">
        <v>2260</v>
      </c>
      <c r="H1505" s="118" t="s">
        <v>1307</v>
      </c>
      <c r="I1505" s="119"/>
      <c r="J1505" s="120"/>
      <c r="K1505" s="120" t="str">
        <f t="shared" ref="K1505:K1516" si="619">IF(L1505="N3","SFAS-109","")</f>
        <v/>
      </c>
      <c r="L1505" s="170" t="s">
        <v>928</v>
      </c>
      <c r="M1505" s="122" t="str">
        <f t="shared" si="603"/>
        <v>N</v>
      </c>
      <c r="N1505" s="116" t="str">
        <f>IF($L1505&lt;&gt;"",VLOOKUP($L1505,Categories!$E:$G,2,FALSE),IF($F1505&lt;&gt;"","NO CAT",""))</f>
        <v>Not in Rate Base</v>
      </c>
      <c r="O1505" s="116" t="str">
        <f>IF($L1505&lt;&gt;"",VLOOKUP($L1505,Categories!$E:$G,3,FALSE),IF($F1505&lt;&gt;"","NO CAT",""))</f>
        <v>Direct Assign Items Not in RB</v>
      </c>
      <c r="P1505" s="170" t="s">
        <v>1186</v>
      </c>
      <c r="Q1505" s="123" t="s">
        <v>1187</v>
      </c>
      <c r="R1505" s="124">
        <v>0</v>
      </c>
      <c r="S1505" s="124">
        <v>0</v>
      </c>
      <c r="T1505" s="124">
        <v>1</v>
      </c>
      <c r="U1505" s="121">
        <f t="shared" si="609"/>
        <v>0</v>
      </c>
      <c r="V1505" s="121">
        <f t="shared" si="610"/>
        <v>0</v>
      </c>
      <c r="W1505" s="121">
        <f t="shared" si="611"/>
        <v>2.3000000000000001E-4</v>
      </c>
      <c r="X1505" s="121">
        <f t="shared" si="616"/>
        <v>2.3000000000000001E-4</v>
      </c>
      <c r="Y1505" s="121">
        <f t="shared" si="612"/>
        <v>0</v>
      </c>
      <c r="Z1505" s="121">
        <f t="shared" si="613"/>
        <v>0</v>
      </c>
      <c r="AA1505" s="121">
        <f t="shared" si="614"/>
        <v>2.3000000000000001E-4</v>
      </c>
      <c r="AB1505" s="121">
        <f t="shared" si="617"/>
        <v>2.299999999999136E-4</v>
      </c>
      <c r="AC1505" s="121">
        <v>2.299999999999136E-4</v>
      </c>
      <c r="AD1505" s="121">
        <v>2.299999999999136E-4</v>
      </c>
      <c r="AE1505" s="121">
        <v>2.299999999999136E-4</v>
      </c>
      <c r="AF1505" s="121">
        <v>2.299999999999136E-4</v>
      </c>
      <c r="AG1505" s="121">
        <v>2.299999999999136E-4</v>
      </c>
      <c r="AH1505" s="121">
        <v>2.299999999999136E-4</v>
      </c>
      <c r="AI1505" s="161">
        <v>2.299999999999136E-4</v>
      </c>
      <c r="AJ1505" s="161">
        <v>2.299999999999136E-4</v>
      </c>
      <c r="AK1505" s="161">
        <v>2.299999999999136E-4</v>
      </c>
      <c r="AL1505" s="161">
        <v>2.299999999999136E-4</v>
      </c>
      <c r="AM1505" s="161">
        <v>2.299999999999136E-4</v>
      </c>
      <c r="AN1505" s="161">
        <v>2.299999999999136E-4</v>
      </c>
      <c r="AO1505" s="161">
        <v>2.299999999999136E-4</v>
      </c>
      <c r="AP1505" s="125" t="str">
        <f>CONCATENATE(A1505,M1505)</f>
        <v>Def TaxN</v>
      </c>
      <c r="AQ1505" s="125" t="str">
        <f>CONCATENATE(AP1505,L1505,H1505)</f>
        <v>Def TaxNN2AMII</v>
      </c>
      <c r="AS1505" s="125" t="str">
        <f>CONCATENATE(L1505,H1505,J1505)</f>
        <v>N2AMII</v>
      </c>
    </row>
    <row r="1506" spans="1:45" s="125" customFormat="1" ht="25.5" customHeight="1">
      <c r="A1506" s="216" t="s">
        <v>1996</v>
      </c>
      <c r="B1506" s="217" t="str">
        <f t="shared" si="607"/>
        <v>Def Tax283560AROBT010323</v>
      </c>
      <c r="C1506" s="186">
        <v>283560</v>
      </c>
      <c r="D1506" s="201" t="s">
        <v>993</v>
      </c>
      <c r="E1506" s="162" t="s">
        <v>1197</v>
      </c>
      <c r="F1506" s="169" t="s">
        <v>905</v>
      </c>
      <c r="G1506" s="117" t="s">
        <v>1196</v>
      </c>
      <c r="H1506" s="118" t="s">
        <v>972</v>
      </c>
      <c r="I1506" s="119"/>
      <c r="J1506" s="231"/>
      <c r="K1506" s="120" t="str">
        <f t="shared" si="619"/>
        <v/>
      </c>
      <c r="L1506" s="170" t="s">
        <v>928</v>
      </c>
      <c r="M1506" s="122" t="str">
        <f t="shared" si="603"/>
        <v>N</v>
      </c>
      <c r="N1506" s="116" t="str">
        <f>IF($L1506&lt;&gt;"",VLOOKUP($L1506,Categories!$E:$G,2,FALSE),IF($F1506&lt;&gt;"","NO CAT",""))</f>
        <v>Not in Rate Base</v>
      </c>
      <c r="O1506" s="116" t="str">
        <f>IF($L1506&lt;&gt;"",VLOOKUP($L1506,Categories!$E:$G,3,FALSE),IF($F1506&lt;&gt;"","NO CAT",""))</f>
        <v>Direct Assign Items Not in RB</v>
      </c>
      <c r="P1506" s="170" t="s">
        <v>1186</v>
      </c>
      <c r="Q1506" s="123" t="s">
        <v>1187</v>
      </c>
      <c r="R1506" s="124">
        <v>0</v>
      </c>
      <c r="S1506" s="124">
        <v>0</v>
      </c>
      <c r="T1506" s="124">
        <v>1</v>
      </c>
      <c r="U1506" s="121">
        <f t="shared" si="609"/>
        <v>0</v>
      </c>
      <c r="V1506" s="121">
        <f t="shared" si="610"/>
        <v>0</v>
      </c>
      <c r="W1506" s="121">
        <f t="shared" si="611"/>
        <v>-930.357284166667</v>
      </c>
      <c r="X1506" s="121">
        <f t="shared" si="616"/>
        <v>-930.357284166667</v>
      </c>
      <c r="Y1506" s="121">
        <f t="shared" si="612"/>
        <v>0</v>
      </c>
      <c r="Z1506" s="121">
        <f t="shared" si="613"/>
        <v>0</v>
      </c>
      <c r="AA1506" s="121">
        <f t="shared" si="614"/>
        <v>-803.07407999999998</v>
      </c>
      <c r="AB1506" s="121">
        <f t="shared" si="617"/>
        <v>-803.07407999999998</v>
      </c>
      <c r="AC1506" s="121">
        <v>-959.48878000000013</v>
      </c>
      <c r="AD1506" s="121">
        <v>-961.82032000000015</v>
      </c>
      <c r="AE1506" s="121">
        <v>-964.16434000000015</v>
      </c>
      <c r="AF1506" s="121">
        <v>-966.52093000000013</v>
      </c>
      <c r="AG1506" s="121">
        <v>-968.89013000000011</v>
      </c>
      <c r="AH1506" s="121">
        <v>-971.27199000000007</v>
      </c>
      <c r="AI1506" s="161">
        <v>-973.66658000000007</v>
      </c>
      <c r="AJ1506" s="161">
        <v>-976.07395000000008</v>
      </c>
      <c r="AK1506" s="161">
        <v>-978.49414999999999</v>
      </c>
      <c r="AL1506" s="161">
        <v>-859.38069000000007</v>
      </c>
      <c r="AM1506" s="161">
        <v>-862.35179000000005</v>
      </c>
      <c r="AN1506" s="161">
        <v>-800.37110999999993</v>
      </c>
      <c r="AO1506" s="161">
        <v>-803.07407999999998</v>
      </c>
      <c r="AP1506" s="125" t="str">
        <f>CONCATENATE(A1506,M1506)</f>
        <v>Def TaxN</v>
      </c>
      <c r="AQ1506" s="125" t="str">
        <f>CONCATENATE(AP1506,L1506,H1506)</f>
        <v>Def TaxNN2Asset Retirement Obligation</v>
      </c>
      <c r="AS1506" s="125" t="str">
        <f>CONCATENATE(L1506,H1506,J1506)</f>
        <v>N2Asset Retirement Obligation</v>
      </c>
    </row>
    <row r="1507" spans="1:45" s="125" customFormat="1" ht="25.5" customHeight="1">
      <c r="A1507" s="216" t="s">
        <v>1996</v>
      </c>
      <c r="B1507" s="217" t="str">
        <f t="shared" si="607"/>
        <v>Def Tax283560Reacq Debt AdjBT010371</v>
      </c>
      <c r="C1507" s="186">
        <v>283560</v>
      </c>
      <c r="D1507" s="201" t="s">
        <v>427</v>
      </c>
      <c r="E1507" s="162" t="s">
        <v>4706</v>
      </c>
      <c r="F1507" s="169" t="s">
        <v>905</v>
      </c>
      <c r="G1507" s="117" t="s">
        <v>426</v>
      </c>
      <c r="H1507" s="118" t="s">
        <v>45</v>
      </c>
      <c r="I1507" s="119"/>
      <c r="J1507" s="231"/>
      <c r="K1507" s="120" t="str">
        <f t="shared" si="619"/>
        <v/>
      </c>
      <c r="L1507" s="170" t="s">
        <v>1895</v>
      </c>
      <c r="M1507" s="122" t="str">
        <f t="shared" si="603"/>
        <v>R</v>
      </c>
      <c r="N1507" s="116" t="str">
        <f>IF($L1507&lt;&gt;"",VLOOKUP($L1507,Categories!$E:$G,2,FALSE),IF($F1507&lt;&gt;"","NO CAT",""))</f>
        <v>Rate Base</v>
      </c>
      <c r="O1507" s="116" t="str">
        <f>IF($L1507&lt;&gt;"",VLOOKUP($L1507,Categories!$E:$G,3,FALSE),IF($F1507&lt;&gt;"","NO CAT",""))</f>
        <v>Deferred Income Taxes</v>
      </c>
      <c r="P1507" s="170" t="s">
        <v>1184</v>
      </c>
      <c r="Q1507" s="123" t="s">
        <v>1178</v>
      </c>
      <c r="R1507" s="124">
        <v>0</v>
      </c>
      <c r="S1507" s="124">
        <v>1</v>
      </c>
      <c r="T1507" s="124">
        <v>0</v>
      </c>
      <c r="U1507" s="121">
        <f t="shared" si="609"/>
        <v>0</v>
      </c>
      <c r="V1507" s="121">
        <f t="shared" si="610"/>
        <v>-58.255140000000203</v>
      </c>
      <c r="W1507" s="121">
        <f t="shared" si="611"/>
        <v>0</v>
      </c>
      <c r="X1507" s="121">
        <f t="shared" si="616"/>
        <v>-58.255140000000203</v>
      </c>
      <c r="Y1507" s="121">
        <f t="shared" si="612"/>
        <v>0</v>
      </c>
      <c r="Z1507" s="121">
        <f t="shared" si="613"/>
        <v>-58.255140000000203</v>
      </c>
      <c r="AA1507" s="121">
        <f t="shared" si="614"/>
        <v>0</v>
      </c>
      <c r="AB1507" s="121">
        <f>IF(AO1507="",0,+AO1507)</f>
        <v>-58.255140000000225</v>
      </c>
      <c r="AC1507" s="121">
        <v>-58.255140000000225</v>
      </c>
      <c r="AD1507" s="121">
        <v>-58.255140000000225</v>
      </c>
      <c r="AE1507" s="121">
        <v>-58.255140000000225</v>
      </c>
      <c r="AF1507" s="121">
        <v>-58.255140000000225</v>
      </c>
      <c r="AG1507" s="121">
        <v>-58.255140000000225</v>
      </c>
      <c r="AH1507" s="121">
        <v>-58.255140000000225</v>
      </c>
      <c r="AI1507" s="161">
        <v>-58.255140000000225</v>
      </c>
      <c r="AJ1507" s="161">
        <v>-58.255140000000225</v>
      </c>
      <c r="AK1507" s="161">
        <v>-58.255140000000225</v>
      </c>
      <c r="AL1507" s="161">
        <v>-58.255140000000225</v>
      </c>
      <c r="AM1507" s="161">
        <v>-58.255140000000225</v>
      </c>
      <c r="AN1507" s="161">
        <v>-58.255140000000225</v>
      </c>
      <c r="AO1507" s="161">
        <v>-58.255140000000225</v>
      </c>
      <c r="AP1507" s="125" t="str">
        <f>CONCATENATE(A1507,M1507)</f>
        <v>Def TaxR</v>
      </c>
      <c r="AQ1507" s="125" t="str">
        <f>CONCATENATE(AP1507,L1507,H1507)</f>
        <v>Def TaxRR11Gain / Loss on Reacquired Debt</v>
      </c>
      <c r="AS1507" s="125" t="str">
        <f>CONCATENATE(L1507,H1507,J1507)</f>
        <v>R11Gain / Loss on Reacquired Debt</v>
      </c>
    </row>
    <row r="1508" spans="1:45" s="125" customFormat="1" ht="25.5" customHeight="1">
      <c r="A1508" s="216" t="s">
        <v>1996</v>
      </c>
      <c r="B1508" s="217" t="str">
        <f t="shared" si="607"/>
        <v>Def Tax2835600-286.01.32BG030147</v>
      </c>
      <c r="C1508" s="186">
        <v>283560</v>
      </c>
      <c r="D1508" s="201" t="s">
        <v>904</v>
      </c>
      <c r="E1508" s="162" t="s">
        <v>2687</v>
      </c>
      <c r="F1508" s="169" t="s">
        <v>905</v>
      </c>
      <c r="G1508" s="117" t="s">
        <v>2258</v>
      </c>
      <c r="H1508" s="118" t="s">
        <v>102</v>
      </c>
      <c r="I1508" s="119"/>
      <c r="J1508" s="120"/>
      <c r="K1508" s="120" t="str">
        <f t="shared" si="619"/>
        <v/>
      </c>
      <c r="L1508" s="170" t="s">
        <v>1895</v>
      </c>
      <c r="M1508" s="122" t="str">
        <f t="shared" si="603"/>
        <v>R</v>
      </c>
      <c r="N1508" s="116" t="str">
        <f>IF($L1508&lt;&gt;"",VLOOKUP($L1508,Categories!$E:$G,2,FALSE),IF($F1508&lt;&gt;"","NO CAT",""))</f>
        <v>Rate Base</v>
      </c>
      <c r="O1508" s="116" t="str">
        <f>IF($L1508&lt;&gt;"",VLOOKUP($L1508,Categories!$E:$G,3,FALSE),IF($F1508&lt;&gt;"","NO CAT",""))</f>
        <v>Deferred Income Taxes</v>
      </c>
      <c r="P1508" s="170" t="s">
        <v>1184</v>
      </c>
      <c r="Q1508" s="123" t="s">
        <v>1178</v>
      </c>
      <c r="R1508" s="124">
        <v>0</v>
      </c>
      <c r="S1508" s="124">
        <v>1</v>
      </c>
      <c r="T1508" s="124">
        <v>0</v>
      </c>
      <c r="U1508" s="121">
        <f t="shared" si="609"/>
        <v>0</v>
      </c>
      <c r="V1508" s="121">
        <f t="shared" si="610"/>
        <v>2.6130416666666E-2</v>
      </c>
      <c r="W1508" s="121">
        <f t="shared" si="611"/>
        <v>0</v>
      </c>
      <c r="X1508" s="121">
        <f t="shared" si="616"/>
        <v>2.6130416666666E-2</v>
      </c>
      <c r="Y1508" s="121">
        <f t="shared" si="612"/>
        <v>0</v>
      </c>
      <c r="Z1508" s="121">
        <f t="shared" si="613"/>
        <v>3.6889999999999E-2</v>
      </c>
      <c r="AA1508" s="121">
        <f t="shared" si="614"/>
        <v>0</v>
      </c>
      <c r="AB1508" s="121">
        <f t="shared" si="617"/>
        <v>3.6889999999999416E-2</v>
      </c>
      <c r="AC1508" s="121">
        <v>0</v>
      </c>
      <c r="AD1508" s="121">
        <v>3.6889999999999416E-2</v>
      </c>
      <c r="AE1508" s="121">
        <v>0</v>
      </c>
      <c r="AF1508" s="121">
        <v>0</v>
      </c>
      <c r="AG1508" s="121">
        <v>0</v>
      </c>
      <c r="AH1508" s="121">
        <v>3.6889999999999416E-2</v>
      </c>
      <c r="AI1508" s="161">
        <v>3.6889999999999416E-2</v>
      </c>
      <c r="AJ1508" s="161">
        <v>3.6889999999999416E-2</v>
      </c>
      <c r="AK1508" s="161">
        <v>3.6889999999999416E-2</v>
      </c>
      <c r="AL1508" s="161">
        <v>3.6889999999999416E-2</v>
      </c>
      <c r="AM1508" s="161">
        <v>3.6889999999999416E-2</v>
      </c>
      <c r="AN1508" s="161">
        <v>3.6889999999999416E-2</v>
      </c>
      <c r="AO1508" s="161">
        <v>3.6889999999999416E-2</v>
      </c>
      <c r="AP1508" s="125" t="str">
        <f>CONCATENATE(A1508,M1508)</f>
        <v>Def TaxR</v>
      </c>
      <c r="AQ1508" s="125" t="str">
        <f>CONCATENATE(AP1508,L1508,H1508)</f>
        <v>Def TaxRR11Deferred Gas Costs</v>
      </c>
      <c r="AS1508" s="125" t="str">
        <f>CONCATENATE(L1508,H1508,J1508)</f>
        <v>R11Deferred Gas Costs</v>
      </c>
    </row>
    <row r="1509" spans="1:45" s="125" customFormat="1" ht="25.5" customHeight="1">
      <c r="A1509" s="216" t="s">
        <v>1996</v>
      </c>
      <c r="B1509" s="217" t="str">
        <f t="shared" si="607"/>
        <v>Def Tax283560Outreach &amp; EdBT010156</v>
      </c>
      <c r="C1509" s="186">
        <v>283560</v>
      </c>
      <c r="D1509" s="201" t="s">
        <v>898</v>
      </c>
      <c r="E1509" s="162" t="s">
        <v>1282</v>
      </c>
      <c r="F1509" s="169" t="s">
        <v>905</v>
      </c>
      <c r="G1509" s="117" t="s">
        <v>897</v>
      </c>
      <c r="H1509" s="118" t="s">
        <v>1493</v>
      </c>
      <c r="I1509" s="119"/>
      <c r="J1509" s="231" t="s">
        <v>105</v>
      </c>
      <c r="K1509" s="120" t="str">
        <f t="shared" si="619"/>
        <v/>
      </c>
      <c r="L1509" s="170" t="s">
        <v>2821</v>
      </c>
      <c r="M1509" s="122" t="str">
        <f t="shared" si="603"/>
        <v>N</v>
      </c>
      <c r="N1509" s="116" t="str">
        <f>IF($L1509&lt;&gt;"",VLOOKUP($L1509,Categories!$E:$G,2,FALSE),IF($F1509&lt;&gt;"","NO CAT",""))</f>
        <v>Not in Rate Base</v>
      </c>
      <c r="O1509" s="116" t="str">
        <f>IF($L1509&lt;&gt;"",VLOOKUP($L1509,Categories!$E:$G,3,FALSE),IF($F1509&lt;&gt;"","NO CAT",""))</f>
        <v>Deferrals Accruing Non-Cash Return   (other than ASGA)</v>
      </c>
      <c r="P1509" s="170" t="s">
        <v>1186</v>
      </c>
      <c r="Q1509" s="123" t="s">
        <v>1187</v>
      </c>
      <c r="R1509" s="124">
        <v>0</v>
      </c>
      <c r="S1509" s="124">
        <v>0</v>
      </c>
      <c r="T1509" s="124">
        <v>1</v>
      </c>
      <c r="U1509" s="121">
        <f t="shared" si="609"/>
        <v>0</v>
      </c>
      <c r="V1509" s="121">
        <f t="shared" si="610"/>
        <v>0</v>
      </c>
      <c r="W1509" s="121">
        <f t="shared" si="611"/>
        <v>-19.928526666666698</v>
      </c>
      <c r="X1509" s="121">
        <f t="shared" si="616"/>
        <v>-19.928526666666698</v>
      </c>
      <c r="Y1509" s="121">
        <f t="shared" si="612"/>
        <v>0</v>
      </c>
      <c r="Z1509" s="121">
        <f t="shared" si="613"/>
        <v>0</v>
      </c>
      <c r="AA1509" s="121">
        <f t="shared" si="614"/>
        <v>-20.538599999999999</v>
      </c>
      <c r="AB1509" s="121">
        <f t="shared" si="617"/>
        <v>-20.538599999999999</v>
      </c>
      <c r="AC1509" s="121">
        <v>-19.330899999999993</v>
      </c>
      <c r="AD1509" s="121">
        <v>-19.428689999999996</v>
      </c>
      <c r="AE1509" s="121">
        <v>-19.526999999999997</v>
      </c>
      <c r="AF1509" s="121">
        <v>-19.625809999999998</v>
      </c>
      <c r="AG1509" s="121">
        <v>-19.72514</v>
      </c>
      <c r="AH1509" s="121">
        <v>-19.82498</v>
      </c>
      <c r="AI1509" s="161">
        <v>-19.925349999999998</v>
      </c>
      <c r="AJ1509" s="161">
        <v>-20.026239999999998</v>
      </c>
      <c r="AK1509" s="161">
        <v>-20.127649999999999</v>
      </c>
      <c r="AL1509" s="161">
        <v>-20.229589999999998</v>
      </c>
      <c r="AM1509" s="161">
        <v>-20.332059999999998</v>
      </c>
      <c r="AN1509" s="161">
        <v>-20.435059999999996</v>
      </c>
      <c r="AO1509" s="161">
        <v>-20.538599999999999</v>
      </c>
      <c r="AP1509" s="125" t="str">
        <f>CONCATENATE(A1509,M1509)</f>
        <v>Def TaxN</v>
      </c>
      <c r="AQ1509" s="125" t="str">
        <f>CONCATENATE(AP1509,L1509,H1509)</f>
        <v>Def TaxNN10Outreach &amp; Education</v>
      </c>
      <c r="AS1509" s="125" t="str">
        <f>CONCATENATE(L1509,H1509,J1509)</f>
        <v>N10Outreach &amp; EducationNCR</v>
      </c>
    </row>
    <row r="1510" spans="1:45" s="125" customFormat="1" ht="25.5" customHeight="1">
      <c r="A1510" s="216" t="s">
        <v>1996</v>
      </c>
      <c r="B1510" s="217" t="str">
        <f t="shared" si="607"/>
        <v>Def Tax2835600-286.01.33BG030147</v>
      </c>
      <c r="C1510" s="186">
        <v>283560</v>
      </c>
      <c r="D1510" s="201" t="s">
        <v>485</v>
      </c>
      <c r="E1510" s="162" t="s">
        <v>2687</v>
      </c>
      <c r="F1510" s="169" t="s">
        <v>905</v>
      </c>
      <c r="G1510" s="117" t="s">
        <v>2259</v>
      </c>
      <c r="H1510" s="118" t="s">
        <v>102</v>
      </c>
      <c r="I1510" s="119"/>
      <c r="J1510" s="120"/>
      <c r="K1510" s="120" t="str">
        <f t="shared" si="619"/>
        <v/>
      </c>
      <c r="L1510" s="170" t="s">
        <v>928</v>
      </c>
      <c r="M1510" s="122" t="str">
        <f t="shared" si="603"/>
        <v>N</v>
      </c>
      <c r="N1510" s="116" t="str">
        <f>IF($L1510&lt;&gt;"",VLOOKUP($L1510,Categories!$E:$G,2,FALSE),IF($F1510&lt;&gt;"","NO CAT",""))</f>
        <v>Not in Rate Base</v>
      </c>
      <c r="O1510" s="116" t="str">
        <f>IF($L1510&lt;&gt;"",VLOOKUP($L1510,Categories!$E:$G,3,FALSE),IF($F1510&lt;&gt;"","NO CAT",""))</f>
        <v>Direct Assign Items Not in RB</v>
      </c>
      <c r="P1510" s="170" t="s">
        <v>1186</v>
      </c>
      <c r="Q1510" s="123" t="s">
        <v>1187</v>
      </c>
      <c r="R1510" s="124">
        <v>0</v>
      </c>
      <c r="S1510" s="124">
        <v>0</v>
      </c>
      <c r="T1510" s="124">
        <v>1</v>
      </c>
      <c r="U1510" s="121">
        <f t="shared" si="609"/>
        <v>0</v>
      </c>
      <c r="V1510" s="121">
        <f t="shared" si="610"/>
        <v>0</v>
      </c>
      <c r="W1510" s="121">
        <f t="shared" si="611"/>
        <v>3.6889999999999E-2</v>
      </c>
      <c r="X1510" s="121">
        <f t="shared" si="616"/>
        <v>3.6889999999999E-2</v>
      </c>
      <c r="Y1510" s="121">
        <f t="shared" si="612"/>
        <v>0</v>
      </c>
      <c r="Z1510" s="121">
        <f t="shared" si="613"/>
        <v>0</v>
      </c>
      <c r="AA1510" s="121">
        <f t="shared" si="614"/>
        <v>3.6889999999999E-2</v>
      </c>
      <c r="AB1510" s="121">
        <f t="shared" si="617"/>
        <v>3.6889999999999416E-2</v>
      </c>
      <c r="AC1510" s="121">
        <v>3.6889999999999416E-2</v>
      </c>
      <c r="AD1510" s="121">
        <v>3.6889999999999416E-2</v>
      </c>
      <c r="AE1510" s="121">
        <v>3.6889999999999416E-2</v>
      </c>
      <c r="AF1510" s="121">
        <v>3.6889999999999416E-2</v>
      </c>
      <c r="AG1510" s="121">
        <v>3.6889999999999416E-2</v>
      </c>
      <c r="AH1510" s="121">
        <v>3.6889999999999416E-2</v>
      </c>
      <c r="AI1510" s="161">
        <v>3.6889999999999416E-2</v>
      </c>
      <c r="AJ1510" s="161">
        <v>3.6889999999999416E-2</v>
      </c>
      <c r="AK1510" s="161">
        <v>3.6889999999999416E-2</v>
      </c>
      <c r="AL1510" s="161">
        <v>3.6889999999999416E-2</v>
      </c>
      <c r="AM1510" s="161">
        <v>3.6889999999999416E-2</v>
      </c>
      <c r="AN1510" s="161">
        <v>3.6889999999999416E-2</v>
      </c>
      <c r="AO1510" s="161">
        <v>3.6889999999999416E-2</v>
      </c>
      <c r="AP1510" s="125" t="str">
        <f>CONCATENATE(A1510,M1510)</f>
        <v>Def TaxN</v>
      </c>
      <c r="AQ1510" s="125" t="str">
        <f>CONCATENATE(AP1510,L1510,H1510)</f>
        <v>Def TaxNN2Deferred Gas Costs</v>
      </c>
      <c r="AS1510" s="125" t="str">
        <f>CONCATENATE(L1510,H1510,J1510)</f>
        <v>N2Deferred Gas Costs</v>
      </c>
    </row>
    <row r="1511" spans="1:45" s="125" customFormat="1" ht="25.5" customHeight="1">
      <c r="A1511" s="216" t="s">
        <v>1996</v>
      </c>
      <c r="B1511" s="217" t="str">
        <f t="shared" si="607"/>
        <v>Def Tax2835600-286.01.51BG030168</v>
      </c>
      <c r="C1511" s="186">
        <v>283560</v>
      </c>
      <c r="D1511" s="201" t="s">
        <v>1810</v>
      </c>
      <c r="E1511" s="162" t="s">
        <v>79</v>
      </c>
      <c r="F1511" s="169" t="s">
        <v>905</v>
      </c>
      <c r="G1511" s="117" t="s">
        <v>419</v>
      </c>
      <c r="H1511" s="118" t="s">
        <v>815</v>
      </c>
      <c r="I1511" s="119"/>
      <c r="J1511" s="120"/>
      <c r="K1511" s="120" t="str">
        <f t="shared" si="619"/>
        <v/>
      </c>
      <c r="L1511" s="170" t="s">
        <v>1895</v>
      </c>
      <c r="M1511" s="122" t="str">
        <f t="shared" si="603"/>
        <v>R</v>
      </c>
      <c r="N1511" s="116" t="str">
        <f>IF($L1511&lt;&gt;"",VLOOKUP($L1511,Categories!$E:$G,2,FALSE),IF($F1511&lt;&gt;"","NO CAT",""))</f>
        <v>Rate Base</v>
      </c>
      <c r="O1511" s="116" t="str">
        <f>IF($L1511&lt;&gt;"",VLOOKUP($L1511,Categories!$E:$G,3,FALSE),IF($F1511&lt;&gt;"","NO CAT",""))</f>
        <v>Deferred Income Taxes</v>
      </c>
      <c r="P1511" s="170" t="s">
        <v>1184</v>
      </c>
      <c r="Q1511" s="123" t="s">
        <v>1178</v>
      </c>
      <c r="R1511" s="124">
        <v>0</v>
      </c>
      <c r="S1511" s="124">
        <v>1</v>
      </c>
      <c r="T1511" s="124">
        <v>0</v>
      </c>
      <c r="U1511" s="121">
        <f t="shared" si="609"/>
        <v>0</v>
      </c>
      <c r="V1511" s="121">
        <f t="shared" si="610"/>
        <v>-1.4465041666666401</v>
      </c>
      <c r="W1511" s="121">
        <f t="shared" si="611"/>
        <v>0</v>
      </c>
      <c r="X1511" s="121">
        <f t="shared" si="616"/>
        <v>-1.4465041666666401</v>
      </c>
      <c r="Y1511" s="121">
        <f t="shared" si="612"/>
        <v>0</v>
      </c>
      <c r="Z1511" s="121">
        <f t="shared" si="613"/>
        <v>3.6000000002300002E-4</v>
      </c>
      <c r="AA1511" s="121">
        <f t="shared" si="614"/>
        <v>0</v>
      </c>
      <c r="AB1511" s="121">
        <f t="shared" si="617"/>
        <v>3.6000000002331942E-4</v>
      </c>
      <c r="AC1511" s="121">
        <v>-3.8136199999999763</v>
      </c>
      <c r="AD1511" s="121">
        <v>-3.8334599999999766</v>
      </c>
      <c r="AE1511" s="121">
        <v>-3.8534099999999762</v>
      </c>
      <c r="AF1511" s="121">
        <v>-3.8734599999999766</v>
      </c>
      <c r="AG1511" s="121">
        <v>-3.8936099999999767</v>
      </c>
      <c r="AH1511" s="121">
        <v>3.6000000002331942E-4</v>
      </c>
      <c r="AI1511" s="161">
        <v>3.6000000002331942E-4</v>
      </c>
      <c r="AJ1511" s="161">
        <v>3.6000000002331942E-4</v>
      </c>
      <c r="AK1511" s="161">
        <v>3.6000000002331942E-4</v>
      </c>
      <c r="AL1511" s="161">
        <v>3.6000000002331942E-4</v>
      </c>
      <c r="AM1511" s="161">
        <v>3.6000000002331942E-4</v>
      </c>
      <c r="AN1511" s="161">
        <v>3.6000000002331942E-4</v>
      </c>
      <c r="AO1511" s="161">
        <v>3.6000000002331942E-4</v>
      </c>
      <c r="AP1511" s="125" t="str">
        <f>CONCATENATE(A1511,M1511)</f>
        <v>Def TaxR</v>
      </c>
      <c r="AQ1511" s="125" t="str">
        <f>CONCATENATE(AP1511,L1511,H1511)</f>
        <v>Def TaxRR11Property Tax Deferral</v>
      </c>
      <c r="AS1511" s="125" t="str">
        <f>CONCATENATE(L1511,H1511,J1511)</f>
        <v>R11Property Tax Deferral</v>
      </c>
    </row>
    <row r="1512" spans="1:45" s="125" customFormat="1" ht="25.5" customHeight="1">
      <c r="A1512" s="216" t="s">
        <v>1996</v>
      </c>
      <c r="B1512" s="217" t="str">
        <f t="shared" si="607"/>
        <v>Def Tax283560Econ DevlpBT010069</v>
      </c>
      <c r="C1512" s="186">
        <v>283560</v>
      </c>
      <c r="D1512" s="201" t="s">
        <v>239</v>
      </c>
      <c r="E1512" s="162" t="s">
        <v>1125</v>
      </c>
      <c r="F1512" s="169" t="s">
        <v>905</v>
      </c>
      <c r="G1512" s="117" t="s">
        <v>240</v>
      </c>
      <c r="H1512" s="118" t="s">
        <v>310</v>
      </c>
      <c r="I1512" s="119"/>
      <c r="J1512" s="231"/>
      <c r="K1512" s="120" t="str">
        <f t="shared" si="619"/>
        <v/>
      </c>
      <c r="L1512" s="170" t="s">
        <v>2821</v>
      </c>
      <c r="M1512" s="122" t="str">
        <f t="shared" si="603"/>
        <v>N</v>
      </c>
      <c r="N1512" s="116" t="str">
        <f>IF($L1512&lt;&gt;"",VLOOKUP($L1512,Categories!$E:$G,2,FALSE),IF($F1512&lt;&gt;"","NO CAT",""))</f>
        <v>Not in Rate Base</v>
      </c>
      <c r="O1512" s="116" t="str">
        <f>IF($L1512&lt;&gt;"",VLOOKUP($L1512,Categories!$E:$G,3,FALSE),IF($F1512&lt;&gt;"","NO CAT",""))</f>
        <v>Deferrals Accruing Non-Cash Return   (other than ASGA)</v>
      </c>
      <c r="P1512" s="170" t="s">
        <v>1186</v>
      </c>
      <c r="Q1512" s="123" t="s">
        <v>1187</v>
      </c>
      <c r="R1512" s="124">
        <v>0</v>
      </c>
      <c r="S1512" s="124">
        <v>0</v>
      </c>
      <c r="T1512" s="124">
        <v>1</v>
      </c>
      <c r="U1512" s="121">
        <f t="shared" si="609"/>
        <v>0</v>
      </c>
      <c r="V1512" s="121">
        <f t="shared" si="610"/>
        <v>0</v>
      </c>
      <c r="W1512" s="121">
        <f t="shared" si="611"/>
        <v>73.676687916666694</v>
      </c>
      <c r="X1512" s="121">
        <f t="shared" si="616"/>
        <v>73.676687916666694</v>
      </c>
      <c r="Y1512" s="121">
        <f t="shared" si="612"/>
        <v>0</v>
      </c>
      <c r="Z1512" s="121">
        <f t="shared" si="613"/>
        <v>0</v>
      </c>
      <c r="AA1512" s="121">
        <f t="shared" si="614"/>
        <v>118.91845000000001</v>
      </c>
      <c r="AB1512" s="121">
        <f t="shared" si="617"/>
        <v>118.91845000000001</v>
      </c>
      <c r="AC1512" s="121">
        <v>0.63709999999999944</v>
      </c>
      <c r="AD1512" s="121">
        <v>3.4243299999999994</v>
      </c>
      <c r="AE1512" s="121">
        <v>6.2279900000000001</v>
      </c>
      <c r="AF1512" s="121">
        <v>9.0869</v>
      </c>
      <c r="AG1512" s="121">
        <v>86.91458999999999</v>
      </c>
      <c r="AH1512" s="121">
        <v>90.8078</v>
      </c>
      <c r="AI1512" s="161">
        <v>94.915869999999998</v>
      </c>
      <c r="AJ1512" s="161">
        <v>98.959419999999994</v>
      </c>
      <c r="AK1512" s="161">
        <v>103.18994000000001</v>
      </c>
      <c r="AL1512" s="161">
        <v>107.27613000000001</v>
      </c>
      <c r="AM1512" s="161">
        <v>109.51945000000001</v>
      </c>
      <c r="AN1512" s="161">
        <v>114.02006000000002</v>
      </c>
      <c r="AO1512" s="161">
        <v>118.91845000000001</v>
      </c>
      <c r="AP1512" s="125" t="str">
        <f>CONCATENATE(A1512,M1512)</f>
        <v>Def TaxN</v>
      </c>
      <c r="AQ1512" s="125" t="str">
        <f>CONCATENATE(AP1512,L1512,H1512)</f>
        <v>Def TaxNN10Economic Development</v>
      </c>
      <c r="AS1512" s="125" t="str">
        <f>CONCATENATE(L1512,H1512,J1512)</f>
        <v>N10Economic Development</v>
      </c>
    </row>
    <row r="1513" spans="1:45" s="125" customFormat="1" ht="25.5" customHeight="1">
      <c r="A1513" s="216" t="s">
        <v>1996</v>
      </c>
      <c r="B1513" s="217" t="str">
        <f t="shared" si="607"/>
        <v>Def Tax283560Env RABT010072</v>
      </c>
      <c r="C1513" s="186">
        <v>283560</v>
      </c>
      <c r="D1513" s="201" t="s">
        <v>2286</v>
      </c>
      <c r="E1513" s="162" t="s">
        <v>91</v>
      </c>
      <c r="F1513" s="169" t="s">
        <v>905</v>
      </c>
      <c r="G1513" s="117" t="s">
        <v>2285</v>
      </c>
      <c r="H1513" s="118" t="s">
        <v>2369</v>
      </c>
      <c r="I1513" s="119"/>
      <c r="J1513" s="120"/>
      <c r="K1513" s="120" t="str">
        <f t="shared" si="619"/>
        <v/>
      </c>
      <c r="L1513" s="170" t="s">
        <v>928</v>
      </c>
      <c r="M1513" s="122" t="str">
        <f t="shared" si="603"/>
        <v>N</v>
      </c>
      <c r="N1513" s="116" t="str">
        <f>IF($L1513&lt;&gt;"",VLOOKUP($L1513,Categories!$E:$G,2,FALSE),IF($F1513&lt;&gt;"","NO CAT",""))</f>
        <v>Not in Rate Base</v>
      </c>
      <c r="O1513" s="116" t="str">
        <f>IF($L1513&lt;&gt;"",VLOOKUP($L1513,Categories!$E:$G,3,FALSE),IF($F1513&lt;&gt;"","NO CAT",""))</f>
        <v>Direct Assign Items Not in RB</v>
      </c>
      <c r="P1513" s="170" t="s">
        <v>1186</v>
      </c>
      <c r="Q1513" s="123" t="s">
        <v>1187</v>
      </c>
      <c r="R1513" s="124">
        <v>0</v>
      </c>
      <c r="S1513" s="124">
        <v>0</v>
      </c>
      <c r="T1513" s="124">
        <v>1</v>
      </c>
      <c r="U1513" s="121">
        <f t="shared" si="609"/>
        <v>0</v>
      </c>
      <c r="V1513" s="121">
        <f t="shared" si="610"/>
        <v>0</v>
      </c>
      <c r="W1513" s="121">
        <f t="shared" si="611"/>
        <v>-704.08745458333397</v>
      </c>
      <c r="X1513" s="121">
        <f t="shared" si="616"/>
        <v>-704.08745458333397</v>
      </c>
      <c r="Y1513" s="121">
        <f t="shared" si="612"/>
        <v>0</v>
      </c>
      <c r="Z1513" s="121">
        <f t="shared" si="613"/>
        <v>0</v>
      </c>
      <c r="AA1513" s="121">
        <f t="shared" si="614"/>
        <v>-592.32368000000099</v>
      </c>
      <c r="AB1513" s="121">
        <f t="shared" si="617"/>
        <v>-592.32368000000099</v>
      </c>
      <c r="AC1513" s="121">
        <v>-809.69595000000083</v>
      </c>
      <c r="AD1513" s="121">
        <v>-790.64852000000087</v>
      </c>
      <c r="AE1513" s="121">
        <v>-760.86395000000084</v>
      </c>
      <c r="AF1513" s="121">
        <v>-745.43067000000087</v>
      </c>
      <c r="AG1513" s="121">
        <v>-729.24832000000083</v>
      </c>
      <c r="AH1513" s="121">
        <v>-725.15118000000086</v>
      </c>
      <c r="AI1513" s="161">
        <v>-711.77233000000092</v>
      </c>
      <c r="AJ1513" s="161">
        <v>-700.84577000000081</v>
      </c>
      <c r="AK1513" s="161">
        <v>-687.66420000000085</v>
      </c>
      <c r="AL1513" s="161">
        <v>-680.31037000000094</v>
      </c>
      <c r="AM1513" s="161">
        <v>-675.4473200000009</v>
      </c>
      <c r="AN1513" s="161">
        <v>-540.65701000000092</v>
      </c>
      <c r="AO1513" s="161">
        <v>-592.32368000000099</v>
      </c>
      <c r="AP1513" s="125" t="str">
        <f>CONCATENATE(A1513,M1513)</f>
        <v>Def TaxN</v>
      </c>
      <c r="AQ1513" s="125" t="str">
        <f>CONCATENATE(AP1513,L1513,H1513)</f>
        <v>Def TaxNN2Environmental</v>
      </c>
      <c r="AS1513" s="125" t="str">
        <f>CONCATENATE(L1513,H1513,J1513)</f>
        <v>N2Environmental</v>
      </c>
    </row>
    <row r="1514" spans="1:45" s="125" customFormat="1" ht="25.5" customHeight="1">
      <c r="A1514" s="216" t="s">
        <v>1996</v>
      </c>
      <c r="B1514" s="217" t="str">
        <f t="shared" si="607"/>
        <v>Def Tax283560Env RemedBT010269</v>
      </c>
      <c r="C1514" s="186">
        <v>283560</v>
      </c>
      <c r="D1514" s="201" t="s">
        <v>764</v>
      </c>
      <c r="E1514" s="162" t="s">
        <v>1126</v>
      </c>
      <c r="F1514" s="169" t="s">
        <v>905</v>
      </c>
      <c r="G1514" s="117" t="s">
        <v>765</v>
      </c>
      <c r="H1514" s="118" t="s">
        <v>2369</v>
      </c>
      <c r="I1514" s="119"/>
      <c r="J1514" s="231" t="s">
        <v>105</v>
      </c>
      <c r="K1514" s="120" t="str">
        <f t="shared" si="619"/>
        <v/>
      </c>
      <c r="L1514" s="170" t="s">
        <v>928</v>
      </c>
      <c r="M1514" s="122" t="str">
        <f t="shared" si="603"/>
        <v>N</v>
      </c>
      <c r="N1514" s="116" t="str">
        <f>IF($L1514&lt;&gt;"",VLOOKUP($L1514,Categories!$E:$G,2,FALSE),IF($F1514&lt;&gt;"","NO CAT",""))</f>
        <v>Not in Rate Base</v>
      </c>
      <c r="O1514" s="116" t="str">
        <f>IF($L1514&lt;&gt;"",VLOOKUP($L1514,Categories!$E:$G,3,FALSE),IF($F1514&lt;&gt;"","NO CAT",""))</f>
        <v>Direct Assign Items Not in RB</v>
      </c>
      <c r="P1514" s="170" t="s">
        <v>1186</v>
      </c>
      <c r="Q1514" s="123" t="s">
        <v>1187</v>
      </c>
      <c r="R1514" s="124">
        <v>0</v>
      </c>
      <c r="S1514" s="124">
        <v>0</v>
      </c>
      <c r="T1514" s="124">
        <v>1</v>
      </c>
      <c r="U1514" s="121">
        <f t="shared" si="609"/>
        <v>0</v>
      </c>
      <c r="V1514" s="121">
        <f t="shared" si="610"/>
        <v>0</v>
      </c>
      <c r="W1514" s="121">
        <f t="shared" si="611"/>
        <v>-1.5100000000000001E-3</v>
      </c>
      <c r="X1514" s="121">
        <f t="shared" si="616"/>
        <v>-1.5100000000000001E-3</v>
      </c>
      <c r="Y1514" s="121">
        <f t="shared" si="612"/>
        <v>0</v>
      </c>
      <c r="Z1514" s="121">
        <f t="shared" si="613"/>
        <v>0</v>
      </c>
      <c r="AA1514" s="121">
        <f t="shared" si="614"/>
        <v>-1.5100000000000001E-3</v>
      </c>
      <c r="AB1514" s="121">
        <f t="shared" si="617"/>
        <v>-1.5100000000000001E-3</v>
      </c>
      <c r="AC1514" s="121">
        <v>-1.5100000000000001E-3</v>
      </c>
      <c r="AD1514" s="121">
        <v>-1.5100000000000001E-3</v>
      </c>
      <c r="AE1514" s="121">
        <v>-1.5100000000000001E-3</v>
      </c>
      <c r="AF1514" s="121">
        <v>-1.5100000000000001E-3</v>
      </c>
      <c r="AG1514" s="121">
        <v>-1.5100000000000001E-3</v>
      </c>
      <c r="AH1514" s="121">
        <v>-1.5100000000000001E-3</v>
      </c>
      <c r="AI1514" s="161">
        <v>-1.5100000000000001E-3</v>
      </c>
      <c r="AJ1514" s="161">
        <v>-1.5100000000000001E-3</v>
      </c>
      <c r="AK1514" s="161">
        <v>-1.5100000000000001E-3</v>
      </c>
      <c r="AL1514" s="161">
        <v>-1.5100000000000001E-3</v>
      </c>
      <c r="AM1514" s="161">
        <v>-1.5100000000000001E-3</v>
      </c>
      <c r="AN1514" s="161">
        <v>-1.5100000000000001E-3</v>
      </c>
      <c r="AO1514" s="161">
        <v>-1.5100000000000001E-3</v>
      </c>
      <c r="AP1514" s="125" t="str">
        <f>CONCATENATE(A1514,M1514)</f>
        <v>Def TaxN</v>
      </c>
      <c r="AQ1514" s="125" t="str">
        <f>CONCATENATE(AP1514,L1514,H1514)</f>
        <v>Def TaxNN2Environmental</v>
      </c>
      <c r="AS1514" s="125" t="str">
        <f>CONCATENATE(L1514,H1514,J1514)</f>
        <v>N2EnvironmentalNCR</v>
      </c>
    </row>
    <row r="1515" spans="1:45" s="125" customFormat="1" ht="25.5" customHeight="1">
      <c r="A1515" s="216" t="s">
        <v>1996</v>
      </c>
      <c r="B1515" s="217" t="str">
        <f t="shared" si="607"/>
        <v>Def Tax283560FloodBG030184</v>
      </c>
      <c r="C1515" s="186">
        <v>283560</v>
      </c>
      <c r="D1515" s="201" t="s">
        <v>620</v>
      </c>
      <c r="E1515" s="162" t="s">
        <v>529</v>
      </c>
      <c r="F1515" s="169" t="s">
        <v>905</v>
      </c>
      <c r="G1515" s="117" t="s">
        <v>619</v>
      </c>
      <c r="H1515" s="118" t="s">
        <v>620</v>
      </c>
      <c r="I1515" s="119"/>
      <c r="J1515" s="231" t="s">
        <v>105</v>
      </c>
      <c r="K1515" s="120" t="str">
        <f t="shared" si="619"/>
        <v/>
      </c>
      <c r="L1515" s="170" t="s">
        <v>2821</v>
      </c>
      <c r="M1515" s="122" t="str">
        <f t="shared" si="603"/>
        <v>N</v>
      </c>
      <c r="N1515" s="116" t="str">
        <f>IF($L1515&lt;&gt;"",VLOOKUP($L1515,Categories!$E:$G,2,FALSE),IF($F1515&lt;&gt;"","NO CAT",""))</f>
        <v>Not in Rate Base</v>
      </c>
      <c r="O1515" s="116" t="str">
        <f>IF($L1515&lt;&gt;"",VLOOKUP($L1515,Categories!$E:$G,3,FALSE),IF($F1515&lt;&gt;"","NO CAT",""))</f>
        <v>Deferrals Accruing Non-Cash Return   (other than ASGA)</v>
      </c>
      <c r="P1515" s="170" t="s">
        <v>1186</v>
      </c>
      <c r="Q1515" s="123" t="s">
        <v>1187</v>
      </c>
      <c r="R1515" s="124">
        <v>0</v>
      </c>
      <c r="S1515" s="124">
        <v>0</v>
      </c>
      <c r="T1515" s="124">
        <v>1</v>
      </c>
      <c r="U1515" s="121">
        <f t="shared" si="609"/>
        <v>0</v>
      </c>
      <c r="V1515" s="121">
        <f t="shared" si="610"/>
        <v>0</v>
      </c>
      <c r="W1515" s="121">
        <f t="shared" si="611"/>
        <v>-2.3856887499999302</v>
      </c>
      <c r="X1515" s="121">
        <f t="shared" si="616"/>
        <v>-2.3856887499999302</v>
      </c>
      <c r="Y1515" s="121">
        <f t="shared" si="612"/>
        <v>0</v>
      </c>
      <c r="Z1515" s="121">
        <f t="shared" si="613"/>
        <v>0</v>
      </c>
      <c r="AA1515" s="121">
        <f t="shared" si="614"/>
        <v>5.4000000007200003E-4</v>
      </c>
      <c r="AB1515" s="121">
        <f t="shared" si="617"/>
        <v>5.4000000007152255E-4</v>
      </c>
      <c r="AC1515" s="121">
        <v>-21.544149999999927</v>
      </c>
      <c r="AD1515" s="121">
        <v>-12.793869999999927</v>
      </c>
      <c r="AE1515" s="121">
        <v>-5.0675899999999281</v>
      </c>
      <c r="AF1515" s="121">
        <v>6.1000000007152262E-4</v>
      </c>
      <c r="AG1515" s="121">
        <v>6.1000000007152262E-4</v>
      </c>
      <c r="AH1515" s="121">
        <v>5.4000000007152255E-4</v>
      </c>
      <c r="AI1515" s="161">
        <v>5.4000000007152255E-4</v>
      </c>
      <c r="AJ1515" s="161">
        <v>5.4000000007152255E-4</v>
      </c>
      <c r="AK1515" s="161">
        <v>5.4000000007152255E-4</v>
      </c>
      <c r="AL1515" s="161">
        <v>5.4000000007152255E-4</v>
      </c>
      <c r="AM1515" s="161">
        <v>5.4000000007152255E-4</v>
      </c>
      <c r="AN1515" s="161">
        <v>5.4000000007152255E-4</v>
      </c>
      <c r="AO1515" s="161">
        <v>5.4000000007152255E-4</v>
      </c>
      <c r="AP1515" s="125" t="str">
        <f>CONCATENATE(A1515,M1515)</f>
        <v>Def TaxN</v>
      </c>
      <c r="AQ1515" s="125" t="str">
        <f>CONCATENATE(AP1515,L1515,H1515)</f>
        <v>Def TaxNN10Flood</v>
      </c>
      <c r="AS1515" s="125" t="str">
        <f>CONCATENATE(L1515,H1515,J1515)</f>
        <v>N10FloodNCR</v>
      </c>
    </row>
    <row r="1516" spans="1:45" s="125" customFormat="1" ht="25.5" customHeight="1">
      <c r="A1516" s="216" t="s">
        <v>1996</v>
      </c>
      <c r="B1516" s="217" t="str">
        <f t="shared" si="607"/>
        <v>Def Tax2835600-286.01.50BG030167</v>
      </c>
      <c r="C1516" s="186">
        <v>283560</v>
      </c>
      <c r="D1516" s="201" t="s">
        <v>1809</v>
      </c>
      <c r="E1516" s="162" t="s">
        <v>2779</v>
      </c>
      <c r="F1516" s="169" t="s">
        <v>905</v>
      </c>
      <c r="G1516" s="117" t="s">
        <v>417</v>
      </c>
      <c r="H1516" s="118" t="s">
        <v>1553</v>
      </c>
      <c r="I1516" s="119"/>
      <c r="J1516" s="231" t="s">
        <v>105</v>
      </c>
      <c r="K1516" s="120" t="str">
        <f t="shared" si="619"/>
        <v/>
      </c>
      <c r="L1516" s="170" t="s">
        <v>2821</v>
      </c>
      <c r="M1516" s="122" t="str">
        <f t="shared" si="603"/>
        <v>N</v>
      </c>
      <c r="N1516" s="116" t="str">
        <f>IF($L1516&lt;&gt;"",VLOOKUP($L1516,Categories!$E:$G,2,FALSE),IF($F1516&lt;&gt;"","NO CAT",""))</f>
        <v>Not in Rate Base</v>
      </c>
      <c r="O1516" s="116" t="str">
        <f>IF($L1516&lt;&gt;"",VLOOKUP($L1516,Categories!$E:$G,3,FALSE),IF($F1516&lt;&gt;"","NO CAT",""))</f>
        <v>Deferrals Accruing Non-Cash Return   (other than ASGA)</v>
      </c>
      <c r="P1516" s="170" t="s">
        <v>1186</v>
      </c>
      <c r="Q1516" s="123" t="s">
        <v>1187</v>
      </c>
      <c r="R1516" s="124">
        <v>0</v>
      </c>
      <c r="S1516" s="124">
        <v>0</v>
      </c>
      <c r="T1516" s="124">
        <v>1</v>
      </c>
      <c r="U1516" s="121">
        <f t="shared" si="609"/>
        <v>0</v>
      </c>
      <c r="V1516" s="121">
        <f t="shared" si="610"/>
        <v>0</v>
      </c>
      <c r="W1516" s="121">
        <f t="shared" si="611"/>
        <v>-4.4600000000000002E-13</v>
      </c>
      <c r="X1516" s="121">
        <f t="shared" si="616"/>
        <v>-4.4600000000000002E-13</v>
      </c>
      <c r="Y1516" s="121">
        <f t="shared" si="612"/>
        <v>0</v>
      </c>
      <c r="Z1516" s="121">
        <f t="shared" si="613"/>
        <v>0</v>
      </c>
      <c r="AA1516" s="121">
        <f t="shared" si="614"/>
        <v>-4.6600000000000003E-13</v>
      </c>
      <c r="AB1516" s="121">
        <f t="shared" si="617"/>
        <v>-4.6566128730773927E-13</v>
      </c>
      <c r="AC1516" s="121">
        <v>0</v>
      </c>
      <c r="AD1516" s="121">
        <v>-4.6566128730773927E-13</v>
      </c>
      <c r="AE1516" s="121">
        <v>-4.6566128730773927E-13</v>
      </c>
      <c r="AF1516" s="121">
        <v>-4.6566128730773927E-13</v>
      </c>
      <c r="AG1516" s="121">
        <v>-4.6566128730773927E-13</v>
      </c>
      <c r="AH1516" s="121">
        <v>-4.6566128730773927E-13</v>
      </c>
      <c r="AI1516" s="161">
        <v>-4.6566128730773927E-13</v>
      </c>
      <c r="AJ1516" s="161">
        <v>-4.6566128730773927E-13</v>
      </c>
      <c r="AK1516" s="161">
        <v>-4.6566128730773927E-13</v>
      </c>
      <c r="AL1516" s="161">
        <v>-4.6566128730773927E-13</v>
      </c>
      <c r="AM1516" s="161">
        <v>-4.6566128730773927E-13</v>
      </c>
      <c r="AN1516" s="161">
        <v>-4.6566128730773927E-13</v>
      </c>
      <c r="AO1516" s="161">
        <v>-4.6566128730773927E-13</v>
      </c>
      <c r="AP1516" s="125" t="str">
        <f>CONCATENATE(A1516,M1516)</f>
        <v>Def TaxN</v>
      </c>
      <c r="AQ1516" s="125" t="str">
        <f>CONCATENATE(AP1516,L1516,H1516)</f>
        <v>Def TaxNN10Pension</v>
      </c>
      <c r="AS1516" s="125" t="str">
        <f>CONCATENATE(L1516,H1516,J1516)</f>
        <v>N10PensionNCR</v>
      </c>
    </row>
    <row r="1517" spans="1:45" s="125" customFormat="1" ht="25.5" customHeight="1">
      <c r="A1517" s="216" t="s">
        <v>1996</v>
      </c>
      <c r="B1517" s="217" t="str">
        <f t="shared" si="607"/>
        <v>Def Tax283560MFCBG030247</v>
      </c>
      <c r="C1517" s="186">
        <v>283560</v>
      </c>
      <c r="D1517" s="201" t="s">
        <v>339</v>
      </c>
      <c r="E1517" s="162" t="s">
        <v>1675</v>
      </c>
      <c r="F1517" s="169" t="s">
        <v>905</v>
      </c>
      <c r="G1517" s="117" t="s">
        <v>339</v>
      </c>
      <c r="H1517" s="118" t="s">
        <v>2224</v>
      </c>
      <c r="I1517" s="119"/>
      <c r="J1517" s="231"/>
      <c r="K1517" s="120" t="str">
        <f>IF(L1517="N3","SFAS-109","")</f>
        <v/>
      </c>
      <c r="L1517" s="170" t="s">
        <v>928</v>
      </c>
      <c r="M1517" s="122" t="str">
        <f t="shared" ref="M1517:M1521" si="620">LEFT(L1517,1)</f>
        <v>N</v>
      </c>
      <c r="N1517" s="116" t="str">
        <f>IF($L1517&lt;&gt;"",VLOOKUP($L1517,Categories!$E:$G,2,FALSE),IF($F1517&lt;&gt;"","NO CAT",""))</f>
        <v>Not in Rate Base</v>
      </c>
      <c r="O1517" s="116" t="str">
        <f>IF($L1517&lt;&gt;"",VLOOKUP($L1517,Categories!$E:$G,3,FALSE),IF($F1517&lt;&gt;"","NO CAT",""))</f>
        <v>Direct Assign Items Not in RB</v>
      </c>
      <c r="P1517" s="170" t="s">
        <v>1186</v>
      </c>
      <c r="Q1517" s="123" t="s">
        <v>1187</v>
      </c>
      <c r="R1517" s="124">
        <v>0</v>
      </c>
      <c r="S1517" s="124">
        <v>0</v>
      </c>
      <c r="T1517" s="124">
        <v>1</v>
      </c>
      <c r="U1517" s="121">
        <f t="shared" si="609"/>
        <v>0</v>
      </c>
      <c r="V1517" s="121">
        <f t="shared" si="610"/>
        <v>0</v>
      </c>
      <c r="W1517" s="121">
        <f t="shared" si="611"/>
        <v>87.485104166666602</v>
      </c>
      <c r="X1517" s="121">
        <f t="shared" si="616"/>
        <v>87.485104166666602</v>
      </c>
      <c r="Y1517" s="121">
        <f t="shared" si="612"/>
        <v>0</v>
      </c>
      <c r="Z1517" s="121">
        <f t="shared" si="613"/>
        <v>0</v>
      </c>
      <c r="AA1517" s="121">
        <f t="shared" si="614"/>
        <v>36.137009999999997</v>
      </c>
      <c r="AB1517" s="121">
        <f t="shared" si="617"/>
        <v>36.137009999999954</v>
      </c>
      <c r="AC1517" s="121">
        <v>146.57366999999996</v>
      </c>
      <c r="AD1517" s="121">
        <v>138.22462999999993</v>
      </c>
      <c r="AE1517" s="121">
        <v>130.82232999999994</v>
      </c>
      <c r="AF1517" s="121">
        <v>125.10245999999995</v>
      </c>
      <c r="AG1517" s="121">
        <v>116.07064999999994</v>
      </c>
      <c r="AH1517" s="121">
        <v>104.92622999999995</v>
      </c>
      <c r="AI1517" s="161">
        <v>92.238919999999951</v>
      </c>
      <c r="AJ1517" s="161">
        <v>77.798759999999945</v>
      </c>
      <c r="AK1517" s="161">
        <v>62.788709999999945</v>
      </c>
      <c r="AL1517" s="161">
        <v>47.258139999999948</v>
      </c>
      <c r="AM1517" s="161">
        <v>31.598679999999948</v>
      </c>
      <c r="AN1517" s="161">
        <v>31.636399999999952</v>
      </c>
      <c r="AO1517" s="161">
        <v>36.137009999999954</v>
      </c>
      <c r="AP1517" s="125" t="str">
        <f>CONCATENATE(A1517,M1517)</f>
        <v>Def TaxN</v>
      </c>
      <c r="AQ1517" s="125" t="str">
        <f>CONCATENATE(AP1517,L1517,H1517)</f>
        <v>Def TaxNN2Merchant Function Charge - Gas</v>
      </c>
      <c r="AS1517" s="125" t="str">
        <f>CONCATENATE(L1517,H1517,J1517)</f>
        <v>N2Merchant Function Charge - Gas</v>
      </c>
    </row>
    <row r="1518" spans="1:45" s="125" customFormat="1" ht="25.5" customHeight="1">
      <c r="A1518" s="216" t="s">
        <v>1996</v>
      </c>
      <c r="B1518" s="217" t="str">
        <f t="shared" si="607"/>
        <v>Def Tax283560NCR Gas PenBG030167</v>
      </c>
      <c r="C1518" s="186">
        <v>283560</v>
      </c>
      <c r="D1518" s="201" t="s">
        <v>1444</v>
      </c>
      <c r="E1518" s="162" t="s">
        <v>2779</v>
      </c>
      <c r="F1518" s="169" t="s">
        <v>905</v>
      </c>
      <c r="G1518" s="117" t="s">
        <v>508</v>
      </c>
      <c r="H1518" s="118" t="s">
        <v>1553</v>
      </c>
      <c r="I1518" s="119"/>
      <c r="J1518" s="231" t="s">
        <v>105</v>
      </c>
      <c r="K1518" s="120" t="str">
        <f>IF(L1518="N3","SFAS-109","")</f>
        <v/>
      </c>
      <c r="L1518" s="170" t="s">
        <v>2821</v>
      </c>
      <c r="M1518" s="122" t="str">
        <f t="shared" si="620"/>
        <v>N</v>
      </c>
      <c r="N1518" s="116" t="str">
        <f>IF($L1518&lt;&gt;"",VLOOKUP($L1518,Categories!$E:$G,2,FALSE),IF($F1518&lt;&gt;"","NO CAT",""))</f>
        <v>Not in Rate Base</v>
      </c>
      <c r="O1518" s="116" t="str">
        <f>IF($L1518&lt;&gt;"",VLOOKUP($L1518,Categories!$E:$G,3,FALSE),IF($F1518&lt;&gt;"","NO CAT",""))</f>
        <v>Deferrals Accruing Non-Cash Return   (other than ASGA)</v>
      </c>
      <c r="P1518" s="170" t="s">
        <v>1186</v>
      </c>
      <c r="Q1518" s="123" t="s">
        <v>1187</v>
      </c>
      <c r="R1518" s="124">
        <v>0</v>
      </c>
      <c r="S1518" s="124">
        <v>0</v>
      </c>
      <c r="T1518" s="124">
        <v>1</v>
      </c>
      <c r="U1518" s="121">
        <f t="shared" si="609"/>
        <v>0</v>
      </c>
      <c r="V1518" s="121">
        <f t="shared" si="610"/>
        <v>0</v>
      </c>
      <c r="W1518" s="121">
        <f t="shared" si="611"/>
        <v>-4.4600000000000002E-13</v>
      </c>
      <c r="X1518" s="121">
        <f t="shared" si="616"/>
        <v>-4.4600000000000002E-13</v>
      </c>
      <c r="Y1518" s="121">
        <f t="shared" si="612"/>
        <v>0</v>
      </c>
      <c r="Z1518" s="121">
        <f t="shared" si="613"/>
        <v>0</v>
      </c>
      <c r="AA1518" s="121">
        <f t="shared" si="614"/>
        <v>-4.6600000000000003E-13</v>
      </c>
      <c r="AB1518" s="121">
        <f t="shared" si="617"/>
        <v>-4.6566128730773927E-13</v>
      </c>
      <c r="AC1518" s="121">
        <v>0</v>
      </c>
      <c r="AD1518" s="121">
        <v>-4.6566128730773927E-13</v>
      </c>
      <c r="AE1518" s="121">
        <v>-4.6566128730773927E-13</v>
      </c>
      <c r="AF1518" s="121">
        <v>-4.6566128730773927E-13</v>
      </c>
      <c r="AG1518" s="121">
        <v>-4.6566128730773927E-13</v>
      </c>
      <c r="AH1518" s="121">
        <v>-4.6566128730773927E-13</v>
      </c>
      <c r="AI1518" s="161">
        <v>-4.6566128730773927E-13</v>
      </c>
      <c r="AJ1518" s="161">
        <v>-4.6566128730773927E-13</v>
      </c>
      <c r="AK1518" s="161">
        <v>-4.6566128730773927E-13</v>
      </c>
      <c r="AL1518" s="161">
        <v>-4.6566128730773927E-13</v>
      </c>
      <c r="AM1518" s="161">
        <v>-4.6566128730773927E-13</v>
      </c>
      <c r="AN1518" s="161">
        <v>-4.6566128730773927E-13</v>
      </c>
      <c r="AO1518" s="161">
        <v>-4.6566128730773927E-13</v>
      </c>
      <c r="AP1518" s="125" t="str">
        <f>CONCATENATE(A1518,M1518)</f>
        <v>Def TaxN</v>
      </c>
      <c r="AQ1518" s="125" t="str">
        <f>CONCATENATE(AP1518,L1518,H1518)</f>
        <v>Def TaxNN10Pension</v>
      </c>
      <c r="AS1518" s="125" t="str">
        <f>CONCATENATE(L1518,H1518,J1518)</f>
        <v>N10PensionNCR</v>
      </c>
    </row>
    <row r="1519" spans="1:45" s="125" customFormat="1" ht="25.5" customHeight="1">
      <c r="A1519" s="216" t="s">
        <v>1996</v>
      </c>
      <c r="B1519" s="217" t="str">
        <f t="shared" si="607"/>
        <v>Def Tax2835600-286.01.36BG030302</v>
      </c>
      <c r="C1519" s="186">
        <v>283560</v>
      </c>
      <c r="D1519" s="201" t="s">
        <v>49</v>
      </c>
      <c r="E1519" s="162" t="s">
        <v>2684</v>
      </c>
      <c r="F1519" s="169" t="s">
        <v>905</v>
      </c>
      <c r="G1519" s="117" t="s">
        <v>1806</v>
      </c>
      <c r="H1519" s="118" t="s">
        <v>2768</v>
      </c>
      <c r="I1519" s="119"/>
      <c r="J1519" s="120"/>
      <c r="K1519" s="120" t="str">
        <f>IF(L1519="N3","SFAS-109","")</f>
        <v/>
      </c>
      <c r="L1519" s="170" t="s">
        <v>928</v>
      </c>
      <c r="M1519" s="122" t="str">
        <f t="shared" si="620"/>
        <v>N</v>
      </c>
      <c r="N1519" s="116" t="str">
        <f>IF($L1519&lt;&gt;"",VLOOKUP($L1519,Categories!$E:$G,2,FALSE),IF($F1519&lt;&gt;"","NO CAT",""))</f>
        <v>Not in Rate Base</v>
      </c>
      <c r="O1519" s="116" t="str">
        <f>IF($L1519&lt;&gt;"",VLOOKUP($L1519,Categories!$E:$G,3,FALSE),IF($F1519&lt;&gt;"","NO CAT",""))</f>
        <v>Direct Assign Items Not in RB</v>
      </c>
      <c r="P1519" s="170" t="s">
        <v>1186</v>
      </c>
      <c r="Q1519" s="123" t="s">
        <v>1187</v>
      </c>
      <c r="R1519" s="124">
        <v>0</v>
      </c>
      <c r="S1519" s="124">
        <v>0</v>
      </c>
      <c r="T1519" s="124">
        <v>1</v>
      </c>
      <c r="U1519" s="121">
        <f t="shared" si="609"/>
        <v>0</v>
      </c>
      <c r="V1519" s="121">
        <f t="shared" si="610"/>
        <v>0</v>
      </c>
      <c r="W1519" s="121">
        <f t="shared" si="611"/>
        <v>-777.69353000000001</v>
      </c>
      <c r="X1519" s="121">
        <f t="shared" si="616"/>
        <v>-777.69353000000001</v>
      </c>
      <c r="Y1519" s="121">
        <f t="shared" si="612"/>
        <v>0</v>
      </c>
      <c r="Z1519" s="121">
        <f t="shared" si="613"/>
        <v>0</v>
      </c>
      <c r="AA1519" s="121">
        <f t="shared" si="614"/>
        <v>-777.69353000000001</v>
      </c>
      <c r="AB1519" s="121">
        <f t="shared" si="617"/>
        <v>-777.69353000000001</v>
      </c>
      <c r="AC1519" s="121">
        <v>-777.69353000000001</v>
      </c>
      <c r="AD1519" s="121">
        <v>-777.69353000000001</v>
      </c>
      <c r="AE1519" s="121">
        <v>-777.69353000000001</v>
      </c>
      <c r="AF1519" s="121">
        <v>-777.69353000000001</v>
      </c>
      <c r="AG1519" s="121">
        <v>-777.69353000000001</v>
      </c>
      <c r="AH1519" s="121">
        <v>-777.69353000000001</v>
      </c>
      <c r="AI1519" s="161">
        <v>-777.69353000000001</v>
      </c>
      <c r="AJ1519" s="161">
        <v>-777.69353000000001</v>
      </c>
      <c r="AK1519" s="161">
        <v>-777.69353000000001</v>
      </c>
      <c r="AL1519" s="161">
        <v>-777.69353000000001</v>
      </c>
      <c r="AM1519" s="161">
        <v>-777.69353000000001</v>
      </c>
      <c r="AN1519" s="161">
        <v>-777.69353000000001</v>
      </c>
      <c r="AO1519" s="161">
        <v>-777.69353000000001</v>
      </c>
      <c r="AP1519" s="125" t="str">
        <f>CONCATENATE(A1519,M1519)</f>
        <v>Def TaxN</v>
      </c>
      <c r="AQ1519" s="125" t="str">
        <f>CONCATENATE(AP1519,L1519,H1519)</f>
        <v>Def TaxNN2Gas Bill Mitigation</v>
      </c>
      <c r="AS1519" s="125" t="str">
        <f>CONCATENATE(L1519,H1519,J1519)</f>
        <v>N2Gas Bill Mitigation</v>
      </c>
    </row>
    <row r="1520" spans="1:45" s="125" customFormat="1" ht="25.5" customHeight="1">
      <c r="A1520" s="216" t="s">
        <v>1996</v>
      </c>
      <c r="B1520" s="217" t="str">
        <f t="shared" si="607"/>
        <v>Def Tax283560PandemicBG030559</v>
      </c>
      <c r="C1520" s="186">
        <v>283560</v>
      </c>
      <c r="D1520" s="201" t="s">
        <v>899</v>
      </c>
      <c r="E1520" s="162" t="s">
        <v>531</v>
      </c>
      <c r="F1520" s="169" t="s">
        <v>905</v>
      </c>
      <c r="G1520" s="117" t="s">
        <v>331</v>
      </c>
      <c r="H1520" s="118" t="s">
        <v>2207</v>
      </c>
      <c r="I1520" s="119"/>
      <c r="J1520" s="231" t="s">
        <v>105</v>
      </c>
      <c r="K1520" s="120" t="str">
        <f>IF(L1520="N3","SFAS-109","")</f>
        <v/>
      </c>
      <c r="L1520" s="170" t="s">
        <v>2821</v>
      </c>
      <c r="M1520" s="122" t="str">
        <f t="shared" si="620"/>
        <v>N</v>
      </c>
      <c r="N1520" s="116" t="str">
        <f>IF($L1520&lt;&gt;"",VLOOKUP($L1520,Categories!$E:$G,2,FALSE),IF($F1520&lt;&gt;"","NO CAT",""))</f>
        <v>Not in Rate Base</v>
      </c>
      <c r="O1520" s="116" t="str">
        <f>IF($L1520&lt;&gt;"",VLOOKUP($L1520,Categories!$E:$G,3,FALSE),IF($F1520&lt;&gt;"","NO CAT",""))</f>
        <v>Deferrals Accruing Non-Cash Return   (other than ASGA)</v>
      </c>
      <c r="P1520" s="170" t="s">
        <v>1186</v>
      </c>
      <c r="Q1520" s="123" t="s">
        <v>1187</v>
      </c>
      <c r="R1520" s="124">
        <v>0</v>
      </c>
      <c r="S1520" s="124">
        <v>0</v>
      </c>
      <c r="T1520" s="124">
        <v>1</v>
      </c>
      <c r="U1520" s="121">
        <f t="shared" si="609"/>
        <v>0</v>
      </c>
      <c r="V1520" s="121">
        <f t="shared" si="610"/>
        <v>0</v>
      </c>
      <c r="W1520" s="121">
        <f t="shared" si="611"/>
        <v>3.0000000000000001E-5</v>
      </c>
      <c r="X1520" s="121">
        <f t="shared" si="616"/>
        <v>3.0000000000000001E-5</v>
      </c>
      <c r="Y1520" s="121">
        <f t="shared" si="612"/>
        <v>0</v>
      </c>
      <c r="Z1520" s="121">
        <f t="shared" si="613"/>
        <v>0</v>
      </c>
      <c r="AA1520" s="121">
        <f t="shared" si="614"/>
        <v>3.0000000000000001E-5</v>
      </c>
      <c r="AB1520" s="121">
        <f t="shared" si="617"/>
        <v>2.9999999999997751E-5</v>
      </c>
      <c r="AC1520" s="121">
        <v>2.9999999999997751E-5</v>
      </c>
      <c r="AD1520" s="121">
        <v>2.9999999999997751E-5</v>
      </c>
      <c r="AE1520" s="121">
        <v>2.9999999999997751E-5</v>
      </c>
      <c r="AF1520" s="121">
        <v>2.9999999999997751E-5</v>
      </c>
      <c r="AG1520" s="121">
        <v>2.9999999999997751E-5</v>
      </c>
      <c r="AH1520" s="121">
        <v>2.9999999999997751E-5</v>
      </c>
      <c r="AI1520" s="161">
        <v>2.9999999999997751E-5</v>
      </c>
      <c r="AJ1520" s="161">
        <v>2.9999999999997751E-5</v>
      </c>
      <c r="AK1520" s="161">
        <v>2.9999999999997751E-5</v>
      </c>
      <c r="AL1520" s="161">
        <v>2.9999999999997751E-5</v>
      </c>
      <c r="AM1520" s="161">
        <v>2.9999999999997751E-5</v>
      </c>
      <c r="AN1520" s="161">
        <v>2.9999999999997751E-5</v>
      </c>
      <c r="AO1520" s="161">
        <v>2.9999999999997751E-5</v>
      </c>
      <c r="AP1520" s="125" t="str">
        <f>CONCATENATE(A1520,M1520)</f>
        <v>Def TaxN</v>
      </c>
      <c r="AQ1520" s="125" t="str">
        <f>CONCATENATE(AP1520,L1520,H1520)</f>
        <v>Def TaxNN10Pandemic Flu</v>
      </c>
      <c r="AS1520" s="125" t="str">
        <f>CONCATENATE(L1520,H1520,J1520)</f>
        <v>N10Pandemic FluNCR</v>
      </c>
    </row>
    <row r="1521" spans="1:45" s="125" customFormat="1" ht="25.5" customHeight="1">
      <c r="A1521" s="216" t="s">
        <v>1996</v>
      </c>
      <c r="B1521" s="217" t="str">
        <f t="shared" si="607"/>
        <v>Def Tax283560Ptax DefBT010268</v>
      </c>
      <c r="C1521" s="186">
        <v>283560</v>
      </c>
      <c r="D1521" s="201" t="s">
        <v>940</v>
      </c>
      <c r="E1521" s="162" t="s">
        <v>278</v>
      </c>
      <c r="F1521" s="169" t="s">
        <v>905</v>
      </c>
      <c r="G1521" s="117" t="s">
        <v>815</v>
      </c>
      <c r="H1521" s="118" t="s">
        <v>815</v>
      </c>
      <c r="I1521" s="119"/>
      <c r="J1521" s="231" t="s">
        <v>105</v>
      </c>
      <c r="K1521" s="120" t="str">
        <f>IF(L1521="N3","SFAS-109","")</f>
        <v/>
      </c>
      <c r="L1521" s="170" t="s">
        <v>2821</v>
      </c>
      <c r="M1521" s="122" t="str">
        <f t="shared" si="620"/>
        <v>N</v>
      </c>
      <c r="N1521" s="116" t="str">
        <f>IF($L1521&lt;&gt;"",VLOOKUP($L1521,Categories!$E:$G,2,FALSE),IF($F1521&lt;&gt;"","NO CAT",""))</f>
        <v>Not in Rate Base</v>
      </c>
      <c r="O1521" s="116" t="str">
        <f>IF($L1521&lt;&gt;"",VLOOKUP($L1521,Categories!$E:$G,3,FALSE),IF($F1521&lt;&gt;"","NO CAT",""))</f>
        <v>Deferrals Accruing Non-Cash Return   (other than ASGA)</v>
      </c>
      <c r="P1521" s="170" t="s">
        <v>1186</v>
      </c>
      <c r="Q1521" s="123" t="s">
        <v>1187</v>
      </c>
      <c r="R1521" s="124">
        <v>0</v>
      </c>
      <c r="S1521" s="124">
        <v>0</v>
      </c>
      <c r="T1521" s="124">
        <v>1</v>
      </c>
      <c r="U1521" s="121">
        <f t="shared" si="609"/>
        <v>0</v>
      </c>
      <c r="V1521" s="121">
        <f t="shared" si="610"/>
        <v>0</v>
      </c>
      <c r="W1521" s="121">
        <f t="shared" si="611"/>
        <v>-325.827153333333</v>
      </c>
      <c r="X1521" s="121">
        <f t="shared" si="616"/>
        <v>-325.827153333333</v>
      </c>
      <c r="Y1521" s="121">
        <f t="shared" si="612"/>
        <v>0</v>
      </c>
      <c r="Z1521" s="121">
        <f t="shared" si="613"/>
        <v>0</v>
      </c>
      <c r="AA1521" s="121">
        <f t="shared" si="614"/>
        <v>-418.50907999999998</v>
      </c>
      <c r="AB1521" s="121">
        <f t="shared" si="617"/>
        <v>-418.50907999999993</v>
      </c>
      <c r="AC1521" s="121">
        <v>-260.39693999999997</v>
      </c>
      <c r="AD1521" s="121">
        <v>-267.76838999999995</v>
      </c>
      <c r="AE1521" s="121">
        <v>-278.37105999999994</v>
      </c>
      <c r="AF1521" s="121">
        <v>-289.16023999999993</v>
      </c>
      <c r="AG1521" s="121">
        <v>-300.98599999999993</v>
      </c>
      <c r="AH1521" s="121">
        <v>-306.55376999999999</v>
      </c>
      <c r="AI1521" s="161">
        <v>-319.09912999999995</v>
      </c>
      <c r="AJ1521" s="161">
        <v>-332.04098999999991</v>
      </c>
      <c r="AK1521" s="161">
        <v>-345.39496999999989</v>
      </c>
      <c r="AL1521" s="161">
        <v>-361.93545999999992</v>
      </c>
      <c r="AM1521" s="161">
        <v>-375.55013999999989</v>
      </c>
      <c r="AN1521" s="161">
        <v>-393.6126799999999</v>
      </c>
      <c r="AO1521" s="161">
        <v>-418.50907999999993</v>
      </c>
      <c r="AP1521" s="125" t="str">
        <f>CONCATENATE(A1521,M1521)</f>
        <v>Def TaxN</v>
      </c>
      <c r="AQ1521" s="125" t="str">
        <f>CONCATENATE(AP1521,L1521,H1521)</f>
        <v>Def TaxNN10Property Tax Deferral</v>
      </c>
      <c r="AS1521" s="125" t="str">
        <f>CONCATENATE(L1521,H1521,J1521)</f>
        <v>N10Property Tax DeferralNCR</v>
      </c>
    </row>
    <row r="1522" spans="1:45" s="125" customFormat="1" ht="25.5" customHeight="1">
      <c r="A1522" s="216" t="s">
        <v>1996</v>
      </c>
      <c r="B1522" s="217" t="str">
        <f t="shared" si="607"/>
        <v>Def Tax283560Sarb-OxleyBG030172</v>
      </c>
      <c r="C1522" s="186">
        <v>283560</v>
      </c>
      <c r="D1522" s="201" t="s">
        <v>999</v>
      </c>
      <c r="E1522" s="162" t="s">
        <v>80</v>
      </c>
      <c r="F1522" s="169" t="s">
        <v>905</v>
      </c>
      <c r="G1522" s="117" t="s">
        <v>1000</v>
      </c>
      <c r="H1522" s="118" t="s">
        <v>3032</v>
      </c>
      <c r="I1522" s="119"/>
      <c r="J1522" s="231"/>
      <c r="K1522" s="120" t="str">
        <f t="shared" ref="K1522:K1530" si="621">IF(L1522="N3","SFAS-109","")</f>
        <v/>
      </c>
      <c r="L1522" s="170" t="s">
        <v>1895</v>
      </c>
      <c r="M1522" s="122" t="str">
        <f t="shared" ref="M1522:M1555" si="622">LEFT(L1522,1)</f>
        <v>R</v>
      </c>
      <c r="N1522" s="116" t="str">
        <f>IF($L1522&lt;&gt;"",VLOOKUP($L1522,Categories!$E:$G,2,FALSE),IF($F1522&lt;&gt;"","NO CAT",""))</f>
        <v>Rate Base</v>
      </c>
      <c r="O1522" s="116" t="str">
        <f>IF($L1522&lt;&gt;"",VLOOKUP($L1522,Categories!$E:$G,3,FALSE),IF($F1522&lt;&gt;"","NO CAT",""))</f>
        <v>Deferred Income Taxes</v>
      </c>
      <c r="P1522" s="170" t="s">
        <v>1184</v>
      </c>
      <c r="Q1522" s="123" t="s">
        <v>1178</v>
      </c>
      <c r="R1522" s="124">
        <v>0</v>
      </c>
      <c r="S1522" s="124">
        <v>1</v>
      </c>
      <c r="T1522" s="124">
        <v>0</v>
      </c>
      <c r="U1522" s="121">
        <f t="shared" si="609"/>
        <v>0</v>
      </c>
      <c r="V1522" s="121">
        <f t="shared" si="610"/>
        <v>-12.9480500000001</v>
      </c>
      <c r="W1522" s="121">
        <f t="shared" si="611"/>
        <v>0</v>
      </c>
      <c r="X1522" s="121">
        <f t="shared" si="616"/>
        <v>-12.9480500000001</v>
      </c>
      <c r="Y1522" s="121">
        <f t="shared" si="612"/>
        <v>0</v>
      </c>
      <c r="Z1522" s="121">
        <f t="shared" si="613"/>
        <v>-12.9480500000001</v>
      </c>
      <c r="AA1522" s="121">
        <f t="shared" si="614"/>
        <v>0</v>
      </c>
      <c r="AB1522" s="121">
        <f t="shared" si="617"/>
        <v>-12.94805000000005</v>
      </c>
      <c r="AC1522" s="121">
        <v>-12.94805000000005</v>
      </c>
      <c r="AD1522" s="121">
        <v>-12.94805000000005</v>
      </c>
      <c r="AE1522" s="121">
        <v>-12.94805000000005</v>
      </c>
      <c r="AF1522" s="121">
        <v>-12.94805000000005</v>
      </c>
      <c r="AG1522" s="121">
        <v>-12.94805000000005</v>
      </c>
      <c r="AH1522" s="121">
        <v>-12.94805000000005</v>
      </c>
      <c r="AI1522" s="161">
        <v>-12.94805000000005</v>
      </c>
      <c r="AJ1522" s="161">
        <v>-12.94805000000005</v>
      </c>
      <c r="AK1522" s="161">
        <v>-12.94805000000005</v>
      </c>
      <c r="AL1522" s="161">
        <v>-12.94805000000005</v>
      </c>
      <c r="AM1522" s="161">
        <v>-12.94805000000005</v>
      </c>
      <c r="AN1522" s="161">
        <v>-12.94805000000005</v>
      </c>
      <c r="AO1522" s="161">
        <v>-12.94805000000005</v>
      </c>
      <c r="AP1522" s="125" t="str">
        <f>CONCATENATE(A1522,M1522)</f>
        <v>Def TaxR</v>
      </c>
      <c r="AQ1522" s="125" t="str">
        <f>CONCATENATE(AP1522,L1522,H1522)</f>
        <v>Def TaxRR11Sarbanes-Oxley</v>
      </c>
      <c r="AS1522" s="125" t="str">
        <f>CONCATENATE(L1522,H1522,J1522)</f>
        <v>R11Sarbanes-Oxley</v>
      </c>
    </row>
    <row r="1523" spans="1:45" s="125" customFormat="1" ht="25.5" customHeight="1">
      <c r="A1523" s="216" t="s">
        <v>1996</v>
      </c>
      <c r="B1523" s="217" t="str">
        <f t="shared" si="607"/>
        <v>Def Tax283560FAS 158 - OPEBBT030562</v>
      </c>
      <c r="C1523" s="186">
        <v>283560</v>
      </c>
      <c r="D1523" s="201" t="s">
        <v>722</v>
      </c>
      <c r="E1523" s="162" t="s">
        <v>1548</v>
      </c>
      <c r="F1523" s="169" t="s">
        <v>905</v>
      </c>
      <c r="G1523" s="117" t="s">
        <v>330</v>
      </c>
      <c r="H1523" s="118" t="s">
        <v>170</v>
      </c>
      <c r="I1523" s="119"/>
      <c r="J1523" s="120"/>
      <c r="K1523" s="120" t="str">
        <f t="shared" si="621"/>
        <v/>
      </c>
      <c r="L1523" s="170" t="s">
        <v>1895</v>
      </c>
      <c r="M1523" s="122" t="str">
        <f t="shared" si="622"/>
        <v>R</v>
      </c>
      <c r="N1523" s="116" t="str">
        <f>IF($L1523&lt;&gt;"",VLOOKUP($L1523,Categories!$E:$G,2,FALSE),IF($F1523&lt;&gt;"","NO CAT",""))</f>
        <v>Rate Base</v>
      </c>
      <c r="O1523" s="116" t="str">
        <f>IF($L1523&lt;&gt;"",VLOOKUP($L1523,Categories!$E:$G,3,FALSE),IF($F1523&lt;&gt;"","NO CAT",""))</f>
        <v>Deferred Income Taxes</v>
      </c>
      <c r="P1523" s="170" t="s">
        <v>1553</v>
      </c>
      <c r="Q1523" s="123" t="s">
        <v>2587</v>
      </c>
      <c r="R1523" s="124">
        <v>0.81899999999999995</v>
      </c>
      <c r="S1523" s="124">
        <v>0.18099999999999999</v>
      </c>
      <c r="T1523" s="124">
        <v>0</v>
      </c>
      <c r="U1523" s="121">
        <f t="shared" si="609"/>
        <v>-1.9000000000000001E-14</v>
      </c>
      <c r="V1523" s="121">
        <f t="shared" si="610"/>
        <v>-4.0000000000000003E-15</v>
      </c>
      <c r="W1523" s="121">
        <f t="shared" si="611"/>
        <v>0</v>
      </c>
      <c r="X1523" s="121">
        <f t="shared" si="616"/>
        <v>-2.3E-14</v>
      </c>
      <c r="Y1523" s="121">
        <f t="shared" si="612"/>
        <v>-2E-14</v>
      </c>
      <c r="Z1523" s="121">
        <f t="shared" si="613"/>
        <v>-4.0000000000000003E-15</v>
      </c>
      <c r="AA1523" s="121">
        <f t="shared" si="614"/>
        <v>0</v>
      </c>
      <c r="AB1523" s="121">
        <f t="shared" si="617"/>
        <v>-2.4447222024548409E-14</v>
      </c>
      <c r="AC1523" s="121">
        <v>0</v>
      </c>
      <c r="AD1523" s="121">
        <v>-2.4447222024548409E-14</v>
      </c>
      <c r="AE1523" s="121">
        <v>-2.4447222024548409E-14</v>
      </c>
      <c r="AF1523" s="121">
        <v>-2.4447222024548409E-14</v>
      </c>
      <c r="AG1523" s="121">
        <v>-2.4447222024548409E-14</v>
      </c>
      <c r="AH1523" s="121">
        <v>-2.4447222024548409E-14</v>
      </c>
      <c r="AI1523" s="161">
        <v>-2.4447222024548409E-14</v>
      </c>
      <c r="AJ1523" s="161">
        <v>-2.4447222024548409E-14</v>
      </c>
      <c r="AK1523" s="161">
        <v>-2.4447222024548409E-14</v>
      </c>
      <c r="AL1523" s="161">
        <v>-2.4447222024548409E-14</v>
      </c>
      <c r="AM1523" s="161">
        <v>-2.4447222024548409E-14</v>
      </c>
      <c r="AN1523" s="161">
        <v>-2.4447222024548409E-14</v>
      </c>
      <c r="AO1523" s="161">
        <v>-2.4447222024548409E-14</v>
      </c>
      <c r="AP1523" s="125" t="str">
        <f>CONCATENATE(A1523,M1523)</f>
        <v>Def TaxR</v>
      </c>
      <c r="AQ1523" s="125" t="str">
        <f>CONCATENATE(AP1523,L1523,H1523)</f>
        <v>Def TaxRR11OPEBs</v>
      </c>
      <c r="AS1523" s="125" t="str">
        <f>CONCATENATE(L1523,H1523,J1523)</f>
        <v>R11OPEBs</v>
      </c>
    </row>
    <row r="1524" spans="1:45" s="125" customFormat="1" ht="25.5" customHeight="1">
      <c r="A1524" s="216" t="s">
        <v>1996</v>
      </c>
      <c r="B1524" s="217" t="str">
        <f t="shared" si="607"/>
        <v>Def Tax2835600-286.01.04BC030163</v>
      </c>
      <c r="C1524" s="186">
        <v>283560</v>
      </c>
      <c r="D1524" s="201" t="s">
        <v>809</v>
      </c>
      <c r="E1524" s="162" t="s">
        <v>1727</v>
      </c>
      <c r="F1524" s="169" t="s">
        <v>905</v>
      </c>
      <c r="G1524" s="117" t="s">
        <v>301</v>
      </c>
      <c r="H1524" s="118" t="s">
        <v>1484</v>
      </c>
      <c r="I1524" s="119"/>
      <c r="J1524" s="120"/>
      <c r="K1524" s="120" t="str">
        <f t="shared" si="621"/>
        <v/>
      </c>
      <c r="L1524" s="170" t="s">
        <v>1895</v>
      </c>
      <c r="M1524" s="122" t="str">
        <f t="shared" si="622"/>
        <v>R</v>
      </c>
      <c r="N1524" s="116" t="str">
        <f>IF($L1524&lt;&gt;"",VLOOKUP($L1524,Categories!$E:$G,2,FALSE),IF($F1524&lt;&gt;"","NO CAT",""))</f>
        <v>Rate Base</v>
      </c>
      <c r="O1524" s="116" t="str">
        <f>IF($L1524&lt;&gt;"",VLOOKUP($L1524,Categories!$E:$G,3,FALSE),IF($F1524&lt;&gt;"","NO CAT",""))</f>
        <v>Deferred Income Taxes</v>
      </c>
      <c r="P1524" s="170" t="s">
        <v>1184</v>
      </c>
      <c r="Q1524" s="123" t="s">
        <v>1178</v>
      </c>
      <c r="R1524" s="124">
        <v>0</v>
      </c>
      <c r="S1524" s="124">
        <v>1</v>
      </c>
      <c r="T1524" s="124">
        <v>0</v>
      </c>
      <c r="U1524" s="121">
        <f t="shared" si="609"/>
        <v>0</v>
      </c>
      <c r="V1524" s="121">
        <f t="shared" si="610"/>
        <v>-48.758396249999997</v>
      </c>
      <c r="W1524" s="121">
        <f t="shared" si="611"/>
        <v>0</v>
      </c>
      <c r="X1524" s="121">
        <f t="shared" si="616"/>
        <v>-48.758396249999997</v>
      </c>
      <c r="Y1524" s="121">
        <f t="shared" si="612"/>
        <v>0</v>
      </c>
      <c r="Z1524" s="121">
        <f t="shared" si="613"/>
        <v>-52.631160000000001</v>
      </c>
      <c r="AA1524" s="121">
        <f t="shared" si="614"/>
        <v>0</v>
      </c>
      <c r="AB1524" s="121">
        <f t="shared" si="617"/>
        <v>-52.631159999999987</v>
      </c>
      <c r="AC1524" s="121">
        <v>-48.546749999999989</v>
      </c>
      <c r="AD1524" s="121">
        <v>-48.440319999999986</v>
      </c>
      <c r="AE1524" s="121">
        <v>-48.333889999999982</v>
      </c>
      <c r="AF1524" s="121">
        <v>-48.227449999999983</v>
      </c>
      <c r="AG1524" s="121">
        <v>-48.227449999999983</v>
      </c>
      <c r="AH1524" s="121">
        <v>-48.014589999999984</v>
      </c>
      <c r="AI1524" s="161">
        <v>-50.611319999999985</v>
      </c>
      <c r="AJ1524" s="161">
        <v>-46.588609999999989</v>
      </c>
      <c r="AK1524" s="161">
        <v>-46.662159999999986</v>
      </c>
      <c r="AL1524" s="161">
        <v>-48.424199999999992</v>
      </c>
      <c r="AM1524" s="161">
        <v>-48.350649999999987</v>
      </c>
      <c r="AN1524" s="161">
        <v>-52.631159999999987</v>
      </c>
      <c r="AO1524" s="161">
        <v>-52.631159999999987</v>
      </c>
      <c r="AP1524" s="125" t="str">
        <f>CONCATENATE(A1524,M1524)</f>
        <v>Def TaxR</v>
      </c>
      <c r="AQ1524" s="125" t="str">
        <f>CONCATENATE(AP1524,L1524,H1524)</f>
        <v>Def TaxRR11MTA Surcharge</v>
      </c>
      <c r="AS1524" s="125" t="str">
        <f>CONCATENATE(L1524,H1524,J1524)</f>
        <v>R11MTA Surcharge</v>
      </c>
    </row>
    <row r="1525" spans="1:45" s="125" customFormat="1" ht="25.5" customHeight="1">
      <c r="A1525" s="216" t="s">
        <v>1996</v>
      </c>
      <c r="B1525" s="217" t="str">
        <f t="shared" si="607"/>
        <v>Def Tax283560Trans IntegBG030181</v>
      </c>
      <c r="C1525" s="186">
        <v>283560</v>
      </c>
      <c r="D1525" s="201" t="s">
        <v>622</v>
      </c>
      <c r="E1525" s="162" t="s">
        <v>527</v>
      </c>
      <c r="F1525" s="169" t="s">
        <v>905</v>
      </c>
      <c r="G1525" s="117" t="s">
        <v>621</v>
      </c>
      <c r="H1525" s="118" t="s">
        <v>2522</v>
      </c>
      <c r="I1525" s="119"/>
      <c r="J1525" s="120" t="s">
        <v>105</v>
      </c>
      <c r="K1525" s="120" t="str">
        <f t="shared" si="621"/>
        <v/>
      </c>
      <c r="L1525" s="170" t="s">
        <v>2821</v>
      </c>
      <c r="M1525" s="122" t="str">
        <f t="shared" si="622"/>
        <v>N</v>
      </c>
      <c r="N1525" s="116" t="str">
        <f>IF($L1525&lt;&gt;"",VLOOKUP($L1525,Categories!$E:$G,2,FALSE),IF($F1525&lt;&gt;"","NO CAT",""))</f>
        <v>Not in Rate Base</v>
      </c>
      <c r="O1525" s="116" t="str">
        <f>IF($L1525&lt;&gt;"",VLOOKUP($L1525,Categories!$E:$G,3,FALSE),IF($F1525&lt;&gt;"","NO CAT",""))</f>
        <v>Deferrals Accruing Non-Cash Return   (other than ASGA)</v>
      </c>
      <c r="P1525" s="170" t="s">
        <v>1186</v>
      </c>
      <c r="Q1525" s="123" t="s">
        <v>1187</v>
      </c>
      <c r="R1525" s="124">
        <v>0</v>
      </c>
      <c r="S1525" s="124">
        <v>0</v>
      </c>
      <c r="T1525" s="124">
        <v>1</v>
      </c>
      <c r="U1525" s="121">
        <f t="shared" si="609"/>
        <v>0</v>
      </c>
      <c r="V1525" s="121">
        <f t="shared" si="610"/>
        <v>0</v>
      </c>
      <c r="W1525" s="121">
        <f t="shared" si="611"/>
        <v>1.7477416666666801</v>
      </c>
      <c r="X1525" s="121">
        <f t="shared" si="616"/>
        <v>1.7477416666666801</v>
      </c>
      <c r="Y1525" s="121">
        <f t="shared" si="612"/>
        <v>0</v>
      </c>
      <c r="Z1525" s="121">
        <f t="shared" si="613"/>
        <v>0</v>
      </c>
      <c r="AA1525" s="121">
        <f t="shared" si="614"/>
        <v>6.5696100000000097</v>
      </c>
      <c r="AB1525" s="121">
        <f t="shared" si="617"/>
        <v>6.5696100000000115</v>
      </c>
      <c r="AC1525" s="121">
        <v>-4.6394899999999888</v>
      </c>
      <c r="AD1525" s="121">
        <v>-2.5399399999999885</v>
      </c>
      <c r="AE1525" s="121">
        <v>-0.69589999999998875</v>
      </c>
      <c r="AF1525" s="121">
        <v>0.66170000000001117</v>
      </c>
      <c r="AG1525" s="121">
        <v>1.1374100000000111</v>
      </c>
      <c r="AH1525" s="121">
        <v>1.9686800000000113</v>
      </c>
      <c r="AI1525" s="161">
        <v>2.2277300000000113</v>
      </c>
      <c r="AJ1525" s="161">
        <v>2.4397800000000114</v>
      </c>
      <c r="AK1525" s="161">
        <v>2.8469600000000113</v>
      </c>
      <c r="AL1525" s="161">
        <v>3.1856700000000115</v>
      </c>
      <c r="AM1525" s="161">
        <v>3.7362100000000114</v>
      </c>
      <c r="AN1525" s="161">
        <v>5.0395400000000121</v>
      </c>
      <c r="AO1525" s="161">
        <v>6.5696100000000115</v>
      </c>
      <c r="AP1525" s="125" t="str">
        <f>CONCATENATE(A1525,M1525)</f>
        <v>Def TaxN</v>
      </c>
      <c r="AQ1525" s="125" t="str">
        <f>CONCATENATE(AP1525,L1525,H1525)</f>
        <v>Def TaxNN10Gas Main Integrity</v>
      </c>
      <c r="AS1525" s="125" t="str">
        <f>CONCATENATE(L1525,H1525,J1525)</f>
        <v>N10Gas Main IntegrityNCR</v>
      </c>
    </row>
    <row r="1526" spans="1:45" s="125" customFormat="1" ht="25.5" customHeight="1">
      <c r="A1526" s="216" t="s">
        <v>1996</v>
      </c>
      <c r="B1526" s="217" t="str">
        <f t="shared" si="607"/>
        <v>Def Tax283560VERP CTABG030903</v>
      </c>
      <c r="C1526" s="186">
        <v>283560</v>
      </c>
      <c r="D1526" s="201" t="s">
        <v>941</v>
      </c>
      <c r="E1526" s="162" t="s">
        <v>1883</v>
      </c>
      <c r="F1526" s="169" t="s">
        <v>905</v>
      </c>
      <c r="G1526" s="117" t="s">
        <v>1025</v>
      </c>
      <c r="H1526" s="118" t="s">
        <v>1151</v>
      </c>
      <c r="I1526" s="119"/>
      <c r="J1526" s="231"/>
      <c r="K1526" s="120" t="str">
        <f t="shared" si="621"/>
        <v/>
      </c>
      <c r="L1526" s="170" t="s">
        <v>1895</v>
      </c>
      <c r="M1526" s="122" t="str">
        <f t="shared" si="622"/>
        <v>R</v>
      </c>
      <c r="N1526" s="116" t="str">
        <f>IF($L1526&lt;&gt;"",VLOOKUP($L1526,Categories!$E:$G,2,FALSE),IF($F1526&lt;&gt;"","NO CAT",""))</f>
        <v>Rate Base</v>
      </c>
      <c r="O1526" s="116" t="str">
        <f>IF($L1526&lt;&gt;"",VLOOKUP($L1526,Categories!$E:$G,3,FALSE),IF($F1526&lt;&gt;"","NO CAT",""))</f>
        <v>Deferred Income Taxes</v>
      </c>
      <c r="P1526" s="170" t="s">
        <v>1184</v>
      </c>
      <c r="Q1526" s="123" t="s">
        <v>1178</v>
      </c>
      <c r="R1526" s="124">
        <v>0</v>
      </c>
      <c r="S1526" s="124">
        <v>1</v>
      </c>
      <c r="T1526" s="124">
        <v>0</v>
      </c>
      <c r="U1526" s="121">
        <f t="shared" si="609"/>
        <v>0</v>
      </c>
      <c r="V1526" s="121">
        <f t="shared" si="610"/>
        <v>5.1746799999998396</v>
      </c>
      <c r="W1526" s="121">
        <f t="shared" si="611"/>
        <v>0</v>
      </c>
      <c r="X1526" s="121">
        <f t="shared" si="616"/>
        <v>5.1746799999998396</v>
      </c>
      <c r="Y1526" s="121">
        <f t="shared" si="612"/>
        <v>0</v>
      </c>
      <c r="Z1526" s="121">
        <f t="shared" si="613"/>
        <v>5.1746799999998396</v>
      </c>
      <c r="AA1526" s="121">
        <f t="shared" si="614"/>
        <v>0</v>
      </c>
      <c r="AB1526" s="121">
        <f t="shared" si="617"/>
        <v>5.1746799999998405</v>
      </c>
      <c r="AC1526" s="121">
        <v>5.1746799999998405</v>
      </c>
      <c r="AD1526" s="121">
        <v>5.1746799999998405</v>
      </c>
      <c r="AE1526" s="121">
        <v>5.1746799999998405</v>
      </c>
      <c r="AF1526" s="121">
        <v>5.1746799999998405</v>
      </c>
      <c r="AG1526" s="121">
        <v>5.1746799999998405</v>
      </c>
      <c r="AH1526" s="121">
        <v>5.1746799999998405</v>
      </c>
      <c r="AI1526" s="161">
        <v>5.1746799999998405</v>
      </c>
      <c r="AJ1526" s="161">
        <v>5.1746799999998405</v>
      </c>
      <c r="AK1526" s="161">
        <v>5.1746799999998405</v>
      </c>
      <c r="AL1526" s="161">
        <v>5.1746799999998405</v>
      </c>
      <c r="AM1526" s="161">
        <v>5.1746799999998405</v>
      </c>
      <c r="AN1526" s="161">
        <v>5.1746799999998405</v>
      </c>
      <c r="AO1526" s="161">
        <v>5.1746799999998405</v>
      </c>
      <c r="AP1526" s="125" t="str">
        <f>CONCATENATE(A1526,M1526)</f>
        <v>Def TaxR</v>
      </c>
      <c r="AQ1526" s="125" t="str">
        <f>CONCATENATE(AP1526,L1526,H1526)</f>
        <v>Def TaxRR11CTA Efficiency</v>
      </c>
      <c r="AS1526" s="125" t="str">
        <f>CONCATENATE(L1526,H1526,J1526)</f>
        <v>R11CTA Efficiency</v>
      </c>
    </row>
    <row r="1527" spans="1:45" s="125" customFormat="1" ht="25.5" customHeight="1">
      <c r="A1527" s="216" t="s">
        <v>1996</v>
      </c>
      <c r="B1527" s="217" t="str">
        <f t="shared" ref="B1527:B1555" si="623">CONCATENATE(A1527,C1527,D1527,E1527)</f>
        <v>Def Tax283560BT010159</v>
      </c>
      <c r="C1527" s="186">
        <v>283560</v>
      </c>
      <c r="D1527" s="201"/>
      <c r="E1527" s="162" t="s">
        <v>114</v>
      </c>
      <c r="F1527" s="169" t="s">
        <v>905</v>
      </c>
      <c r="G1527" s="117" t="s">
        <v>73</v>
      </c>
      <c r="H1527" s="118" t="s">
        <v>2858</v>
      </c>
      <c r="I1527" s="119"/>
      <c r="J1527" s="231"/>
      <c r="K1527" s="120" t="str">
        <f t="shared" si="621"/>
        <v/>
      </c>
      <c r="L1527" s="170" t="s">
        <v>1895</v>
      </c>
      <c r="M1527" s="122" t="str">
        <f t="shared" si="622"/>
        <v>R</v>
      </c>
      <c r="N1527" s="116" t="str">
        <f>IF($L1527&lt;&gt;"",VLOOKUP($L1527,Categories!$E:$G,2,FALSE),IF($F1527&lt;&gt;"","NO CAT",""))</f>
        <v>Rate Base</v>
      </c>
      <c r="O1527" s="116" t="str">
        <f>IF($L1527&lt;&gt;"",VLOOKUP($L1527,Categories!$E:$G,3,FALSE),IF($F1527&lt;&gt;"","NO CAT",""))</f>
        <v>Deferred Income Taxes</v>
      </c>
      <c r="P1527" s="170" t="s">
        <v>1184</v>
      </c>
      <c r="Q1527" s="123" t="s">
        <v>1178</v>
      </c>
      <c r="R1527" s="124">
        <v>0</v>
      </c>
      <c r="S1527" s="124">
        <v>1</v>
      </c>
      <c r="T1527" s="124">
        <v>0</v>
      </c>
      <c r="U1527" s="121">
        <f t="shared" si="609"/>
        <v>0</v>
      </c>
      <c r="V1527" s="121">
        <f t="shared" si="610"/>
        <v>7.5456283333333403</v>
      </c>
      <c r="W1527" s="121">
        <f t="shared" si="611"/>
        <v>0</v>
      </c>
      <c r="X1527" s="121">
        <f t="shared" si="616"/>
        <v>7.5456283333333403</v>
      </c>
      <c r="Y1527" s="121">
        <f t="shared" si="612"/>
        <v>0</v>
      </c>
      <c r="Z1527" s="121">
        <f t="shared" si="613"/>
        <v>2.9550100000000001</v>
      </c>
      <c r="AA1527" s="121">
        <f t="shared" si="614"/>
        <v>0</v>
      </c>
      <c r="AB1527" s="121">
        <f t="shared" si="617"/>
        <v>2.9550100000000028</v>
      </c>
      <c r="AC1527" s="121">
        <v>-0.64584999999999715</v>
      </c>
      <c r="AD1527" s="121">
        <v>2.9119600000000028</v>
      </c>
      <c r="AE1527" s="121">
        <v>6.3322300000000036</v>
      </c>
      <c r="AF1527" s="121">
        <v>10.644990000000004</v>
      </c>
      <c r="AG1527" s="121">
        <v>12.459640000000004</v>
      </c>
      <c r="AH1527" s="121">
        <v>12.653710000000002</v>
      </c>
      <c r="AI1527" s="161">
        <v>11.592750000000004</v>
      </c>
      <c r="AJ1527" s="161">
        <v>10.186070000000003</v>
      </c>
      <c r="AK1527" s="161">
        <v>8.572930000000003</v>
      </c>
      <c r="AL1527" s="161">
        <v>6.4704900000000034</v>
      </c>
      <c r="AM1527" s="161">
        <v>4.5108900000000034</v>
      </c>
      <c r="AN1527" s="161">
        <v>3.0573000000000028</v>
      </c>
      <c r="AO1527" s="161">
        <v>2.9550100000000028</v>
      </c>
      <c r="AP1527" s="125" t="str">
        <f>CONCATENATE(A1527,M1527)</f>
        <v>Def TaxR</v>
      </c>
      <c r="AQ1527" s="125" t="str">
        <f>CONCATENATE(AP1527,L1527,H1527)</f>
        <v>Def TaxRR11Purchase of Receivables</v>
      </c>
      <c r="AS1527" s="125" t="str">
        <f>CONCATENATE(L1527,H1527,J1527)</f>
        <v>R11Purchase of Receivables</v>
      </c>
    </row>
    <row r="1528" spans="1:45" s="125" customFormat="1" ht="25.5" customHeight="1">
      <c r="A1528" s="216" t="s">
        <v>1996</v>
      </c>
      <c r="B1528" s="217" t="str">
        <f t="shared" si="623"/>
        <v>Def Tax283560Bonus DeprBE030192</v>
      </c>
      <c r="C1528" s="186">
        <v>283560</v>
      </c>
      <c r="D1528" s="201" t="s">
        <v>1452</v>
      </c>
      <c r="E1528" s="162" t="s">
        <v>1156</v>
      </c>
      <c r="F1528" s="169" t="s">
        <v>905</v>
      </c>
      <c r="G1528" s="117" t="s">
        <v>1936</v>
      </c>
      <c r="H1528" s="118" t="s">
        <v>891</v>
      </c>
      <c r="I1528" s="119"/>
      <c r="J1528" s="120" t="s">
        <v>105</v>
      </c>
      <c r="K1528" s="120" t="str">
        <f t="shared" si="621"/>
        <v/>
      </c>
      <c r="L1528" s="170" t="s">
        <v>2821</v>
      </c>
      <c r="M1528" s="122" t="str">
        <f t="shared" si="622"/>
        <v>N</v>
      </c>
      <c r="N1528" s="116" t="str">
        <f>IF($L1528&lt;&gt;"",VLOOKUP($L1528,Categories!$E:$G,2,FALSE),IF($F1528&lt;&gt;"","NO CAT",""))</f>
        <v>Not in Rate Base</v>
      </c>
      <c r="O1528" s="116" t="str">
        <f>IF($L1528&lt;&gt;"",VLOOKUP($L1528,Categories!$E:$G,3,FALSE),IF($F1528&lt;&gt;"","NO CAT",""))</f>
        <v>Deferrals Accruing Non-Cash Return   (other than ASGA)</v>
      </c>
      <c r="P1528" s="170" t="s">
        <v>1186</v>
      </c>
      <c r="Q1528" s="123" t="s">
        <v>1187</v>
      </c>
      <c r="R1528" s="124">
        <v>0</v>
      </c>
      <c r="S1528" s="124">
        <v>0</v>
      </c>
      <c r="T1528" s="124">
        <v>1</v>
      </c>
      <c r="U1528" s="121">
        <f t="shared" si="609"/>
        <v>0</v>
      </c>
      <c r="V1528" s="121">
        <f t="shared" si="610"/>
        <v>0</v>
      </c>
      <c r="W1528" s="121">
        <f t="shared" si="611"/>
        <v>436.80765666666701</v>
      </c>
      <c r="X1528" s="121">
        <f t="shared" si="616"/>
        <v>436.80765666666701</v>
      </c>
      <c r="Y1528" s="121">
        <f t="shared" si="612"/>
        <v>0</v>
      </c>
      <c r="Z1528" s="121">
        <f t="shared" si="613"/>
        <v>0</v>
      </c>
      <c r="AA1528" s="121">
        <f t="shared" si="614"/>
        <v>529.88827000000003</v>
      </c>
      <c r="AB1528" s="121">
        <f t="shared" si="617"/>
        <v>529.88826999999992</v>
      </c>
      <c r="AC1528" s="121">
        <v>344.99064999999996</v>
      </c>
      <c r="AD1528" s="121">
        <v>360.44979999999998</v>
      </c>
      <c r="AE1528" s="121">
        <v>375.87758000000002</v>
      </c>
      <c r="AF1528" s="121">
        <v>391.27383000000003</v>
      </c>
      <c r="AG1528" s="121">
        <v>406.63837999999998</v>
      </c>
      <c r="AH1528" s="121">
        <v>421.97107</v>
      </c>
      <c r="AI1528" s="161">
        <v>437.27173999999997</v>
      </c>
      <c r="AJ1528" s="161">
        <v>452.54020999999995</v>
      </c>
      <c r="AK1528" s="161">
        <v>467.77631999999994</v>
      </c>
      <c r="AL1528" s="161">
        <v>481.7517299999999</v>
      </c>
      <c r="AM1528" s="161">
        <v>496.82933999999989</v>
      </c>
      <c r="AN1528" s="161">
        <v>511.87241999999992</v>
      </c>
      <c r="AO1528" s="161">
        <v>529.88826999999992</v>
      </c>
      <c r="AP1528" s="125" t="str">
        <f>CONCATENATE(A1528,M1528)</f>
        <v>Def TaxN</v>
      </c>
      <c r="AQ1528" s="125" t="str">
        <f>CONCATENATE(AP1528,L1528,H1528)</f>
        <v>Def TaxNN10Bonus Depreciation</v>
      </c>
      <c r="AS1528" s="125" t="str">
        <f>CONCATENATE(L1528,H1528,J1528)</f>
        <v>N10Bonus DepreciationNCR</v>
      </c>
    </row>
    <row r="1529" spans="1:45" s="125" customFormat="1" ht="25.5" customHeight="1">
      <c r="A1529" s="216" t="s">
        <v>1996</v>
      </c>
      <c r="B1529" s="217" t="str">
        <f t="shared" si="623"/>
        <v>Def Tax283560BG030904</v>
      </c>
      <c r="C1529" s="186">
        <v>283560</v>
      </c>
      <c r="D1529" s="201"/>
      <c r="E1529" s="162" t="s">
        <v>2453</v>
      </c>
      <c r="F1529" s="169" t="s">
        <v>905</v>
      </c>
      <c r="G1529" s="117" t="s">
        <v>113</v>
      </c>
      <c r="H1529" s="118" t="s">
        <v>623</v>
      </c>
      <c r="I1529" s="119"/>
      <c r="J1529" s="231" t="s">
        <v>105</v>
      </c>
      <c r="K1529" s="120" t="str">
        <f t="shared" si="621"/>
        <v/>
      </c>
      <c r="L1529" s="170" t="s">
        <v>2821</v>
      </c>
      <c r="M1529" s="122" t="str">
        <f t="shared" si="622"/>
        <v>N</v>
      </c>
      <c r="N1529" s="116" t="str">
        <f>IF($L1529&lt;&gt;"",VLOOKUP($L1529,Categories!$E:$G,2,FALSE),IF($F1529&lt;&gt;"","NO CAT",""))</f>
        <v>Not in Rate Base</v>
      </c>
      <c r="O1529" s="116" t="str">
        <f>IF($L1529&lt;&gt;"",VLOOKUP($L1529,Categories!$E:$G,3,FALSE),IF($F1529&lt;&gt;"","NO CAT",""))</f>
        <v>Deferrals Accruing Non-Cash Return   (other than ASGA)</v>
      </c>
      <c r="P1529" s="170" t="s">
        <v>1186</v>
      </c>
      <c r="Q1529" s="123" t="s">
        <v>1187</v>
      </c>
      <c r="R1529" s="124">
        <v>0</v>
      </c>
      <c r="S1529" s="124">
        <v>0</v>
      </c>
      <c r="T1529" s="124">
        <v>1</v>
      </c>
      <c r="U1529" s="121">
        <f t="shared" si="609"/>
        <v>0</v>
      </c>
      <c r="V1529" s="121">
        <f t="shared" si="610"/>
        <v>0</v>
      </c>
      <c r="W1529" s="121">
        <f t="shared" si="611"/>
        <v>448.38217708333298</v>
      </c>
      <c r="X1529" s="121">
        <f t="shared" si="616"/>
        <v>448.38217708333298</v>
      </c>
      <c r="Y1529" s="121">
        <f t="shared" si="612"/>
        <v>0</v>
      </c>
      <c r="Z1529" s="121">
        <f t="shared" si="613"/>
        <v>0</v>
      </c>
      <c r="AA1529" s="121">
        <f t="shared" si="614"/>
        <v>609.63428999999996</v>
      </c>
      <c r="AB1529" s="121">
        <f t="shared" si="617"/>
        <v>609.63428999999996</v>
      </c>
      <c r="AC1529" s="121">
        <v>593.22033999999996</v>
      </c>
      <c r="AD1529" s="121">
        <v>609.37658999999996</v>
      </c>
      <c r="AE1529" s="121">
        <v>591.95071999999993</v>
      </c>
      <c r="AF1529" s="121">
        <v>598.47438999999997</v>
      </c>
      <c r="AG1529" s="121">
        <v>659.36858000000007</v>
      </c>
      <c r="AH1529" s="121">
        <v>567.48708000000011</v>
      </c>
      <c r="AI1529" s="161">
        <v>475.92626000000007</v>
      </c>
      <c r="AJ1529" s="161">
        <v>321.33464000000009</v>
      </c>
      <c r="AK1529" s="161">
        <v>344.02111000000008</v>
      </c>
      <c r="AL1529" s="161">
        <v>245.73611000000011</v>
      </c>
      <c r="AM1529" s="161">
        <v>86.852860000000106</v>
      </c>
      <c r="AN1529" s="161">
        <v>278.63047000000012</v>
      </c>
      <c r="AO1529" s="161">
        <v>609.63428999999996</v>
      </c>
      <c r="AP1529" s="125" t="str">
        <f>CONCATENATE(A1529,M1529)</f>
        <v>Def TaxN</v>
      </c>
      <c r="AQ1529" s="125" t="str">
        <f>CONCATENATE(AP1529,L1529,H1529)</f>
        <v>Def TaxNN10RDM</v>
      </c>
      <c r="AS1529" s="125" t="str">
        <f>CONCATENATE(L1529,H1529,J1529)</f>
        <v>N10RDMNCR</v>
      </c>
    </row>
    <row r="1530" spans="1:45" s="125" customFormat="1" ht="25.5" customHeight="1">
      <c r="A1530" s="216" t="s">
        <v>1996</v>
      </c>
      <c r="B1530" s="217" t="str">
        <f t="shared" si="623"/>
        <v>Def Tax283560BT010225</v>
      </c>
      <c r="C1530" s="186">
        <v>283560</v>
      </c>
      <c r="D1530" s="201"/>
      <c r="E1530" s="162" t="s">
        <v>396</v>
      </c>
      <c r="F1530" s="169" t="s">
        <v>905</v>
      </c>
      <c r="G1530" s="117" t="s">
        <v>2653</v>
      </c>
      <c r="H1530" s="118" t="s">
        <v>2711</v>
      </c>
      <c r="I1530" s="119"/>
      <c r="J1530" s="120" t="s">
        <v>105</v>
      </c>
      <c r="K1530" s="120" t="str">
        <f t="shared" si="621"/>
        <v/>
      </c>
      <c r="L1530" s="170" t="s">
        <v>2821</v>
      </c>
      <c r="M1530" s="122" t="str">
        <f t="shared" si="622"/>
        <v>N</v>
      </c>
      <c r="N1530" s="116" t="str">
        <f>IF($L1530&lt;&gt;"",VLOOKUP($L1530,Categories!$E:$G,2,FALSE),IF($F1530&lt;&gt;"","NO CAT",""))</f>
        <v>Not in Rate Base</v>
      </c>
      <c r="O1530" s="116" t="str">
        <f>IF($L1530&lt;&gt;"",VLOOKUP($L1530,Categories!$E:$G,3,FALSE),IF($F1530&lt;&gt;"","NO CAT",""))</f>
        <v>Deferrals Accruing Non-Cash Return   (other than ASGA)</v>
      </c>
      <c r="P1530" s="170" t="s">
        <v>1186</v>
      </c>
      <c r="Q1530" s="123" t="s">
        <v>1187</v>
      </c>
      <c r="R1530" s="124">
        <v>0</v>
      </c>
      <c r="S1530" s="124">
        <v>0</v>
      </c>
      <c r="T1530" s="124">
        <v>1</v>
      </c>
      <c r="U1530" s="121">
        <f t="shared" si="609"/>
        <v>0</v>
      </c>
      <c r="V1530" s="121">
        <f t="shared" si="610"/>
        <v>0</v>
      </c>
      <c r="W1530" s="121">
        <f t="shared" si="611"/>
        <v>-130.427134166667</v>
      </c>
      <c r="X1530" s="121">
        <f t="shared" si="616"/>
        <v>-130.427134166667</v>
      </c>
      <c r="Y1530" s="121">
        <f t="shared" si="612"/>
        <v>0</v>
      </c>
      <c r="Z1530" s="121">
        <f t="shared" si="613"/>
        <v>0</v>
      </c>
      <c r="AA1530" s="121">
        <f t="shared" si="614"/>
        <v>-143.23616999999999</v>
      </c>
      <c r="AB1530" s="121">
        <f t="shared" si="617"/>
        <v>-143.23616999999996</v>
      </c>
      <c r="AC1530" s="121">
        <v>-117.61868999999999</v>
      </c>
      <c r="AD1530" s="121">
        <v>-119.75333999999998</v>
      </c>
      <c r="AE1530" s="121">
        <v>-121.88801999999997</v>
      </c>
      <c r="AF1530" s="121">
        <v>-124.02272999999998</v>
      </c>
      <c r="AG1530" s="121">
        <v>-126.15744999999998</v>
      </c>
      <c r="AH1530" s="121">
        <v>-128.29220999999998</v>
      </c>
      <c r="AI1530" s="161">
        <v>-130.42697999999999</v>
      </c>
      <c r="AJ1530" s="161">
        <v>-132.56178999999997</v>
      </c>
      <c r="AK1530" s="161">
        <v>-134.69660999999999</v>
      </c>
      <c r="AL1530" s="161">
        <v>-136.83146999999997</v>
      </c>
      <c r="AM1530" s="161">
        <v>-138.96633999999997</v>
      </c>
      <c r="AN1530" s="161">
        <v>-141.10123999999996</v>
      </c>
      <c r="AO1530" s="161">
        <v>-143.23616999999996</v>
      </c>
      <c r="AP1530" s="125" t="str">
        <f>CONCATENATE(A1530,M1530)</f>
        <v>Def TaxN</v>
      </c>
      <c r="AQ1530" s="125" t="str">
        <f>CONCATENATE(AP1530,L1530,H1530)</f>
        <v>Def TaxNN10Unit of Property CTA</v>
      </c>
      <c r="AS1530" s="125" t="str">
        <f>CONCATENATE(L1530,H1530,J1530)</f>
        <v>N10Unit of Property CTANCR</v>
      </c>
    </row>
    <row r="1531" spans="1:45" s="125" customFormat="1" ht="25.5" customHeight="1">
      <c r="A1531" s="216" t="s">
        <v>1996</v>
      </c>
      <c r="B1531" s="217" t="str">
        <f>CONCATENATE(A1531,C1531,D1531,E1531)</f>
        <v>Def Tax283560Funded DIT True-upBG030932</v>
      </c>
      <c r="C1531" s="186">
        <v>283560</v>
      </c>
      <c r="D1531" s="201" t="s">
        <v>4391</v>
      </c>
      <c r="E1531" s="162" t="s">
        <v>4398</v>
      </c>
      <c r="F1531" s="169" t="s">
        <v>905</v>
      </c>
      <c r="G1531" s="117" t="s">
        <v>4400</v>
      </c>
      <c r="H1531" s="118" t="s">
        <v>4564</v>
      </c>
      <c r="I1531" s="119"/>
      <c r="J1531" s="231"/>
      <c r="K1531" s="120" t="str">
        <f>IF(L1531="N3","SFAS-109","")</f>
        <v/>
      </c>
      <c r="L1531" s="170" t="s">
        <v>1895</v>
      </c>
      <c r="M1531" s="122" t="str">
        <f>LEFT(L1531,1)</f>
        <v>R</v>
      </c>
      <c r="N1531" s="116" t="str">
        <f>IF($L1531&lt;&gt;"",VLOOKUP($L1531,Categories!$E:$G,2,FALSE),IF($F1531&lt;&gt;"","NO CAT",""))</f>
        <v>Rate Base</v>
      </c>
      <c r="O1531" s="116" t="str">
        <f>IF($L1531&lt;&gt;"",VLOOKUP($L1531,Categories!$E:$G,3,FALSE),IF($F1531&lt;&gt;"","NO CAT",""))</f>
        <v>Deferred Income Taxes</v>
      </c>
      <c r="P1531" s="170" t="s">
        <v>1184</v>
      </c>
      <c r="Q1531" s="123" t="s">
        <v>1178</v>
      </c>
      <c r="R1531" s="124">
        <v>0</v>
      </c>
      <c r="S1531" s="124">
        <v>1</v>
      </c>
      <c r="T1531" s="124">
        <v>0</v>
      </c>
      <c r="U1531" s="121">
        <f>IF(ABS(X1531)=0,"",IF($R1531="NO ALLOC","NO ALLOC",ROUND($R1531*X1531,15)))</f>
        <v>0</v>
      </c>
      <c r="V1531" s="121">
        <f>IF(ABS(X1531)=0,"",IF($S1531="NO ALLOC","NO ALLOC",ROUND($S1531*X1531,15)))</f>
        <v>-1631.1222612500001</v>
      </c>
      <c r="W1531" s="121">
        <f>IF(ABS(X1531)=0,"",IF($T1531="NO ALLOC","NO ALLOC",ROUND($T1531*X1531,15)))</f>
        <v>0</v>
      </c>
      <c r="X1531" s="121">
        <f t="shared" si="616"/>
        <v>-1631.1222612500001</v>
      </c>
      <c r="Y1531" s="121">
        <f>IF(ABS(AB1531)=0,"",IF($R1531="NO ALLOC","NO ALLOC",ROUND($R1531*AB1531,15)))</f>
        <v>0</v>
      </c>
      <c r="Z1531" s="121">
        <f>IF(ABS(AB1531)=0,"",IF($S1531="NO ALLOC","NO ALLOC",ROUND($S1531*AB1531,15)))</f>
        <v>-1207.69967</v>
      </c>
      <c r="AA1531" s="121">
        <f>IF(ABS(AB1531)=0,"",IF($T1531="NO ALLOC","NO ALLOC",ROUND($T1531*AB1531,15)))</f>
        <v>0</v>
      </c>
      <c r="AB1531" s="121">
        <f t="shared" si="617"/>
        <v>-1207.69967</v>
      </c>
      <c r="AC1531" s="121">
        <v>-1422.7213199999997</v>
      </c>
      <c r="AD1531" s="121">
        <v>-1462.2413299999996</v>
      </c>
      <c r="AE1531" s="121">
        <v>-1501.7613699999997</v>
      </c>
      <c r="AF1531" s="121">
        <v>-1541.2813999999996</v>
      </c>
      <c r="AG1531" s="121">
        <v>-1580.8014399999997</v>
      </c>
      <c r="AH1531" s="121">
        <v>-1620.3214799999998</v>
      </c>
      <c r="AI1531" s="161">
        <v>-1659.8415099999997</v>
      </c>
      <c r="AJ1531" s="161">
        <v>-1699.3615499999999</v>
      </c>
      <c r="AK1531" s="161">
        <v>-1738.88159</v>
      </c>
      <c r="AL1531" s="161">
        <v>-1778.4016199999999</v>
      </c>
      <c r="AM1531" s="161">
        <v>-1817.92166</v>
      </c>
      <c r="AN1531" s="161">
        <v>-1857.4416899999999</v>
      </c>
      <c r="AO1531" s="161">
        <v>-1207.69967</v>
      </c>
      <c r="AP1531" s="125" t="str">
        <f>CONCATENATE(A1531,M1531)</f>
        <v>Def TaxR</v>
      </c>
      <c r="AQ1531" s="125" t="str">
        <f>CONCATENATE(AP1531,L1531,H1531)</f>
        <v>Def TaxRR11Funded DIT Tax True-up Deferral</v>
      </c>
      <c r="AS1531" s="125" t="str">
        <f>CONCATENATE(L1531,H1531,J1531)</f>
        <v>R11Funded DIT Tax True-up Deferral</v>
      </c>
    </row>
    <row r="1532" spans="1:45" s="125" customFormat="1" ht="25.5" customHeight="1">
      <c r="A1532" s="216" t="s">
        <v>1996</v>
      </c>
      <c r="B1532" s="217" t="str">
        <f>CONCATENATE(A1532,C1532,D1532,E1532)</f>
        <v>Def Tax283560Hung DeferredBGHUNGDT</v>
      </c>
      <c r="C1532" s="186">
        <v>283560</v>
      </c>
      <c r="D1532" s="201" t="s">
        <v>4395</v>
      </c>
      <c r="E1532" s="162" t="s">
        <v>4399</v>
      </c>
      <c r="F1532" s="169" t="s">
        <v>905</v>
      </c>
      <c r="G1532" s="117" t="s">
        <v>4403</v>
      </c>
      <c r="H1532" s="118" t="s">
        <v>1167</v>
      </c>
      <c r="I1532" s="119"/>
      <c r="J1532" s="231"/>
      <c r="K1532" s="120" t="str">
        <f>IF(L1532="N3","SFAS-109","")</f>
        <v/>
      </c>
      <c r="L1532" s="170" t="s">
        <v>1895</v>
      </c>
      <c r="M1532" s="122" t="str">
        <f>LEFT(L1532,1)</f>
        <v>R</v>
      </c>
      <c r="N1532" s="116" t="str">
        <f>IF($L1532&lt;&gt;"",VLOOKUP($L1532,Categories!$E:$G,2,FALSE),IF($F1532&lt;&gt;"","NO CAT",""))</f>
        <v>Rate Base</v>
      </c>
      <c r="O1532" s="116" t="str">
        <f>IF($L1532&lt;&gt;"",VLOOKUP($L1532,Categories!$E:$G,3,FALSE),IF($F1532&lt;&gt;"","NO CAT",""))</f>
        <v>Deferred Income Taxes</v>
      </c>
      <c r="P1532" s="170" t="s">
        <v>1184</v>
      </c>
      <c r="Q1532" s="123" t="s">
        <v>1178</v>
      </c>
      <c r="R1532" s="124">
        <v>0</v>
      </c>
      <c r="S1532" s="124">
        <v>1</v>
      </c>
      <c r="T1532" s="124">
        <v>0</v>
      </c>
      <c r="U1532" s="121" t="str">
        <f>IF(ABS(X1532)=0,"",IF($R1532="NO ALLOC","NO ALLOC",ROUND($R1532*X1532,15)))</f>
        <v/>
      </c>
      <c r="V1532" s="121" t="str">
        <f>IF(ABS(X1532)=0,"",IF($S1532="NO ALLOC","NO ALLOC",ROUND($S1532*X1532,15)))</f>
        <v/>
      </c>
      <c r="W1532" s="121" t="str">
        <f>IF(ABS(X1532)=0,"",IF($T1532="NO ALLOC","NO ALLOC",ROUND($T1532*X1532,15)))</f>
        <v/>
      </c>
      <c r="X1532" s="121">
        <f t="shared" si="616"/>
        <v>0</v>
      </c>
      <c r="Y1532" s="121" t="str">
        <f>IF(ABS(AB1532)=0,"",IF($R1532="NO ALLOC","NO ALLOC",ROUND($R1532*AB1532,15)))</f>
        <v/>
      </c>
      <c r="Z1532" s="121" t="str">
        <f>IF(ABS(AB1532)=0,"",IF($S1532="NO ALLOC","NO ALLOC",ROUND($S1532*AB1532,15)))</f>
        <v/>
      </c>
      <c r="AA1532" s="121" t="str">
        <f>IF(ABS(AB1532)=0,"",IF($T1532="NO ALLOC","NO ALLOC",ROUND($T1532*AB1532,15)))</f>
        <v/>
      </c>
      <c r="AB1532" s="121">
        <f t="shared" si="617"/>
        <v>0</v>
      </c>
      <c r="AC1532" s="121">
        <v>0</v>
      </c>
      <c r="AD1532" s="121">
        <v>0</v>
      </c>
      <c r="AE1532" s="121">
        <v>0</v>
      </c>
      <c r="AF1532" s="121">
        <v>0</v>
      </c>
      <c r="AG1532" s="121">
        <v>0</v>
      </c>
      <c r="AH1532" s="121">
        <v>0</v>
      </c>
      <c r="AI1532" s="121">
        <v>0</v>
      </c>
      <c r="AJ1532" s="121">
        <f>IF(AI1532=0,0,0)</f>
        <v>0</v>
      </c>
      <c r="AK1532" s="161">
        <v>0</v>
      </c>
      <c r="AL1532" s="161">
        <v>0</v>
      </c>
      <c r="AM1532" s="161">
        <v>0</v>
      </c>
      <c r="AN1532" s="161">
        <v>0</v>
      </c>
      <c r="AO1532" s="161">
        <v>0</v>
      </c>
      <c r="AP1532" s="125" t="str">
        <f>CONCATENATE(A1532,M1532)</f>
        <v>Def TaxR</v>
      </c>
      <c r="AQ1532" s="125" t="str">
        <f>CONCATENATE(AP1532,L1532,H1532)</f>
        <v>Def TaxRR11Hung Deferred Taxes</v>
      </c>
      <c r="AS1532" s="125" t="str">
        <f>CONCATENATE(L1532,H1532,J1532)</f>
        <v>R11Hung Deferred Taxes</v>
      </c>
    </row>
    <row r="1533" spans="1:45" s="125" customFormat="1" ht="25.5" customHeight="1">
      <c r="A1533" s="216" t="s">
        <v>1996</v>
      </c>
      <c r="B1533" s="217" t="str">
        <f t="shared" si="623"/>
        <v>Def Tax2838832838830</v>
      </c>
      <c r="C1533" s="186">
        <v>283883</v>
      </c>
      <c r="D1533" s="201">
        <v>283883</v>
      </c>
      <c r="E1533" s="162">
        <v>0</v>
      </c>
      <c r="F1533" s="169" t="s">
        <v>2568</v>
      </c>
      <c r="G1533" s="117"/>
      <c r="H1533" s="118" t="s">
        <v>596</v>
      </c>
      <c r="I1533" s="119"/>
      <c r="J1533" s="231"/>
      <c r="K1533" s="120" t="str">
        <f t="shared" ref="K1533:K1555" si="624">IF(L1533="N3","SFAS-109","")</f>
        <v/>
      </c>
      <c r="L1533" s="170" t="s">
        <v>928</v>
      </c>
      <c r="M1533" s="122" t="str">
        <f t="shared" si="622"/>
        <v>N</v>
      </c>
      <c r="N1533" s="116" t="str">
        <f>IF($L1533&lt;&gt;"",VLOOKUP($L1533,Categories!$E:$G,2,FALSE),IF($F1533&lt;&gt;"","NO CAT",""))</f>
        <v>Not in Rate Base</v>
      </c>
      <c r="O1533" s="116" t="str">
        <f>IF($L1533&lt;&gt;"",VLOOKUP($L1533,Categories!$E:$G,3,FALSE),IF($F1533&lt;&gt;"","NO CAT",""))</f>
        <v>Direct Assign Items Not in RB</v>
      </c>
      <c r="P1533" s="170" t="s">
        <v>1186</v>
      </c>
      <c r="Q1533" s="123" t="s">
        <v>1187</v>
      </c>
      <c r="R1533" s="124">
        <v>0</v>
      </c>
      <c r="S1533" s="124">
        <v>0</v>
      </c>
      <c r="T1533" s="124">
        <v>1</v>
      </c>
      <c r="U1533" s="121">
        <f t="shared" si="609"/>
        <v>0</v>
      </c>
      <c r="V1533" s="121">
        <f t="shared" si="610"/>
        <v>0</v>
      </c>
      <c r="W1533" s="121">
        <f t="shared" si="611"/>
        <v>-7681.3607549999997</v>
      </c>
      <c r="X1533" s="121">
        <f t="shared" si="616"/>
        <v>-7681.3607549999997</v>
      </c>
      <c r="Y1533" s="121">
        <f t="shared" si="612"/>
        <v>0</v>
      </c>
      <c r="Z1533" s="121">
        <f t="shared" si="613"/>
        <v>0</v>
      </c>
      <c r="AA1533" s="121">
        <f t="shared" si="614"/>
        <v>-877.61738000000105</v>
      </c>
      <c r="AB1533" s="121">
        <f t="shared" si="617"/>
        <v>-877.61738000000082</v>
      </c>
      <c r="AC1533" s="121">
        <v>-15722.148380000001</v>
      </c>
      <c r="AD1533" s="121">
        <v>-15722.148380000001</v>
      </c>
      <c r="AE1533" s="121">
        <v>-15722.148380000001</v>
      </c>
      <c r="AF1533" s="121">
        <v>-15722.148380000001</v>
      </c>
      <c r="AG1533" s="121">
        <v>-15722.148380000001</v>
      </c>
      <c r="AH1533" s="121">
        <v>-15722.148380000001</v>
      </c>
      <c r="AI1533" s="161">
        <v>-877.61738000000082</v>
      </c>
      <c r="AJ1533" s="161">
        <v>-877.61738000000082</v>
      </c>
      <c r="AK1533" s="161">
        <v>-877.61738000000082</v>
      </c>
      <c r="AL1533" s="161">
        <v>-877.61738000000082</v>
      </c>
      <c r="AM1533" s="161">
        <v>-877.61738000000082</v>
      </c>
      <c r="AN1533" s="161">
        <v>-877.61738000000082</v>
      </c>
      <c r="AO1533" s="161">
        <v>-877.61738000000082</v>
      </c>
      <c r="AP1533" s="125" t="str">
        <f>CONCATENATE(A1533,M1533)</f>
        <v>Def TaxN</v>
      </c>
      <c r="AQ1533" s="125" t="str">
        <f>CONCATENATE(AP1533,L1533,H1533)</f>
        <v>Def TaxNN2FIN 48 Reclass</v>
      </c>
      <c r="AS1533" s="125" t="str">
        <f>CONCATENATE(L1533,H1533,J1533)</f>
        <v>N2FIN 48 Reclass</v>
      </c>
    </row>
    <row r="1534" spans="1:45" s="125" customFormat="1" ht="25.5" customHeight="1">
      <c r="A1534" s="216" t="s">
        <v>1996</v>
      </c>
      <c r="B1534" s="217" t="str">
        <f>CONCATENATE(A1534,C1534,D1534,E1534)</f>
        <v>Def Tax2838840</v>
      </c>
      <c r="C1534" s="186">
        <v>283884</v>
      </c>
      <c r="D1534" s="201"/>
      <c r="E1534" s="162">
        <v>0</v>
      </c>
      <c r="F1534" s="169" t="s">
        <v>1638</v>
      </c>
      <c r="G1534" s="117" t="s">
        <v>4426</v>
      </c>
      <c r="H1534" s="118" t="s">
        <v>596</v>
      </c>
      <c r="I1534" s="119"/>
      <c r="J1534" s="231"/>
      <c r="K1534" s="120" t="str">
        <f>IF(L1534="N3","SFAS-109","")</f>
        <v/>
      </c>
      <c r="L1534" s="170" t="s">
        <v>928</v>
      </c>
      <c r="M1534" s="122" t="str">
        <f>LEFT(L1534,1)</f>
        <v>N</v>
      </c>
      <c r="N1534" s="116" t="str">
        <f>IF($L1534&lt;&gt;"",VLOOKUP($L1534,Categories!$E:$G,2,FALSE),IF($F1534&lt;&gt;"","NO CAT",""))</f>
        <v>Not in Rate Base</v>
      </c>
      <c r="O1534" s="116" t="str">
        <f>IF($L1534&lt;&gt;"",VLOOKUP($L1534,Categories!$E:$G,3,FALSE),IF($F1534&lt;&gt;"","NO CAT",""))</f>
        <v>Direct Assign Items Not in RB</v>
      </c>
      <c r="P1534" s="170" t="s">
        <v>1186</v>
      </c>
      <c r="Q1534" s="123" t="s">
        <v>1187</v>
      </c>
      <c r="R1534" s="124">
        <v>0</v>
      </c>
      <c r="S1534" s="124">
        <v>0</v>
      </c>
      <c r="T1534" s="124">
        <v>1</v>
      </c>
      <c r="U1534" s="121">
        <f>IF(ABS(X1534)=0,"",IF($R1534="NO ALLOC","NO ALLOC",ROUND($R1534*X1534,15)))</f>
        <v>0</v>
      </c>
      <c r="V1534" s="121">
        <f>IF(ABS(X1534)=0,"",IF($S1534="NO ALLOC","NO ALLOC",ROUND($S1534*X1534,15)))</f>
        <v>0</v>
      </c>
      <c r="W1534" s="121">
        <f>IF(ABS(X1534)=0,"",IF($T1534="NO ALLOC","NO ALLOC",ROUND($T1534*X1534,15)))</f>
        <v>-161.41682</v>
      </c>
      <c r="X1534" s="121">
        <f t="shared" si="616"/>
        <v>-161.41682</v>
      </c>
      <c r="Y1534" s="121">
        <f>IF(ABS(AB1534)=0,"",IF($R1534="NO ALLOC","NO ALLOC",ROUND($R1534*AB1534,15)))</f>
        <v>0</v>
      </c>
      <c r="Z1534" s="121">
        <f>IF(ABS(AB1534)=0,"",IF($S1534="NO ALLOC","NO ALLOC",ROUND($S1534*AB1534,15)))</f>
        <v>0</v>
      </c>
      <c r="AA1534" s="121">
        <f>IF(ABS(AB1534)=0,"",IF($T1534="NO ALLOC","NO ALLOC",ROUND($T1534*AB1534,15)))</f>
        <v>-161.41682</v>
      </c>
      <c r="AB1534" s="121">
        <f t="shared" si="617"/>
        <v>-161.41682</v>
      </c>
      <c r="AC1534" s="121">
        <v>-161.41682</v>
      </c>
      <c r="AD1534" s="121">
        <v>-161.41682</v>
      </c>
      <c r="AE1534" s="121">
        <v>-161.41682</v>
      </c>
      <c r="AF1534" s="121">
        <v>-161.41682</v>
      </c>
      <c r="AG1534" s="121">
        <v>-161.41682</v>
      </c>
      <c r="AH1534" s="121">
        <v>-161.41682</v>
      </c>
      <c r="AI1534" s="161">
        <v>-161.41682</v>
      </c>
      <c r="AJ1534" s="161">
        <v>-161.41682</v>
      </c>
      <c r="AK1534" s="161">
        <v>-161.41682</v>
      </c>
      <c r="AL1534" s="161">
        <v>-161.41682</v>
      </c>
      <c r="AM1534" s="161">
        <v>-161.41682</v>
      </c>
      <c r="AN1534" s="161">
        <v>-161.41682</v>
      </c>
      <c r="AO1534" s="161">
        <v>-161.41682</v>
      </c>
      <c r="AP1534" s="125" t="str">
        <f>CONCATENATE(A1534,M1534)</f>
        <v>Def TaxN</v>
      </c>
      <c r="AQ1534" s="125" t="str">
        <f>CONCATENATE(AP1534,L1534,H1534)</f>
        <v>Def TaxNN2FIN 48 Reclass</v>
      </c>
      <c r="AS1534" s="125" t="str">
        <f>CONCATENATE(L1534,H1534,J1534)</f>
        <v>N2FIN 48 Reclass</v>
      </c>
    </row>
    <row r="1535" spans="1:45" s="125" customFormat="1" ht="25.5" customHeight="1">
      <c r="A1535" s="216" t="s">
        <v>1996</v>
      </c>
      <c r="B1535" s="217" t="str">
        <f t="shared" si="623"/>
        <v>Def Tax283884283884BC999998</v>
      </c>
      <c r="C1535" s="186">
        <v>283884</v>
      </c>
      <c r="D1535" s="201">
        <v>283884</v>
      </c>
      <c r="E1535" s="162" t="s">
        <v>2692</v>
      </c>
      <c r="F1535" s="169" t="s">
        <v>2569</v>
      </c>
      <c r="G1535" s="117" t="s">
        <v>2569</v>
      </c>
      <c r="H1535" s="118" t="s">
        <v>596</v>
      </c>
      <c r="I1535" s="119"/>
      <c r="J1535" s="231"/>
      <c r="K1535" s="120" t="str">
        <f t="shared" si="624"/>
        <v/>
      </c>
      <c r="L1535" s="170" t="s">
        <v>928</v>
      </c>
      <c r="M1535" s="122" t="str">
        <f t="shared" si="622"/>
        <v>N</v>
      </c>
      <c r="N1535" s="116" t="str">
        <f>IF($L1535&lt;&gt;"",VLOOKUP($L1535,Categories!$E:$G,2,FALSE),IF($F1535&lt;&gt;"","NO CAT",""))</f>
        <v>Not in Rate Base</v>
      </c>
      <c r="O1535" s="116" t="str">
        <f>IF($L1535&lt;&gt;"",VLOOKUP($L1535,Categories!$E:$G,3,FALSE),IF($F1535&lt;&gt;"","NO CAT",""))</f>
        <v>Direct Assign Items Not in RB</v>
      </c>
      <c r="P1535" s="170" t="s">
        <v>1186</v>
      </c>
      <c r="Q1535" s="123" t="s">
        <v>1187</v>
      </c>
      <c r="R1535" s="124">
        <v>0</v>
      </c>
      <c r="S1535" s="124">
        <v>0</v>
      </c>
      <c r="T1535" s="124">
        <v>1</v>
      </c>
      <c r="U1535" s="121">
        <f t="shared" si="609"/>
        <v>0</v>
      </c>
      <c r="V1535" s="121">
        <f t="shared" si="610"/>
        <v>0</v>
      </c>
      <c r="W1535" s="121">
        <f t="shared" si="611"/>
        <v>-7442</v>
      </c>
      <c r="X1535" s="121">
        <f t="shared" si="616"/>
        <v>-7442</v>
      </c>
      <c r="Y1535" s="121">
        <f t="shared" si="612"/>
        <v>0</v>
      </c>
      <c r="Z1535" s="121">
        <f t="shared" si="613"/>
        <v>0</v>
      </c>
      <c r="AA1535" s="121">
        <f t="shared" si="614"/>
        <v>-7442</v>
      </c>
      <c r="AB1535" s="121">
        <f t="shared" si="617"/>
        <v>-7442</v>
      </c>
      <c r="AC1535" s="121">
        <v>-7442</v>
      </c>
      <c r="AD1535" s="121">
        <v>-7442</v>
      </c>
      <c r="AE1535" s="121">
        <v>-7442</v>
      </c>
      <c r="AF1535" s="121">
        <v>-7442</v>
      </c>
      <c r="AG1535" s="121">
        <v>-7442</v>
      </c>
      <c r="AH1535" s="121">
        <v>-7442</v>
      </c>
      <c r="AI1535" s="161">
        <v>-7442</v>
      </c>
      <c r="AJ1535" s="161">
        <v>-7442</v>
      </c>
      <c r="AK1535" s="161">
        <v>-7442</v>
      </c>
      <c r="AL1535" s="161">
        <v>-7442</v>
      </c>
      <c r="AM1535" s="161">
        <v>-7442</v>
      </c>
      <c r="AN1535" s="161">
        <v>-7442</v>
      </c>
      <c r="AO1535" s="161">
        <v>-7442</v>
      </c>
      <c r="AP1535" s="125" t="str">
        <f>CONCATENATE(A1535,M1535)</f>
        <v>Def TaxN</v>
      </c>
      <c r="AQ1535" s="125" t="str">
        <f>CONCATENATE(AP1535,L1535,H1535)</f>
        <v>Def TaxNN2FIN 48 Reclass</v>
      </c>
      <c r="AS1535" s="125" t="str">
        <f>CONCATENATE(L1535,H1535,J1535)</f>
        <v>N2FIN 48 Reclass</v>
      </c>
    </row>
    <row r="1536" spans="1:45" s="125" customFormat="1" ht="25.5" customHeight="1">
      <c r="A1536" s="216" t="s">
        <v>1996</v>
      </c>
      <c r="B1536" s="217" t="str">
        <f t="shared" si="623"/>
        <v>Def Tax2839832839830</v>
      </c>
      <c r="C1536" s="186">
        <v>283983</v>
      </c>
      <c r="D1536" s="201">
        <v>283983</v>
      </c>
      <c r="E1536" s="162">
        <v>0</v>
      </c>
      <c r="F1536" s="169" t="s">
        <v>2568</v>
      </c>
      <c r="G1536" s="117"/>
      <c r="H1536" s="118" t="s">
        <v>596</v>
      </c>
      <c r="I1536" s="119"/>
      <c r="J1536" s="231"/>
      <c r="K1536" s="120" t="str">
        <f t="shared" si="624"/>
        <v/>
      </c>
      <c r="L1536" s="170" t="s">
        <v>928</v>
      </c>
      <c r="M1536" s="122" t="str">
        <f t="shared" si="622"/>
        <v>N</v>
      </c>
      <c r="N1536" s="116" t="str">
        <f>IF($L1536&lt;&gt;"",VLOOKUP($L1536,Categories!$E:$G,2,FALSE),IF($F1536&lt;&gt;"","NO CAT",""))</f>
        <v>Not in Rate Base</v>
      </c>
      <c r="O1536" s="116" t="str">
        <f>IF($L1536&lt;&gt;"",VLOOKUP($L1536,Categories!$E:$G,3,FALSE),IF($F1536&lt;&gt;"","NO CAT",""))</f>
        <v>Direct Assign Items Not in RB</v>
      </c>
      <c r="P1536" s="170" t="s">
        <v>1186</v>
      </c>
      <c r="Q1536" s="123" t="s">
        <v>1187</v>
      </c>
      <c r="R1536" s="124">
        <v>0</v>
      </c>
      <c r="S1536" s="124">
        <v>0</v>
      </c>
      <c r="T1536" s="124">
        <v>1</v>
      </c>
      <c r="U1536" s="121">
        <f t="shared" si="609"/>
        <v>0</v>
      </c>
      <c r="V1536" s="121">
        <f t="shared" si="610"/>
        <v>0</v>
      </c>
      <c r="W1536" s="121">
        <f t="shared" si="611"/>
        <v>7681.3607549999997</v>
      </c>
      <c r="X1536" s="121">
        <f t="shared" si="616"/>
        <v>7681.3607549999997</v>
      </c>
      <c r="Y1536" s="121">
        <f t="shared" si="612"/>
        <v>0</v>
      </c>
      <c r="Z1536" s="121">
        <f t="shared" si="613"/>
        <v>0</v>
      </c>
      <c r="AA1536" s="121">
        <f t="shared" si="614"/>
        <v>877.61738000000105</v>
      </c>
      <c r="AB1536" s="121">
        <f t="shared" si="617"/>
        <v>877.61738000000082</v>
      </c>
      <c r="AC1536" s="121">
        <v>15722.148380000001</v>
      </c>
      <c r="AD1536" s="121">
        <v>15722.148380000001</v>
      </c>
      <c r="AE1536" s="121">
        <v>15722.148380000001</v>
      </c>
      <c r="AF1536" s="121">
        <v>15722.148380000001</v>
      </c>
      <c r="AG1536" s="121">
        <v>15722.148380000001</v>
      </c>
      <c r="AH1536" s="121">
        <v>15722.148380000001</v>
      </c>
      <c r="AI1536" s="161">
        <v>877.61738000000082</v>
      </c>
      <c r="AJ1536" s="161">
        <v>877.61738000000082</v>
      </c>
      <c r="AK1536" s="161">
        <v>877.61738000000082</v>
      </c>
      <c r="AL1536" s="161">
        <v>877.61738000000082</v>
      </c>
      <c r="AM1536" s="161">
        <v>877.61738000000082</v>
      </c>
      <c r="AN1536" s="161">
        <v>877.61738000000082</v>
      </c>
      <c r="AO1536" s="161">
        <v>877.61738000000082</v>
      </c>
      <c r="AP1536" s="125" t="str">
        <f>CONCATENATE(A1536,M1536)</f>
        <v>Def TaxN</v>
      </c>
      <c r="AQ1536" s="125" t="str">
        <f>CONCATENATE(AP1536,L1536,H1536)</f>
        <v>Def TaxNN2FIN 48 Reclass</v>
      </c>
      <c r="AS1536" s="125" t="str">
        <f>CONCATENATE(L1536,H1536,J1536)</f>
        <v>N2FIN 48 Reclass</v>
      </c>
    </row>
    <row r="1537" spans="1:45" s="125" customFormat="1" ht="25.5" customHeight="1">
      <c r="A1537" s="216" t="s">
        <v>1996</v>
      </c>
      <c r="B1537" s="217" t="str">
        <f>CONCATENATE(A1537,C1537,D1537,E1537)</f>
        <v>Def Tax2839840</v>
      </c>
      <c r="C1537" s="186">
        <v>283984</v>
      </c>
      <c r="D1537" s="201"/>
      <c r="E1537" s="162">
        <v>0</v>
      </c>
      <c r="F1537" s="169" t="s">
        <v>603</v>
      </c>
      <c r="G1537" s="117" t="s">
        <v>4426</v>
      </c>
      <c r="H1537" s="118" t="s">
        <v>596</v>
      </c>
      <c r="I1537" s="119"/>
      <c r="J1537" s="231"/>
      <c r="K1537" s="120" t="str">
        <f t="shared" si="624"/>
        <v/>
      </c>
      <c r="L1537" s="170" t="s">
        <v>928</v>
      </c>
      <c r="M1537" s="122" t="str">
        <f t="shared" si="622"/>
        <v>N</v>
      </c>
      <c r="N1537" s="116" t="str">
        <f>IF($L1537&lt;&gt;"",VLOOKUP($L1537,Categories!$E:$G,2,FALSE),IF($F1537&lt;&gt;"","NO CAT",""))</f>
        <v>Not in Rate Base</v>
      </c>
      <c r="O1537" s="116" t="str">
        <f>IF($L1537&lt;&gt;"",VLOOKUP($L1537,Categories!$E:$G,3,FALSE),IF($F1537&lt;&gt;"","NO CAT",""))</f>
        <v>Direct Assign Items Not in RB</v>
      </c>
      <c r="P1537" s="170" t="s">
        <v>1186</v>
      </c>
      <c r="Q1537" s="123" t="s">
        <v>1187</v>
      </c>
      <c r="R1537" s="124">
        <v>0</v>
      </c>
      <c r="S1537" s="124">
        <v>0</v>
      </c>
      <c r="T1537" s="124">
        <v>1</v>
      </c>
      <c r="U1537" s="121">
        <f>IF(ABS(X1537)=0,"",IF($R1537="NO ALLOC","NO ALLOC",ROUND($R1537*X1537,15)))</f>
        <v>0</v>
      </c>
      <c r="V1537" s="121">
        <f>IF(ABS(X1537)=0,"",IF($S1537="NO ALLOC","NO ALLOC",ROUND($S1537*X1537,15)))</f>
        <v>0</v>
      </c>
      <c r="W1537" s="121">
        <f>IF(ABS(X1537)=0,"",IF($T1537="NO ALLOC","NO ALLOC",ROUND($T1537*X1537,15)))</f>
        <v>161.41682</v>
      </c>
      <c r="X1537" s="121">
        <f t="shared" si="616"/>
        <v>161.41682</v>
      </c>
      <c r="Y1537" s="121">
        <f>IF(ABS(AB1537)=0,"",IF($R1537="NO ALLOC","NO ALLOC",ROUND($R1537*AB1537,15)))</f>
        <v>0</v>
      </c>
      <c r="Z1537" s="121">
        <f>IF(ABS(AB1537)=0,"",IF($S1537="NO ALLOC","NO ALLOC",ROUND($S1537*AB1537,15)))</f>
        <v>0</v>
      </c>
      <c r="AA1537" s="121">
        <f>IF(ABS(AB1537)=0,"",IF($T1537="NO ALLOC","NO ALLOC",ROUND($T1537*AB1537,15)))</f>
        <v>161.41682</v>
      </c>
      <c r="AB1537" s="121">
        <f t="shared" si="617"/>
        <v>161.41682</v>
      </c>
      <c r="AC1537" s="121">
        <v>161.41682</v>
      </c>
      <c r="AD1537" s="121">
        <v>161.41682</v>
      </c>
      <c r="AE1537" s="121">
        <v>161.41682</v>
      </c>
      <c r="AF1537" s="121">
        <v>161.41682</v>
      </c>
      <c r="AG1537" s="121">
        <v>161.41682</v>
      </c>
      <c r="AH1537" s="121">
        <v>161.41682</v>
      </c>
      <c r="AI1537" s="161">
        <v>161.41682</v>
      </c>
      <c r="AJ1537" s="161">
        <v>161.41682</v>
      </c>
      <c r="AK1537" s="161">
        <v>161.41682</v>
      </c>
      <c r="AL1537" s="161">
        <v>161.41682</v>
      </c>
      <c r="AM1537" s="161">
        <v>161.41682</v>
      </c>
      <c r="AN1537" s="161">
        <v>161.41682</v>
      </c>
      <c r="AO1537" s="161">
        <v>161.41682</v>
      </c>
      <c r="AP1537" s="125" t="str">
        <f>CONCATENATE(A1537,M1537)</f>
        <v>Def TaxN</v>
      </c>
      <c r="AQ1537" s="125" t="str">
        <f>CONCATENATE(AP1537,L1537,H1537)</f>
        <v>Def TaxNN2FIN 48 Reclass</v>
      </c>
      <c r="AS1537" s="125" t="str">
        <f>CONCATENATE(L1537,H1537,J1537)</f>
        <v>N2FIN 48 Reclass</v>
      </c>
    </row>
    <row r="1538" spans="1:45" s="125" customFormat="1" ht="25.5" customHeight="1">
      <c r="A1538" s="216" t="s">
        <v>1996</v>
      </c>
      <c r="B1538" s="217" t="str">
        <f t="shared" si="623"/>
        <v>Def Tax283984283984BC999998</v>
      </c>
      <c r="C1538" s="186">
        <v>283984</v>
      </c>
      <c r="D1538" s="201">
        <v>283984</v>
      </c>
      <c r="E1538" s="162" t="s">
        <v>2692</v>
      </c>
      <c r="F1538" s="169" t="s">
        <v>2569</v>
      </c>
      <c r="G1538" s="117" t="s">
        <v>2569</v>
      </c>
      <c r="H1538" s="118" t="s">
        <v>596</v>
      </c>
      <c r="I1538" s="119"/>
      <c r="J1538" s="231"/>
      <c r="K1538" s="120" t="str">
        <f t="shared" si="624"/>
        <v/>
      </c>
      <c r="L1538" s="170" t="s">
        <v>928</v>
      </c>
      <c r="M1538" s="122" t="str">
        <f t="shared" si="622"/>
        <v>N</v>
      </c>
      <c r="N1538" s="116" t="str">
        <f>IF($L1538&lt;&gt;"",VLOOKUP($L1538,Categories!$E:$G,2,FALSE),IF($F1538&lt;&gt;"","NO CAT",""))</f>
        <v>Not in Rate Base</v>
      </c>
      <c r="O1538" s="116" t="str">
        <f>IF($L1538&lt;&gt;"",VLOOKUP($L1538,Categories!$E:$G,3,FALSE),IF($F1538&lt;&gt;"","NO CAT",""))</f>
        <v>Direct Assign Items Not in RB</v>
      </c>
      <c r="P1538" s="170" t="s">
        <v>1186</v>
      </c>
      <c r="Q1538" s="123" t="s">
        <v>1187</v>
      </c>
      <c r="R1538" s="124">
        <v>0</v>
      </c>
      <c r="S1538" s="124">
        <v>0</v>
      </c>
      <c r="T1538" s="124">
        <v>1</v>
      </c>
      <c r="U1538" s="121">
        <f t="shared" ref="U1538:U1555" si="625">IF(ABS(X1538)=0,"",IF($R1538="NO ALLOC","NO ALLOC",ROUND($R1538*X1538,15)))</f>
        <v>0</v>
      </c>
      <c r="V1538" s="121">
        <f t="shared" ref="V1538:V1555" si="626">IF(ABS(X1538)=0,"",IF($S1538="NO ALLOC","NO ALLOC",ROUND($S1538*X1538,15)))</f>
        <v>0</v>
      </c>
      <c r="W1538" s="121">
        <f t="shared" ref="W1538:W1555" si="627">IF(ABS(X1538)=0,"",IF($T1538="NO ALLOC","NO ALLOC",ROUND($T1538*X1538,15)))</f>
        <v>7442</v>
      </c>
      <c r="X1538" s="121">
        <f t="shared" si="616"/>
        <v>7442</v>
      </c>
      <c r="Y1538" s="121">
        <f t="shared" ref="Y1538:Y1555" si="628">IF(ABS(AB1538)=0,"",IF($R1538="NO ALLOC","NO ALLOC",ROUND($R1538*AB1538,15)))</f>
        <v>0</v>
      </c>
      <c r="Z1538" s="121">
        <f t="shared" ref="Z1538:Z1555" si="629">IF(ABS(AB1538)=0,"",IF($S1538="NO ALLOC","NO ALLOC",ROUND($S1538*AB1538,15)))</f>
        <v>0</v>
      </c>
      <c r="AA1538" s="121">
        <f t="shared" ref="AA1538:AA1555" si="630">IF(ABS(AB1538)=0,"",IF($T1538="NO ALLOC","NO ALLOC",ROUND($T1538*AB1538,15)))</f>
        <v>7442</v>
      </c>
      <c r="AB1538" s="121">
        <f t="shared" si="617"/>
        <v>7442</v>
      </c>
      <c r="AC1538" s="121">
        <v>7442</v>
      </c>
      <c r="AD1538" s="121">
        <v>7442</v>
      </c>
      <c r="AE1538" s="121">
        <v>7442</v>
      </c>
      <c r="AF1538" s="121">
        <v>7442</v>
      </c>
      <c r="AG1538" s="121">
        <v>7442</v>
      </c>
      <c r="AH1538" s="121">
        <v>7442</v>
      </c>
      <c r="AI1538" s="161">
        <v>7442</v>
      </c>
      <c r="AJ1538" s="161">
        <v>7442</v>
      </c>
      <c r="AK1538" s="161">
        <v>7442</v>
      </c>
      <c r="AL1538" s="161">
        <v>7442</v>
      </c>
      <c r="AM1538" s="161">
        <v>7442</v>
      </c>
      <c r="AN1538" s="161">
        <v>7442</v>
      </c>
      <c r="AO1538" s="161">
        <v>7442</v>
      </c>
      <c r="AP1538" s="125" t="str">
        <f>CONCATENATE(A1538,M1538)</f>
        <v>Def TaxN</v>
      </c>
      <c r="AQ1538" s="125" t="str">
        <f>CONCATENATE(AP1538,L1538,H1538)</f>
        <v>Def TaxNN2FIN 48 Reclass</v>
      </c>
      <c r="AS1538" s="125" t="str">
        <f>CONCATENATE(L1538,H1538,J1538)</f>
        <v>N2FIN 48 Reclass</v>
      </c>
    </row>
    <row r="1539" spans="1:45" s="125" customFormat="1" ht="25.5" customHeight="1">
      <c r="A1539" s="216" t="s">
        <v>1996</v>
      </c>
      <c r="B1539" s="217" t="str">
        <f t="shared" si="623"/>
        <v>Def Tax2839860BT010057</v>
      </c>
      <c r="C1539" s="186">
        <v>283986</v>
      </c>
      <c r="D1539" s="201">
        <v>0</v>
      </c>
      <c r="E1539" s="162" t="s">
        <v>498</v>
      </c>
      <c r="F1539" s="169" t="s">
        <v>803</v>
      </c>
      <c r="G1539" s="117" t="s">
        <v>2371</v>
      </c>
      <c r="H1539" s="118" t="s">
        <v>1149</v>
      </c>
      <c r="I1539" s="119"/>
      <c r="J1539" s="120"/>
      <c r="K1539" s="120" t="str">
        <f t="shared" si="624"/>
        <v>SFAS-109</v>
      </c>
      <c r="L1539" s="170" t="s">
        <v>930</v>
      </c>
      <c r="M1539" s="122" t="str">
        <f t="shared" si="622"/>
        <v>N</v>
      </c>
      <c r="N1539" s="116" t="str">
        <f>IF($L1539&lt;&gt;"",VLOOKUP($L1539,Categories!$E:$G,2,FALSE),IF($F1539&lt;&gt;"","NO CAT",""))</f>
        <v>Not in Rate Base</v>
      </c>
      <c r="O1539" s="116" t="str">
        <f>IF($L1539&lt;&gt;"",VLOOKUP($L1539,Categories!$E:$G,3,FALSE),IF($F1539&lt;&gt;"","NO CAT",""))</f>
        <v>SFAS-109   (offsetting)</v>
      </c>
      <c r="P1539" s="170" t="s">
        <v>1186</v>
      </c>
      <c r="Q1539" s="123" t="s">
        <v>1187</v>
      </c>
      <c r="R1539" s="124">
        <v>0</v>
      </c>
      <c r="S1539" s="124">
        <v>0</v>
      </c>
      <c r="T1539" s="124">
        <v>1</v>
      </c>
      <c r="U1539" s="121">
        <f t="shared" si="625"/>
        <v>0</v>
      </c>
      <c r="V1539" s="121">
        <f t="shared" si="626"/>
        <v>0</v>
      </c>
      <c r="W1539" s="121">
        <f t="shared" si="627"/>
        <v>127949.58554166699</v>
      </c>
      <c r="X1539" s="121">
        <f t="shared" si="616"/>
        <v>127949.58554166699</v>
      </c>
      <c r="Y1539" s="121">
        <f t="shared" si="628"/>
        <v>0</v>
      </c>
      <c r="Z1539" s="121">
        <f t="shared" si="629"/>
        <v>0</v>
      </c>
      <c r="AA1539" s="121">
        <f t="shared" si="630"/>
        <v>131360.12</v>
      </c>
      <c r="AB1539" s="121">
        <f t="shared" si="617"/>
        <v>131360.12</v>
      </c>
      <c r="AC1539" s="121">
        <v>120642.66499999999</v>
      </c>
      <c r="AD1539" s="121">
        <v>124397.675</v>
      </c>
      <c r="AE1539" s="121">
        <v>125775.461</v>
      </c>
      <c r="AF1539" s="121">
        <v>125775.461</v>
      </c>
      <c r="AG1539" s="121">
        <v>127641.15300000001</v>
      </c>
      <c r="AH1539" s="121">
        <v>127641.15300000001</v>
      </c>
      <c r="AI1539" s="161">
        <v>127641.15300000001</v>
      </c>
      <c r="AJ1539" s="161">
        <v>127641.15300000001</v>
      </c>
      <c r="AK1539" s="161">
        <v>129244.005</v>
      </c>
      <c r="AL1539" s="161">
        <v>131138.15</v>
      </c>
      <c r="AM1539" s="161">
        <v>131138.15</v>
      </c>
      <c r="AN1539" s="161">
        <v>131360.12</v>
      </c>
      <c r="AO1539" s="161">
        <v>131360.12</v>
      </c>
      <c r="AP1539" s="125" t="str">
        <f>CONCATENATE(A1539,M1539)</f>
        <v>Def TaxN</v>
      </c>
      <c r="AQ1539" s="125" t="str">
        <f>CONCATENATE(AP1539,L1539,H1539)</f>
        <v>Def TaxNN3SFAS-109</v>
      </c>
      <c r="AS1539" s="125" t="str">
        <f>CONCATENATE(L1539,H1539,J1539)</f>
        <v>N3SFAS-109</v>
      </c>
    </row>
    <row r="1540" spans="1:45" s="125" customFormat="1" ht="25.5" customHeight="1">
      <c r="A1540" s="216" t="s">
        <v>1996</v>
      </c>
      <c r="B1540" s="217" t="str">
        <f t="shared" si="623"/>
        <v>Def Tax283986Env OLBT010071</v>
      </c>
      <c r="C1540" s="186">
        <v>283986</v>
      </c>
      <c r="D1540" s="201" t="s">
        <v>75</v>
      </c>
      <c r="E1540" s="162" t="s">
        <v>222</v>
      </c>
      <c r="F1540" s="169" t="s">
        <v>803</v>
      </c>
      <c r="G1540" s="117" t="s">
        <v>925</v>
      </c>
      <c r="H1540" s="118" t="s">
        <v>2369</v>
      </c>
      <c r="I1540" s="119"/>
      <c r="J1540" s="120"/>
      <c r="K1540" s="120" t="str">
        <f t="shared" si="624"/>
        <v/>
      </c>
      <c r="L1540" s="170" t="s">
        <v>928</v>
      </c>
      <c r="M1540" s="122" t="str">
        <f t="shared" si="622"/>
        <v>N</v>
      </c>
      <c r="N1540" s="116" t="str">
        <f>IF($L1540&lt;&gt;"",VLOOKUP($L1540,Categories!$E:$G,2,FALSE),IF($F1540&lt;&gt;"","NO CAT",""))</f>
        <v>Not in Rate Base</v>
      </c>
      <c r="O1540" s="116" t="str">
        <f>IF($L1540&lt;&gt;"",VLOOKUP($L1540,Categories!$E:$G,3,FALSE),IF($F1540&lt;&gt;"","NO CAT",""))</f>
        <v>Direct Assign Items Not in RB</v>
      </c>
      <c r="P1540" s="170" t="s">
        <v>1186</v>
      </c>
      <c r="Q1540" s="123" t="s">
        <v>1187</v>
      </c>
      <c r="R1540" s="124">
        <v>0</v>
      </c>
      <c r="S1540" s="124">
        <v>0</v>
      </c>
      <c r="T1540" s="124">
        <v>1</v>
      </c>
      <c r="U1540" s="121" t="str">
        <f t="shared" si="625"/>
        <v/>
      </c>
      <c r="V1540" s="121" t="str">
        <f t="shared" si="626"/>
        <v/>
      </c>
      <c r="W1540" s="121" t="str">
        <f t="shared" si="627"/>
        <v/>
      </c>
      <c r="X1540" s="121">
        <f t="shared" si="616"/>
        <v>0</v>
      </c>
      <c r="Y1540" s="121" t="str">
        <f t="shared" si="628"/>
        <v/>
      </c>
      <c r="Z1540" s="121" t="str">
        <f t="shared" si="629"/>
        <v/>
      </c>
      <c r="AA1540" s="121" t="str">
        <f t="shared" si="630"/>
        <v/>
      </c>
      <c r="AB1540" s="121">
        <f t="shared" si="617"/>
        <v>0</v>
      </c>
      <c r="AC1540" s="121">
        <v>0</v>
      </c>
      <c r="AD1540" s="121">
        <v>0</v>
      </c>
      <c r="AE1540" s="121">
        <v>0</v>
      </c>
      <c r="AF1540" s="121">
        <v>0</v>
      </c>
      <c r="AG1540" s="121">
        <v>0</v>
      </c>
      <c r="AH1540" s="121">
        <v>0</v>
      </c>
      <c r="AI1540" s="121">
        <v>0</v>
      </c>
      <c r="AJ1540" s="121">
        <f>IF(AI1540=0,0,0)</f>
        <v>0</v>
      </c>
      <c r="AK1540" s="161">
        <v>0</v>
      </c>
      <c r="AL1540" s="161">
        <v>0</v>
      </c>
      <c r="AM1540" s="161">
        <v>0</v>
      </c>
      <c r="AN1540" s="161">
        <v>0</v>
      </c>
      <c r="AO1540" s="161">
        <v>0</v>
      </c>
      <c r="AP1540" s="125" t="str">
        <f>CONCATENATE(A1540,M1540)</f>
        <v>Def TaxN</v>
      </c>
      <c r="AQ1540" s="125" t="str">
        <f>CONCATENATE(AP1540,L1540,H1540)</f>
        <v>Def TaxNN2Environmental</v>
      </c>
      <c r="AS1540" s="125" t="str">
        <f>CONCATENATE(L1540,H1540,J1540)</f>
        <v>N2Environmental</v>
      </c>
    </row>
    <row r="1541" spans="1:45" s="125" customFormat="1" ht="25.5" customHeight="1">
      <c r="A1541" s="216" t="s">
        <v>1996</v>
      </c>
      <c r="B1541" s="217" t="str">
        <f t="shared" si="623"/>
        <v>Def Tax2839870BT010057</v>
      </c>
      <c r="C1541" s="186">
        <v>283987</v>
      </c>
      <c r="D1541" s="201">
        <v>0</v>
      </c>
      <c r="E1541" s="162" t="s">
        <v>498</v>
      </c>
      <c r="F1541" s="169" t="s">
        <v>1738</v>
      </c>
      <c r="G1541" s="117" t="s">
        <v>2371</v>
      </c>
      <c r="H1541" s="118" t="s">
        <v>1149</v>
      </c>
      <c r="I1541" s="119"/>
      <c r="J1541" s="120"/>
      <c r="K1541" s="120" t="str">
        <f t="shared" si="624"/>
        <v>SFAS-109</v>
      </c>
      <c r="L1541" s="170" t="s">
        <v>930</v>
      </c>
      <c r="M1541" s="122" t="str">
        <f t="shared" si="622"/>
        <v>N</v>
      </c>
      <c r="N1541" s="116" t="str">
        <f>IF($L1541&lt;&gt;"",VLOOKUP($L1541,Categories!$E:$G,2,FALSE),IF($F1541&lt;&gt;"","NO CAT",""))</f>
        <v>Not in Rate Base</v>
      </c>
      <c r="O1541" s="116" t="str">
        <f>IF($L1541&lt;&gt;"",VLOOKUP($L1541,Categories!$E:$G,3,FALSE),IF($F1541&lt;&gt;"","NO CAT",""))</f>
        <v>SFAS-109   (offsetting)</v>
      </c>
      <c r="P1541" s="170" t="s">
        <v>1186</v>
      </c>
      <c r="Q1541" s="123" t="s">
        <v>1187</v>
      </c>
      <c r="R1541" s="124">
        <v>0</v>
      </c>
      <c r="S1541" s="124">
        <v>0</v>
      </c>
      <c r="T1541" s="124">
        <v>1</v>
      </c>
      <c r="U1541" s="121">
        <f t="shared" si="625"/>
        <v>0</v>
      </c>
      <c r="V1541" s="121">
        <f t="shared" si="626"/>
        <v>0</v>
      </c>
      <c r="W1541" s="121">
        <f t="shared" si="627"/>
        <v>61363.152499999997</v>
      </c>
      <c r="X1541" s="121">
        <f t="shared" si="616"/>
        <v>61363.152499999997</v>
      </c>
      <c r="Y1541" s="121">
        <f t="shared" si="628"/>
        <v>0</v>
      </c>
      <c r="Z1541" s="121">
        <f t="shared" si="629"/>
        <v>0</v>
      </c>
      <c r="AA1541" s="121">
        <f t="shared" si="630"/>
        <v>62360.873</v>
      </c>
      <c r="AB1541" s="121">
        <f t="shared" si="617"/>
        <v>62360.873</v>
      </c>
      <c r="AC1541" s="121">
        <v>59485.701000000001</v>
      </c>
      <c r="AD1541" s="121">
        <v>60424.453000000001</v>
      </c>
      <c r="AE1541" s="121">
        <v>60768.898999999998</v>
      </c>
      <c r="AF1541" s="121">
        <v>60768.898999999998</v>
      </c>
      <c r="AG1541" s="121">
        <v>61235.322999999997</v>
      </c>
      <c r="AH1541" s="121">
        <v>61235.322999999997</v>
      </c>
      <c r="AI1541" s="161">
        <v>61235.322999999997</v>
      </c>
      <c r="AJ1541" s="161">
        <v>61235.322999999997</v>
      </c>
      <c r="AK1541" s="161">
        <v>61744.466999999997</v>
      </c>
      <c r="AL1541" s="161">
        <v>62212.83</v>
      </c>
      <c r="AM1541" s="161">
        <v>62212.83</v>
      </c>
      <c r="AN1541" s="161">
        <v>62360.873</v>
      </c>
      <c r="AO1541" s="161">
        <v>62360.873</v>
      </c>
      <c r="AP1541" s="125" t="str">
        <f>CONCATENATE(A1541,M1541)</f>
        <v>Def TaxN</v>
      </c>
      <c r="AQ1541" s="125" t="str">
        <f>CONCATENATE(AP1541,L1541,H1541)</f>
        <v>Def TaxNN3SFAS-109</v>
      </c>
      <c r="AS1541" s="125" t="str">
        <f>CONCATENATE(L1541,H1541,J1541)</f>
        <v>N3SFAS-109</v>
      </c>
    </row>
    <row r="1542" spans="1:45" s="125" customFormat="1" ht="25.5" customHeight="1">
      <c r="A1542" s="216" t="s">
        <v>1996</v>
      </c>
      <c r="B1542" s="217" t="str">
        <f t="shared" si="623"/>
        <v>Def Tax283987Env OLBT010071</v>
      </c>
      <c r="C1542" s="186">
        <v>283987</v>
      </c>
      <c r="D1542" s="201" t="s">
        <v>75</v>
      </c>
      <c r="E1542" s="162" t="s">
        <v>222</v>
      </c>
      <c r="F1542" s="169" t="s">
        <v>1738</v>
      </c>
      <c r="G1542" s="117" t="s">
        <v>925</v>
      </c>
      <c r="H1542" s="118" t="s">
        <v>2369</v>
      </c>
      <c r="I1542" s="119"/>
      <c r="J1542" s="120"/>
      <c r="K1542" s="120" t="str">
        <f t="shared" si="624"/>
        <v/>
      </c>
      <c r="L1542" s="170" t="s">
        <v>928</v>
      </c>
      <c r="M1542" s="122" t="str">
        <f t="shared" si="622"/>
        <v>N</v>
      </c>
      <c r="N1542" s="116" t="str">
        <f>IF($L1542&lt;&gt;"",VLOOKUP($L1542,Categories!$E:$G,2,FALSE),IF($F1542&lt;&gt;"","NO CAT",""))</f>
        <v>Not in Rate Base</v>
      </c>
      <c r="O1542" s="116" t="str">
        <f>IF($L1542&lt;&gt;"",VLOOKUP($L1542,Categories!$E:$G,3,FALSE),IF($F1542&lt;&gt;"","NO CAT",""))</f>
        <v>Direct Assign Items Not in RB</v>
      </c>
      <c r="P1542" s="170" t="s">
        <v>1186</v>
      </c>
      <c r="Q1542" s="123" t="s">
        <v>1187</v>
      </c>
      <c r="R1542" s="124">
        <v>0</v>
      </c>
      <c r="S1542" s="124">
        <v>0</v>
      </c>
      <c r="T1542" s="124">
        <v>1</v>
      </c>
      <c r="U1542" s="121" t="str">
        <f t="shared" si="625"/>
        <v/>
      </c>
      <c r="V1542" s="121" t="str">
        <f t="shared" si="626"/>
        <v/>
      </c>
      <c r="W1542" s="121" t="str">
        <f t="shared" si="627"/>
        <v/>
      </c>
      <c r="X1542" s="121">
        <f t="shared" si="616"/>
        <v>0</v>
      </c>
      <c r="Y1542" s="121" t="str">
        <f t="shared" si="628"/>
        <v/>
      </c>
      <c r="Z1542" s="121" t="str">
        <f t="shared" si="629"/>
        <v/>
      </c>
      <c r="AA1542" s="121" t="str">
        <f t="shared" si="630"/>
        <v/>
      </c>
      <c r="AB1542" s="121">
        <f t="shared" si="617"/>
        <v>0</v>
      </c>
      <c r="AC1542" s="121">
        <v>0</v>
      </c>
      <c r="AD1542" s="121">
        <v>0</v>
      </c>
      <c r="AE1542" s="121">
        <v>0</v>
      </c>
      <c r="AF1542" s="121">
        <v>0</v>
      </c>
      <c r="AG1542" s="121">
        <v>0</v>
      </c>
      <c r="AH1542" s="121">
        <v>0</v>
      </c>
      <c r="AI1542" s="121">
        <v>0</v>
      </c>
      <c r="AJ1542" s="121">
        <f>IF(AI1542=0,0,0)</f>
        <v>0</v>
      </c>
      <c r="AK1542" s="161">
        <v>0</v>
      </c>
      <c r="AL1542" s="161">
        <v>0</v>
      </c>
      <c r="AM1542" s="161">
        <v>0</v>
      </c>
      <c r="AN1542" s="161">
        <v>0</v>
      </c>
      <c r="AO1542" s="161">
        <v>0</v>
      </c>
      <c r="AP1542" s="125" t="str">
        <f>CONCATENATE(A1542,M1542)</f>
        <v>Def TaxN</v>
      </c>
      <c r="AQ1542" s="125" t="str">
        <f>CONCATENATE(AP1542,L1542,H1542)</f>
        <v>Def TaxNN2Environmental</v>
      </c>
      <c r="AS1542" s="125" t="str">
        <f>CONCATENATE(L1542,H1542,J1542)</f>
        <v>N2Environmental</v>
      </c>
    </row>
    <row r="1543" spans="1:45" s="125" customFormat="1" ht="25.5" customHeight="1">
      <c r="A1543" s="216" t="s">
        <v>1996</v>
      </c>
      <c r="B1543" s="217" t="str">
        <f t="shared" si="623"/>
        <v>Def Tax283987DerivativeBC999998</v>
      </c>
      <c r="C1543" s="186">
        <v>283987</v>
      </c>
      <c r="D1543" s="201" t="s">
        <v>1028</v>
      </c>
      <c r="E1543" s="162" t="s">
        <v>2692</v>
      </c>
      <c r="F1543" s="169" t="s">
        <v>1738</v>
      </c>
      <c r="G1543" s="117" t="s">
        <v>752</v>
      </c>
      <c r="H1543" s="118" t="s">
        <v>1149</v>
      </c>
      <c r="I1543" s="119"/>
      <c r="J1543" s="120"/>
      <c r="K1543" s="120" t="str">
        <f t="shared" si="624"/>
        <v>SFAS-109</v>
      </c>
      <c r="L1543" s="170" t="s">
        <v>930</v>
      </c>
      <c r="M1543" s="122" t="str">
        <f t="shared" si="622"/>
        <v>N</v>
      </c>
      <c r="N1543" s="116" t="str">
        <f>IF($L1543&lt;&gt;"",VLOOKUP($L1543,Categories!$E:$G,2,FALSE),IF($F1543&lt;&gt;"","NO CAT",""))</f>
        <v>Not in Rate Base</v>
      </c>
      <c r="O1543" s="116" t="str">
        <f>IF($L1543&lt;&gt;"",VLOOKUP($L1543,Categories!$E:$G,3,FALSE),IF($F1543&lt;&gt;"","NO CAT",""))</f>
        <v>SFAS-109   (offsetting)</v>
      </c>
      <c r="P1543" s="170" t="s">
        <v>1186</v>
      </c>
      <c r="Q1543" s="123" t="s">
        <v>1187</v>
      </c>
      <c r="R1543" s="124">
        <v>0</v>
      </c>
      <c r="S1543" s="124">
        <v>0</v>
      </c>
      <c r="T1543" s="124">
        <v>1</v>
      </c>
      <c r="U1543" s="121">
        <f t="shared" si="625"/>
        <v>0</v>
      </c>
      <c r="V1543" s="121">
        <f t="shared" si="626"/>
        <v>0</v>
      </c>
      <c r="W1543" s="121">
        <f t="shared" si="627"/>
        <v>1257.9860000000001</v>
      </c>
      <c r="X1543" s="121">
        <f t="shared" si="616"/>
        <v>1257.9860000000001</v>
      </c>
      <c r="Y1543" s="121">
        <f t="shared" si="628"/>
        <v>0</v>
      </c>
      <c r="Z1543" s="121">
        <f t="shared" si="629"/>
        <v>0</v>
      </c>
      <c r="AA1543" s="121">
        <f t="shared" si="630"/>
        <v>1257.9860000000001</v>
      </c>
      <c r="AB1543" s="121">
        <f t="shared" si="617"/>
        <v>1257.9860000000001</v>
      </c>
      <c r="AC1543" s="121">
        <v>1257.9860000000001</v>
      </c>
      <c r="AD1543" s="121">
        <v>1257.9860000000001</v>
      </c>
      <c r="AE1543" s="121">
        <v>1257.9860000000001</v>
      </c>
      <c r="AF1543" s="121">
        <v>1257.9860000000001</v>
      </c>
      <c r="AG1543" s="121">
        <v>1257.9860000000001</v>
      </c>
      <c r="AH1543" s="121">
        <v>1257.9860000000001</v>
      </c>
      <c r="AI1543" s="161">
        <v>1257.9860000000001</v>
      </c>
      <c r="AJ1543" s="161">
        <v>1257.9860000000001</v>
      </c>
      <c r="AK1543" s="161">
        <v>1257.9860000000001</v>
      </c>
      <c r="AL1543" s="161">
        <v>1257.9860000000001</v>
      </c>
      <c r="AM1543" s="161">
        <v>1257.9860000000001</v>
      </c>
      <c r="AN1543" s="161">
        <v>1257.9860000000001</v>
      </c>
      <c r="AO1543" s="161">
        <v>1257.9860000000001</v>
      </c>
      <c r="AP1543" s="125" t="str">
        <f>CONCATENATE(A1543,M1543)</f>
        <v>Def TaxN</v>
      </c>
      <c r="AQ1543" s="125" t="str">
        <f>CONCATENATE(AP1543,L1543,H1543)</f>
        <v>Def TaxNN3SFAS-109</v>
      </c>
      <c r="AS1543" s="125" t="str">
        <f>CONCATENATE(L1543,H1543,J1543)</f>
        <v>N3SFAS-109</v>
      </c>
    </row>
    <row r="1544" spans="1:45" s="125" customFormat="1" ht="25.5" customHeight="1">
      <c r="A1544" s="216" t="s">
        <v>1996</v>
      </c>
      <c r="B1544" s="217" t="str">
        <f t="shared" si="623"/>
        <v>Def Tax2839880BT010057</v>
      </c>
      <c r="C1544" s="186">
        <v>283988</v>
      </c>
      <c r="D1544" s="201">
        <v>0</v>
      </c>
      <c r="E1544" s="162" t="s">
        <v>498</v>
      </c>
      <c r="F1544" s="169" t="s">
        <v>804</v>
      </c>
      <c r="G1544" s="117" t="s">
        <v>2371</v>
      </c>
      <c r="H1544" s="118" t="s">
        <v>1149</v>
      </c>
      <c r="I1544" s="119"/>
      <c r="J1544" s="120"/>
      <c r="K1544" s="120" t="str">
        <f t="shared" si="624"/>
        <v>SFAS-109</v>
      </c>
      <c r="L1544" s="170" t="s">
        <v>930</v>
      </c>
      <c r="M1544" s="122" t="str">
        <f t="shared" si="622"/>
        <v>N</v>
      </c>
      <c r="N1544" s="116" t="str">
        <f>IF($L1544&lt;&gt;"",VLOOKUP($L1544,Categories!$E:$G,2,FALSE),IF($F1544&lt;&gt;"","NO CAT",""))</f>
        <v>Not in Rate Base</v>
      </c>
      <c r="O1544" s="116" t="str">
        <f>IF($L1544&lt;&gt;"",VLOOKUP($L1544,Categories!$E:$G,3,FALSE),IF($F1544&lt;&gt;"","NO CAT",""))</f>
        <v>SFAS-109   (offsetting)</v>
      </c>
      <c r="P1544" s="170" t="s">
        <v>1186</v>
      </c>
      <c r="Q1544" s="123" t="s">
        <v>1187</v>
      </c>
      <c r="R1544" s="124">
        <v>0</v>
      </c>
      <c r="S1544" s="124">
        <v>0</v>
      </c>
      <c r="T1544" s="124">
        <v>1</v>
      </c>
      <c r="U1544" s="121">
        <f t="shared" si="625"/>
        <v>0</v>
      </c>
      <c r="V1544" s="121">
        <f t="shared" si="626"/>
        <v>0</v>
      </c>
      <c r="W1544" s="121">
        <f t="shared" si="627"/>
        <v>28987.714541666701</v>
      </c>
      <c r="X1544" s="121">
        <f t="shared" si="616"/>
        <v>28987.714541666701</v>
      </c>
      <c r="Y1544" s="121">
        <f t="shared" si="628"/>
        <v>0</v>
      </c>
      <c r="Z1544" s="121">
        <f t="shared" si="629"/>
        <v>0</v>
      </c>
      <c r="AA1544" s="121">
        <f t="shared" si="630"/>
        <v>29732.440999999999</v>
      </c>
      <c r="AB1544" s="121">
        <f t="shared" si="617"/>
        <v>29732.440999999999</v>
      </c>
      <c r="AC1544" s="121">
        <v>27392.17</v>
      </c>
      <c r="AD1544" s="121">
        <v>28212.116999999998</v>
      </c>
      <c r="AE1544" s="121">
        <v>28512.971000000001</v>
      </c>
      <c r="AF1544" s="121">
        <v>28512.971000000001</v>
      </c>
      <c r="AG1544" s="121">
        <v>28920.365000000002</v>
      </c>
      <c r="AH1544" s="121">
        <v>28920.365000000002</v>
      </c>
      <c r="AI1544" s="161">
        <v>28920.365000000002</v>
      </c>
      <c r="AJ1544" s="161">
        <v>28920.365000000002</v>
      </c>
      <c r="AK1544" s="161">
        <v>29270.365000000002</v>
      </c>
      <c r="AL1544" s="161">
        <v>29683.972000000002</v>
      </c>
      <c r="AM1544" s="161">
        <v>29683.972000000002</v>
      </c>
      <c r="AN1544" s="161">
        <v>29732.440999999999</v>
      </c>
      <c r="AO1544" s="161">
        <v>29732.440999999999</v>
      </c>
      <c r="AP1544" s="125" t="str">
        <f>CONCATENATE(A1544,M1544)</f>
        <v>Def TaxN</v>
      </c>
      <c r="AQ1544" s="125" t="str">
        <f>CONCATENATE(AP1544,L1544,H1544)</f>
        <v>Def TaxNN3SFAS-109</v>
      </c>
      <c r="AS1544" s="125" t="str">
        <f>CONCATENATE(L1544,H1544,J1544)</f>
        <v>N3SFAS-109</v>
      </c>
    </row>
    <row r="1545" spans="1:45" s="125" customFormat="1" ht="25.5" customHeight="1">
      <c r="A1545" s="216" t="s">
        <v>1996</v>
      </c>
      <c r="B1545" s="217" t="str">
        <f t="shared" si="623"/>
        <v>Def Tax283988Env OLBT010071</v>
      </c>
      <c r="C1545" s="186">
        <v>283988</v>
      </c>
      <c r="D1545" s="201" t="s">
        <v>75</v>
      </c>
      <c r="E1545" s="162" t="s">
        <v>222</v>
      </c>
      <c r="F1545" s="169" t="s">
        <v>804</v>
      </c>
      <c r="G1545" s="117" t="s">
        <v>925</v>
      </c>
      <c r="H1545" s="118" t="s">
        <v>2369</v>
      </c>
      <c r="I1545" s="119"/>
      <c r="J1545" s="120"/>
      <c r="K1545" s="120" t="str">
        <f t="shared" si="624"/>
        <v/>
      </c>
      <c r="L1545" s="170" t="s">
        <v>928</v>
      </c>
      <c r="M1545" s="122" t="str">
        <f t="shared" si="622"/>
        <v>N</v>
      </c>
      <c r="N1545" s="116" t="str">
        <f>IF($L1545&lt;&gt;"",VLOOKUP($L1545,Categories!$E:$G,2,FALSE),IF($F1545&lt;&gt;"","NO CAT",""))</f>
        <v>Not in Rate Base</v>
      </c>
      <c r="O1545" s="116" t="str">
        <f>IF($L1545&lt;&gt;"",VLOOKUP($L1545,Categories!$E:$G,3,FALSE),IF($F1545&lt;&gt;"","NO CAT",""))</f>
        <v>Direct Assign Items Not in RB</v>
      </c>
      <c r="P1545" s="170" t="s">
        <v>1186</v>
      </c>
      <c r="Q1545" s="123" t="s">
        <v>1187</v>
      </c>
      <c r="R1545" s="124">
        <v>0</v>
      </c>
      <c r="S1545" s="124">
        <v>0</v>
      </c>
      <c r="T1545" s="124">
        <v>1</v>
      </c>
      <c r="U1545" s="121" t="str">
        <f t="shared" si="625"/>
        <v/>
      </c>
      <c r="V1545" s="121" t="str">
        <f t="shared" si="626"/>
        <v/>
      </c>
      <c r="W1545" s="121" t="str">
        <f t="shared" si="627"/>
        <v/>
      </c>
      <c r="X1545" s="121">
        <f t="shared" si="616"/>
        <v>0</v>
      </c>
      <c r="Y1545" s="121" t="str">
        <f t="shared" si="628"/>
        <v/>
      </c>
      <c r="Z1545" s="121" t="str">
        <f t="shared" si="629"/>
        <v/>
      </c>
      <c r="AA1545" s="121" t="str">
        <f t="shared" si="630"/>
        <v/>
      </c>
      <c r="AB1545" s="121">
        <f t="shared" si="617"/>
        <v>0</v>
      </c>
      <c r="AC1545" s="121">
        <v>0</v>
      </c>
      <c r="AD1545" s="121">
        <v>0</v>
      </c>
      <c r="AE1545" s="121">
        <v>0</v>
      </c>
      <c r="AF1545" s="121">
        <v>0</v>
      </c>
      <c r="AG1545" s="121">
        <v>0</v>
      </c>
      <c r="AH1545" s="121">
        <v>0</v>
      </c>
      <c r="AI1545" s="121">
        <v>0</v>
      </c>
      <c r="AJ1545" s="121">
        <f>IF(AI1545=0,0,0)</f>
        <v>0</v>
      </c>
      <c r="AK1545" s="161">
        <v>0</v>
      </c>
      <c r="AL1545" s="161">
        <v>0</v>
      </c>
      <c r="AM1545" s="161">
        <v>0</v>
      </c>
      <c r="AN1545" s="161">
        <v>0</v>
      </c>
      <c r="AO1545" s="161">
        <v>0</v>
      </c>
      <c r="AP1545" s="125" t="str">
        <f>CONCATENATE(A1545,M1545)</f>
        <v>Def TaxN</v>
      </c>
      <c r="AQ1545" s="125" t="str">
        <f>CONCATENATE(AP1545,L1545,H1545)</f>
        <v>Def TaxNN2Environmental</v>
      </c>
      <c r="AS1545" s="125" t="str">
        <f>CONCATENATE(L1545,H1545,J1545)</f>
        <v>N2Environmental</v>
      </c>
    </row>
    <row r="1546" spans="1:45" s="125" customFormat="1" ht="25.5" customHeight="1">
      <c r="A1546" s="216" t="s">
        <v>1996</v>
      </c>
      <c r="B1546" s="217" t="str">
        <f t="shared" si="623"/>
        <v>Def Tax2839890BT010057</v>
      </c>
      <c r="C1546" s="186">
        <v>283989</v>
      </c>
      <c r="D1546" s="201">
        <v>0</v>
      </c>
      <c r="E1546" s="162" t="s">
        <v>498</v>
      </c>
      <c r="F1546" s="169" t="s">
        <v>1739</v>
      </c>
      <c r="G1546" s="117" t="s">
        <v>2371</v>
      </c>
      <c r="H1546" s="118" t="s">
        <v>1149</v>
      </c>
      <c r="I1546" s="119"/>
      <c r="J1546" s="120"/>
      <c r="K1546" s="120" t="str">
        <f t="shared" si="624"/>
        <v>SFAS-109</v>
      </c>
      <c r="L1546" s="170" t="s">
        <v>930</v>
      </c>
      <c r="M1546" s="122" t="str">
        <f t="shared" si="622"/>
        <v>N</v>
      </c>
      <c r="N1546" s="116" t="str">
        <f>IF($L1546&lt;&gt;"",VLOOKUP($L1546,Categories!$E:$G,2,FALSE),IF($F1546&lt;&gt;"","NO CAT",""))</f>
        <v>Not in Rate Base</v>
      </c>
      <c r="O1546" s="116" t="str">
        <f>IF($L1546&lt;&gt;"",VLOOKUP($L1546,Categories!$E:$G,3,FALSE),IF($F1546&lt;&gt;"","NO CAT",""))</f>
        <v>SFAS-109   (offsetting)</v>
      </c>
      <c r="P1546" s="170" t="s">
        <v>1186</v>
      </c>
      <c r="Q1546" s="123" t="s">
        <v>1187</v>
      </c>
      <c r="R1546" s="124">
        <v>0</v>
      </c>
      <c r="S1546" s="124">
        <v>0</v>
      </c>
      <c r="T1546" s="124">
        <v>1</v>
      </c>
      <c r="U1546" s="121">
        <f t="shared" si="625"/>
        <v>0</v>
      </c>
      <c r="V1546" s="121">
        <f t="shared" si="626"/>
        <v>0</v>
      </c>
      <c r="W1546" s="121">
        <f t="shared" si="627"/>
        <v>13770.3450416667</v>
      </c>
      <c r="X1546" s="121">
        <f t="shared" si="616"/>
        <v>13770.3450416667</v>
      </c>
      <c r="Y1546" s="121">
        <f t="shared" si="628"/>
        <v>0</v>
      </c>
      <c r="Z1546" s="121">
        <f t="shared" si="629"/>
        <v>0</v>
      </c>
      <c r="AA1546" s="121">
        <f t="shared" si="630"/>
        <v>13988.208000000001</v>
      </c>
      <c r="AB1546" s="121">
        <f t="shared" si="617"/>
        <v>13988.208000000001</v>
      </c>
      <c r="AC1546" s="121">
        <v>13360.383</v>
      </c>
      <c r="AD1546" s="121">
        <v>13565.37</v>
      </c>
      <c r="AE1546" s="121">
        <v>13640.584000000001</v>
      </c>
      <c r="AF1546" s="121">
        <v>13640.584000000001</v>
      </c>
      <c r="AG1546" s="121">
        <v>13742.432000000001</v>
      </c>
      <c r="AH1546" s="121">
        <v>13742.432000000001</v>
      </c>
      <c r="AI1546" s="161">
        <v>13742.432000000001</v>
      </c>
      <c r="AJ1546" s="161">
        <v>13742.432000000001</v>
      </c>
      <c r="AK1546" s="161">
        <v>13853.609</v>
      </c>
      <c r="AL1546" s="161">
        <v>13955.880999999999</v>
      </c>
      <c r="AM1546" s="161">
        <v>13955.880999999999</v>
      </c>
      <c r="AN1546" s="161">
        <v>13988.208000000001</v>
      </c>
      <c r="AO1546" s="161">
        <v>13988.208000000001</v>
      </c>
      <c r="AP1546" s="125" t="str">
        <f>CONCATENATE(A1546,M1546)</f>
        <v>Def TaxN</v>
      </c>
      <c r="AQ1546" s="125" t="str">
        <f>CONCATENATE(AP1546,L1546,H1546)</f>
        <v>Def TaxNN3SFAS-109</v>
      </c>
      <c r="AS1546" s="125" t="str">
        <f>CONCATENATE(L1546,H1546,J1546)</f>
        <v>N3SFAS-109</v>
      </c>
    </row>
    <row r="1547" spans="1:45" s="125" customFormat="1" ht="25.5" customHeight="1">
      <c r="A1547" s="216" t="s">
        <v>1996</v>
      </c>
      <c r="B1547" s="217" t="str">
        <f t="shared" si="623"/>
        <v>Def Tax283989Env OLBT010071</v>
      </c>
      <c r="C1547" s="186">
        <v>283989</v>
      </c>
      <c r="D1547" s="201" t="s">
        <v>75</v>
      </c>
      <c r="E1547" s="162" t="s">
        <v>222</v>
      </c>
      <c r="F1547" s="169" t="s">
        <v>1739</v>
      </c>
      <c r="G1547" s="117" t="s">
        <v>925</v>
      </c>
      <c r="H1547" s="118" t="s">
        <v>2369</v>
      </c>
      <c r="I1547" s="119"/>
      <c r="J1547" s="120"/>
      <c r="K1547" s="120" t="str">
        <f t="shared" si="624"/>
        <v/>
      </c>
      <c r="L1547" s="170" t="s">
        <v>928</v>
      </c>
      <c r="M1547" s="122" t="str">
        <f t="shared" si="622"/>
        <v>N</v>
      </c>
      <c r="N1547" s="116" t="str">
        <f>IF($L1547&lt;&gt;"",VLOOKUP($L1547,Categories!$E:$G,2,FALSE),IF($F1547&lt;&gt;"","NO CAT",""))</f>
        <v>Not in Rate Base</v>
      </c>
      <c r="O1547" s="116" t="str">
        <f>IF($L1547&lt;&gt;"",VLOOKUP($L1547,Categories!$E:$G,3,FALSE),IF($F1547&lt;&gt;"","NO CAT",""))</f>
        <v>Direct Assign Items Not in RB</v>
      </c>
      <c r="P1547" s="170" t="s">
        <v>1186</v>
      </c>
      <c r="Q1547" s="123" t="s">
        <v>1187</v>
      </c>
      <c r="R1547" s="124">
        <v>0</v>
      </c>
      <c r="S1547" s="124">
        <v>0</v>
      </c>
      <c r="T1547" s="124">
        <v>1</v>
      </c>
      <c r="U1547" s="121" t="str">
        <f t="shared" si="625"/>
        <v/>
      </c>
      <c r="V1547" s="121" t="str">
        <f t="shared" si="626"/>
        <v/>
      </c>
      <c r="W1547" s="121" t="str">
        <f t="shared" si="627"/>
        <v/>
      </c>
      <c r="X1547" s="121">
        <f t="shared" si="616"/>
        <v>0</v>
      </c>
      <c r="Y1547" s="121" t="str">
        <f t="shared" si="628"/>
        <v/>
      </c>
      <c r="Z1547" s="121" t="str">
        <f t="shared" si="629"/>
        <v/>
      </c>
      <c r="AA1547" s="121" t="str">
        <f t="shared" si="630"/>
        <v/>
      </c>
      <c r="AB1547" s="121">
        <f t="shared" si="617"/>
        <v>0</v>
      </c>
      <c r="AC1547" s="121">
        <v>0</v>
      </c>
      <c r="AD1547" s="121">
        <v>0</v>
      </c>
      <c r="AE1547" s="121">
        <v>0</v>
      </c>
      <c r="AF1547" s="121">
        <v>0</v>
      </c>
      <c r="AG1547" s="121">
        <v>0</v>
      </c>
      <c r="AH1547" s="121">
        <v>0</v>
      </c>
      <c r="AI1547" s="121">
        <v>0</v>
      </c>
      <c r="AJ1547" s="121">
        <f>IF(AI1547=0,0,0)</f>
        <v>0</v>
      </c>
      <c r="AK1547" s="161">
        <v>0</v>
      </c>
      <c r="AL1547" s="161">
        <v>0</v>
      </c>
      <c r="AM1547" s="161">
        <v>0</v>
      </c>
      <c r="AN1547" s="161">
        <v>0</v>
      </c>
      <c r="AO1547" s="161">
        <v>0</v>
      </c>
      <c r="AP1547" s="125" t="str">
        <f>CONCATENATE(A1547,M1547)</f>
        <v>Def TaxN</v>
      </c>
      <c r="AQ1547" s="125" t="str">
        <f>CONCATENATE(AP1547,L1547,H1547)</f>
        <v>Def TaxNN2Environmental</v>
      </c>
      <c r="AS1547" s="125" t="str">
        <f>CONCATENATE(L1547,H1547,J1547)</f>
        <v>N2Environmental</v>
      </c>
    </row>
    <row r="1548" spans="1:45" s="125" customFormat="1" ht="25.5" customHeight="1">
      <c r="A1548" s="216" t="s">
        <v>1996</v>
      </c>
      <c r="B1548" s="217" t="str">
        <f t="shared" si="623"/>
        <v>Def Tax283990Hedge GainBE030307</v>
      </c>
      <c r="C1548" s="186">
        <v>283990</v>
      </c>
      <c r="D1548" s="201" t="s">
        <v>2306</v>
      </c>
      <c r="E1548" s="162" t="s">
        <v>966</v>
      </c>
      <c r="F1548" s="169" t="s">
        <v>367</v>
      </c>
      <c r="G1548" s="117" t="s">
        <v>2305</v>
      </c>
      <c r="H1548" s="118" t="s">
        <v>1149</v>
      </c>
      <c r="I1548" s="119"/>
      <c r="J1548" s="120"/>
      <c r="K1548" s="120" t="str">
        <f t="shared" si="624"/>
        <v>SFAS-109</v>
      </c>
      <c r="L1548" s="170" t="s">
        <v>930</v>
      </c>
      <c r="M1548" s="122" t="str">
        <f t="shared" si="622"/>
        <v>N</v>
      </c>
      <c r="N1548" s="116" t="str">
        <f>IF($L1548&lt;&gt;"",VLOOKUP($L1548,Categories!$E:$G,2,FALSE),IF($F1548&lt;&gt;"","NO CAT",""))</f>
        <v>Not in Rate Base</v>
      </c>
      <c r="O1548" s="116" t="str">
        <f>IF($L1548&lt;&gt;"",VLOOKUP($L1548,Categories!$E:$G,3,FALSE),IF($F1548&lt;&gt;"","NO CAT",""))</f>
        <v>SFAS-109   (offsetting)</v>
      </c>
      <c r="P1548" s="170" t="s">
        <v>1186</v>
      </c>
      <c r="Q1548" s="123" t="s">
        <v>1187</v>
      </c>
      <c r="R1548" s="124">
        <v>0</v>
      </c>
      <c r="S1548" s="124">
        <v>0</v>
      </c>
      <c r="T1548" s="124">
        <v>1</v>
      </c>
      <c r="U1548" s="121">
        <f t="shared" si="625"/>
        <v>0</v>
      </c>
      <c r="V1548" s="121">
        <f t="shared" si="626"/>
        <v>0</v>
      </c>
      <c r="W1548" s="121">
        <f t="shared" si="627"/>
        <v>-5637.0441250000003</v>
      </c>
      <c r="X1548" s="121">
        <f t="shared" si="616"/>
        <v>-5637.0441250000003</v>
      </c>
      <c r="Y1548" s="121">
        <f t="shared" si="628"/>
        <v>0</v>
      </c>
      <c r="Z1548" s="121">
        <f t="shared" si="629"/>
        <v>0</v>
      </c>
      <c r="AA1548" s="121">
        <f t="shared" si="630"/>
        <v>8954.0190000000002</v>
      </c>
      <c r="AB1548" s="121">
        <f t="shared" si="617"/>
        <v>8954.0190000000002</v>
      </c>
      <c r="AC1548" s="121">
        <v>-2042.3019999999995</v>
      </c>
      <c r="AD1548" s="121">
        <v>-7368.6639999999998</v>
      </c>
      <c r="AE1548" s="121">
        <v>-8639.7129999999997</v>
      </c>
      <c r="AF1548" s="121">
        <v>-7925.52</v>
      </c>
      <c r="AG1548" s="121">
        <v>-12712.053</v>
      </c>
      <c r="AH1548" s="121">
        <v>-10187.673000000001</v>
      </c>
      <c r="AI1548" s="161">
        <v>-6108.24</v>
      </c>
      <c r="AJ1548" s="161">
        <v>1408.327</v>
      </c>
      <c r="AK1548" s="161">
        <v>-2004.6279999999999</v>
      </c>
      <c r="AL1548" s="161">
        <v>-5806.1779999999999</v>
      </c>
      <c r="AM1548" s="161">
        <v>-5403.77</v>
      </c>
      <c r="AN1548" s="161">
        <v>-6352.2759999999998</v>
      </c>
      <c r="AO1548" s="161">
        <v>8954.0190000000002</v>
      </c>
      <c r="AP1548" s="125" t="str">
        <f>CONCATENATE(A1548,M1548)</f>
        <v>Def TaxN</v>
      </c>
      <c r="AQ1548" s="125" t="str">
        <f>CONCATENATE(AP1548,L1548,H1548)</f>
        <v>Def TaxNN3SFAS-109</v>
      </c>
      <c r="AS1548" s="125" t="str">
        <f>CONCATENATE(L1548,H1548,J1548)</f>
        <v>N3SFAS-109</v>
      </c>
    </row>
    <row r="1549" spans="1:45" s="125" customFormat="1" ht="25.5" customHeight="1">
      <c r="A1549" s="216" t="s">
        <v>1996</v>
      </c>
      <c r="B1549" s="217" t="str">
        <f t="shared" si="623"/>
        <v>Def Tax2839900-243.11.96BC999998</v>
      </c>
      <c r="C1549" s="186">
        <v>283990</v>
      </c>
      <c r="D1549" s="201" t="s">
        <v>1092</v>
      </c>
      <c r="E1549" s="162" t="s">
        <v>2692</v>
      </c>
      <c r="F1549" s="169" t="s">
        <v>367</v>
      </c>
      <c r="G1549" s="117" t="s">
        <v>1224</v>
      </c>
      <c r="H1549" s="118" t="s">
        <v>1149</v>
      </c>
      <c r="I1549" s="119"/>
      <c r="J1549" s="120"/>
      <c r="K1549" s="120" t="str">
        <f t="shared" si="624"/>
        <v>SFAS-109</v>
      </c>
      <c r="L1549" s="170" t="s">
        <v>930</v>
      </c>
      <c r="M1549" s="122" t="str">
        <f t="shared" si="622"/>
        <v>N</v>
      </c>
      <c r="N1549" s="116" t="str">
        <f>IF($L1549&lt;&gt;"",VLOOKUP($L1549,Categories!$E:$G,2,FALSE),IF($F1549&lt;&gt;"","NO CAT",""))</f>
        <v>Not in Rate Base</v>
      </c>
      <c r="O1549" s="116" t="str">
        <f>IF($L1549&lt;&gt;"",VLOOKUP($L1549,Categories!$E:$G,3,FALSE),IF($F1549&lt;&gt;"","NO CAT",""))</f>
        <v>SFAS-109   (offsetting)</v>
      </c>
      <c r="P1549" s="170" t="s">
        <v>1186</v>
      </c>
      <c r="Q1549" s="123" t="s">
        <v>1187</v>
      </c>
      <c r="R1549" s="124">
        <v>0</v>
      </c>
      <c r="S1549" s="124">
        <v>0</v>
      </c>
      <c r="T1549" s="124">
        <v>1</v>
      </c>
      <c r="U1549" s="121">
        <f t="shared" si="625"/>
        <v>0</v>
      </c>
      <c r="V1549" s="121">
        <f t="shared" si="626"/>
        <v>0</v>
      </c>
      <c r="W1549" s="121">
        <f t="shared" si="627"/>
        <v>-393.74599999999998</v>
      </c>
      <c r="X1549" s="121">
        <f t="shared" si="616"/>
        <v>-393.74599999999998</v>
      </c>
      <c r="Y1549" s="121">
        <f t="shared" si="628"/>
        <v>0</v>
      </c>
      <c r="Z1549" s="121">
        <f t="shared" si="629"/>
        <v>0</v>
      </c>
      <c r="AA1549" s="121">
        <f t="shared" si="630"/>
        <v>-393.74599999999998</v>
      </c>
      <c r="AB1549" s="121">
        <f t="shared" si="617"/>
        <v>-393.74599999999998</v>
      </c>
      <c r="AC1549" s="121">
        <v>-393.74599999999998</v>
      </c>
      <c r="AD1549" s="121">
        <v>-393.74599999999998</v>
      </c>
      <c r="AE1549" s="121">
        <v>-393.74599999999998</v>
      </c>
      <c r="AF1549" s="121">
        <v>-393.74599999999998</v>
      </c>
      <c r="AG1549" s="121">
        <v>-393.74599999999998</v>
      </c>
      <c r="AH1549" s="121">
        <v>-393.74599999999998</v>
      </c>
      <c r="AI1549" s="161">
        <v>-393.74599999999998</v>
      </c>
      <c r="AJ1549" s="161">
        <v>-393.74599999999998</v>
      </c>
      <c r="AK1549" s="161">
        <v>-393.74599999999998</v>
      </c>
      <c r="AL1549" s="161">
        <v>-393.74599999999998</v>
      </c>
      <c r="AM1549" s="161">
        <v>-393.74599999999998</v>
      </c>
      <c r="AN1549" s="161">
        <v>-393.74599999999998</v>
      </c>
      <c r="AO1549" s="161">
        <v>-393.74599999999998</v>
      </c>
      <c r="AP1549" s="125" t="str">
        <f>CONCATENATE(A1549,M1549)</f>
        <v>Def TaxN</v>
      </c>
      <c r="AQ1549" s="125" t="str">
        <f>CONCATENATE(AP1549,L1549,H1549)</f>
        <v>Def TaxNN3SFAS-109</v>
      </c>
      <c r="AS1549" s="125" t="str">
        <f>CONCATENATE(L1549,H1549,J1549)</f>
        <v>N3SFAS-109</v>
      </c>
    </row>
    <row r="1550" spans="1:45" s="125" customFormat="1" ht="25.5" customHeight="1">
      <c r="A1550" s="216" t="s">
        <v>1996</v>
      </c>
      <c r="B1550" s="217" t="str">
        <f t="shared" si="623"/>
        <v>Def Tax283991Hedge GainBE030307</v>
      </c>
      <c r="C1550" s="186">
        <v>283991</v>
      </c>
      <c r="D1550" s="201" t="s">
        <v>2306</v>
      </c>
      <c r="E1550" s="162" t="s">
        <v>966</v>
      </c>
      <c r="F1550" s="169" t="s">
        <v>367</v>
      </c>
      <c r="G1550" s="117" t="s">
        <v>2305</v>
      </c>
      <c r="H1550" s="118" t="s">
        <v>1149</v>
      </c>
      <c r="I1550" s="119"/>
      <c r="J1550" s="120"/>
      <c r="K1550" s="120" t="str">
        <f t="shared" si="624"/>
        <v>SFAS-109</v>
      </c>
      <c r="L1550" s="170" t="s">
        <v>930</v>
      </c>
      <c r="M1550" s="122" t="str">
        <f t="shared" si="622"/>
        <v>N</v>
      </c>
      <c r="N1550" s="116" t="str">
        <f>IF($L1550&lt;&gt;"",VLOOKUP($L1550,Categories!$E:$G,2,FALSE),IF($F1550&lt;&gt;"","NO CAT",""))</f>
        <v>Not in Rate Base</v>
      </c>
      <c r="O1550" s="116" t="str">
        <f>IF($L1550&lt;&gt;"",VLOOKUP($L1550,Categories!$E:$G,3,FALSE),IF($F1550&lt;&gt;"","NO CAT",""))</f>
        <v>SFAS-109   (offsetting)</v>
      </c>
      <c r="P1550" s="170" t="s">
        <v>1186</v>
      </c>
      <c r="Q1550" s="123" t="s">
        <v>1187</v>
      </c>
      <c r="R1550" s="124">
        <v>0</v>
      </c>
      <c r="S1550" s="124">
        <v>0</v>
      </c>
      <c r="T1550" s="124">
        <v>1</v>
      </c>
      <c r="U1550" s="121">
        <f t="shared" si="625"/>
        <v>0</v>
      </c>
      <c r="V1550" s="121">
        <f t="shared" si="626"/>
        <v>0</v>
      </c>
      <c r="W1550" s="121">
        <f t="shared" si="627"/>
        <v>6861.9538549999997</v>
      </c>
      <c r="X1550" s="121">
        <f t="shared" si="616"/>
        <v>6861.9538549999997</v>
      </c>
      <c r="Y1550" s="121">
        <f t="shared" si="628"/>
        <v>0</v>
      </c>
      <c r="Z1550" s="121">
        <f t="shared" si="629"/>
        <v>0</v>
      </c>
      <c r="AA1550" s="121">
        <f t="shared" si="630"/>
        <v>-7729.1092699999999</v>
      </c>
      <c r="AB1550" s="121">
        <f t="shared" si="617"/>
        <v>-7729.1092699999999</v>
      </c>
      <c r="AC1550" s="121">
        <v>3267.21173</v>
      </c>
      <c r="AD1550" s="121">
        <v>8593.5737300000001</v>
      </c>
      <c r="AE1550" s="121">
        <v>9864.622730000001</v>
      </c>
      <c r="AF1550" s="121">
        <v>9150.4297299999998</v>
      </c>
      <c r="AG1550" s="121">
        <v>13936.962730000001</v>
      </c>
      <c r="AH1550" s="121">
        <v>11412.58273</v>
      </c>
      <c r="AI1550" s="161">
        <v>7333.1497300000001</v>
      </c>
      <c r="AJ1550" s="161">
        <v>-183.41726999999955</v>
      </c>
      <c r="AK1550" s="161">
        <v>3229.5377300000005</v>
      </c>
      <c r="AL1550" s="161">
        <v>7031.0877300000002</v>
      </c>
      <c r="AM1550" s="161">
        <v>6628.6797300000007</v>
      </c>
      <c r="AN1550" s="161">
        <v>7577.1857300000001</v>
      </c>
      <c r="AO1550" s="161">
        <v>-7729.1092699999999</v>
      </c>
      <c r="AP1550" s="125" t="str">
        <f>CONCATENATE(A1550,M1550)</f>
        <v>Def TaxN</v>
      </c>
      <c r="AQ1550" s="125" t="str">
        <f>CONCATENATE(AP1550,L1550,H1550)</f>
        <v>Def TaxNN3SFAS-109</v>
      </c>
      <c r="AS1550" s="125" t="str">
        <f>CONCATENATE(L1550,H1550,J1550)</f>
        <v>N3SFAS-109</v>
      </c>
    </row>
    <row r="1551" spans="1:45" s="125" customFormat="1" ht="25.5" customHeight="1">
      <c r="A1551" s="216" t="s">
        <v>1996</v>
      </c>
      <c r="B1551" s="217" t="str">
        <f t="shared" si="623"/>
        <v>Def Tax2839910-243.11.97BC999998</v>
      </c>
      <c r="C1551" s="186">
        <v>283991</v>
      </c>
      <c r="D1551" s="201" t="s">
        <v>2781</v>
      </c>
      <c r="E1551" s="162" t="s">
        <v>2692</v>
      </c>
      <c r="F1551" s="169" t="s">
        <v>367</v>
      </c>
      <c r="G1551" s="117" t="s">
        <v>1224</v>
      </c>
      <c r="H1551" s="118" t="s">
        <v>1149</v>
      </c>
      <c r="I1551" s="119"/>
      <c r="J1551" s="120"/>
      <c r="K1551" s="120" t="str">
        <f t="shared" si="624"/>
        <v>SFAS-109</v>
      </c>
      <c r="L1551" s="170" t="s">
        <v>930</v>
      </c>
      <c r="M1551" s="122" t="str">
        <f t="shared" si="622"/>
        <v>N</v>
      </c>
      <c r="N1551" s="116" t="str">
        <f>IF($L1551&lt;&gt;"",VLOOKUP($L1551,Categories!$E:$G,2,FALSE),IF($F1551&lt;&gt;"","NO CAT",""))</f>
        <v>Not in Rate Base</v>
      </c>
      <c r="O1551" s="116" t="str">
        <f>IF($L1551&lt;&gt;"",VLOOKUP($L1551,Categories!$E:$G,3,FALSE),IF($F1551&lt;&gt;"","NO CAT",""))</f>
        <v>SFAS-109   (offsetting)</v>
      </c>
      <c r="P1551" s="170" t="s">
        <v>1186</v>
      </c>
      <c r="Q1551" s="123" t="s">
        <v>1187</v>
      </c>
      <c r="R1551" s="124">
        <v>0</v>
      </c>
      <c r="S1551" s="124">
        <v>0</v>
      </c>
      <c r="T1551" s="124">
        <v>1</v>
      </c>
      <c r="U1551" s="121">
        <f t="shared" si="625"/>
        <v>0</v>
      </c>
      <c r="V1551" s="121">
        <f t="shared" si="626"/>
        <v>0</v>
      </c>
      <c r="W1551" s="121">
        <f t="shared" si="627"/>
        <v>-831.16373000000397</v>
      </c>
      <c r="X1551" s="121">
        <f t="shared" si="616"/>
        <v>-831.16373000000397</v>
      </c>
      <c r="Y1551" s="121">
        <f t="shared" si="628"/>
        <v>0</v>
      </c>
      <c r="Z1551" s="121">
        <f t="shared" si="629"/>
        <v>0</v>
      </c>
      <c r="AA1551" s="121">
        <f t="shared" si="630"/>
        <v>-831.16373000000397</v>
      </c>
      <c r="AB1551" s="121">
        <f t="shared" si="617"/>
        <v>-831.16373000000419</v>
      </c>
      <c r="AC1551" s="121">
        <v>-831.16373000000419</v>
      </c>
      <c r="AD1551" s="121">
        <v>-831.16373000000419</v>
      </c>
      <c r="AE1551" s="121">
        <v>-831.16373000000419</v>
      </c>
      <c r="AF1551" s="121">
        <v>-831.16373000000419</v>
      </c>
      <c r="AG1551" s="121">
        <v>-831.16373000000419</v>
      </c>
      <c r="AH1551" s="121">
        <v>-831.16373000000419</v>
      </c>
      <c r="AI1551" s="161">
        <v>-831.16373000000419</v>
      </c>
      <c r="AJ1551" s="161">
        <v>-831.16373000000419</v>
      </c>
      <c r="AK1551" s="161">
        <v>-831.16373000000419</v>
      </c>
      <c r="AL1551" s="161">
        <v>-831.16373000000419</v>
      </c>
      <c r="AM1551" s="161">
        <v>-831.16373000000419</v>
      </c>
      <c r="AN1551" s="161">
        <v>-831.16373000000419</v>
      </c>
      <c r="AO1551" s="161">
        <v>-831.16373000000419</v>
      </c>
      <c r="AP1551" s="125" t="str">
        <f>CONCATENATE(A1551,M1551)</f>
        <v>Def TaxN</v>
      </c>
      <c r="AQ1551" s="125" t="str">
        <f>CONCATENATE(AP1551,L1551,H1551)</f>
        <v>Def TaxNN3SFAS-109</v>
      </c>
      <c r="AS1551" s="125" t="str">
        <f>CONCATENATE(L1551,H1551,J1551)</f>
        <v>N3SFAS-109</v>
      </c>
    </row>
    <row r="1552" spans="1:45" s="125" customFormat="1" ht="25.5" customHeight="1">
      <c r="A1552" s="216" t="s">
        <v>1996</v>
      </c>
      <c r="B1552" s="217" t="str">
        <f t="shared" si="623"/>
        <v>Def Tax283992Hedge GainBE030307</v>
      </c>
      <c r="C1552" s="186">
        <v>283992</v>
      </c>
      <c r="D1552" s="201" t="s">
        <v>2306</v>
      </c>
      <c r="E1552" s="162" t="s">
        <v>966</v>
      </c>
      <c r="F1552" s="169" t="s">
        <v>1459</v>
      </c>
      <c r="G1552" s="117" t="s">
        <v>2305</v>
      </c>
      <c r="H1552" s="118" t="s">
        <v>1149</v>
      </c>
      <c r="I1552" s="119"/>
      <c r="J1552" s="120"/>
      <c r="K1552" s="120" t="str">
        <f t="shared" si="624"/>
        <v>SFAS-109</v>
      </c>
      <c r="L1552" s="170" t="s">
        <v>930</v>
      </c>
      <c r="M1552" s="122" t="str">
        <f t="shared" si="622"/>
        <v>N</v>
      </c>
      <c r="N1552" s="116" t="str">
        <f>IF($L1552&lt;&gt;"",VLOOKUP($L1552,Categories!$E:$G,2,FALSE),IF($F1552&lt;&gt;"","NO CAT",""))</f>
        <v>Not in Rate Base</v>
      </c>
      <c r="O1552" s="116" t="str">
        <f>IF($L1552&lt;&gt;"",VLOOKUP($L1552,Categories!$E:$G,3,FALSE),IF($F1552&lt;&gt;"","NO CAT",""))</f>
        <v>SFAS-109   (offsetting)</v>
      </c>
      <c r="P1552" s="170" t="s">
        <v>1186</v>
      </c>
      <c r="Q1552" s="123" t="s">
        <v>1187</v>
      </c>
      <c r="R1552" s="124">
        <v>0</v>
      </c>
      <c r="S1552" s="124">
        <v>0</v>
      </c>
      <c r="T1552" s="124">
        <v>1</v>
      </c>
      <c r="U1552" s="121">
        <f t="shared" si="625"/>
        <v>0</v>
      </c>
      <c r="V1552" s="121">
        <f t="shared" si="626"/>
        <v>0</v>
      </c>
      <c r="W1552" s="121">
        <f t="shared" si="627"/>
        <v>1916.73079166667</v>
      </c>
      <c r="X1552" s="121">
        <f t="shared" si="616"/>
        <v>1916.73079166667</v>
      </c>
      <c r="Y1552" s="121">
        <f t="shared" si="628"/>
        <v>0</v>
      </c>
      <c r="Z1552" s="121">
        <f t="shared" si="629"/>
        <v>0</v>
      </c>
      <c r="AA1552" s="121">
        <f t="shared" si="630"/>
        <v>2860.7190000000001</v>
      </c>
      <c r="AB1552" s="121">
        <f t="shared" si="617"/>
        <v>2860.7190000000001</v>
      </c>
      <c r="AC1552" s="121">
        <v>1818.1479999999999</v>
      </c>
      <c r="AD1552" s="121">
        <v>1456.5820000000001</v>
      </c>
      <c r="AE1552" s="121">
        <v>1613.3030000000001</v>
      </c>
      <c r="AF1552" s="121">
        <v>1770.0360000000001</v>
      </c>
      <c r="AG1552" s="121">
        <v>1523.9749999999999</v>
      </c>
      <c r="AH1552" s="121">
        <v>1763.9110000000001</v>
      </c>
      <c r="AI1552" s="161">
        <v>1815.91</v>
      </c>
      <c r="AJ1552" s="161">
        <v>2178.8069999999998</v>
      </c>
      <c r="AK1552" s="161">
        <v>2038.538</v>
      </c>
      <c r="AL1552" s="161">
        <v>2046.0050000000001</v>
      </c>
      <c r="AM1552" s="161">
        <v>2284.931</v>
      </c>
      <c r="AN1552" s="161">
        <v>2169.3380000000002</v>
      </c>
      <c r="AO1552" s="161">
        <v>2860.7190000000001</v>
      </c>
      <c r="AP1552" s="125" t="str">
        <f>CONCATENATE(A1552,M1552)</f>
        <v>Def TaxN</v>
      </c>
      <c r="AQ1552" s="125" t="str">
        <f>CONCATENATE(AP1552,L1552,H1552)</f>
        <v>Def TaxNN3SFAS-109</v>
      </c>
      <c r="AS1552" s="125" t="str">
        <f>CONCATENATE(L1552,H1552,J1552)</f>
        <v>N3SFAS-109</v>
      </c>
    </row>
    <row r="1553" spans="1:46" s="125" customFormat="1" ht="25.5" customHeight="1">
      <c r="A1553" s="216" t="s">
        <v>1996</v>
      </c>
      <c r="B1553" s="217" t="str">
        <f t="shared" si="623"/>
        <v>Def Tax2839920-283.21.99BC999998</v>
      </c>
      <c r="C1553" s="186">
        <v>283992</v>
      </c>
      <c r="D1553" s="201" t="s">
        <v>1686</v>
      </c>
      <c r="E1553" s="162" t="s">
        <v>2692</v>
      </c>
      <c r="F1553" s="169" t="s">
        <v>1459</v>
      </c>
      <c r="G1553" s="117" t="s">
        <v>805</v>
      </c>
      <c r="H1553" s="118" t="s">
        <v>1149</v>
      </c>
      <c r="I1553" s="119"/>
      <c r="J1553" s="120"/>
      <c r="K1553" s="120" t="str">
        <f t="shared" si="624"/>
        <v>SFAS-109</v>
      </c>
      <c r="L1553" s="170" t="s">
        <v>930</v>
      </c>
      <c r="M1553" s="122" t="str">
        <f t="shared" si="622"/>
        <v>N</v>
      </c>
      <c r="N1553" s="116" t="str">
        <f>IF($L1553&lt;&gt;"",VLOOKUP($L1553,Categories!$E:$G,2,FALSE),IF($F1553&lt;&gt;"","NO CAT",""))</f>
        <v>Not in Rate Base</v>
      </c>
      <c r="O1553" s="116" t="str">
        <f>IF($L1553&lt;&gt;"",VLOOKUP($L1553,Categories!$E:$G,3,FALSE),IF($F1553&lt;&gt;"","NO CAT",""))</f>
        <v>SFAS-109   (offsetting)</v>
      </c>
      <c r="P1553" s="170" t="s">
        <v>1186</v>
      </c>
      <c r="Q1553" s="123" t="s">
        <v>1187</v>
      </c>
      <c r="R1553" s="124">
        <v>0</v>
      </c>
      <c r="S1553" s="124">
        <v>0</v>
      </c>
      <c r="T1553" s="124">
        <v>1</v>
      </c>
      <c r="U1553" s="121">
        <f t="shared" si="625"/>
        <v>0</v>
      </c>
      <c r="V1553" s="121">
        <f t="shared" si="626"/>
        <v>0</v>
      </c>
      <c r="W1553" s="121">
        <f t="shared" si="627"/>
        <v>-1938.538</v>
      </c>
      <c r="X1553" s="121">
        <f t="shared" ref="X1553:X1555" si="631">IF(ISERROR(ROUND((SUM(AC1553:AO1553)-((AC1553+AO1553))/2)/12,15)),"",ROUND((SUM(AC1553:AO1553)-((AC1553+AO1553))/2)/12,15))</f>
        <v>-1938.538</v>
      </c>
      <c r="Y1553" s="121">
        <f t="shared" si="628"/>
        <v>0</v>
      </c>
      <c r="Z1553" s="121">
        <f t="shared" si="629"/>
        <v>0</v>
      </c>
      <c r="AA1553" s="121">
        <f t="shared" si="630"/>
        <v>-1938.538</v>
      </c>
      <c r="AB1553" s="121">
        <f t="shared" ref="AB1553:AB1555" si="632">IF(AO1553="",0,+AO1553)</f>
        <v>-1938.538</v>
      </c>
      <c r="AC1553" s="121">
        <v>-1938.538</v>
      </c>
      <c r="AD1553" s="121">
        <v>-1938.538</v>
      </c>
      <c r="AE1553" s="121">
        <v>-1938.538</v>
      </c>
      <c r="AF1553" s="121">
        <v>-1938.538</v>
      </c>
      <c r="AG1553" s="121">
        <v>-1938.538</v>
      </c>
      <c r="AH1553" s="121">
        <v>-1938.538</v>
      </c>
      <c r="AI1553" s="161">
        <v>-1938.538</v>
      </c>
      <c r="AJ1553" s="161">
        <v>-1938.538</v>
      </c>
      <c r="AK1553" s="161">
        <v>-1938.538</v>
      </c>
      <c r="AL1553" s="161">
        <v>-1938.538</v>
      </c>
      <c r="AM1553" s="161">
        <v>-1938.538</v>
      </c>
      <c r="AN1553" s="161">
        <v>-1938.538</v>
      </c>
      <c r="AO1553" s="161">
        <v>-1938.538</v>
      </c>
      <c r="AP1553" s="125" t="str">
        <f>CONCATENATE(A1553,M1553)</f>
        <v>Def TaxN</v>
      </c>
      <c r="AQ1553" s="125" t="str">
        <f>CONCATENATE(AP1553,L1553,H1553)</f>
        <v>Def TaxNN3SFAS-109</v>
      </c>
      <c r="AS1553" s="125" t="str">
        <f>CONCATENATE(L1553,H1553,J1553)</f>
        <v>N3SFAS-109</v>
      </c>
    </row>
    <row r="1554" spans="1:46" s="125" customFormat="1" ht="25.5" customHeight="1">
      <c r="A1554" s="216" t="s">
        <v>1996</v>
      </c>
      <c r="B1554" s="217" t="str">
        <f t="shared" si="623"/>
        <v>Def Tax283993Hedge GainBE030307</v>
      </c>
      <c r="C1554" s="186">
        <v>283993</v>
      </c>
      <c r="D1554" s="201" t="s">
        <v>2306</v>
      </c>
      <c r="E1554" s="162" t="s">
        <v>966</v>
      </c>
      <c r="F1554" s="169" t="s">
        <v>1459</v>
      </c>
      <c r="G1554" s="117" t="s">
        <v>2305</v>
      </c>
      <c r="H1554" s="118" t="s">
        <v>1149</v>
      </c>
      <c r="I1554" s="119"/>
      <c r="J1554" s="120"/>
      <c r="K1554" s="120" t="str">
        <f t="shared" si="624"/>
        <v>SFAS-109</v>
      </c>
      <c r="L1554" s="170" t="s">
        <v>930</v>
      </c>
      <c r="M1554" s="122" t="str">
        <f t="shared" si="622"/>
        <v>N</v>
      </c>
      <c r="N1554" s="116" t="str">
        <f>IF($L1554&lt;&gt;"",VLOOKUP($L1554,Categories!$E:$G,2,FALSE),IF($F1554&lt;&gt;"","NO CAT",""))</f>
        <v>Not in Rate Base</v>
      </c>
      <c r="O1554" s="116" t="str">
        <f>IF($L1554&lt;&gt;"",VLOOKUP($L1554,Categories!$E:$G,3,FALSE),IF($F1554&lt;&gt;"","NO CAT",""))</f>
        <v>SFAS-109   (offsetting)</v>
      </c>
      <c r="P1554" s="170" t="s">
        <v>1186</v>
      </c>
      <c r="Q1554" s="123" t="s">
        <v>1187</v>
      </c>
      <c r="R1554" s="124">
        <v>0</v>
      </c>
      <c r="S1554" s="124">
        <v>0</v>
      </c>
      <c r="T1554" s="124">
        <v>1</v>
      </c>
      <c r="U1554" s="121">
        <f t="shared" si="625"/>
        <v>0</v>
      </c>
      <c r="V1554" s="121">
        <f t="shared" si="626"/>
        <v>0</v>
      </c>
      <c r="W1554" s="121">
        <f t="shared" si="627"/>
        <v>2708.2121583333301</v>
      </c>
      <c r="X1554" s="121">
        <f t="shared" si="631"/>
        <v>2708.2121583333301</v>
      </c>
      <c r="Y1554" s="121">
        <f t="shared" si="628"/>
        <v>0</v>
      </c>
      <c r="Z1554" s="121">
        <f t="shared" si="629"/>
        <v>0</v>
      </c>
      <c r="AA1554" s="121">
        <f t="shared" si="630"/>
        <v>1764.2239500000001</v>
      </c>
      <c r="AB1554" s="121">
        <f t="shared" si="632"/>
        <v>1764.2239500000003</v>
      </c>
      <c r="AC1554" s="121">
        <v>2806.79495</v>
      </c>
      <c r="AD1554" s="121">
        <v>3168.3609500000002</v>
      </c>
      <c r="AE1554" s="121">
        <v>3011.6399500000002</v>
      </c>
      <c r="AF1554" s="121">
        <v>2854.9069500000001</v>
      </c>
      <c r="AG1554" s="121">
        <v>3100.9679500000002</v>
      </c>
      <c r="AH1554" s="121">
        <v>2861.0319500000001</v>
      </c>
      <c r="AI1554" s="161">
        <v>2809.0329500000003</v>
      </c>
      <c r="AJ1554" s="161">
        <v>2446.1359500000003</v>
      </c>
      <c r="AK1554" s="161">
        <v>2586.4049500000001</v>
      </c>
      <c r="AL1554" s="161">
        <v>2578.93795</v>
      </c>
      <c r="AM1554" s="161">
        <v>2340.0119500000001</v>
      </c>
      <c r="AN1554" s="161">
        <v>2455.6049500000004</v>
      </c>
      <c r="AO1554" s="161">
        <v>1764.2239500000003</v>
      </c>
      <c r="AP1554" s="125" t="str">
        <f>CONCATENATE(A1554,M1554)</f>
        <v>Def TaxN</v>
      </c>
      <c r="AQ1554" s="125" t="str">
        <f>CONCATENATE(AP1554,L1554,H1554)</f>
        <v>Def TaxNN3SFAS-109</v>
      </c>
      <c r="AS1554" s="125" t="str">
        <f>CONCATENATE(L1554,H1554,J1554)</f>
        <v>N3SFAS-109</v>
      </c>
    </row>
    <row r="1555" spans="1:46" s="125" customFormat="1" ht="25.5" customHeight="1">
      <c r="A1555" s="216" t="s">
        <v>1996</v>
      </c>
      <c r="B1555" s="217" t="str">
        <f t="shared" si="623"/>
        <v>Def Tax2839930-283.21.98BC999998</v>
      </c>
      <c r="C1555" s="186">
        <v>283993</v>
      </c>
      <c r="D1555" s="201" t="s">
        <v>523</v>
      </c>
      <c r="E1555" s="162" t="s">
        <v>2692</v>
      </c>
      <c r="F1555" s="169" t="s">
        <v>1459</v>
      </c>
      <c r="G1555" s="117" t="s">
        <v>805</v>
      </c>
      <c r="H1555" s="118" t="s">
        <v>1149</v>
      </c>
      <c r="I1555" s="119"/>
      <c r="J1555" s="120"/>
      <c r="K1555" s="120" t="str">
        <f t="shared" si="624"/>
        <v>SFAS-109</v>
      </c>
      <c r="L1555" s="170" t="s">
        <v>930</v>
      </c>
      <c r="M1555" s="122" t="str">
        <f t="shared" si="622"/>
        <v>N</v>
      </c>
      <c r="N1555" s="116" t="str">
        <f>IF($L1555&lt;&gt;"",VLOOKUP($L1555,Categories!$E:$G,2,FALSE),IF($F1555&lt;&gt;"","NO CAT",""))</f>
        <v>Not in Rate Base</v>
      </c>
      <c r="O1555" s="116" t="str">
        <f>IF($L1555&lt;&gt;"",VLOOKUP($L1555,Categories!$E:$G,3,FALSE),IF($F1555&lt;&gt;"","NO CAT",""))</f>
        <v>SFAS-109   (offsetting)</v>
      </c>
      <c r="P1555" s="170" t="s">
        <v>1186</v>
      </c>
      <c r="Q1555" s="123" t="s">
        <v>1187</v>
      </c>
      <c r="R1555" s="124">
        <v>0</v>
      </c>
      <c r="S1555" s="124">
        <v>0</v>
      </c>
      <c r="T1555" s="124">
        <v>1</v>
      </c>
      <c r="U1555" s="121">
        <f t="shared" si="625"/>
        <v>0</v>
      </c>
      <c r="V1555" s="121">
        <f t="shared" si="626"/>
        <v>0</v>
      </c>
      <c r="W1555" s="121">
        <f t="shared" si="627"/>
        <v>-2686.4049500000001</v>
      </c>
      <c r="X1555" s="121">
        <f t="shared" si="631"/>
        <v>-2686.4049500000001</v>
      </c>
      <c r="Y1555" s="121">
        <f t="shared" si="628"/>
        <v>0</v>
      </c>
      <c r="Z1555" s="121">
        <f t="shared" si="629"/>
        <v>0</v>
      </c>
      <c r="AA1555" s="121">
        <f t="shared" si="630"/>
        <v>-2686.4049500000001</v>
      </c>
      <c r="AB1555" s="121">
        <f t="shared" si="632"/>
        <v>-2686.4049500000001</v>
      </c>
      <c r="AC1555" s="121">
        <v>-2686.4049500000001</v>
      </c>
      <c r="AD1555" s="121">
        <v>-2686.4049500000001</v>
      </c>
      <c r="AE1555" s="121">
        <v>-2686.4049500000001</v>
      </c>
      <c r="AF1555" s="121">
        <v>-2686.4049500000001</v>
      </c>
      <c r="AG1555" s="121">
        <v>-2686.4049500000001</v>
      </c>
      <c r="AH1555" s="121">
        <v>-2686.4049500000001</v>
      </c>
      <c r="AI1555" s="161">
        <v>-2686.4049500000001</v>
      </c>
      <c r="AJ1555" s="161">
        <v>-2686.4049500000001</v>
      </c>
      <c r="AK1555" s="161">
        <v>-2686.4049500000001</v>
      </c>
      <c r="AL1555" s="161">
        <v>-2686.4049500000001</v>
      </c>
      <c r="AM1555" s="161">
        <v>-2686.4049500000001</v>
      </c>
      <c r="AN1555" s="161">
        <v>-2686.4049500000001</v>
      </c>
      <c r="AO1555" s="161">
        <v>-2686.4049500000001</v>
      </c>
      <c r="AP1555" s="125" t="str">
        <f>CONCATENATE(A1555,M1555)</f>
        <v>Def TaxN</v>
      </c>
      <c r="AQ1555" s="125" t="str">
        <f>CONCATENATE(AP1555,L1555,H1555)</f>
        <v>Def TaxNN3SFAS-109</v>
      </c>
      <c r="AS1555" s="125" t="str">
        <f>CONCATENATE(L1555,H1555,J1555)</f>
        <v>N3SFAS-109</v>
      </c>
    </row>
    <row r="1556" spans="1:46" s="125" customFormat="1" ht="25.5" customHeight="1">
      <c r="A1556" s="216"/>
      <c r="B1556" s="232"/>
      <c r="C1556" s="186"/>
      <c r="D1556" s="186"/>
      <c r="E1556" s="162"/>
      <c r="F1556" s="169"/>
      <c r="G1556" s="117"/>
      <c r="H1556" s="118"/>
      <c r="I1556" s="119"/>
      <c r="J1556" s="120"/>
      <c r="K1556" s="120"/>
      <c r="L1556" s="170"/>
      <c r="M1556" s="122"/>
      <c r="N1556" s="116"/>
      <c r="O1556" s="116"/>
      <c r="P1556" s="170"/>
      <c r="Q1556" s="123"/>
      <c r="R1556" s="124"/>
      <c r="S1556" s="124"/>
      <c r="T1556" s="124"/>
      <c r="AC1556" s="161"/>
      <c r="AL1556" s="233"/>
      <c r="AQ1556" s="234"/>
    </row>
    <row r="1557" spans="1:46" s="125" customFormat="1" ht="25.5" customHeight="1">
      <c r="A1557" s="216"/>
      <c r="B1557" s="232"/>
      <c r="C1557" s="186"/>
      <c r="D1557" s="186"/>
      <c r="E1557" s="162"/>
      <c r="F1557" s="169"/>
      <c r="G1557" s="117"/>
      <c r="H1557" s="118"/>
      <c r="I1557" s="119"/>
      <c r="J1557" s="120"/>
      <c r="K1557" s="120"/>
      <c r="L1557" s="170"/>
      <c r="M1557" s="122"/>
      <c r="N1557" s="116"/>
      <c r="O1557" s="116"/>
      <c r="P1557" s="170"/>
      <c r="Q1557" s="123"/>
      <c r="R1557" s="124"/>
      <c r="S1557" s="124"/>
      <c r="T1557" s="124"/>
      <c r="AC1557" s="235">
        <f t="shared" ref="AC1557:AF1557" si="633">SUM(AC800:AC1556)</f>
        <v>-886977.08777900005</v>
      </c>
      <c r="AD1557" s="235">
        <f t="shared" si="633"/>
        <v>-888284.89382900111</v>
      </c>
      <c r="AE1557" s="235">
        <f t="shared" si="633"/>
        <v>-882452.3750189991</v>
      </c>
      <c r="AF1557" s="235">
        <f t="shared" si="633"/>
        <v>-872560.70351899962</v>
      </c>
      <c r="AG1557" s="235"/>
      <c r="AP1557" s="161"/>
      <c r="AQ1557" s="234"/>
    </row>
    <row r="1558" spans="1:46" s="125" customFormat="1" ht="25.5" customHeight="1">
      <c r="A1558" s="216"/>
      <c r="B1558" s="232"/>
      <c r="C1558" s="186"/>
      <c r="D1558" s="186"/>
      <c r="E1558" s="162"/>
      <c r="F1558" s="169"/>
      <c r="G1558" s="117"/>
      <c r="H1558" s="118"/>
      <c r="I1558" s="119"/>
      <c r="J1558" s="120"/>
      <c r="K1558" s="120"/>
      <c r="L1558" s="170"/>
      <c r="M1558" s="122"/>
      <c r="N1558" s="116"/>
      <c r="O1558" s="116"/>
      <c r="P1558" s="170"/>
      <c r="Q1558" s="123"/>
      <c r="R1558" s="124"/>
      <c r="S1558" s="124"/>
      <c r="T1558" s="124"/>
      <c r="AC1558" s="235">
        <v>-886977.08600999997</v>
      </c>
      <c r="AE1558" s="235">
        <v>-882452.37299900001</v>
      </c>
      <c r="AP1558" s="161"/>
      <c r="AQ1558" s="234"/>
    </row>
    <row r="1559" spans="1:46" s="125" customFormat="1" ht="25.5" customHeight="1">
      <c r="A1559" s="216"/>
      <c r="B1559" s="232"/>
      <c r="C1559" s="186"/>
      <c r="D1559" s="186"/>
      <c r="E1559" s="162"/>
      <c r="F1559" s="169"/>
      <c r="G1559" s="117"/>
      <c r="H1559" s="118"/>
      <c r="I1559" s="119"/>
      <c r="J1559" s="120"/>
      <c r="K1559" s="120"/>
      <c r="L1559" s="170"/>
      <c r="M1559" s="122"/>
      <c r="N1559" s="116"/>
      <c r="O1559" s="116"/>
      <c r="P1559" s="170"/>
      <c r="Q1559" s="123"/>
      <c r="R1559" s="124"/>
      <c r="S1559" s="124"/>
      <c r="T1559" s="124"/>
      <c r="AC1559" s="235" t="e">
        <f>+#REF!-#REF!</f>
        <v>#REF!</v>
      </c>
      <c r="AE1559" s="235">
        <f>+AE1557-AE1558</f>
        <v>-2.0199990831315517E-3</v>
      </c>
      <c r="AQ1559" s="234"/>
    </row>
    <row r="1560" spans="1:46" s="125" customFormat="1" ht="25.5" customHeight="1">
      <c r="A1560" s="216"/>
      <c r="B1560" s="232"/>
      <c r="C1560" s="186"/>
      <c r="D1560" s="186"/>
      <c r="E1560" s="162"/>
      <c r="F1560" s="169"/>
      <c r="G1560" s="117"/>
      <c r="H1560" s="118"/>
      <c r="I1560" s="119"/>
      <c r="J1560" s="120"/>
      <c r="K1560" s="120"/>
      <c r="L1560" s="170"/>
      <c r="M1560" s="122"/>
      <c r="N1560" s="116"/>
      <c r="O1560" s="116"/>
      <c r="P1560" s="170"/>
      <c r="Q1560" s="123"/>
      <c r="R1560" s="124"/>
      <c r="S1560" s="124"/>
      <c r="T1560" s="124"/>
      <c r="U1560" s="121"/>
      <c r="V1560" s="121"/>
      <c r="W1560" s="121"/>
      <c r="X1560" s="121"/>
      <c r="Y1560" s="121"/>
      <c r="Z1560" s="121"/>
      <c r="AA1560" s="121"/>
      <c r="AB1560" s="121"/>
      <c r="AC1560" s="161"/>
      <c r="AD1560" s="161"/>
      <c r="AE1560" s="161"/>
      <c r="AF1560" s="160"/>
      <c r="AH1560" s="235"/>
      <c r="AJ1560" s="160"/>
      <c r="AK1560" s="160"/>
      <c r="AL1560" s="160"/>
      <c r="AM1560" s="160"/>
      <c r="AN1560" s="160"/>
      <c r="AO1560" s="160"/>
      <c r="AQ1560" s="234"/>
    </row>
    <row r="1561" spans="1:46" s="125" customFormat="1" ht="25.5" customHeight="1">
      <c r="A1561" s="216"/>
      <c r="B1561" s="232"/>
      <c r="C1561" s="186"/>
      <c r="D1561" s="186"/>
      <c r="E1561" s="162"/>
      <c r="F1561" s="169"/>
      <c r="G1561" s="117"/>
      <c r="H1561" s="118"/>
      <c r="I1561" s="119"/>
      <c r="J1561" s="120"/>
      <c r="K1561" s="120"/>
      <c r="L1561" s="170"/>
      <c r="M1561" s="122"/>
      <c r="N1561" s="116"/>
      <c r="O1561" s="116"/>
      <c r="P1561" s="170"/>
      <c r="Q1561" s="123"/>
      <c r="R1561" s="124"/>
      <c r="S1561" s="124"/>
      <c r="T1561" s="124"/>
      <c r="AC1561" s="160"/>
      <c r="AD1561" s="160"/>
      <c r="AE1561" s="160"/>
      <c r="AF1561" s="160"/>
      <c r="AG1561" s="160"/>
      <c r="AH1561" s="235"/>
      <c r="AI1561" s="160"/>
      <c r="AJ1561" s="160"/>
      <c r="AK1561" s="160"/>
      <c r="AL1561" s="160"/>
      <c r="AM1561" s="160"/>
      <c r="AN1561" s="160"/>
      <c r="AO1561" s="160"/>
      <c r="AQ1561" s="234"/>
    </row>
    <row r="1562" spans="1:46" s="125" customFormat="1" ht="25.5" customHeight="1">
      <c r="A1562" s="216"/>
      <c r="B1562" s="232"/>
      <c r="C1562" s="186"/>
      <c r="D1562" s="186"/>
      <c r="E1562" s="162"/>
      <c r="F1562" s="169"/>
      <c r="G1562" s="117"/>
      <c r="H1562" s="118"/>
      <c r="I1562" s="119"/>
      <c r="J1562" s="120"/>
      <c r="K1562" s="120"/>
      <c r="L1562" s="170"/>
      <c r="M1562" s="122"/>
      <c r="N1562" s="116"/>
      <c r="O1562" s="116"/>
      <c r="P1562" s="170"/>
      <c r="Q1562" s="123"/>
      <c r="R1562" s="124"/>
      <c r="S1562" s="124"/>
      <c r="T1562" s="124"/>
      <c r="AH1562" s="235"/>
      <c r="AJ1562" s="160"/>
      <c r="AK1562" s="160"/>
      <c r="AL1562" s="160"/>
      <c r="AM1562" s="160"/>
      <c r="AN1562" s="160"/>
      <c r="AO1562" s="160"/>
      <c r="AQ1562" s="234"/>
    </row>
    <row r="1563" spans="1:46" s="125" customFormat="1" ht="25.5" customHeight="1">
      <c r="A1563" s="216"/>
      <c r="B1563" s="232"/>
      <c r="C1563" s="186"/>
      <c r="D1563" s="186"/>
      <c r="E1563" s="162"/>
      <c r="F1563" s="169"/>
      <c r="G1563" s="117"/>
      <c r="H1563" s="118"/>
      <c r="I1563" s="119"/>
      <c r="J1563" s="120"/>
      <c r="K1563" s="120"/>
      <c r="L1563" s="170"/>
      <c r="M1563" s="122"/>
      <c r="N1563" s="116"/>
      <c r="O1563" s="116"/>
      <c r="P1563" s="170"/>
      <c r="Q1563" s="123"/>
      <c r="R1563" s="124"/>
      <c r="S1563" s="124"/>
      <c r="T1563" s="124"/>
      <c r="AQ1563" s="234"/>
    </row>
    <row r="1564" spans="1:46" s="125" customFormat="1" ht="25.5" customHeight="1">
      <c r="A1564" s="216"/>
      <c r="B1564" s="232"/>
      <c r="C1564" s="186"/>
      <c r="D1564" s="186"/>
      <c r="E1564" s="162"/>
      <c r="F1564" s="169"/>
      <c r="G1564" s="117"/>
      <c r="H1564" s="118"/>
      <c r="I1564" s="119"/>
      <c r="J1564" s="120"/>
      <c r="K1564" s="120"/>
      <c r="L1564" s="170"/>
      <c r="M1564" s="122"/>
      <c r="N1564" s="116"/>
      <c r="O1564" s="116"/>
      <c r="P1564" s="170"/>
      <c r="Q1564" s="123"/>
      <c r="R1564" s="124"/>
      <c r="S1564" s="124"/>
      <c r="T1564" s="124"/>
      <c r="AQ1564" s="234"/>
    </row>
    <row r="1565" spans="1:46" s="245" customFormat="1" ht="20.100000000000001" customHeight="1">
      <c r="A1565" s="236"/>
      <c r="B1565" s="236"/>
      <c r="C1565" s="186"/>
      <c r="D1565" s="186"/>
      <c r="E1565" s="162"/>
      <c r="F1565" s="237"/>
      <c r="G1565" s="238"/>
      <c r="H1565" s="239"/>
      <c r="I1565" s="162"/>
      <c r="J1565" s="240"/>
      <c r="K1565" s="239"/>
      <c r="L1565" s="162"/>
      <c r="M1565" s="241"/>
      <c r="N1565" s="242"/>
      <c r="O1565" s="242"/>
      <c r="P1565" s="162"/>
      <c r="Q1565" s="243"/>
      <c r="R1565" s="244"/>
      <c r="S1565" s="244"/>
      <c r="T1565" s="244"/>
      <c r="AS1565" s="125" t="str">
        <f>CONCATENATE(L1565,H1565)</f>
        <v/>
      </c>
      <c r="AT1565" s="125"/>
    </row>
    <row r="1566" spans="1:46" s="330" customFormat="1" ht="12.75" customHeight="1">
      <c r="A1566" s="197"/>
      <c r="B1566" s="193" t="s">
        <v>171</v>
      </c>
      <c r="C1566" s="187"/>
      <c r="D1566" s="187"/>
      <c r="E1566" s="187"/>
      <c r="H1566" s="187"/>
      <c r="J1566" s="187"/>
      <c r="K1566" s="187"/>
      <c r="L1566" s="187"/>
      <c r="M1566" s="187"/>
      <c r="N1566" s="331"/>
      <c r="O1566" s="331"/>
      <c r="P1566" s="187"/>
      <c r="Q1566" s="331"/>
      <c r="R1566" s="187"/>
      <c r="S1566" s="187"/>
      <c r="T1566" s="187"/>
    </row>
    <row r="1567" spans="1:46" s="248" customFormat="1" ht="12.75" customHeight="1">
      <c r="A1567" s="246"/>
      <c r="B1567" s="246"/>
      <c r="C1567" s="214"/>
      <c r="D1567" s="214"/>
      <c r="E1567" s="215"/>
      <c r="F1567" s="247"/>
      <c r="H1567" s="249"/>
      <c r="J1567" s="249"/>
      <c r="K1567" s="249"/>
      <c r="L1567" s="215"/>
      <c r="M1567" s="249"/>
      <c r="N1567" s="250"/>
      <c r="O1567" s="250"/>
      <c r="P1567" s="215"/>
      <c r="Q1567" s="251"/>
      <c r="R1567" s="249"/>
      <c r="S1567" s="249"/>
      <c r="T1567" s="249"/>
      <c r="AT1567" s="125"/>
    </row>
    <row r="1568" spans="1:46" s="248" customFormat="1" ht="12.75" customHeight="1">
      <c r="A1568" s="246"/>
      <c r="B1568" s="246"/>
      <c r="C1568" s="214"/>
      <c r="D1568" s="214"/>
      <c r="E1568" s="215"/>
      <c r="F1568" s="247"/>
      <c r="H1568" s="249"/>
      <c r="J1568" s="249"/>
      <c r="K1568" s="249"/>
      <c r="L1568" s="215"/>
      <c r="M1568" s="249"/>
      <c r="N1568" s="250"/>
      <c r="O1568" s="250"/>
      <c r="P1568" s="215"/>
      <c r="Q1568" s="251"/>
      <c r="R1568" s="249"/>
      <c r="S1568" s="249"/>
      <c r="T1568" s="249"/>
      <c r="AT1568" s="125"/>
    </row>
    <row r="1569" spans="1:46" s="248" customFormat="1" ht="12.75" customHeight="1">
      <c r="A1569" s="246"/>
      <c r="B1569" s="246"/>
      <c r="C1569" s="214"/>
      <c r="D1569" s="214"/>
      <c r="E1569" s="215"/>
      <c r="F1569" s="247"/>
      <c r="H1569" s="249"/>
      <c r="J1569" s="249"/>
      <c r="K1569" s="249"/>
      <c r="L1569" s="215"/>
      <c r="M1569" s="249"/>
      <c r="N1569" s="250"/>
      <c r="O1569" s="250"/>
      <c r="P1569" s="215"/>
      <c r="Q1569" s="251"/>
      <c r="R1569" s="249"/>
      <c r="S1569" s="249"/>
      <c r="T1569" s="249"/>
      <c r="AT1569" s="125"/>
    </row>
    <row r="1570" spans="1:46" s="248" customFormat="1" ht="12.75" customHeight="1">
      <c r="A1570" s="252"/>
      <c r="B1570" s="252" t="s">
        <v>2210</v>
      </c>
      <c r="C1570" s="214"/>
      <c r="D1570" s="214"/>
      <c r="E1570" s="215"/>
      <c r="F1570" s="215"/>
      <c r="H1570" s="249"/>
      <c r="I1570" s="253"/>
      <c r="J1570" s="253"/>
      <c r="K1570" s="249"/>
      <c r="L1570" s="215"/>
      <c r="M1570" s="249"/>
      <c r="N1570" s="254"/>
      <c r="O1570" s="254"/>
      <c r="P1570" s="215"/>
      <c r="Q1570" s="255"/>
      <c r="R1570" s="249"/>
      <c r="S1570" s="249"/>
      <c r="T1570" s="249"/>
      <c r="U1570" s="106"/>
      <c r="V1570" s="106"/>
      <c r="W1570" s="106"/>
      <c r="X1570" s="106"/>
      <c r="Y1570" s="106"/>
      <c r="Z1570" s="106"/>
      <c r="AA1570" s="106"/>
      <c r="AB1570" s="106"/>
      <c r="AC1570" s="106"/>
      <c r="AD1570" s="106"/>
      <c r="AE1570" s="106"/>
      <c r="AF1570" s="106"/>
      <c r="AG1570" s="106"/>
      <c r="AH1570" s="106"/>
      <c r="AI1570" s="106"/>
      <c r="AJ1570" s="106"/>
      <c r="AK1570" s="106"/>
      <c r="AL1570" s="106"/>
      <c r="AM1570" s="106"/>
      <c r="AN1570" s="106"/>
      <c r="AO1570" s="106"/>
    </row>
    <row r="1571" spans="1:46" s="248" customFormat="1" ht="12.75" customHeight="1">
      <c r="A1571" s="246"/>
      <c r="B1571" s="246"/>
      <c r="C1571" s="256" t="s">
        <v>2493</v>
      </c>
      <c r="D1571" s="256" t="s">
        <v>1927</v>
      </c>
      <c r="E1571" s="247"/>
      <c r="F1571" s="247"/>
      <c r="G1571" s="248" t="s">
        <v>3003</v>
      </c>
      <c r="H1571" s="249"/>
      <c r="I1571" s="253"/>
      <c r="J1571" s="253"/>
      <c r="K1571" s="249"/>
      <c r="L1571" s="215"/>
      <c r="M1571" s="249"/>
      <c r="N1571" s="254"/>
      <c r="O1571" s="254"/>
      <c r="P1571" s="215"/>
      <c r="Q1571" s="255"/>
      <c r="R1571" s="249"/>
      <c r="S1571" s="249"/>
      <c r="T1571" s="249"/>
      <c r="U1571" s="106">
        <f>SUMIF($AP:$AP,$C1571&amp;+$D1571,U:U)</f>
        <v>43505.056614154419</v>
      </c>
      <c r="V1571" s="106">
        <f>SUMIF($AP:$AP,$C1571&amp;+$D1571,V:V)</f>
        <v>12598.392842512365</v>
      </c>
      <c r="W1571" s="106">
        <f>SUMIF($AP:$AP,$C1571&amp;+$D1571,W:W)</f>
        <v>0</v>
      </c>
      <c r="X1571" s="106">
        <f>SUMIF($AP:$AP,$C1571&amp;+$D1571,X:X)</f>
        <v>56103.449456667164</v>
      </c>
      <c r="Y1571" s="106">
        <f>SUMIF($AP:$AP,$C1571&amp;+$D1571,Y:Y)</f>
        <v>42375.22367603529</v>
      </c>
      <c r="Z1571" s="106">
        <f>SUMIF($AP:$AP,$C1571&amp;+$D1571,Z:Z)</f>
        <v>12271.210663965214</v>
      </c>
      <c r="AA1571" s="106">
        <f>SUMIF($AP:$AP,$C1571&amp;+$D1571,AA:AA)</f>
        <v>0</v>
      </c>
      <c r="AB1571" s="106">
        <f>SUMIF($AP:$AP,$C1571&amp;+$D1571,AB:AB)</f>
        <v>54646.434340000029</v>
      </c>
      <c r="AC1571" s="106">
        <f>SUMIF($AP:$AP,$C1571&amp;+$D1571,AC:AC)</f>
        <v>-13107.723500000051</v>
      </c>
      <c r="AD1571" s="106">
        <f>SUMIF($AP:$AP,$C1571&amp;+$D1571,AD:AD)</f>
        <v>84399.628279999946</v>
      </c>
      <c r="AE1571" s="106">
        <f>SUMIF($AP:$AP,$C1571&amp;+$D1571,AE:AE)</f>
        <v>67381.174299999999</v>
      </c>
      <c r="AF1571" s="106">
        <f>SUMIF($AP:$AP,$C1571&amp;+$D1571,AF:AF)</f>
        <v>101989.79438999995</v>
      </c>
      <c r="AG1571" s="106">
        <f>SUMIF($AP:$AP,$C1571&amp;+$D1571,AG:AG)</f>
        <v>53972.342940000082</v>
      </c>
      <c r="AH1571" s="106">
        <f>SUMIF($AP:$AP,$C1571&amp;+$D1571,AH:AH)</f>
        <v>53204.826140000085</v>
      </c>
      <c r="AI1571" s="106">
        <f>SUMIF($AP:$AP,$C1571&amp;+$D1571,AI:AI)</f>
        <v>40579.97914999997</v>
      </c>
      <c r="AJ1571" s="106">
        <f>SUMIF($AP:$AP,$C1571&amp;+$D1571,AJ:AJ)</f>
        <v>34632.458950000015</v>
      </c>
      <c r="AK1571" s="106">
        <f>SUMIF($AP:$AP,$C1571&amp;+$D1571,AK:AK)</f>
        <v>25826.854850000011</v>
      </c>
      <c r="AL1571" s="106">
        <f>SUMIF($AP:$AP,$C1571&amp;+$D1571,AL:AL)</f>
        <v>38362.021810000006</v>
      </c>
      <c r="AM1571" s="106">
        <f>SUMIF($AP:$AP,$C1571&amp;+$D1571,AM:AM)</f>
        <v>74173.736090000049</v>
      </c>
      <c r="AN1571" s="106">
        <f>SUMIF($AP:$AP,$C1571&amp;+$D1571,AN:AN)</f>
        <v>77949.221159999972</v>
      </c>
      <c r="AO1571" s="106">
        <f>SUMIF($AP:$AP,$C1571&amp;+$D1571,AO:AO)</f>
        <v>54646.434340000029</v>
      </c>
    </row>
    <row r="1572" spans="1:46" s="248" customFormat="1" ht="12.75" customHeight="1">
      <c r="A1572" s="246"/>
      <c r="B1572" s="246"/>
      <c r="C1572" s="256" t="s">
        <v>2493</v>
      </c>
      <c r="D1572" s="256" t="s">
        <v>1182</v>
      </c>
      <c r="E1572" s="247"/>
      <c r="F1572" s="247"/>
      <c r="G1572" s="248" t="s">
        <v>1422</v>
      </c>
      <c r="H1572" s="249"/>
      <c r="I1572" s="253"/>
      <c r="J1572" s="253"/>
      <c r="K1572" s="249"/>
      <c r="L1572" s="215"/>
      <c r="M1572" s="249"/>
      <c r="N1572" s="254"/>
      <c r="O1572" s="254"/>
      <c r="P1572" s="215"/>
      <c r="Q1572" s="255"/>
      <c r="R1572" s="249"/>
      <c r="S1572" s="249"/>
      <c r="T1572" s="249"/>
      <c r="U1572" s="106">
        <f>SUMIF($AP:$AP,$C1572&amp;+$D1572,U:U)</f>
        <v>0</v>
      </c>
      <c r="V1572" s="106">
        <f>SUMIF($AP:$AP,$C1572&amp;+$D1572,V:V)</f>
        <v>0</v>
      </c>
      <c r="W1572" s="106">
        <f>SUMIF($AP:$AP,$C1572&amp;+$D1572,W:W)</f>
        <v>-2359762.9808766665</v>
      </c>
      <c r="X1572" s="106">
        <f>SUMIF($AP:$AP,$C1572&amp;+$D1572,X:X)</f>
        <v>-2359762.9808766665</v>
      </c>
      <c r="Y1572" s="106">
        <f>SUMIF($AP:$AP,$C1572&amp;+$D1572,Y:Y)</f>
        <v>0</v>
      </c>
      <c r="Z1572" s="106">
        <f>SUMIF($AP:$AP,$C1572&amp;+$D1572,Z:Z)</f>
        <v>0</v>
      </c>
      <c r="AA1572" s="106">
        <f>SUMIF($AP:$AP,$C1572&amp;+$D1572,AA:AA)</f>
        <v>-2451421.3422300001</v>
      </c>
      <c r="AB1572" s="106">
        <f>SUMIF($AP:$AP,$C1572&amp;+$D1572,AB:AB)</f>
        <v>-2451421.3422299996</v>
      </c>
      <c r="AC1572" s="106">
        <f>SUMIF($AP:$AP,$C1572&amp;+$D1572,AC:AC)</f>
        <v>-2252804.6538499999</v>
      </c>
      <c r="AD1572" s="106">
        <f>SUMIF($AP:$AP,$C1572&amp;+$D1572,AD:AD)</f>
        <v>-2366760.5031600003</v>
      </c>
      <c r="AE1572" s="106">
        <f>SUMIF($AP:$AP,$C1572&amp;+$D1572,AE:AE)</f>
        <v>-2329287.2766199997</v>
      </c>
      <c r="AF1572" s="106">
        <f>SUMIF($AP:$AP,$C1572&amp;+$D1572,AF:AF)</f>
        <v>-2363247.8197400002</v>
      </c>
      <c r="AG1572" s="106">
        <f>SUMIF($AP:$AP,$C1572&amp;+$D1572,AG:AG)</f>
        <v>-2318924.8527499996</v>
      </c>
      <c r="AH1572" s="106">
        <f>SUMIF($AP:$AP,$C1572&amp;+$D1572,AH:AH)</f>
        <v>-2319392.7725499999</v>
      </c>
      <c r="AI1572" s="106">
        <f>SUMIF($AP:$AP,$C1572&amp;+$D1572,AI:AI)</f>
        <v>-2327642.3368499996</v>
      </c>
      <c r="AJ1572" s="106">
        <f>SUMIF($AP:$AP,$C1572&amp;+$D1572,AJ:AJ)</f>
        <v>-2349690.5764700002</v>
      </c>
      <c r="AK1572" s="106">
        <f>SUMIF($AP:$AP,$C1572&amp;+$D1572,AK:AK)</f>
        <v>-2329508.7887800005</v>
      </c>
      <c r="AL1572" s="106">
        <f>SUMIF($AP:$AP,$C1572&amp;+$D1572,AL:AL)</f>
        <v>-2395082.1909800004</v>
      </c>
      <c r="AM1572" s="106">
        <f>SUMIF($AP:$AP,$C1572&amp;+$D1572,AM:AM)</f>
        <v>-2430418.9229300003</v>
      </c>
      <c r="AN1572" s="106">
        <f>SUMIF($AP:$AP,$C1572&amp;+$D1572,AN:AN)</f>
        <v>-2435086.73165</v>
      </c>
      <c r="AO1572" s="106">
        <f>SUMIF($AP:$AP,$C1572&amp;+$D1572,AO:AO)</f>
        <v>-2451421.3422299996</v>
      </c>
    </row>
    <row r="1573" spans="1:46" s="248" customFormat="1" ht="12.75" customHeight="1">
      <c r="A1573" s="246"/>
      <c r="B1573" s="246"/>
      <c r="C1573" s="256" t="s">
        <v>2493</v>
      </c>
      <c r="D1573" s="256" t="s">
        <v>228</v>
      </c>
      <c r="E1573" s="247"/>
      <c r="F1573" s="247"/>
      <c r="G1573" s="248" t="s">
        <v>1891</v>
      </c>
      <c r="H1573" s="249"/>
      <c r="I1573" s="253"/>
      <c r="J1573" s="253"/>
      <c r="K1573" s="249"/>
      <c r="L1573" s="215"/>
      <c r="M1573" s="249"/>
      <c r="N1573" s="254"/>
      <c r="O1573" s="254"/>
      <c r="P1573" s="215"/>
      <c r="Q1573" s="255"/>
      <c r="R1573" s="249"/>
      <c r="S1573" s="249"/>
      <c r="T1573" s="249"/>
      <c r="U1573" s="106">
        <f>SUMIF($AP:$AP,$C1573&amp;+$D1573,U:U)</f>
        <v>1825802.0659047021</v>
      </c>
      <c r="V1573" s="106">
        <f>SUMIF($AP:$AP,$C1573&amp;+$D1573,V:V)</f>
        <v>574772.46582029562</v>
      </c>
      <c r="W1573" s="106">
        <f>SUMIF($AP:$AP,$C1573&amp;+$D1573,W:W)</f>
        <v>-248.70714583333299</v>
      </c>
      <c r="X1573" s="106">
        <f>SUMIF($AP:$AP,$C1573&amp;+$D1573,X:X)</f>
        <v>2400325.8245791621</v>
      </c>
      <c r="Y1573" s="106">
        <f>SUMIF($AP:$AP,$C1573&amp;+$D1573,Y:Y)</f>
        <v>1678417.887054017</v>
      </c>
      <c r="Z1573" s="106">
        <f>SUMIF($AP:$AP,$C1573&amp;+$D1573,Z:Z)</f>
        <v>589633.72585598379</v>
      </c>
      <c r="AA1573" s="106">
        <f>SUMIF($AP:$AP,$C1573&amp;+$D1573,AA:AA)</f>
        <v>0</v>
      </c>
      <c r="AB1573" s="106">
        <f>SUMIF($AP:$AP,$C1573&amp;+$D1573,AB:AB)</f>
        <v>2268051.6129100015</v>
      </c>
      <c r="AC1573" s="106">
        <f>SUMIF($AP:$AP,$C1573&amp;+$D1573,AC:AC)</f>
        <v>2345694.6398500018</v>
      </c>
      <c r="AD1573" s="106">
        <f>SUMIF($AP:$AP,$C1573&amp;+$D1573,AD:AD)</f>
        <v>2357429.0702300007</v>
      </c>
      <c r="AE1573" s="106">
        <f>SUMIF($AP:$AP,$C1573&amp;+$D1573,AE:AE)</f>
        <v>2345849.3788400008</v>
      </c>
      <c r="AF1573" s="106">
        <f>SUMIF($AP:$AP,$C1573&amp;+$D1573,AF:AF)</f>
        <v>2355773.6414300031</v>
      </c>
      <c r="AG1573" s="106">
        <f>SUMIF($AP:$AP,$C1573&amp;+$D1573,AG:AG)</f>
        <v>2360709.9215500001</v>
      </c>
      <c r="AH1573" s="106">
        <f>SUMIF($AP:$AP,$C1573&amp;+$D1573,AH:AH)</f>
        <v>2363263.5324599994</v>
      </c>
      <c r="AI1573" s="106">
        <f>SUMIF($AP:$AP,$C1573&amp;+$D1573,AI:AI)</f>
        <v>2375008.5852900008</v>
      </c>
      <c r="AJ1573" s="106">
        <f>SUMIF($AP:$AP,$C1573&amp;+$D1573,AJ:AJ)</f>
        <v>2405834.1169100008</v>
      </c>
      <c r="AK1573" s="106">
        <f>SUMIF($AP:$AP,$C1573&amp;+$D1573,AK:AK)</f>
        <v>2418044.8103000019</v>
      </c>
      <c r="AL1573" s="106">
        <f>SUMIF($AP:$AP,$C1573&amp;+$D1573,AL:AL)</f>
        <v>2485109.4778000009</v>
      </c>
      <c r="AM1573" s="106">
        <f>SUMIF($AP:$AP,$C1573&amp;+$D1573,AM:AM)</f>
        <v>2506520.6245500012</v>
      </c>
      <c r="AN1573" s="106">
        <f>SUMIF($AP:$AP,$C1573&amp;+$D1573,AN:AN)</f>
        <v>2523493.6092099994</v>
      </c>
      <c r="AO1573" s="106">
        <f>SUMIF($AP:$AP,$C1573&amp;+$D1573,AO:AO)</f>
        <v>2268051.6129100015</v>
      </c>
    </row>
    <row r="1574" spans="1:46" s="248" customFormat="1" ht="12.75" customHeight="1">
      <c r="A1574" s="246"/>
      <c r="B1574" s="246"/>
      <c r="C1574" s="256" t="s">
        <v>2493</v>
      </c>
      <c r="D1574" s="256" t="s">
        <v>1186</v>
      </c>
      <c r="E1574" s="247"/>
      <c r="F1574" s="247"/>
      <c r="G1574" s="248" t="s">
        <v>1417</v>
      </c>
      <c r="H1574" s="249"/>
      <c r="I1574" s="253"/>
      <c r="J1574" s="253"/>
      <c r="K1574" s="249"/>
      <c r="L1574" s="215"/>
      <c r="M1574" s="249"/>
      <c r="N1574" s="254"/>
      <c r="O1574" s="254"/>
      <c r="P1574" s="215"/>
      <c r="Q1574" s="255"/>
      <c r="R1574" s="249"/>
      <c r="S1574" s="249"/>
      <c r="T1574" s="249"/>
      <c r="U1574" s="106">
        <f>SUMIF($AP:$AP,$C1574&amp;+$D1574,U:U)</f>
        <v>0</v>
      </c>
      <c r="V1574" s="106">
        <f>SUMIF($AP:$AP,$C1574&amp;+$D1574,V:V)</f>
        <v>0</v>
      </c>
      <c r="W1574" s="106">
        <f>SUMIF($AP:$AP,$C1574&amp;+$D1574,W:W)</f>
        <v>4297.0661470836112</v>
      </c>
      <c r="X1574" s="106">
        <f>SUMIF($AP:$AP,$C1574&amp;+$D1574,X:X)</f>
        <v>4297.0661470836112</v>
      </c>
      <c r="Y1574" s="106">
        <f>SUMIF($AP:$AP,$C1574&amp;+$D1574,Y:Y)</f>
        <v>0</v>
      </c>
      <c r="Z1574" s="106">
        <f>SUMIF($AP:$AP,$C1574&amp;+$D1574,Z:Z)</f>
        <v>0</v>
      </c>
      <c r="AA1574" s="106">
        <f>SUMIF($AP:$AP,$C1574&amp;+$D1574,AA:AA)</f>
        <v>-34552.567770000132</v>
      </c>
      <c r="AB1574" s="106">
        <f>SUMIF($AP:$AP,$C1574&amp;+$D1574,AB:AB)</f>
        <v>-34552.567769999958</v>
      </c>
      <c r="AC1574" s="106">
        <f>SUMIF($AP:$AP,$C1574&amp;+$D1574,AC:AC)</f>
        <v>-6926.0620999999774</v>
      </c>
      <c r="AD1574" s="106">
        <f>SUMIF($AP:$AP,$C1574&amp;+$D1574,AD:AD)</f>
        <v>7169.6778299999969</v>
      </c>
      <c r="AE1574" s="106">
        <f>SUMIF($AP:$AP,$C1574&amp;+$D1574,AE:AE)</f>
        <v>9088.3401500000073</v>
      </c>
      <c r="AF1574" s="106">
        <f>SUMIF($AP:$AP,$C1574&amp;+$D1574,AF:AF)</f>
        <v>10540.195260000046</v>
      </c>
      <c r="AG1574" s="106">
        <f>SUMIF($AP:$AP,$C1574&amp;+$D1574,AG:AG)</f>
        <v>23283.329999999984</v>
      </c>
      <c r="AH1574" s="106">
        <f>SUMIF($AP:$AP,$C1574&amp;+$D1574,AH:AH)</f>
        <v>16205.94767999999</v>
      </c>
      <c r="AI1574" s="106">
        <f>SUMIF($AP:$AP,$C1574&amp;+$D1574,AI:AI)</f>
        <v>13119.281679999985</v>
      </c>
      <c r="AJ1574" s="106">
        <f>SUMIF($AP:$AP,$C1574&amp;+$D1574,AJ:AJ)</f>
        <v>-14492.900950000016</v>
      </c>
      <c r="AK1574" s="106">
        <f>SUMIF($AP:$AP,$C1574&amp;+$D1574,AK:AK)</f>
        <v>-5925.7563900000123</v>
      </c>
      <c r="AL1574" s="106">
        <f>SUMIF($AP:$AP,$C1574&amp;+$D1574,AL:AL)</f>
        <v>5192.4712800000007</v>
      </c>
      <c r="AM1574" s="106">
        <f>SUMIF($AP:$AP,$C1574&amp;+$D1574,AM:AM)</f>
        <v>2595.9449700000087</v>
      </c>
      <c r="AN1574" s="106">
        <f>SUMIF($AP:$AP,$C1574&amp;+$D1574,AN:AN)</f>
        <v>5527.5771899999836</v>
      </c>
      <c r="AO1574" s="106">
        <f>SUMIF($AP:$AP,$C1574&amp;+$D1574,AO:AO)</f>
        <v>-34552.567769999958</v>
      </c>
    </row>
    <row r="1575" spans="1:46" s="248" customFormat="1" ht="12.75" customHeight="1">
      <c r="A1575" s="246"/>
      <c r="B1575" s="246"/>
      <c r="C1575" s="256" t="s">
        <v>2493</v>
      </c>
      <c r="D1575" s="256" t="s">
        <v>1171</v>
      </c>
      <c r="E1575" s="247"/>
      <c r="F1575" s="247"/>
      <c r="G1575" s="248" t="s">
        <v>2502</v>
      </c>
      <c r="H1575" s="249"/>
      <c r="I1575" s="253"/>
      <c r="J1575" s="253"/>
      <c r="K1575" s="249"/>
      <c r="L1575" s="215"/>
      <c r="M1575" s="249"/>
      <c r="N1575" s="254"/>
      <c r="O1575" s="254"/>
      <c r="P1575" s="215"/>
      <c r="Q1575" s="255"/>
      <c r="R1575" s="249"/>
      <c r="S1575" s="249"/>
      <c r="T1575" s="249"/>
      <c r="U1575" s="106">
        <f>SUMIF($AP:$AP,$C1575&amp;+$D1575,U:U)</f>
        <v>0</v>
      </c>
      <c r="V1575" s="106">
        <f>SUMIF($AP:$AP,$C1575&amp;+$D1575,V:V)</f>
        <v>0</v>
      </c>
      <c r="W1575" s="106">
        <f>SUMIF($AP:$AP,$C1575&amp;+$D1575,W:W)</f>
        <v>770078.2511616667</v>
      </c>
      <c r="X1575" s="106">
        <f>SUMIF($AP:$AP,$C1575&amp;+$D1575,X:X)</f>
        <v>770078.2511616667</v>
      </c>
      <c r="Y1575" s="106">
        <f>SUMIF($AP:$AP,$C1575&amp;+$D1575,Y:Y)</f>
        <v>0</v>
      </c>
      <c r="Z1575" s="106">
        <f>SUMIF($AP:$AP,$C1575&amp;+$D1575,Z:Z)</f>
        <v>0</v>
      </c>
      <c r="AA1575" s="106">
        <f>SUMIF($AP:$AP,$C1575&amp;+$D1575,AA:AA)</f>
        <v>1049651.1285599996</v>
      </c>
      <c r="AB1575" s="106">
        <f>SUMIF($AP:$AP,$C1575&amp;+$D1575,AB:AB)</f>
        <v>1049651.1285599996</v>
      </c>
      <c r="AC1575" s="106">
        <f>SUMIF($AP:$AP,$C1575&amp;+$D1575,AC:AC)</f>
        <v>814120.88558000012</v>
      </c>
      <c r="AD1575" s="106">
        <f>SUMIF($AP:$AP,$C1575&amp;+$D1575,AD:AD)</f>
        <v>806047.93008999957</v>
      </c>
      <c r="AE1575" s="106">
        <f>SUMIF($AP:$AP,$C1575&amp;+$D1575,AE:AE)</f>
        <v>789420.75630000012</v>
      </c>
      <c r="AF1575" s="106">
        <f>SUMIF($AP:$AP,$C1575&amp;+$D1575,AF:AF)</f>
        <v>767504.90563000005</v>
      </c>
      <c r="AG1575" s="106">
        <f>SUMIF($AP:$AP,$C1575&amp;+$D1575,AG:AG)</f>
        <v>748459.54578999989</v>
      </c>
      <c r="AH1575" s="106">
        <f>SUMIF($AP:$AP,$C1575&amp;+$D1575,AH:AH)</f>
        <v>751727.65584999986</v>
      </c>
      <c r="AI1575" s="106">
        <f>SUMIF($AP:$AP,$C1575&amp;+$D1575,AI:AI)</f>
        <v>749356.36709000007</v>
      </c>
      <c r="AJ1575" s="106">
        <f>SUMIF($AP:$AP,$C1575&amp;+$D1575,AJ:AJ)</f>
        <v>785936.15782999981</v>
      </c>
      <c r="AK1575" s="106">
        <f>SUMIF($AP:$AP,$C1575&amp;+$D1575,AK:AK)</f>
        <v>743625.24514999997</v>
      </c>
      <c r="AL1575" s="106">
        <f>SUMIF($AP:$AP,$C1575&amp;+$D1575,AL:AL)</f>
        <v>726602.32795000006</v>
      </c>
      <c r="AM1575" s="106">
        <f>SUMIF($AP:$AP,$C1575&amp;+$D1575,AM:AM)</f>
        <v>732641.33889999997</v>
      </c>
      <c r="AN1575" s="106">
        <f>SUMIF($AP:$AP,$C1575&amp;+$D1575,AN:AN)</f>
        <v>707730.77628999983</v>
      </c>
      <c r="AO1575" s="106">
        <f>SUMIF($AP:$AP,$C1575&amp;+$D1575,AO:AO)</f>
        <v>1049651.1285599996</v>
      </c>
    </row>
    <row r="1576" spans="1:46" s="262" customFormat="1" ht="12.75" customHeight="1">
      <c r="A1576" s="246"/>
      <c r="B1576" s="246"/>
      <c r="C1576" s="256" t="s">
        <v>2493</v>
      </c>
      <c r="D1576" s="256" t="s">
        <v>1174</v>
      </c>
      <c r="E1576" s="247"/>
      <c r="F1576" s="247"/>
      <c r="G1576" s="248" t="s">
        <v>2503</v>
      </c>
      <c r="H1576" s="249"/>
      <c r="I1576" s="253"/>
      <c r="J1576" s="253"/>
      <c r="K1576" s="249"/>
      <c r="L1576" s="257"/>
      <c r="M1576" s="258"/>
      <c r="N1576" s="259"/>
      <c r="O1576" s="259"/>
      <c r="P1576" s="257"/>
      <c r="Q1576" s="260"/>
      <c r="R1576" s="258"/>
      <c r="S1576" s="258"/>
      <c r="T1576" s="258"/>
      <c r="U1576" s="261">
        <f>SUMIF($AP:$AP,$C1576&amp;+$D1576,U:U)</f>
        <v>0</v>
      </c>
      <c r="V1576" s="261">
        <f>SUMIF($AP:$AP,$C1576&amp;+$D1576,V:V)</f>
        <v>0</v>
      </c>
      <c r="W1576" s="261">
        <f>SUMIF($AP:$AP,$C1576&amp;+$D1576,W:W)</f>
        <v>-871041.61749666638</v>
      </c>
      <c r="X1576" s="261">
        <f>SUMIF($AP:$AP,$C1576&amp;+$D1576,X:X)</f>
        <v>-871041.61749666638</v>
      </c>
      <c r="Y1576" s="261">
        <f>SUMIF($AP:$AP,$C1576&amp;+$D1576,Y:Y)</f>
        <v>0</v>
      </c>
      <c r="Z1576" s="261">
        <f>SUMIF($AP:$AP,$C1576&amp;+$D1576,Z:Z)</f>
        <v>0</v>
      </c>
      <c r="AA1576" s="261">
        <f>SUMIF($AP:$AP,$C1576&amp;+$D1576,AA:AA)</f>
        <v>-886375.26580999931</v>
      </c>
      <c r="AB1576" s="261">
        <f>SUMIF($AP:$AP,$C1576&amp;+$D1576,AB:AB)</f>
        <v>-886375.26580999931</v>
      </c>
      <c r="AC1576" s="261">
        <f>SUMIF($AP:$AP,$C1576&amp;+$D1576,AC:AC)</f>
        <v>-886977.08601000009</v>
      </c>
      <c r="AD1576" s="261">
        <f>SUMIF($AP:$AP,$C1576&amp;+$D1576,AD:AD)</f>
        <v>-888285.88730000029</v>
      </c>
      <c r="AE1576" s="261">
        <f>SUMIF($AP:$AP,$C1576&amp;+$D1576,AE:AE)</f>
        <v>-882452.37300000014</v>
      </c>
      <c r="AF1576" s="261">
        <f>SUMIF($AP:$AP,$C1576&amp;+$D1576,AF:AF)</f>
        <v>-872560.71699999971</v>
      </c>
      <c r="AG1576" s="261">
        <f>SUMIF($AP:$AP,$C1576&amp;+$D1576,AG:AG)</f>
        <v>-867500.28756000008</v>
      </c>
      <c r="AH1576" s="261">
        <f>SUMIF($AP:$AP,$C1576&amp;+$D1576,AH:AH)</f>
        <v>-865009.18961</v>
      </c>
      <c r="AI1576" s="261">
        <f>SUMIF($AP:$AP,$C1576&amp;+$D1576,AI:AI)</f>
        <v>-850421.87638999987</v>
      </c>
      <c r="AJ1576" s="261">
        <f>SUMIF($AP:$AP,$C1576&amp;+$D1576,AJ:AJ)</f>
        <v>-862219.25630000024</v>
      </c>
      <c r="AK1576" s="261">
        <f>SUMIF($AP:$AP,$C1576&amp;+$D1576,AK:AK)</f>
        <v>-852062.36516000028</v>
      </c>
      <c r="AL1576" s="261">
        <f>SUMIF($AP:$AP,$C1576&amp;+$D1576,AL:AL)</f>
        <v>-860184.10788999998</v>
      </c>
      <c r="AM1576" s="261">
        <f>SUMIF($AP:$AP,$C1576&amp;+$D1576,AM:AM)</f>
        <v>-885512.72160999977</v>
      </c>
      <c r="AN1576" s="261">
        <f>SUMIF($AP:$AP,$C1576&amp;+$D1576,AN:AN)</f>
        <v>-879614.4522300004</v>
      </c>
      <c r="AO1576" s="261">
        <f>SUMIF($AP:$AP,$C1576&amp;+$D1576,AO:AO)</f>
        <v>-886375.26580999931</v>
      </c>
      <c r="AS1576" s="248"/>
    </row>
    <row r="1577" spans="1:46" s="248" customFormat="1" ht="12.75" customHeight="1">
      <c r="A1577" s="246"/>
      <c r="B1577" s="246"/>
      <c r="C1577" s="256"/>
      <c r="D1577" s="256"/>
      <c r="E1577" s="247"/>
      <c r="F1577" s="247"/>
      <c r="H1577" s="249"/>
      <c r="I1577" s="253"/>
      <c r="J1577" s="253"/>
      <c r="K1577" s="249"/>
      <c r="L1577" s="215"/>
      <c r="M1577" s="249"/>
      <c r="N1577" s="254"/>
      <c r="O1577" s="254"/>
      <c r="P1577" s="215"/>
      <c r="Q1577" s="255"/>
      <c r="R1577" s="249"/>
      <c r="S1577" s="249"/>
      <c r="T1577" s="249"/>
      <c r="U1577" s="106"/>
      <c r="V1577" s="106"/>
      <c r="W1577" s="106"/>
      <c r="X1577" s="106"/>
      <c r="Y1577" s="106"/>
      <c r="Z1577" s="106"/>
      <c r="AA1577" s="106"/>
      <c r="AB1577" s="106"/>
      <c r="AC1577" s="106"/>
      <c r="AD1577" s="106"/>
      <c r="AE1577" s="106"/>
      <c r="AF1577" s="106"/>
      <c r="AG1577" s="106"/>
      <c r="AH1577" s="106"/>
      <c r="AI1577" s="106"/>
      <c r="AJ1577" s="106"/>
      <c r="AK1577" s="106"/>
      <c r="AL1577" s="106"/>
      <c r="AM1577" s="106"/>
      <c r="AN1577" s="106"/>
      <c r="AO1577" s="106"/>
    </row>
    <row r="1578" spans="1:46" s="264" customFormat="1" ht="12.75" customHeight="1">
      <c r="A1578" s="246"/>
      <c r="B1578" s="246"/>
      <c r="C1578" s="256" t="s">
        <v>1179</v>
      </c>
      <c r="D1578" s="214"/>
      <c r="E1578" s="215"/>
      <c r="F1578" s="215"/>
      <c r="G1578" s="248"/>
      <c r="H1578" s="249"/>
      <c r="I1578" s="253"/>
      <c r="J1578" s="253"/>
      <c r="K1578" s="249"/>
      <c r="L1578" s="215"/>
      <c r="M1578" s="249"/>
      <c r="N1578" s="254"/>
      <c r="O1578" s="254"/>
      <c r="P1578" s="215"/>
      <c r="Q1578" s="255"/>
      <c r="R1578" s="249"/>
      <c r="S1578" s="249"/>
      <c r="T1578" s="249"/>
      <c r="U1578" s="263">
        <f t="shared" ref="U1578:AB1578" si="634">SUM(U1570:U1577)</f>
        <v>1869307.1225188565</v>
      </c>
      <c r="V1578" s="263">
        <f t="shared" si="634"/>
        <v>587370.85866280796</v>
      </c>
      <c r="W1578" s="263">
        <f t="shared" si="634"/>
        <v>-2456677.9882104164</v>
      </c>
      <c r="X1578" s="263">
        <f t="shared" si="634"/>
        <v>-7.0287534035742283E-3</v>
      </c>
      <c r="Y1578" s="263">
        <f t="shared" si="634"/>
        <v>1720793.1107300522</v>
      </c>
      <c r="Z1578" s="263">
        <f t="shared" si="634"/>
        <v>601904.936519949</v>
      </c>
      <c r="AA1578" s="263">
        <f t="shared" si="634"/>
        <v>-2322698.0472499998</v>
      </c>
      <c r="AB1578" s="263">
        <f t="shared" si="634"/>
        <v>2.4447217583656311E-9</v>
      </c>
      <c r="AC1578" s="263">
        <f t="shared" ref="AC1578:AO1578" si="635">SUM(AC1570:AC1577)</f>
        <v>-2.9997900128364563E-5</v>
      </c>
      <c r="AD1578" s="263">
        <f t="shared" si="635"/>
        <v>-8.4030000492930412E-2</v>
      </c>
      <c r="AE1578" s="263">
        <f t="shared" si="635"/>
        <v>-2.9998831450939178E-5</v>
      </c>
      <c r="AF1578" s="263">
        <f t="shared" si="635"/>
        <v>-2.9996735975146294E-5</v>
      </c>
      <c r="AG1578" s="263">
        <f t="shared" si="635"/>
        <v>-2.9999879188835621E-5</v>
      </c>
      <c r="AH1578" s="263">
        <f t="shared" si="635"/>
        <v>-3.0000577680766582E-5</v>
      </c>
      <c r="AI1578" s="263">
        <f t="shared" si="635"/>
        <v>-2.9998598620295525E-5</v>
      </c>
      <c r="AJ1578" s="263">
        <f t="shared" si="635"/>
        <v>-2.9999995604157448E-5</v>
      </c>
      <c r="AK1578" s="263">
        <f t="shared" si="635"/>
        <v>-2.9998715035617352E-5</v>
      </c>
      <c r="AL1578" s="263">
        <f t="shared" si="635"/>
        <v>-2.9999646358191967E-5</v>
      </c>
      <c r="AM1578" s="263">
        <f t="shared" si="635"/>
        <v>-2.9998715035617352E-5</v>
      </c>
      <c r="AN1578" s="263">
        <f t="shared" si="635"/>
        <v>-3.0000926926732063E-5</v>
      </c>
      <c r="AO1578" s="263">
        <f t="shared" si="635"/>
        <v>2.4447217583656311E-9</v>
      </c>
      <c r="AS1578" s="248"/>
    </row>
    <row r="1579" spans="1:46" s="248" customFormat="1" ht="12.75" customHeight="1">
      <c r="A1579" s="246"/>
      <c r="B1579" s="246"/>
      <c r="C1579" s="214"/>
      <c r="D1579" s="214"/>
      <c r="E1579" s="215"/>
      <c r="F1579" s="215"/>
      <c r="H1579" s="249"/>
      <c r="I1579" s="253"/>
      <c r="J1579" s="253"/>
      <c r="K1579" s="249"/>
      <c r="L1579" s="215"/>
      <c r="M1579" s="249"/>
      <c r="N1579" s="254"/>
      <c r="O1579" s="254"/>
      <c r="P1579" s="215"/>
      <c r="Q1579" s="255"/>
      <c r="R1579" s="249"/>
      <c r="S1579" s="249"/>
      <c r="T1579" s="249"/>
      <c r="U1579" s="106"/>
      <c r="V1579" s="106"/>
      <c r="W1579" s="106"/>
      <c r="X1579" s="106"/>
      <c r="Y1579" s="106"/>
      <c r="Z1579" s="106"/>
      <c r="AA1579" s="106"/>
      <c r="AB1579" s="106"/>
      <c r="AC1579" s="106"/>
      <c r="AD1579" s="106"/>
      <c r="AE1579" s="106"/>
      <c r="AF1579" s="106"/>
      <c r="AG1579" s="106"/>
      <c r="AH1579" s="106"/>
      <c r="AI1579" s="106"/>
      <c r="AJ1579" s="106"/>
      <c r="AK1579" s="106"/>
      <c r="AL1579" s="106"/>
      <c r="AM1579" s="106"/>
      <c r="AN1579" s="106"/>
      <c r="AO1579" s="106"/>
    </row>
    <row r="1580" spans="1:46">
      <c r="A1580" s="246"/>
      <c r="B1580" s="246"/>
      <c r="C1580" s="214"/>
      <c r="D1580" s="214"/>
      <c r="E1580" s="215"/>
      <c r="F1580" s="215"/>
      <c r="G1580" s="248"/>
      <c r="H1580" s="249"/>
      <c r="I1580" s="253"/>
      <c r="J1580" s="253"/>
      <c r="K1580" s="249"/>
      <c r="L1580" s="215"/>
      <c r="M1580" s="249"/>
      <c r="N1580" s="254"/>
      <c r="O1580" s="254"/>
      <c r="P1580" s="215"/>
      <c r="Q1580" s="255"/>
      <c r="R1580" s="249"/>
      <c r="S1580" s="249"/>
      <c r="T1580" s="249"/>
      <c r="U1580" s="106"/>
      <c r="V1580" s="106"/>
      <c r="W1580" s="106"/>
      <c r="X1580" s="106"/>
      <c r="Y1580" s="106"/>
      <c r="Z1580" s="106"/>
      <c r="AA1580" s="106"/>
      <c r="AB1580" s="106"/>
      <c r="AC1580" s="106"/>
      <c r="AD1580" s="106"/>
      <c r="AE1580" s="106"/>
      <c r="AF1580" s="106"/>
      <c r="AG1580" s="106"/>
      <c r="AH1580" s="106"/>
      <c r="AI1580" s="106"/>
      <c r="AJ1580" s="106"/>
      <c r="AK1580" s="106"/>
      <c r="AL1580" s="106"/>
      <c r="AM1580" s="106"/>
      <c r="AN1580" s="106"/>
      <c r="AO1580" s="106"/>
      <c r="AP1580" s="248"/>
      <c r="AQ1580" s="248"/>
      <c r="AR1580" s="248"/>
      <c r="AS1580" s="248"/>
      <c r="AT1580" s="248"/>
    </row>
    <row r="1581" spans="1:46">
      <c r="A1581" s="246"/>
      <c r="B1581" s="246"/>
      <c r="C1581" s="214"/>
      <c r="D1581" s="214"/>
      <c r="E1581" s="215"/>
      <c r="F1581" s="215"/>
      <c r="G1581" s="248"/>
      <c r="H1581" s="249"/>
      <c r="I1581" s="253"/>
      <c r="J1581" s="253"/>
      <c r="K1581" s="249"/>
      <c r="L1581" s="215"/>
      <c r="M1581" s="249"/>
      <c r="N1581" s="254"/>
      <c r="O1581" s="254"/>
      <c r="P1581" s="215"/>
      <c r="Q1581" s="255"/>
      <c r="R1581" s="249"/>
      <c r="S1581" s="249"/>
      <c r="T1581" s="249"/>
      <c r="U1581" s="106"/>
      <c r="V1581" s="106"/>
      <c r="W1581" s="106"/>
      <c r="X1581" s="106"/>
      <c r="Y1581" s="106"/>
      <c r="Z1581" s="106"/>
      <c r="AA1581" s="106"/>
      <c r="AB1581" s="106"/>
      <c r="AC1581" s="106"/>
      <c r="AD1581" s="106"/>
      <c r="AE1581" s="106"/>
      <c r="AF1581" s="106"/>
      <c r="AG1581" s="106"/>
      <c r="AH1581" s="106"/>
      <c r="AI1581" s="106"/>
      <c r="AJ1581" s="106"/>
      <c r="AK1581" s="106"/>
      <c r="AL1581" s="106"/>
      <c r="AM1581" s="106"/>
      <c r="AN1581" s="106"/>
      <c r="AO1581" s="106"/>
      <c r="AP1581" s="248"/>
      <c r="AQ1581" s="248"/>
      <c r="AR1581" s="248"/>
      <c r="AS1581" s="248"/>
      <c r="AT1581" s="248"/>
    </row>
    <row r="1582" spans="1:46">
      <c r="A1582" s="252"/>
      <c r="B1582" s="252" t="s">
        <v>1891</v>
      </c>
      <c r="C1582" s="214"/>
      <c r="D1582" s="214"/>
      <c r="E1582" s="215"/>
      <c r="F1582" s="215"/>
      <c r="G1582" s="248"/>
      <c r="H1582" s="249"/>
      <c r="I1582" s="253"/>
      <c r="J1582" s="253"/>
      <c r="K1582" s="249"/>
      <c r="L1582" s="215"/>
      <c r="M1582" s="249"/>
      <c r="N1582" s="254"/>
      <c r="O1582" s="254"/>
      <c r="P1582" s="215"/>
      <c r="Q1582" s="255"/>
      <c r="R1582" s="249"/>
      <c r="S1582" s="249"/>
      <c r="T1582" s="249"/>
      <c r="U1582" s="106"/>
      <c r="V1582" s="106"/>
      <c r="W1582" s="106"/>
      <c r="X1582" s="106"/>
      <c r="Y1582" s="106"/>
      <c r="Z1582" s="106"/>
      <c r="AA1582" s="106"/>
      <c r="AB1582" s="106"/>
      <c r="AC1582" s="106"/>
      <c r="AD1582" s="106"/>
      <c r="AE1582" s="106"/>
      <c r="AF1582" s="106"/>
      <c r="AG1582" s="106"/>
      <c r="AH1582" s="106"/>
      <c r="AI1582" s="106"/>
      <c r="AJ1582" s="106"/>
      <c r="AK1582" s="106"/>
      <c r="AL1582" s="106"/>
      <c r="AM1582" s="106"/>
      <c r="AN1582" s="106"/>
      <c r="AO1582" s="106"/>
      <c r="AP1582" s="248"/>
      <c r="AQ1582" s="248"/>
      <c r="AR1582" s="248"/>
      <c r="AS1582" s="248"/>
      <c r="AT1582" s="248"/>
    </row>
    <row r="1583" spans="1:46">
      <c r="A1583" s="246"/>
      <c r="B1583" s="246"/>
      <c r="C1583" s="265" t="s">
        <v>1890</v>
      </c>
      <c r="D1583" s="246" t="s">
        <v>1891</v>
      </c>
      <c r="E1583" s="266"/>
      <c r="F1583" s="266"/>
      <c r="G1583" s="267" t="s">
        <v>1892</v>
      </c>
      <c r="H1583" s="249"/>
      <c r="I1583" s="268"/>
      <c r="J1583" s="268"/>
      <c r="K1583" s="249"/>
      <c r="L1583" s="269"/>
      <c r="M1583" s="270"/>
      <c r="N1583" s="271"/>
      <c r="O1583" s="271"/>
      <c r="P1583" s="269"/>
      <c r="Q1583" s="272"/>
      <c r="R1583" s="270"/>
      <c r="S1583" s="270"/>
      <c r="T1583" s="270"/>
      <c r="U1583" s="106">
        <f>SUMIF($L:$L,$C1583,U:U)</f>
        <v>3832145.2582288715</v>
      </c>
      <c r="V1583" s="106">
        <f>SUMIF($L:$L,$C1583,V:V)</f>
        <v>932984.67615820921</v>
      </c>
      <c r="W1583" s="106">
        <f>SUMIF($L:$L,$C1583,W:W)</f>
        <v>0</v>
      </c>
      <c r="X1583" s="106">
        <f>SUMIF($L:$L,$C1583,X:X)</f>
        <v>4765129.9343870813</v>
      </c>
      <c r="Y1583" s="106">
        <f>SUMIF($L:$L,$C1583,Y:Y)</f>
        <v>3846316.9176917151</v>
      </c>
      <c r="Z1583" s="106">
        <f>SUMIF($L:$L,$C1583,Z:Z)</f>
        <v>950357.19180828508</v>
      </c>
      <c r="AA1583" s="106">
        <f>SUMIF($L:$L,$C1583,AA:AA)</f>
        <v>0</v>
      </c>
      <c r="AB1583" s="106">
        <f>SUMIF($L:$L,$C1583,AB:AB)</f>
        <v>4796674.1095000003</v>
      </c>
      <c r="AC1583" s="106">
        <f>SUMIF($L:$L,$C1583,AC:AC)</f>
        <v>4701237.0515500009</v>
      </c>
      <c r="AD1583" s="106">
        <f>SUMIF($L:$L,$C1583,AD:AD)</f>
        <v>4711475.8842800008</v>
      </c>
      <c r="AE1583" s="106">
        <f>SUMIF($L:$L,$C1583,AE:AE)</f>
        <v>4737651.4731300008</v>
      </c>
      <c r="AF1583" s="106">
        <f>SUMIF($L:$L,$C1583,AF:AF)</f>
        <v>4759678.2548400015</v>
      </c>
      <c r="AG1583" s="106">
        <f>SUMIF($L:$L,$C1583,AG:AG)</f>
        <v>4775364.4576400016</v>
      </c>
      <c r="AH1583" s="106">
        <f>SUMIF($L:$L,$C1583,AH:AH)</f>
        <v>4786791.3936900003</v>
      </c>
      <c r="AI1583" s="106">
        <f>SUMIF($L:$L,$C1583,AI:AI)</f>
        <v>4781924.8696200009</v>
      </c>
      <c r="AJ1583" s="106">
        <f>SUMIF($L:$L,$C1583,AJ:AJ)</f>
        <v>4790788.8964200011</v>
      </c>
      <c r="AK1583" s="106">
        <f>SUMIF($L:$L,$C1583,AK:AK)</f>
        <v>4749321.3007800011</v>
      </c>
      <c r="AL1583" s="106">
        <f>SUMIF($L:$L,$C1583,AL:AL)</f>
        <v>4767519.3286400009</v>
      </c>
      <c r="AM1583" s="106">
        <f>SUMIF($L:$L,$C1583,AM:AM)</f>
        <v>4780067.3641500007</v>
      </c>
      <c r="AN1583" s="106">
        <f>SUMIF($L:$L,$C1583,AN:AN)</f>
        <v>4792020.408929999</v>
      </c>
      <c r="AO1583" s="106">
        <f>SUMIF($L:$L,$C1583,AO:AO)</f>
        <v>4796674.1095000003</v>
      </c>
      <c r="AP1583" s="106"/>
      <c r="AQ1583" s="106"/>
      <c r="AR1583" s="106"/>
      <c r="AS1583" s="106"/>
      <c r="AT1583" s="106"/>
    </row>
    <row r="1584" spans="1:46">
      <c r="A1584" s="246"/>
      <c r="B1584" s="246"/>
      <c r="C1584" s="265" t="s">
        <v>1817</v>
      </c>
      <c r="D1584" s="246" t="s">
        <v>1891</v>
      </c>
      <c r="E1584" s="266"/>
      <c r="F1584" s="266"/>
      <c r="G1584" s="267" t="s">
        <v>1818</v>
      </c>
      <c r="H1584" s="249" t="s">
        <v>2504</v>
      </c>
      <c r="I1584" s="273"/>
      <c r="J1584" s="273"/>
      <c r="K1584" s="249"/>
      <c r="L1584" s="269"/>
      <c r="M1584" s="270"/>
      <c r="N1584" s="271"/>
      <c r="O1584" s="271"/>
      <c r="P1584" s="269"/>
      <c r="Q1584" s="272"/>
      <c r="R1584" s="270"/>
      <c r="S1584" s="270"/>
      <c r="T1584" s="270"/>
      <c r="U1584" s="106">
        <f>SUMIF($L:$L,$C1584,U:U)</f>
        <v>152918.81776598401</v>
      </c>
      <c r="V1584" s="106">
        <f>SUMIF($L:$L,$C1584,V:V)</f>
        <v>12673.37909568302</v>
      </c>
      <c r="W1584" s="106">
        <f>SUMIF($L:$L,$C1584,W:W)</f>
        <v>-248.70714583333299</v>
      </c>
      <c r="X1584" s="106">
        <f>SUMIF($L:$L,$C1584,X:X)</f>
        <v>165343.48971583368</v>
      </c>
      <c r="Y1584" s="106">
        <f>SUMIF($L:$L,$C1584,Y:Y)</f>
        <v>205994.99172951331</v>
      </c>
      <c r="Z1584" s="106">
        <f>SUMIF($L:$L,$C1584,Z:Z)</f>
        <v>19896.74394048674</v>
      </c>
      <c r="AA1584" s="106">
        <f>SUMIF($L:$L,$C1584,AA:AA)</f>
        <v>0</v>
      </c>
      <c r="AB1584" s="106">
        <f>SUMIF($L:$L,$C1584,AB:AB)</f>
        <v>225891.73567000002</v>
      </c>
      <c r="AC1584" s="106">
        <f>SUMIF($L:$L,$C1584,AC:AC)</f>
        <v>165889.14684999996</v>
      </c>
      <c r="AD1584" s="106">
        <f>SUMIF($L:$L,$C1584,AD:AD)</f>
        <v>165560.14963999999</v>
      </c>
      <c r="AE1584" s="106">
        <f>SUMIF($L:$L,$C1584,AE:AE)</f>
        <v>146327.76277999999</v>
      </c>
      <c r="AF1584" s="106">
        <f>SUMIF($L:$L,$C1584,AF:AF)</f>
        <v>139856.51971999998</v>
      </c>
      <c r="AG1584" s="106">
        <f>SUMIF($L:$L,$C1584,AG:AG)</f>
        <v>142897.78780999998</v>
      </c>
      <c r="AH1584" s="106">
        <f>SUMIF($L:$L,$C1584,AH:AH)</f>
        <v>146502.92924999999</v>
      </c>
      <c r="AI1584" s="106">
        <f>SUMIF($L:$L,$C1584,AI:AI)</f>
        <v>145361.20665000001</v>
      </c>
      <c r="AJ1584" s="106">
        <f>SUMIF($L:$L,$C1584,AJ:AJ)</f>
        <v>152379.27225999997</v>
      </c>
      <c r="AK1584" s="106">
        <f>SUMIF($L:$L,$C1584,AK:AK)</f>
        <v>173598.41149999999</v>
      </c>
      <c r="AL1584" s="106">
        <f>SUMIF($L:$L,$C1584,AL:AL)</f>
        <v>181339.48850000001</v>
      </c>
      <c r="AM1584" s="106">
        <f>SUMIF($L:$L,$C1584,AM:AM)</f>
        <v>192286.38519999999</v>
      </c>
      <c r="AN1584" s="106">
        <f>SUMIF($L:$L,$C1584,AN:AN)</f>
        <v>202121.52201999997</v>
      </c>
      <c r="AO1584" s="106">
        <f>SUMIF($L:$L,$C1584,AO:AO)</f>
        <v>225891.73567000002</v>
      </c>
      <c r="AP1584" s="106"/>
      <c r="AQ1584" s="106"/>
      <c r="AR1584" s="106"/>
      <c r="AS1584" s="106"/>
      <c r="AT1584" s="106"/>
    </row>
    <row r="1585" spans="1:46">
      <c r="A1585" s="246"/>
      <c r="B1585" s="246"/>
      <c r="C1585" s="265" t="s">
        <v>1819</v>
      </c>
      <c r="D1585" s="246" t="s">
        <v>1891</v>
      </c>
      <c r="E1585" s="266"/>
      <c r="F1585" s="266"/>
      <c r="G1585" s="267" t="s">
        <v>1820</v>
      </c>
      <c r="H1585" s="249"/>
      <c r="I1585" s="273"/>
      <c r="J1585" s="273"/>
      <c r="K1585" s="249"/>
      <c r="L1585" s="269"/>
      <c r="M1585" s="270"/>
      <c r="N1585" s="271"/>
      <c r="O1585" s="271"/>
      <c r="P1585" s="269"/>
      <c r="Q1585" s="272"/>
      <c r="R1585" s="270"/>
      <c r="S1585" s="270"/>
      <c r="T1585" s="270"/>
      <c r="U1585" s="106">
        <f>SUMIF($L:$L,$C1585,U:U)</f>
        <v>-2001093.2911065009</v>
      </c>
      <c r="V1585" s="106">
        <f>SUMIF($L:$L,$C1585,V:V)</f>
        <v>-357037.74551224947</v>
      </c>
      <c r="W1585" s="106">
        <f>SUMIF($L:$L,$C1585,W:W)</f>
        <v>0</v>
      </c>
      <c r="X1585" s="106">
        <f>SUMIF($L:$L,$C1585,X:X)</f>
        <v>-2358131.0366187505</v>
      </c>
      <c r="Y1585" s="106">
        <f>SUMIF($L:$L,$C1585,Y:Y)</f>
        <v>-2006826.0447880619</v>
      </c>
      <c r="Z1585" s="106">
        <f>SUMIF($L:$L,$C1585,Z:Z)</f>
        <v>-359269.38153193815</v>
      </c>
      <c r="AA1585" s="106">
        <f>SUMIF($L:$L,$C1585,AA:AA)</f>
        <v>0</v>
      </c>
      <c r="AB1585" s="106">
        <f>SUMIF($L:$L,$C1585,AB:AB)</f>
        <v>-2366095.4263199996</v>
      </c>
      <c r="AC1585" s="106">
        <f>SUMIF($L:$L,$C1585,AC:AC)</f>
        <v>-2340701.8556699995</v>
      </c>
      <c r="AD1585" s="106">
        <f>SUMIF($L:$L,$C1585,AD:AD)</f>
        <v>-2349687.2110100002</v>
      </c>
      <c r="AE1585" s="106">
        <f>SUMIF($L:$L,$C1585,AE:AE)</f>
        <v>-2357601.7975299996</v>
      </c>
      <c r="AF1585" s="106">
        <f>SUMIF($L:$L,$C1585,AF:AF)</f>
        <v>-2365630.7796799992</v>
      </c>
      <c r="AG1585" s="106">
        <f>SUMIF($L:$L,$C1585,AG:AG)</f>
        <v>-2373399.91701</v>
      </c>
      <c r="AH1585" s="106">
        <f>SUMIF($L:$L,$C1585,AH:AH)</f>
        <v>-2380593.6435000007</v>
      </c>
      <c r="AI1585" s="106">
        <f>SUMIF($L:$L,$C1585,AI:AI)</f>
        <v>-2364596.8796300003</v>
      </c>
      <c r="AJ1585" s="106">
        <f>SUMIF($L:$L,$C1585,AJ:AJ)</f>
        <v>-2371945.1705600005</v>
      </c>
      <c r="AK1585" s="106">
        <f>SUMIF($L:$L,$C1585,AK:AK)</f>
        <v>-2333186.5611</v>
      </c>
      <c r="AL1585" s="106">
        <f>SUMIF($L:$L,$C1585,AL:AL)</f>
        <v>-2340998.6311400011</v>
      </c>
      <c r="AM1585" s="106">
        <f>SUMIF($L:$L,$C1585,AM:AM)</f>
        <v>-2348938.12255</v>
      </c>
      <c r="AN1585" s="106">
        <f>SUMIF($L:$L,$C1585,AN:AN)</f>
        <v>-2357595.0847200006</v>
      </c>
      <c r="AO1585" s="106">
        <f>SUMIF($L:$L,$C1585,AO:AO)</f>
        <v>-2366095.4263199996</v>
      </c>
      <c r="AP1585" s="106"/>
      <c r="AQ1585" s="106"/>
      <c r="AR1585" s="106"/>
      <c r="AS1585" s="106"/>
      <c r="AT1585" s="106"/>
    </row>
    <row r="1586" spans="1:46">
      <c r="A1586" s="246"/>
      <c r="B1586" s="246"/>
      <c r="C1586" s="265" t="s">
        <v>1821</v>
      </c>
      <c r="D1586" s="246" t="s">
        <v>1891</v>
      </c>
      <c r="E1586" s="266"/>
      <c r="F1586" s="266"/>
      <c r="G1586" s="267" t="s">
        <v>1822</v>
      </c>
      <c r="H1586" s="249"/>
      <c r="I1586" s="273"/>
      <c r="J1586" s="273"/>
      <c r="K1586" s="249"/>
      <c r="L1586" s="269"/>
      <c r="M1586" s="270"/>
      <c r="N1586" s="271"/>
      <c r="O1586" s="271"/>
      <c r="P1586" s="269"/>
      <c r="Q1586" s="272"/>
      <c r="R1586" s="270"/>
      <c r="S1586" s="270"/>
      <c r="T1586" s="270"/>
      <c r="U1586" s="106">
        <f>SUMIF($L:$L,$C1586,U:U)</f>
        <v>0</v>
      </c>
      <c r="V1586" s="106">
        <f>SUMIF($L:$L,$C1586,V:V)</f>
        <v>0</v>
      </c>
      <c r="W1586" s="106">
        <f>SUMIF($L:$L,$C1586,W:W)</f>
        <v>0</v>
      </c>
      <c r="X1586" s="106">
        <f>SUMIF($L:$L,$C1586,X:X)</f>
        <v>0</v>
      </c>
      <c r="Y1586" s="106">
        <f>SUMIF($L:$L,$C1586,Y:Y)</f>
        <v>0</v>
      </c>
      <c r="Z1586" s="106">
        <f>SUMIF($L:$L,$C1586,Z:Z)</f>
        <v>0</v>
      </c>
      <c r="AA1586" s="106">
        <f>SUMIF($L:$L,$C1586,AA:AA)</f>
        <v>0</v>
      </c>
      <c r="AB1586" s="106">
        <f>SUMIF($L:$L,$C1586,AB:AB)</f>
        <v>0</v>
      </c>
      <c r="AC1586" s="106">
        <f>SUMIF($L:$L,$C1586,AC:AC)</f>
        <v>0</v>
      </c>
      <c r="AD1586" s="106">
        <f>SUMIF($L:$L,$C1586,AD:AD)</f>
        <v>0</v>
      </c>
      <c r="AE1586" s="106">
        <f>SUMIF($L:$L,$C1586,AE:AE)</f>
        <v>0</v>
      </c>
      <c r="AF1586" s="106">
        <f>SUMIF($L:$L,$C1586,AF:AF)</f>
        <v>0</v>
      </c>
      <c r="AG1586" s="106">
        <f>SUMIF($L:$L,$C1586,AG:AG)</f>
        <v>0</v>
      </c>
      <c r="AH1586" s="106">
        <f>SUMIF($L:$L,$C1586,AH:AH)</f>
        <v>0</v>
      </c>
      <c r="AI1586" s="106">
        <f>SUMIF($L:$L,$C1586,AI:AI)</f>
        <v>0</v>
      </c>
      <c r="AJ1586" s="106">
        <f>SUMIF($L:$L,$C1586,AJ:AJ)</f>
        <v>0</v>
      </c>
      <c r="AK1586" s="106">
        <f>SUMIF($L:$L,$C1586,AK:AK)</f>
        <v>0</v>
      </c>
      <c r="AL1586" s="106">
        <f>SUMIF($L:$L,$C1586,AL:AL)</f>
        <v>0</v>
      </c>
      <c r="AM1586" s="106">
        <f>SUMIF($L:$L,$C1586,AM:AM)</f>
        <v>0</v>
      </c>
      <c r="AN1586" s="106">
        <f>SUMIF($L:$L,$C1586,AN:AN)</f>
        <v>0</v>
      </c>
      <c r="AO1586" s="106">
        <f>SUMIF($L:$L,$C1586,AO:AO)</f>
        <v>0</v>
      </c>
      <c r="AP1586" s="106"/>
      <c r="AQ1586" s="106"/>
      <c r="AR1586" s="106"/>
      <c r="AS1586" s="106"/>
      <c r="AT1586" s="106"/>
    </row>
    <row r="1587" spans="1:46">
      <c r="A1587" s="246"/>
      <c r="B1587" s="246"/>
      <c r="C1587" s="265" t="s">
        <v>1823</v>
      </c>
      <c r="D1587" s="246" t="s">
        <v>1891</v>
      </c>
      <c r="E1587" s="266"/>
      <c r="F1587" s="266"/>
      <c r="G1587" s="267" t="s">
        <v>212</v>
      </c>
      <c r="H1587" s="249"/>
      <c r="I1587" s="273"/>
      <c r="J1587" s="273"/>
      <c r="K1587" s="249"/>
      <c r="L1587" s="269"/>
      <c r="M1587" s="270"/>
      <c r="N1587" s="271"/>
      <c r="O1587" s="271"/>
      <c r="P1587" s="269"/>
      <c r="Q1587" s="272"/>
      <c r="R1587" s="270"/>
      <c r="S1587" s="270"/>
      <c r="T1587" s="270"/>
      <c r="U1587" s="106">
        <f>SUMIF($L:$L,$C1587,U:U)</f>
        <v>0</v>
      </c>
      <c r="V1587" s="106">
        <f>SUMIF($L:$L,$C1587,V:V)</f>
        <v>18738.230879583331</v>
      </c>
      <c r="W1587" s="106">
        <f>SUMIF($L:$L,$C1587,W:W)</f>
        <v>0</v>
      </c>
      <c r="X1587" s="106">
        <f>SUMIF($L:$L,$C1587,X:X)</f>
        <v>18738.230879583331</v>
      </c>
      <c r="Y1587" s="106">
        <f>SUMIF($L:$L,$C1587,Y:Y)</f>
        <v>0</v>
      </c>
      <c r="Z1587" s="106">
        <f>SUMIF($L:$L,$C1587,Z:Z)</f>
        <v>23602.51153</v>
      </c>
      <c r="AA1587" s="106">
        <f>SUMIF($L:$L,$C1587,AA:AA)</f>
        <v>0</v>
      </c>
      <c r="AB1587" s="106">
        <f>SUMIF($L:$L,$C1587,AB:AB)</f>
        <v>23602.511530000003</v>
      </c>
      <c r="AC1587" s="106">
        <f>SUMIF($L:$L,$C1587,AC:AC)</f>
        <v>23986.34116</v>
      </c>
      <c r="AD1587" s="106">
        <f>SUMIF($L:$L,$C1587,AD:AD)</f>
        <v>16249.413579999999</v>
      </c>
      <c r="AE1587" s="106">
        <f>SUMIF($L:$L,$C1587,AE:AE)</f>
        <v>8290.2878000000001</v>
      </c>
      <c r="AF1587" s="106">
        <f>SUMIF($L:$L,$C1587,AF:AF)</f>
        <v>2713.2835399999999</v>
      </c>
      <c r="AG1587" s="106">
        <f>SUMIF($L:$L,$C1587,AG:AG)</f>
        <v>6304.1408599999995</v>
      </c>
      <c r="AH1587" s="106">
        <f>SUMIF($L:$L,$C1587,AH:AH)</f>
        <v>11907.77614</v>
      </c>
      <c r="AI1587" s="106">
        <f>SUMIF($L:$L,$C1587,AI:AI)</f>
        <v>17559.208500000001</v>
      </c>
      <c r="AJ1587" s="106">
        <f>SUMIF($L:$L,$C1587,AJ:AJ)</f>
        <v>22440.30761</v>
      </c>
      <c r="AK1587" s="106">
        <f>SUMIF($L:$L,$C1587,AK:AK)</f>
        <v>26542.553259999997</v>
      </c>
      <c r="AL1587" s="106">
        <f>SUMIF($L:$L,$C1587,AL:AL)</f>
        <v>29202.153180000001</v>
      </c>
      <c r="AM1587" s="106">
        <f>SUMIF($L:$L,$C1587,AM:AM)</f>
        <v>30965.459920000001</v>
      </c>
      <c r="AN1587" s="106">
        <f>SUMIF($L:$L,$C1587,AN:AN)</f>
        <v>28889.759820000003</v>
      </c>
      <c r="AO1587" s="106">
        <f>SUMIF($L:$L,$C1587,AO:AO)</f>
        <v>23602.511530000003</v>
      </c>
      <c r="AP1587" s="106"/>
      <c r="AQ1587" s="106"/>
      <c r="AR1587" s="106"/>
      <c r="AS1587" s="106"/>
      <c r="AT1587" s="106"/>
    </row>
    <row r="1588" spans="1:46">
      <c r="A1588" s="246"/>
      <c r="B1588" s="246"/>
      <c r="C1588" s="265" t="s">
        <v>213</v>
      </c>
      <c r="D1588" s="246" t="s">
        <v>1891</v>
      </c>
      <c r="E1588" s="266"/>
      <c r="F1588" s="266"/>
      <c r="G1588" s="267" t="s">
        <v>2277</v>
      </c>
      <c r="H1588" s="249"/>
      <c r="I1588" s="273"/>
      <c r="J1588" s="273"/>
      <c r="K1588" s="249"/>
      <c r="L1588" s="269"/>
      <c r="M1588" s="270"/>
      <c r="N1588" s="271"/>
      <c r="O1588" s="271"/>
      <c r="P1588" s="269"/>
      <c r="Q1588" s="272"/>
      <c r="R1588" s="270"/>
      <c r="S1588" s="270"/>
      <c r="T1588" s="270"/>
      <c r="U1588" s="106">
        <f>SUMIF($L:$L,$C1588,U:U)</f>
        <v>10691.05118215199</v>
      </c>
      <c r="V1588" s="106">
        <f>SUMIF($L:$L,$C1588,V:V)</f>
        <v>3362.8090432646763</v>
      </c>
      <c r="W1588" s="106">
        <f>SUMIF($L:$L,$C1588,W:W)</f>
        <v>0</v>
      </c>
      <c r="X1588" s="106">
        <f>SUMIF($L:$L,$C1588,X:X)</f>
        <v>14053.860225416667</v>
      </c>
      <c r="Y1588" s="106">
        <f>SUMIF($L:$L,$C1588,Y:Y)</f>
        <v>10294.211492824819</v>
      </c>
      <c r="Z1588" s="106">
        <f>SUMIF($L:$L,$C1588,Z:Z)</f>
        <v>3237.9853871752007</v>
      </c>
      <c r="AA1588" s="106">
        <f>SUMIF($L:$L,$C1588,AA:AA)</f>
        <v>0</v>
      </c>
      <c r="AB1588" s="106">
        <f>SUMIF($L:$L,$C1588,AB:AB)</f>
        <v>13532.19688</v>
      </c>
      <c r="AC1588" s="106">
        <f>SUMIF($L:$L,$C1588,AC:AC)</f>
        <v>14044.280150000001</v>
      </c>
      <c r="AD1588" s="106">
        <f>SUMIF($L:$L,$C1588,AD:AD)</f>
        <v>14196.419610000001</v>
      </c>
      <c r="AE1588" s="106">
        <f>SUMIF($L:$L,$C1588,AE:AE)</f>
        <v>14121.4264</v>
      </c>
      <c r="AF1588" s="106">
        <f>SUMIF($L:$L,$C1588,AF:AF)</f>
        <v>14292.59699</v>
      </c>
      <c r="AG1588" s="106">
        <f>SUMIF($L:$L,$C1588,AG:AG)</f>
        <v>14022.159640000002</v>
      </c>
      <c r="AH1588" s="106">
        <f>SUMIF($L:$L,$C1588,AH:AH)</f>
        <v>13836.99814</v>
      </c>
      <c r="AI1588" s="106">
        <f>SUMIF($L:$L,$C1588,AI:AI)</f>
        <v>13853.119419999999</v>
      </c>
      <c r="AJ1588" s="106">
        <f>SUMIF($L:$L,$C1588,AJ:AJ)</f>
        <v>14924.8776</v>
      </c>
      <c r="AK1588" s="106">
        <f>SUMIF($L:$L,$C1588,AK:AK)</f>
        <v>14027.47235</v>
      </c>
      <c r="AL1588" s="106">
        <f>SUMIF($L:$L,$C1588,AL:AL)</f>
        <v>13762.10576</v>
      </c>
      <c r="AM1588" s="106">
        <f>SUMIF($L:$L,$C1588,AM:AM)</f>
        <v>14032.643309999999</v>
      </c>
      <c r="AN1588" s="106">
        <f>SUMIF($L:$L,$C1588,AN:AN)</f>
        <v>13788.264970000002</v>
      </c>
      <c r="AO1588" s="106">
        <f>SUMIF($L:$L,$C1588,AO:AO)</f>
        <v>13532.19688</v>
      </c>
      <c r="AP1588" s="106"/>
      <c r="AQ1588" s="106"/>
      <c r="AR1588" s="106"/>
      <c r="AS1588" s="106"/>
      <c r="AT1588" s="106"/>
    </row>
    <row r="1589" spans="1:46">
      <c r="A1589" s="246"/>
      <c r="B1589" s="246"/>
      <c r="C1589" s="265" t="s">
        <v>733</v>
      </c>
      <c r="D1589" s="246" t="s">
        <v>1891</v>
      </c>
      <c r="E1589" s="266"/>
      <c r="F1589" s="266"/>
      <c r="G1589" s="267" t="s">
        <v>2509</v>
      </c>
      <c r="H1589" s="249"/>
      <c r="I1589" s="273"/>
      <c r="J1589" s="273"/>
      <c r="K1589" s="249"/>
      <c r="L1589" s="269"/>
      <c r="M1589" s="270"/>
      <c r="N1589" s="271"/>
      <c r="O1589" s="271"/>
      <c r="P1589" s="269"/>
      <c r="Q1589" s="272"/>
      <c r="R1589" s="270"/>
      <c r="S1589" s="270"/>
      <c r="T1589" s="270"/>
      <c r="U1589" s="106">
        <f>SUMIF($L:$L,$C1589,U:U)</f>
        <v>40110.473866472006</v>
      </c>
      <c r="V1589" s="106">
        <f>SUMIF($L:$L,$C1589,V:V)</f>
        <v>10512.104543111329</v>
      </c>
      <c r="W1589" s="106">
        <f>SUMIF($L:$L,$C1589,W:W)</f>
        <v>0</v>
      </c>
      <c r="X1589" s="106">
        <f>SUMIF($L:$L,$C1589,X:X)</f>
        <v>50622.578409583373</v>
      </c>
      <c r="Y1589" s="106">
        <f>SUMIF($L:$L,$C1589,Y:Y)</f>
        <v>34898.049408182953</v>
      </c>
      <c r="Z1589" s="106">
        <f>SUMIF($L:$L,$C1589,Z:Z)</f>
        <v>9123.5310018170876</v>
      </c>
      <c r="AA1589" s="106">
        <f>SUMIF($L:$L,$C1589,AA:AA)</f>
        <v>0</v>
      </c>
      <c r="AB1589" s="106">
        <f>SUMIF($L:$L,$C1589,AB:AB)</f>
        <v>44021.580409999995</v>
      </c>
      <c r="AC1589" s="106">
        <f>SUMIF($L:$L,$C1589,AC:AC)</f>
        <v>43162.655180000002</v>
      </c>
      <c r="AD1589" s="106">
        <f>SUMIF($L:$L,$C1589,AD:AD)</f>
        <v>64409.203590000005</v>
      </c>
      <c r="AE1589" s="106">
        <f>SUMIF($L:$L,$C1589,AE:AE)</f>
        <v>56505.600010000002</v>
      </c>
      <c r="AF1589" s="106">
        <f>SUMIF($L:$L,$C1589,AF:AF)</f>
        <v>64752.910450000003</v>
      </c>
      <c r="AG1589" s="106">
        <f>SUMIF($L:$L,$C1589,AG:AG)</f>
        <v>53699.279700000006</v>
      </c>
      <c r="AH1589" s="106">
        <f>SUMIF($L:$L,$C1589,AH:AH)</f>
        <v>42149.408109999997</v>
      </c>
      <c r="AI1589" s="106">
        <f>SUMIF($L:$L,$C1589,AI:AI)</f>
        <v>33693.245239999997</v>
      </c>
      <c r="AJ1589" s="106">
        <f>SUMIF($L:$L,$C1589,AJ:AJ)</f>
        <v>29066.367830000003</v>
      </c>
      <c r="AK1589" s="106">
        <f>SUMIF($L:$L,$C1589,AK:AK)</f>
        <v>23940.891250000001</v>
      </c>
      <c r="AL1589" s="106">
        <f>SUMIF($L:$L,$C1589,AL:AL)</f>
        <v>71779.429310000007</v>
      </c>
      <c r="AM1589" s="106">
        <f>SUMIF($L:$L,$C1589,AM:AM)</f>
        <v>67725.299539999993</v>
      </c>
      <c r="AN1589" s="106">
        <f>SUMIF($L:$L,$C1589,AN:AN)</f>
        <v>56157.188090000003</v>
      </c>
      <c r="AO1589" s="106">
        <f>SUMIF($L:$L,$C1589,AO:AO)</f>
        <v>44021.580409999995</v>
      </c>
      <c r="AP1589" s="106"/>
      <c r="AQ1589" s="106"/>
      <c r="AR1589" s="106"/>
      <c r="AS1589" s="106"/>
      <c r="AT1589" s="106"/>
    </row>
    <row r="1590" spans="1:46">
      <c r="A1590" s="246"/>
      <c r="B1590" s="246"/>
      <c r="C1590" s="265" t="s">
        <v>2510</v>
      </c>
      <c r="D1590" s="246" t="s">
        <v>1891</v>
      </c>
      <c r="E1590" s="266"/>
      <c r="F1590" s="266"/>
      <c r="G1590" s="267" t="s">
        <v>949</v>
      </c>
      <c r="H1590" s="249"/>
      <c r="I1590" s="273"/>
      <c r="J1590" s="273"/>
      <c r="K1590" s="249"/>
      <c r="L1590" s="269"/>
      <c r="M1590" s="270"/>
      <c r="N1590" s="271"/>
      <c r="O1590" s="271"/>
      <c r="P1590" s="269"/>
      <c r="Q1590" s="272"/>
      <c r="R1590" s="270"/>
      <c r="S1590" s="270"/>
      <c r="T1590" s="270"/>
      <c r="U1590" s="106">
        <f>SUMIF($L:$L,$C1590,U:U)</f>
        <v>0</v>
      </c>
      <c r="V1590" s="106">
        <f>SUMIF($L:$L,$C1590,V:V)</f>
        <v>0</v>
      </c>
      <c r="W1590" s="106">
        <f>SUMIF($L:$L,$C1590,W:W)</f>
        <v>0</v>
      </c>
      <c r="X1590" s="106">
        <f>SUMIF($L:$L,$C1590,X:X)</f>
        <v>0</v>
      </c>
      <c r="Y1590" s="106">
        <f>SUMIF($L:$L,$C1590,Y:Y)</f>
        <v>0</v>
      </c>
      <c r="Z1590" s="106">
        <f>SUMIF($L:$L,$C1590,Z:Z)</f>
        <v>0</v>
      </c>
      <c r="AA1590" s="106">
        <f>SUMIF($L:$L,$C1590,AA:AA)</f>
        <v>0</v>
      </c>
      <c r="AB1590" s="106">
        <f>SUMIF($L:$L,$C1590,AB:AB)</f>
        <v>0</v>
      </c>
      <c r="AC1590" s="106">
        <f>SUMIF($L:$L,$C1590,AC:AC)</f>
        <v>0</v>
      </c>
      <c r="AD1590" s="106">
        <f>SUMIF($L:$L,$C1590,AD:AD)</f>
        <v>0</v>
      </c>
      <c r="AE1590" s="106">
        <f>SUMIF($L:$L,$C1590,AE:AE)</f>
        <v>0</v>
      </c>
      <c r="AF1590" s="106">
        <f>SUMIF($L:$L,$C1590,AF:AF)</f>
        <v>0</v>
      </c>
      <c r="AG1590" s="106">
        <f>SUMIF($L:$L,$C1590,AG:AG)</f>
        <v>0</v>
      </c>
      <c r="AH1590" s="106">
        <f>SUMIF($L:$L,$C1590,AH:AH)</f>
        <v>0</v>
      </c>
      <c r="AI1590" s="106">
        <f>SUMIF($L:$L,$C1590,AI:AI)</f>
        <v>0</v>
      </c>
      <c r="AJ1590" s="106">
        <f>SUMIF($L:$L,$C1590,AJ:AJ)</f>
        <v>0</v>
      </c>
      <c r="AK1590" s="106">
        <f>SUMIF($L:$L,$C1590,AK:AK)</f>
        <v>0</v>
      </c>
      <c r="AL1590" s="106">
        <f>SUMIF($L:$L,$C1590,AL:AL)</f>
        <v>0</v>
      </c>
      <c r="AM1590" s="106">
        <f>SUMIF($L:$L,$C1590,AM:AM)</f>
        <v>0</v>
      </c>
      <c r="AN1590" s="106">
        <f>SUMIF($L:$L,$C1590,AN:AN)</f>
        <v>0</v>
      </c>
      <c r="AO1590" s="106">
        <f>SUMIF($L:$L,$C1590,AO:AO)</f>
        <v>0</v>
      </c>
      <c r="AP1590" s="106"/>
      <c r="AQ1590" s="106"/>
      <c r="AR1590" s="106"/>
      <c r="AS1590" s="106"/>
      <c r="AT1590" s="106"/>
    </row>
    <row r="1591" spans="1:46">
      <c r="A1591" s="246"/>
      <c r="B1591" s="246"/>
      <c r="C1591" s="265" t="s">
        <v>950</v>
      </c>
      <c r="D1591" s="246" t="s">
        <v>1891</v>
      </c>
      <c r="E1591" s="266"/>
      <c r="F1591" s="266"/>
      <c r="G1591" s="267" t="s">
        <v>1170</v>
      </c>
      <c r="H1591" s="249"/>
      <c r="I1591" s="273"/>
      <c r="J1591" s="273"/>
      <c r="K1591" s="249"/>
      <c r="L1591" s="269"/>
      <c r="M1591" s="270"/>
      <c r="N1591" s="271"/>
      <c r="O1591" s="271"/>
      <c r="P1591" s="269"/>
      <c r="Q1591" s="272"/>
      <c r="R1591" s="270"/>
      <c r="S1591" s="270"/>
      <c r="T1591" s="270"/>
      <c r="U1591" s="106">
        <f>SUMIF($L:$L,$C1591,U:U)</f>
        <v>-1100.0996024072299</v>
      </c>
      <c r="V1591" s="106">
        <f>SUMIF($L:$L,$C1591,V:V)</f>
        <v>-346.03004217609998</v>
      </c>
      <c r="W1591" s="106">
        <f>SUMIF($L:$L,$C1591,W:W)</f>
        <v>0</v>
      </c>
      <c r="X1591" s="106">
        <f>SUMIF($L:$L,$C1591,X:X)</f>
        <v>-1446.12964458333</v>
      </c>
      <c r="Y1591" s="106">
        <f>SUMIF($L:$L,$C1591,Y:Y)</f>
        <v>-1137.2996998083299</v>
      </c>
      <c r="Z1591" s="106">
        <f>SUMIF($L:$L,$C1591,Z:Z)</f>
        <v>-357.73112019166598</v>
      </c>
      <c r="AA1591" s="106">
        <f>SUMIF($L:$L,$C1591,AA:AA)</f>
        <v>0</v>
      </c>
      <c r="AB1591" s="106">
        <f>SUMIF($L:$L,$C1591,AB:AB)</f>
        <v>-1495.0308200000002</v>
      </c>
      <c r="AC1591" s="106">
        <f>SUMIF($L:$L,$C1591,AC:AC)</f>
        <v>-1586.61277</v>
      </c>
      <c r="AD1591" s="106">
        <f>SUMIF($L:$L,$C1591,AD:AD)</f>
        <v>-1398.69705</v>
      </c>
      <c r="AE1591" s="106">
        <f>SUMIF($L:$L,$C1591,AE:AE)</f>
        <v>-1309.85257</v>
      </c>
      <c r="AF1591" s="106">
        <f>SUMIF($L:$L,$C1591,AF:AF)</f>
        <v>-1211.75128</v>
      </c>
      <c r="AG1591" s="106">
        <f>SUMIF($L:$L,$C1591,AG:AG)</f>
        <v>-1248.2418899999998</v>
      </c>
      <c r="AH1591" s="106">
        <f>SUMIF($L:$L,$C1591,AH:AH)</f>
        <v>-1483.7414899999999</v>
      </c>
      <c r="AI1591" s="106">
        <f>SUMIF($L:$L,$C1591,AI:AI)</f>
        <v>-1414.40852</v>
      </c>
      <c r="AJ1591" s="106">
        <f>SUMIF($L:$L,$C1591,AJ:AJ)</f>
        <v>-1349.22036</v>
      </c>
      <c r="AK1591" s="106">
        <f>SUMIF($L:$L,$C1591,AK:AK)</f>
        <v>-1411.2447099999999</v>
      </c>
      <c r="AL1591" s="106">
        <f>SUMIF($L:$L,$C1591,AL:AL)</f>
        <v>-1369.1430800000001</v>
      </c>
      <c r="AM1591" s="106">
        <f>SUMIF($L:$L,$C1591,AM:AM)</f>
        <v>-1792.92292</v>
      </c>
      <c r="AN1591" s="106">
        <f>SUMIF($L:$L,$C1591,AN:AN)</f>
        <v>-1823.51007</v>
      </c>
      <c r="AO1591" s="106">
        <f>SUMIF($L:$L,$C1591,AO:AO)</f>
        <v>-1495.0308200000002</v>
      </c>
      <c r="AP1591" s="106"/>
      <c r="AQ1591" s="106"/>
      <c r="AR1591" s="106"/>
      <c r="AS1591" s="106"/>
      <c r="AT1591" s="106"/>
    </row>
    <row r="1592" spans="1:46">
      <c r="A1592" s="246"/>
      <c r="B1592" s="246"/>
      <c r="C1592" s="265" t="s">
        <v>1893</v>
      </c>
      <c r="D1592" s="246" t="s">
        <v>1891</v>
      </c>
      <c r="E1592" s="266"/>
      <c r="F1592" s="266"/>
      <c r="G1592" s="267" t="s">
        <v>1894</v>
      </c>
      <c r="H1592" s="249"/>
      <c r="I1592" s="273"/>
      <c r="J1592" s="273"/>
      <c r="K1592" s="249"/>
      <c r="L1592" s="269"/>
      <c r="M1592" s="270"/>
      <c r="N1592" s="271"/>
      <c r="O1592" s="271"/>
      <c r="P1592" s="269"/>
      <c r="Q1592" s="272"/>
      <c r="R1592" s="270"/>
      <c r="S1592" s="270"/>
      <c r="T1592" s="270"/>
      <c r="U1592" s="106">
        <f>SUMIF($L:$L,$C1592,U:U)</f>
        <v>286172.80610470212</v>
      </c>
      <c r="V1592" s="106">
        <f>SUMIF($L:$L,$C1592,V:V)</f>
        <v>87400.880897797499</v>
      </c>
      <c r="W1592" s="106">
        <f>SUMIF($L:$L,$C1592,W:W)</f>
        <v>0</v>
      </c>
      <c r="X1592" s="106">
        <f>SUMIF($L:$L,$C1592,X:X)</f>
        <v>373573.68700250034</v>
      </c>
      <c r="Y1592" s="106">
        <f>SUMIF($L:$L,$C1592,Y:Y)</f>
        <v>288308.95568679174</v>
      </c>
      <c r="Z1592" s="106">
        <f>SUMIF($L:$L,$C1592,Z:Z)</f>
        <v>114071.09694320834</v>
      </c>
      <c r="AA1592" s="106">
        <f>SUMIF($L:$L,$C1592,AA:AA)</f>
        <v>0</v>
      </c>
      <c r="AB1592" s="106">
        <f>SUMIF($L:$L,$C1592,AB:AB)</f>
        <v>402380.05262999999</v>
      </c>
      <c r="AC1592" s="106">
        <f>SUMIF($L:$L,$C1592,AC:AC)</f>
        <v>375268.50039000018</v>
      </c>
      <c r="AD1592" s="106">
        <f>SUMIF($L:$L,$C1592,AD:AD)</f>
        <v>388324.51245000015</v>
      </c>
      <c r="AE1592" s="106">
        <f>SUMIF($L:$L,$C1592,AE:AE)</f>
        <v>388986.58938000008</v>
      </c>
      <c r="AF1592" s="106">
        <f>SUMIF($L:$L,$C1592,AF:AF)</f>
        <v>377822.75021000009</v>
      </c>
      <c r="AG1592" s="106">
        <f>SUMIF($L:$L,$C1592,AG:AG)</f>
        <v>373794.8057599999</v>
      </c>
      <c r="AH1592" s="106">
        <f>SUMIF($L:$L,$C1592,AH:AH)</f>
        <v>368521.31166000012</v>
      </c>
      <c r="AI1592" s="106">
        <f>SUMIF($L:$L,$C1592,AI:AI)</f>
        <v>359710.96939000004</v>
      </c>
      <c r="AJ1592" s="106">
        <f>SUMIF($L:$L,$C1592,AJ:AJ)</f>
        <v>378069.30653999996</v>
      </c>
      <c r="AK1592" s="106">
        <f>SUMIF($L:$L,$C1592,AK:AK)</f>
        <v>369832.33207999991</v>
      </c>
      <c r="AL1592" s="106">
        <f>SUMIF($L:$L,$C1592,AL:AL)</f>
        <v>360144.39778000006</v>
      </c>
      <c r="AM1592" s="106">
        <f>SUMIF($L:$L,$C1592,AM:AM)</f>
        <v>365016.15829999989</v>
      </c>
      <c r="AN1592" s="106">
        <f>SUMIF($L:$L,$C1592,AN:AN)</f>
        <v>363836.8339699998</v>
      </c>
      <c r="AO1592" s="106">
        <f>SUMIF($L:$L,$C1592,AO:AO)</f>
        <v>402380.05262999999</v>
      </c>
      <c r="AP1592" s="106"/>
      <c r="AQ1592" s="106"/>
      <c r="AR1592" s="106"/>
      <c r="AS1592" s="106"/>
      <c r="AT1592" s="106"/>
    </row>
    <row r="1593" spans="1:46">
      <c r="A1593" s="246"/>
      <c r="B1593" s="246"/>
      <c r="C1593" s="265" t="s">
        <v>1895</v>
      </c>
      <c r="D1593" s="246" t="s">
        <v>1891</v>
      </c>
      <c r="E1593" s="266"/>
      <c r="F1593" s="266"/>
      <c r="G1593" s="267" t="s">
        <v>453</v>
      </c>
      <c r="H1593" s="249"/>
      <c r="I1593" s="273"/>
      <c r="J1593" s="273"/>
      <c r="K1593" s="249"/>
      <c r="L1593" s="269"/>
      <c r="M1593" s="270"/>
      <c r="N1593" s="271"/>
      <c r="O1593" s="271"/>
      <c r="P1593" s="269"/>
      <c r="Q1593" s="272"/>
      <c r="R1593" s="270"/>
      <c r="S1593" s="270"/>
      <c r="T1593" s="270"/>
      <c r="U1593" s="106">
        <f>SUMIF($L:$L,$C1593,U:U)</f>
        <v>-533292.43936275435</v>
      </c>
      <c r="V1593" s="106">
        <f>SUMIF($L:$L,$C1593,V:V)</f>
        <v>-194516.17532057897</v>
      </c>
      <c r="W1593" s="106">
        <f>SUMIF($L:$L,$C1593,W:W)</f>
        <v>0</v>
      </c>
      <c r="X1593" s="106">
        <f>SUMIF($L:$L,$C1593,X:X)</f>
        <v>-727808.61468333344</v>
      </c>
      <c r="Y1593" s="106">
        <f>SUMIF($L:$L,$C1593,Y:Y)</f>
        <v>-542750.66414484533</v>
      </c>
      <c r="Z1593" s="106">
        <f>SUMIF($L:$L,$C1593,Z:Z)</f>
        <v>-191391.89750515448</v>
      </c>
      <c r="AA1593" s="106">
        <f>SUMIF($L:$L,$C1593,AA:AA)</f>
        <v>0</v>
      </c>
      <c r="AB1593" s="106">
        <f>SUMIF($L:$L,$C1593,AB:AB)</f>
        <v>-734142.56165000051</v>
      </c>
      <c r="AC1593" s="106">
        <f>SUMIF($L:$L,$C1593,AC:AC)</f>
        <v>-730035.90341000026</v>
      </c>
      <c r="AD1593" s="106">
        <f>SUMIF($L:$L,$C1593,AD:AD)</f>
        <v>-738116.67563999991</v>
      </c>
      <c r="AE1593" s="106">
        <f>SUMIF($L:$L,$C1593,AE:AE)</f>
        <v>-738263.0155900002</v>
      </c>
      <c r="AF1593" s="106">
        <f>SUMIF($L:$L,$C1593,AF:AF)</f>
        <v>-736069.60609999986</v>
      </c>
      <c r="AG1593" s="106">
        <f>SUMIF($L:$L,$C1593,AG:AG)</f>
        <v>-730115.19332000031</v>
      </c>
      <c r="AH1593" s="106">
        <f>SUMIF($L:$L,$C1593,AH:AH)</f>
        <v>-727553.74678000028</v>
      </c>
      <c r="AI1593" s="106">
        <f>SUMIF($L:$L,$C1593,AI:AI)</f>
        <v>-711431.74975000077</v>
      </c>
      <c r="AJ1593" s="106">
        <f>SUMIF($L:$L,$C1593,AJ:AJ)</f>
        <v>-716103.48695000028</v>
      </c>
      <c r="AK1593" s="106">
        <f>SUMIF($L:$L,$C1593,AK:AK)</f>
        <v>-718033.15307000012</v>
      </c>
      <c r="AL1593" s="106">
        <f>SUMIF($L:$L,$C1593,AL:AL)</f>
        <v>-718341.50439000025</v>
      </c>
      <c r="AM1593" s="106">
        <f>SUMIF($L:$L,$C1593,AM:AM)</f>
        <v>-733925.53366000042</v>
      </c>
      <c r="AN1593" s="106">
        <f>SUMIF($L:$L,$C1593,AN:AN)</f>
        <v>-733660.47841999994</v>
      </c>
      <c r="AO1593" s="106">
        <f>SUMIF($L:$L,$C1593,AO:AO)</f>
        <v>-734142.56165000051</v>
      </c>
      <c r="AP1593" s="106"/>
      <c r="AQ1593" s="106"/>
      <c r="AR1593" s="106"/>
      <c r="AS1593" s="106"/>
      <c r="AT1593" s="106"/>
    </row>
    <row r="1594" spans="1:46">
      <c r="A1594" s="246"/>
      <c r="B1594" s="246"/>
      <c r="C1594" s="265" t="s">
        <v>454</v>
      </c>
      <c r="D1594" s="246" t="s">
        <v>1891</v>
      </c>
      <c r="E1594" s="266"/>
      <c r="F1594" s="266"/>
      <c r="G1594" s="267" t="s">
        <v>455</v>
      </c>
      <c r="H1594" s="249"/>
      <c r="I1594" s="273"/>
      <c r="J1594" s="273"/>
      <c r="K1594" s="249"/>
      <c r="L1594" s="269"/>
      <c r="M1594" s="270"/>
      <c r="N1594" s="271"/>
      <c r="O1594" s="271"/>
      <c r="P1594" s="269"/>
      <c r="Q1594" s="272"/>
      <c r="R1594" s="270"/>
      <c r="S1594" s="270"/>
      <c r="T1594" s="270"/>
      <c r="U1594" s="106">
        <f>SUMIF($L:$L,$C1594,U:U)</f>
        <v>-14721.00654</v>
      </c>
      <c r="V1594" s="106">
        <f>SUMIF($L:$L,$C1594,V:V)</f>
        <v>-738.62359583333398</v>
      </c>
      <c r="W1594" s="106">
        <f>SUMIF($L:$L,$C1594,W:W)</f>
        <v>0</v>
      </c>
      <c r="X1594" s="106">
        <f>SUMIF($L:$L,$C1594,X:X)</f>
        <v>-15459.630135833335</v>
      </c>
      <c r="Y1594" s="106">
        <f>SUMIF($L:$L,$C1594,Y:Y)</f>
        <v>-14452.00654</v>
      </c>
      <c r="Z1594" s="106">
        <f>SUMIF($L:$L,$C1594,Z:Z)</f>
        <v>-663.06804</v>
      </c>
      <c r="AA1594" s="106">
        <f>SUMIF($L:$L,$C1594,AA:AA)</f>
        <v>0</v>
      </c>
      <c r="AB1594" s="106">
        <f>SUMIF($L:$L,$C1594,AB:AB)</f>
        <v>-15115.07458000001</v>
      </c>
      <c r="AC1594" s="106">
        <f>SUMIF($L:$L,$C1594,AC:AC)</f>
        <v>-15802.07458000001</v>
      </c>
      <c r="AD1594" s="106">
        <f>SUMIF($L:$L,$C1594,AD:AD)</f>
        <v>-15745.407920000011</v>
      </c>
      <c r="AE1594" s="106">
        <f>SUMIF($L:$L,$C1594,AE:AE)</f>
        <v>-15688.741240000012</v>
      </c>
      <c r="AF1594" s="106">
        <f>SUMIF($L:$L,$C1594,AF:AF)</f>
        <v>-15632.07458000001</v>
      </c>
      <c r="AG1594" s="106">
        <f>SUMIF($L:$L,$C1594,AG:AG)</f>
        <v>-15574.74125000001</v>
      </c>
      <c r="AH1594" s="106">
        <f>SUMIF($L:$L,$C1594,AH:AH)</f>
        <v>-15517.907910000011</v>
      </c>
      <c r="AI1594" s="106">
        <f>SUMIF($L:$L,$C1594,AI:AI)</f>
        <v>-15461.07458000001</v>
      </c>
      <c r="AJ1594" s="106">
        <f>SUMIF($L:$L,$C1594,AJ:AJ)</f>
        <v>-15404.24125000001</v>
      </c>
      <c r="AK1594" s="106">
        <f>SUMIF($L:$L,$C1594,AK:AK)</f>
        <v>-15344.074580000011</v>
      </c>
      <c r="AL1594" s="106">
        <f>SUMIF($L:$L,$C1594,AL:AL)</f>
        <v>-15286.824579999999</v>
      </c>
      <c r="AM1594" s="106">
        <f>SUMIF($L:$L,$C1594,AM:AM)</f>
        <v>-15229.574580000011</v>
      </c>
      <c r="AN1594" s="106">
        <f>SUMIF($L:$L,$C1594,AN:AN)</f>
        <v>-15172.324580000011</v>
      </c>
      <c r="AO1594" s="106">
        <f>SUMIF($L:$L,$C1594,AO:AO)</f>
        <v>-15115.07458000001</v>
      </c>
      <c r="AP1594" s="106"/>
      <c r="AQ1594" s="106"/>
      <c r="AR1594" s="106"/>
      <c r="AS1594" s="106"/>
      <c r="AT1594" s="106"/>
    </row>
    <row r="1595" spans="1:46">
      <c r="A1595" s="246"/>
      <c r="B1595" s="246"/>
      <c r="C1595" s="265" t="s">
        <v>456</v>
      </c>
      <c r="D1595" s="246" t="s">
        <v>1891</v>
      </c>
      <c r="E1595" s="266"/>
      <c r="F1595" s="266"/>
      <c r="G1595" s="267" t="s">
        <v>1816</v>
      </c>
      <c r="H1595" s="249"/>
      <c r="I1595" s="273"/>
      <c r="J1595" s="273"/>
      <c r="K1595" s="249"/>
      <c r="L1595" s="269"/>
      <c r="M1595" s="270"/>
      <c r="N1595" s="271"/>
      <c r="O1595" s="271"/>
      <c r="P1595" s="269"/>
      <c r="Q1595" s="272"/>
      <c r="R1595" s="270"/>
      <c r="S1595" s="270"/>
      <c r="T1595" s="270"/>
      <c r="U1595" s="106">
        <f>SUMIF($L:$L,$C1595,U:U)</f>
        <v>0</v>
      </c>
      <c r="V1595" s="106">
        <f>SUMIF($L:$L,$C1595,V:V)</f>
        <v>0</v>
      </c>
      <c r="W1595" s="106">
        <f>SUMIF($L:$L,$C1595,W:W)</f>
        <v>0</v>
      </c>
      <c r="X1595" s="106">
        <f>SUMIF($L:$L,$C1595,X:X)</f>
        <v>0</v>
      </c>
      <c r="Y1595" s="106">
        <f>SUMIF($L:$L,$C1595,Y:Y)</f>
        <v>0</v>
      </c>
      <c r="Z1595" s="106">
        <f>SUMIF($L:$L,$C1595,Z:Z)</f>
        <v>0</v>
      </c>
      <c r="AA1595" s="106">
        <f>SUMIF($L:$L,$C1595,AA:AA)</f>
        <v>0</v>
      </c>
      <c r="AB1595" s="106">
        <f>SUMIF($L:$L,$C1595,AB:AB)</f>
        <v>0</v>
      </c>
      <c r="AC1595" s="106">
        <f>SUMIF($L:$L,$C1595,AC:AC)</f>
        <v>0</v>
      </c>
      <c r="AD1595" s="106">
        <f>SUMIF($L:$L,$C1595,AD:AD)</f>
        <v>0</v>
      </c>
      <c r="AE1595" s="106">
        <f>SUMIF($L:$L,$C1595,AE:AE)</f>
        <v>0</v>
      </c>
      <c r="AF1595" s="106">
        <f>SUMIF($L:$L,$C1595,AF:AF)</f>
        <v>0</v>
      </c>
      <c r="AG1595" s="106">
        <f>SUMIF($L:$L,$C1595,AG:AG)</f>
        <v>0</v>
      </c>
      <c r="AH1595" s="106">
        <f>SUMIF($L:$L,$C1595,AH:AH)</f>
        <v>0</v>
      </c>
      <c r="AI1595" s="106">
        <f>SUMIF($L:$L,$C1595,AI:AI)</f>
        <v>0</v>
      </c>
      <c r="AJ1595" s="106">
        <f>SUMIF($L:$L,$C1595,AJ:AJ)</f>
        <v>0</v>
      </c>
      <c r="AK1595" s="106">
        <f>SUMIF($L:$L,$C1595,AK:AK)</f>
        <v>0</v>
      </c>
      <c r="AL1595" s="106">
        <f>SUMIF($L:$L,$C1595,AL:AL)</f>
        <v>0</v>
      </c>
      <c r="AM1595" s="106">
        <f>SUMIF($L:$L,$C1595,AM:AM)</f>
        <v>0</v>
      </c>
      <c r="AN1595" s="106">
        <f>SUMIF($L:$L,$C1595,AN:AN)</f>
        <v>0</v>
      </c>
      <c r="AO1595" s="106">
        <f>SUMIF($L:$L,$C1595,AO:AO)</f>
        <v>0</v>
      </c>
      <c r="AP1595" s="106"/>
      <c r="AQ1595" s="106"/>
      <c r="AR1595" s="106"/>
      <c r="AS1595" s="106"/>
      <c r="AT1595" s="106"/>
    </row>
    <row r="1596" spans="1:46" ht="3.75" customHeight="1">
      <c r="A1596" s="246"/>
      <c r="B1596" s="246"/>
      <c r="C1596" s="265"/>
      <c r="D1596" s="246"/>
      <c r="E1596" s="266"/>
      <c r="F1596" s="266"/>
      <c r="G1596" s="267"/>
      <c r="H1596" s="249"/>
      <c r="I1596" s="273"/>
      <c r="J1596" s="273"/>
      <c r="K1596" s="249"/>
      <c r="L1596" s="269"/>
      <c r="M1596" s="270"/>
      <c r="N1596" s="271"/>
      <c r="O1596" s="271"/>
      <c r="P1596" s="269"/>
      <c r="Q1596" s="272"/>
      <c r="R1596" s="270"/>
      <c r="S1596" s="270"/>
      <c r="T1596" s="270"/>
      <c r="U1596" s="274">
        <v>0</v>
      </c>
      <c r="V1596" s="274">
        <v>0</v>
      </c>
      <c r="W1596" s="274">
        <v>0</v>
      </c>
      <c r="X1596" s="274">
        <v>0</v>
      </c>
      <c r="Y1596" s="274">
        <v>0</v>
      </c>
      <c r="Z1596" s="274">
        <v>0</v>
      </c>
      <c r="AA1596" s="274">
        <v>0</v>
      </c>
      <c r="AB1596" s="274">
        <v>0</v>
      </c>
      <c r="AC1596" s="274">
        <v>0</v>
      </c>
      <c r="AD1596" s="274">
        <v>0</v>
      </c>
      <c r="AE1596" s="274">
        <v>0</v>
      </c>
      <c r="AF1596" s="274">
        <v>0</v>
      </c>
      <c r="AG1596" s="274">
        <v>0</v>
      </c>
      <c r="AH1596" s="274">
        <v>0</v>
      </c>
      <c r="AI1596" s="274">
        <v>0</v>
      </c>
      <c r="AJ1596" s="274">
        <v>0</v>
      </c>
      <c r="AK1596" s="274">
        <v>0</v>
      </c>
      <c r="AL1596" s="274">
        <v>0</v>
      </c>
      <c r="AM1596" s="274">
        <v>0</v>
      </c>
      <c r="AN1596" s="274">
        <v>0</v>
      </c>
      <c r="AO1596" s="274">
        <v>0</v>
      </c>
      <c r="AP1596" s="106"/>
      <c r="AQ1596" s="106"/>
      <c r="AR1596" s="106"/>
      <c r="AS1596" s="106"/>
      <c r="AT1596" s="106"/>
    </row>
    <row r="1597" spans="1:46">
      <c r="A1597" s="246"/>
      <c r="B1597" s="246"/>
      <c r="C1597" s="214"/>
      <c r="D1597" s="246"/>
      <c r="E1597" s="266"/>
      <c r="F1597" s="266"/>
      <c r="G1597" s="267"/>
      <c r="H1597" s="249"/>
      <c r="I1597" s="273"/>
      <c r="J1597" s="273"/>
      <c r="K1597" s="249"/>
      <c r="L1597" s="215"/>
      <c r="M1597" s="249"/>
      <c r="N1597" s="254"/>
      <c r="O1597" s="254"/>
      <c r="P1597" s="215"/>
      <c r="Q1597" s="255"/>
      <c r="R1597" s="249"/>
      <c r="S1597" s="249"/>
      <c r="T1597" s="249"/>
      <c r="U1597" s="106"/>
      <c r="V1597" s="106"/>
      <c r="W1597" s="106"/>
      <c r="X1597" s="106"/>
      <c r="Y1597" s="106"/>
      <c r="Z1597" s="106"/>
      <c r="AA1597" s="106"/>
      <c r="AB1597" s="106"/>
      <c r="AC1597" s="106"/>
      <c r="AD1597" s="106"/>
      <c r="AE1597" s="106"/>
      <c r="AF1597" s="106"/>
      <c r="AG1597" s="106"/>
      <c r="AH1597" s="106"/>
      <c r="AI1597" s="106"/>
      <c r="AJ1597" s="106"/>
      <c r="AK1597" s="106"/>
      <c r="AL1597" s="106"/>
      <c r="AM1597" s="106"/>
      <c r="AN1597" s="106"/>
      <c r="AO1597" s="106"/>
      <c r="AP1597" s="248"/>
      <c r="AQ1597" s="248"/>
      <c r="AR1597" s="248"/>
      <c r="AS1597" s="248"/>
      <c r="AT1597" s="248"/>
    </row>
    <row r="1598" spans="1:46">
      <c r="A1598" s="246"/>
      <c r="B1598" s="246"/>
      <c r="C1598" s="246" t="s">
        <v>1179</v>
      </c>
      <c r="D1598" s="246"/>
      <c r="E1598" s="266"/>
      <c r="F1598" s="266"/>
      <c r="G1598" s="267"/>
      <c r="H1598" s="249"/>
      <c r="I1598" s="273"/>
      <c r="J1598" s="273"/>
      <c r="K1598" s="249"/>
      <c r="L1598" s="215"/>
      <c r="M1598" s="249"/>
      <c r="N1598" s="254"/>
      <c r="O1598" s="254"/>
      <c r="P1598" s="215"/>
      <c r="Q1598" s="255"/>
      <c r="R1598" s="249"/>
      <c r="S1598" s="249"/>
      <c r="T1598" s="249"/>
      <c r="U1598" s="106">
        <f t="shared" ref="U1598:AB1598" si="636">SUM(U1582:U1597)</f>
        <v>1771831.5705365192</v>
      </c>
      <c r="V1598" s="106">
        <f t="shared" si="636"/>
        <v>513033.50614681118</v>
      </c>
      <c r="W1598" s="106">
        <f t="shared" si="636"/>
        <v>-248.70714583333299</v>
      </c>
      <c r="X1598" s="106">
        <f t="shared" si="636"/>
        <v>2284616.3695374988</v>
      </c>
      <c r="Y1598" s="106">
        <f t="shared" si="636"/>
        <v>1820647.1108363126</v>
      </c>
      <c r="Z1598" s="106">
        <f t="shared" si="636"/>
        <v>568606.98241368809</v>
      </c>
      <c r="AA1598" s="106">
        <f t="shared" si="636"/>
        <v>0</v>
      </c>
      <c r="AB1598" s="106">
        <f t="shared" si="636"/>
        <v>2389254.0932500004</v>
      </c>
      <c r="AC1598" s="106">
        <f t="shared" ref="AC1598:AO1598" si="637">SUM(AC1582:AC1597)</f>
        <v>2235461.5288500017</v>
      </c>
      <c r="AD1598" s="106">
        <f t="shared" si="637"/>
        <v>2255267.5915300013</v>
      </c>
      <c r="AE1598" s="106">
        <f t="shared" si="637"/>
        <v>2239019.7325700014</v>
      </c>
      <c r="AF1598" s="106">
        <f t="shared" si="637"/>
        <v>2240572.104110003</v>
      </c>
      <c r="AG1598" s="106">
        <f t="shared" si="637"/>
        <v>2245744.5379400011</v>
      </c>
      <c r="AH1598" s="106">
        <f t="shared" si="637"/>
        <v>2244560.7773099998</v>
      </c>
      <c r="AI1598" s="106">
        <f t="shared" si="637"/>
        <v>2259198.5063400003</v>
      </c>
      <c r="AJ1598" s="106">
        <f t="shared" si="637"/>
        <v>2282866.9091399997</v>
      </c>
      <c r="AK1598" s="106">
        <f t="shared" si="637"/>
        <v>2289287.9277600013</v>
      </c>
      <c r="AL1598" s="106">
        <f t="shared" si="637"/>
        <v>2347750.7999800001</v>
      </c>
      <c r="AM1598" s="106">
        <f t="shared" si="637"/>
        <v>2350207.1567100007</v>
      </c>
      <c r="AN1598" s="106">
        <f t="shared" si="637"/>
        <v>2348562.5800099983</v>
      </c>
      <c r="AO1598" s="106">
        <f t="shared" si="637"/>
        <v>2389254.0932500004</v>
      </c>
      <c r="AP1598" s="248"/>
      <c r="AQ1598" s="248"/>
      <c r="AR1598" s="248"/>
      <c r="AS1598" s="248"/>
      <c r="AT1598" s="248"/>
    </row>
    <row r="1599" spans="1:46" s="262" customFormat="1" ht="12.75" customHeight="1">
      <c r="A1599" s="275"/>
      <c r="B1599" s="246"/>
      <c r="C1599" s="256"/>
      <c r="D1599" s="214"/>
      <c r="E1599" s="215"/>
      <c r="F1599" s="215"/>
      <c r="G1599" s="248"/>
      <c r="H1599" s="249"/>
      <c r="I1599" s="253"/>
      <c r="J1599" s="253"/>
      <c r="K1599" s="249"/>
      <c r="L1599" s="215"/>
      <c r="M1599" s="249"/>
      <c r="N1599" s="254"/>
      <c r="O1599" s="254"/>
      <c r="P1599" s="215"/>
      <c r="Q1599" s="247"/>
      <c r="R1599" s="249"/>
      <c r="S1599" s="249"/>
      <c r="T1599" s="249"/>
      <c r="U1599" s="274"/>
      <c r="V1599" s="274"/>
      <c r="W1599" s="274"/>
      <c r="X1599" s="274"/>
      <c r="Y1599" s="274"/>
      <c r="Z1599" s="274"/>
      <c r="AA1599" s="274"/>
      <c r="AB1599" s="274"/>
      <c r="AC1599" s="261"/>
      <c r="AD1599" s="261"/>
      <c r="AE1599" s="261"/>
      <c r="AF1599" s="261"/>
      <c r="AG1599" s="261"/>
      <c r="AH1599" s="261"/>
      <c r="AI1599" s="261"/>
      <c r="AJ1599" s="261"/>
      <c r="AK1599" s="261"/>
      <c r="AL1599" s="261"/>
      <c r="AM1599" s="261"/>
      <c r="AN1599" s="261"/>
      <c r="AO1599" s="261"/>
      <c r="AS1599" s="248"/>
    </row>
    <row r="1600" spans="1:46">
      <c r="A1600" s="246"/>
      <c r="B1600" s="246"/>
      <c r="C1600" s="256"/>
      <c r="D1600" s="214"/>
      <c r="E1600" s="215"/>
      <c r="F1600" s="215"/>
      <c r="G1600" s="248"/>
      <c r="H1600" s="249"/>
      <c r="I1600" s="253"/>
      <c r="J1600" s="253"/>
      <c r="K1600" s="249"/>
      <c r="L1600" s="215"/>
      <c r="M1600" s="249"/>
      <c r="N1600" s="254"/>
      <c r="O1600" s="254"/>
      <c r="P1600" s="215"/>
      <c r="Q1600" s="247"/>
      <c r="R1600" s="249"/>
      <c r="S1600" s="249"/>
      <c r="T1600" s="249"/>
      <c r="U1600" s="106"/>
      <c r="V1600" s="106"/>
      <c r="W1600" s="106"/>
      <c r="X1600" s="106"/>
      <c r="Y1600" s="106"/>
      <c r="Z1600" s="106"/>
      <c r="AA1600" s="106"/>
      <c r="AB1600" s="106"/>
      <c r="AC1600" s="106"/>
      <c r="AD1600" s="106"/>
      <c r="AE1600" s="106"/>
      <c r="AF1600" s="106"/>
      <c r="AG1600" s="106"/>
      <c r="AH1600" s="106"/>
      <c r="AI1600" s="106"/>
      <c r="AJ1600" s="106"/>
      <c r="AK1600" s="106"/>
      <c r="AL1600" s="106"/>
      <c r="AM1600" s="106"/>
      <c r="AN1600" s="106"/>
      <c r="AO1600" s="106"/>
      <c r="AP1600" s="248"/>
      <c r="AQ1600" s="248"/>
      <c r="AR1600" s="248"/>
      <c r="AS1600" s="248"/>
      <c r="AT1600" s="248"/>
    </row>
    <row r="1601" spans="1:46">
      <c r="A1601" s="246"/>
      <c r="B1601" s="246"/>
      <c r="C1601" s="256"/>
      <c r="D1601" s="214"/>
      <c r="E1601" s="215"/>
      <c r="F1601" s="215"/>
      <c r="G1601" s="248"/>
      <c r="H1601" s="249"/>
      <c r="I1601" s="253"/>
      <c r="J1601" s="253"/>
      <c r="K1601" s="249"/>
      <c r="L1601" s="215"/>
      <c r="M1601" s="249"/>
      <c r="N1601" s="254"/>
      <c r="O1601" s="254"/>
      <c r="P1601" s="215"/>
      <c r="Q1601" s="247"/>
      <c r="R1601" s="249"/>
      <c r="S1601" s="249"/>
      <c r="T1601" s="249"/>
      <c r="U1601" s="263"/>
      <c r="V1601" s="263"/>
      <c r="W1601" s="263"/>
      <c r="X1601" s="263"/>
      <c r="Y1601" s="263"/>
      <c r="Z1601" s="263"/>
      <c r="AA1601" s="263"/>
      <c r="AB1601" s="263"/>
      <c r="AC1601" s="263"/>
      <c r="AD1601" s="263"/>
      <c r="AE1601" s="263"/>
      <c r="AF1601" s="263"/>
      <c r="AG1601" s="263"/>
      <c r="AH1601" s="263"/>
      <c r="AI1601" s="263"/>
      <c r="AJ1601" s="263"/>
      <c r="AK1601" s="263"/>
      <c r="AL1601" s="263"/>
      <c r="AM1601" s="263"/>
      <c r="AN1601" s="263"/>
      <c r="AO1601" s="263"/>
      <c r="AP1601" s="264"/>
      <c r="AQ1601" s="264"/>
      <c r="AR1601" s="264"/>
      <c r="AS1601" s="248"/>
      <c r="AT1601" s="264"/>
    </row>
    <row r="1602" spans="1:46">
      <c r="A1602" s="246"/>
      <c r="B1602" s="246"/>
      <c r="C1602" s="256"/>
      <c r="D1602" s="214"/>
      <c r="E1602" s="215"/>
      <c r="F1602" s="215"/>
      <c r="G1602" s="248"/>
      <c r="H1602" s="249"/>
      <c r="I1602" s="253"/>
      <c r="J1602" s="253"/>
      <c r="K1602" s="249"/>
      <c r="L1602" s="215"/>
      <c r="M1602" s="249"/>
      <c r="N1602" s="254"/>
      <c r="O1602" s="254"/>
      <c r="P1602" s="215"/>
      <c r="Q1602" s="255"/>
      <c r="R1602" s="249"/>
      <c r="S1602" s="249"/>
      <c r="T1602" s="249"/>
      <c r="U1602" s="106"/>
      <c r="V1602" s="106"/>
      <c r="W1602" s="106"/>
      <c r="X1602" s="106"/>
      <c r="Y1602" s="106"/>
      <c r="Z1602" s="106"/>
      <c r="AA1602" s="106"/>
      <c r="AB1602" s="106"/>
      <c r="AC1602" s="106"/>
      <c r="AD1602" s="106"/>
      <c r="AE1602" s="106"/>
      <c r="AF1602" s="106"/>
      <c r="AG1602" s="106"/>
      <c r="AH1602" s="106"/>
      <c r="AI1602" s="106"/>
      <c r="AJ1602" s="106"/>
      <c r="AK1602" s="106"/>
      <c r="AL1602" s="106"/>
      <c r="AM1602" s="106"/>
      <c r="AN1602" s="106"/>
      <c r="AO1602" s="106"/>
      <c r="AP1602" s="248"/>
      <c r="AQ1602" s="248"/>
      <c r="AR1602" s="248"/>
      <c r="AS1602" s="248"/>
      <c r="AT1602" s="248"/>
    </row>
    <row r="1603" spans="1:46">
      <c r="A1603" s="246"/>
      <c r="B1603" s="246"/>
      <c r="C1603" s="256"/>
      <c r="D1603" s="214"/>
      <c r="E1603" s="215"/>
      <c r="F1603" s="215"/>
      <c r="G1603" s="248"/>
      <c r="H1603" s="249"/>
      <c r="I1603" s="253"/>
      <c r="J1603" s="253"/>
      <c r="K1603" s="249"/>
      <c r="L1603" s="215"/>
      <c r="M1603" s="249"/>
      <c r="N1603" s="254"/>
      <c r="O1603" s="254"/>
      <c r="P1603" s="215"/>
      <c r="Q1603" s="247"/>
      <c r="R1603" s="249"/>
      <c r="S1603" s="249"/>
      <c r="T1603" s="249"/>
      <c r="U1603" s="106"/>
      <c r="V1603" s="106"/>
      <c r="W1603" s="106"/>
      <c r="X1603" s="106"/>
      <c r="Y1603" s="106"/>
      <c r="Z1603" s="106"/>
      <c r="AA1603" s="106"/>
      <c r="AB1603" s="106"/>
      <c r="AC1603" s="106"/>
      <c r="AD1603" s="106"/>
      <c r="AE1603" s="106"/>
      <c r="AF1603" s="106"/>
      <c r="AG1603" s="106"/>
      <c r="AH1603" s="106"/>
      <c r="AI1603" s="106"/>
      <c r="AJ1603" s="106"/>
      <c r="AK1603" s="106"/>
      <c r="AL1603" s="106"/>
      <c r="AM1603" s="106"/>
      <c r="AN1603" s="106"/>
      <c r="AO1603" s="106"/>
      <c r="AP1603" s="248"/>
      <c r="AQ1603" s="248"/>
      <c r="AR1603" s="248"/>
      <c r="AS1603" s="248"/>
      <c r="AT1603" s="248"/>
    </row>
    <row r="1604" spans="1:46">
      <c r="A1604" s="246"/>
      <c r="B1604" s="246"/>
      <c r="C1604" s="256"/>
      <c r="D1604" s="214"/>
      <c r="E1604" s="215"/>
      <c r="F1604" s="215"/>
      <c r="G1604" s="248"/>
      <c r="H1604" s="249"/>
      <c r="I1604" s="253"/>
      <c r="J1604" s="253"/>
      <c r="K1604" s="249"/>
      <c r="L1604" s="215"/>
      <c r="M1604" s="249"/>
      <c r="N1604" s="254"/>
      <c r="O1604" s="254"/>
      <c r="P1604" s="215"/>
      <c r="Q1604" s="247"/>
      <c r="R1604" s="249"/>
      <c r="S1604" s="249"/>
      <c r="T1604" s="249"/>
      <c r="U1604" s="106"/>
      <c r="V1604" s="106"/>
      <c r="W1604" s="106"/>
      <c r="X1604" s="106"/>
      <c r="Y1604" s="106"/>
      <c r="Z1604" s="106"/>
      <c r="AA1604" s="106"/>
      <c r="AB1604" s="106"/>
      <c r="AC1604" s="106"/>
      <c r="AD1604" s="106"/>
      <c r="AE1604" s="106"/>
      <c r="AF1604" s="106"/>
      <c r="AG1604" s="106"/>
      <c r="AH1604" s="106"/>
      <c r="AI1604" s="106"/>
      <c r="AJ1604" s="106"/>
      <c r="AK1604" s="106"/>
      <c r="AL1604" s="106"/>
      <c r="AM1604" s="106"/>
      <c r="AN1604" s="106"/>
      <c r="AO1604" s="106"/>
      <c r="AP1604" s="248"/>
      <c r="AQ1604" s="248"/>
      <c r="AR1604" s="248"/>
      <c r="AS1604" s="248"/>
      <c r="AT1604" s="248"/>
    </row>
    <row r="1605" spans="1:46">
      <c r="A1605" s="252"/>
      <c r="B1605" s="252" t="s">
        <v>1422</v>
      </c>
      <c r="C1605" s="214"/>
      <c r="D1605" s="246"/>
      <c r="E1605" s="266"/>
      <c r="F1605" s="266"/>
      <c r="G1605" s="267"/>
      <c r="H1605" s="249"/>
      <c r="I1605" s="273"/>
      <c r="J1605" s="273"/>
      <c r="K1605" s="249"/>
      <c r="L1605" s="215"/>
      <c r="M1605" s="249"/>
      <c r="N1605" s="254"/>
      <c r="O1605" s="254"/>
      <c r="P1605" s="215"/>
      <c r="Q1605" s="247"/>
      <c r="R1605" s="249"/>
      <c r="S1605" s="249"/>
      <c r="T1605" s="249"/>
      <c r="U1605" s="106"/>
      <c r="V1605" s="106"/>
      <c r="W1605" s="106"/>
      <c r="X1605" s="106"/>
      <c r="Y1605" s="106"/>
      <c r="Z1605" s="106"/>
      <c r="AA1605" s="106"/>
      <c r="AB1605" s="106"/>
      <c r="AC1605" s="106"/>
      <c r="AD1605" s="106"/>
      <c r="AE1605" s="106"/>
      <c r="AF1605" s="106"/>
      <c r="AG1605" s="106"/>
      <c r="AH1605" s="106"/>
      <c r="AI1605" s="106"/>
      <c r="AJ1605" s="106"/>
      <c r="AK1605" s="106"/>
      <c r="AL1605" s="106"/>
      <c r="AM1605" s="106"/>
      <c r="AN1605" s="106"/>
      <c r="AO1605" s="106"/>
      <c r="AP1605" s="248"/>
      <c r="AQ1605" s="248"/>
      <c r="AR1605" s="248"/>
      <c r="AS1605" s="248"/>
      <c r="AT1605" s="248"/>
    </row>
    <row r="1606" spans="1:46">
      <c r="A1606" s="246"/>
      <c r="B1606" s="246"/>
      <c r="C1606" s="265" t="s">
        <v>1421</v>
      </c>
      <c r="D1606" s="246" t="s">
        <v>1422</v>
      </c>
      <c r="E1606" s="266"/>
      <c r="F1606" s="266"/>
      <c r="G1606" s="267" t="s">
        <v>1423</v>
      </c>
      <c r="H1606" s="249"/>
      <c r="I1606" s="273"/>
      <c r="J1606" s="273"/>
      <c r="K1606" s="249"/>
      <c r="L1606" s="269"/>
      <c r="M1606" s="270"/>
      <c r="N1606" s="271"/>
      <c r="O1606" s="271"/>
      <c r="P1606" s="269"/>
      <c r="Q1606" s="276"/>
      <c r="R1606" s="270"/>
      <c r="S1606" s="270"/>
      <c r="T1606" s="270"/>
      <c r="U1606" s="106"/>
      <c r="V1606" s="106"/>
      <c r="W1606" s="106"/>
      <c r="X1606" s="106">
        <f>SUMIF($L:$L,$C1606,X:X)</f>
        <v>-880581.25</v>
      </c>
      <c r="Y1606" s="106"/>
      <c r="Z1606" s="106"/>
      <c r="AA1606" s="106"/>
      <c r="AB1606" s="106">
        <f>SUMIF($L:$L,$C1606,AB:AB)</f>
        <v>-878875</v>
      </c>
      <c r="AC1606" s="106">
        <f>SUMIF($L:$L,$C1606,AC:AC)</f>
        <v>-882025</v>
      </c>
      <c r="AD1606" s="106">
        <f>SUMIF($L:$L,$C1606,AD:AD)</f>
        <v>-882025</v>
      </c>
      <c r="AE1606" s="106">
        <f>SUMIF($L:$L,$C1606,AE:AE)</f>
        <v>-882025</v>
      </c>
      <c r="AF1606" s="106">
        <f>SUMIF($L:$L,$C1606,AF:AF)</f>
        <v>-882025</v>
      </c>
      <c r="AG1606" s="106">
        <f>SUMIF($L:$L,$C1606,AG:AG)</f>
        <v>-882025</v>
      </c>
      <c r="AH1606" s="106">
        <f>SUMIF($L:$L,$C1606,AH:AH)</f>
        <v>-882025</v>
      </c>
      <c r="AI1606" s="106">
        <f>SUMIF($L:$L,$C1606,AI:AI)</f>
        <v>-882025</v>
      </c>
      <c r="AJ1606" s="106">
        <f>SUMIF($L:$L,$C1606,AJ:AJ)</f>
        <v>-878875</v>
      </c>
      <c r="AK1606" s="106">
        <f>SUMIF($L:$L,$C1606,AK:AK)</f>
        <v>-878875</v>
      </c>
      <c r="AL1606" s="106">
        <f>SUMIF($L:$L,$C1606,AL:AL)</f>
        <v>-878875</v>
      </c>
      <c r="AM1606" s="106">
        <f>SUMIF($L:$L,$C1606,AM:AM)</f>
        <v>-878875</v>
      </c>
      <c r="AN1606" s="106">
        <f>SUMIF($L:$L,$C1606,AN:AN)</f>
        <v>-878875</v>
      </c>
      <c r="AO1606" s="106">
        <f>SUMIF($L:$L,$C1606,AO:AO)</f>
        <v>-878875</v>
      </c>
      <c r="AP1606" s="106"/>
      <c r="AQ1606" s="106"/>
      <c r="AR1606" s="106"/>
      <c r="AS1606" s="106"/>
      <c r="AT1606" s="106"/>
    </row>
    <row r="1607" spans="1:46">
      <c r="A1607" s="246"/>
      <c r="B1607" s="246"/>
      <c r="C1607" s="265" t="s">
        <v>207</v>
      </c>
      <c r="D1607" s="246" t="s">
        <v>1422</v>
      </c>
      <c r="E1607" s="266"/>
      <c r="F1607" s="266"/>
      <c r="G1607" s="267" t="s">
        <v>208</v>
      </c>
      <c r="H1607" s="249"/>
      <c r="I1607" s="273"/>
      <c r="J1607" s="273"/>
      <c r="K1607" s="249"/>
      <c r="L1607" s="269"/>
      <c r="M1607" s="270"/>
      <c r="N1607" s="271"/>
      <c r="O1607" s="271"/>
      <c r="P1607" s="269"/>
      <c r="Q1607" s="276"/>
      <c r="R1607" s="270"/>
      <c r="S1607" s="270"/>
      <c r="T1607" s="270"/>
      <c r="U1607" s="106"/>
      <c r="V1607" s="106"/>
      <c r="W1607" s="106"/>
      <c r="X1607" s="106">
        <f>SUMIF($L:$L,$C1607,X:X)</f>
        <v>1489.1038100000001</v>
      </c>
      <c r="Y1607" s="106"/>
      <c r="Z1607" s="106"/>
      <c r="AA1607" s="106"/>
      <c r="AB1607" s="106">
        <f>SUMIF($L:$L,$C1607,AB:AB)</f>
        <v>1387.0414099999998</v>
      </c>
      <c r="AC1607" s="106">
        <f>SUMIF($L:$L,$C1607,AC:AC)</f>
        <v>1591.1662099999999</v>
      </c>
      <c r="AD1607" s="106">
        <f>SUMIF($L:$L,$C1607,AD:AD)</f>
        <v>1574.15581</v>
      </c>
      <c r="AE1607" s="106">
        <f>SUMIF($L:$L,$C1607,AE:AE)</f>
        <v>1557.1454099999999</v>
      </c>
      <c r="AF1607" s="106">
        <f>SUMIF($L:$L,$C1607,AF:AF)</f>
        <v>1540.13501</v>
      </c>
      <c r="AG1607" s="106">
        <f>SUMIF($L:$L,$C1607,AG:AG)</f>
        <v>1523.1246100000001</v>
      </c>
      <c r="AH1607" s="106">
        <f>SUMIF($L:$L,$C1607,AH:AH)</f>
        <v>1506.11421</v>
      </c>
      <c r="AI1607" s="106">
        <f>SUMIF($L:$L,$C1607,AI:AI)</f>
        <v>1489.1038100000001</v>
      </c>
      <c r="AJ1607" s="106">
        <f>SUMIF($L:$L,$C1607,AJ:AJ)</f>
        <v>1472.0934099999999</v>
      </c>
      <c r="AK1607" s="106">
        <f>SUMIF($L:$L,$C1607,AK:AK)</f>
        <v>1455.0830100000001</v>
      </c>
      <c r="AL1607" s="106">
        <f>SUMIF($L:$L,$C1607,AL:AL)</f>
        <v>1438.0726100000002</v>
      </c>
      <c r="AM1607" s="106">
        <f>SUMIF($L:$L,$C1607,AM:AM)</f>
        <v>1421.0622100000001</v>
      </c>
      <c r="AN1607" s="106">
        <f>SUMIF($L:$L,$C1607,AN:AN)</f>
        <v>1404.0518100000002</v>
      </c>
      <c r="AO1607" s="106">
        <f>SUMIF($L:$L,$C1607,AO:AO)</f>
        <v>1387.0414099999998</v>
      </c>
      <c r="AP1607" s="106"/>
      <c r="AQ1607" s="106"/>
      <c r="AR1607" s="106"/>
      <c r="AS1607" s="106"/>
      <c r="AT1607" s="106"/>
    </row>
    <row r="1608" spans="1:46">
      <c r="A1608" s="246"/>
      <c r="B1608" s="246"/>
      <c r="C1608" s="265" t="s">
        <v>209</v>
      </c>
      <c r="D1608" s="246" t="s">
        <v>1422</v>
      </c>
      <c r="E1608" s="266"/>
      <c r="F1608" s="266"/>
      <c r="G1608" s="267" t="s">
        <v>210</v>
      </c>
      <c r="H1608" s="249"/>
      <c r="I1608" s="273"/>
      <c r="J1608" s="273"/>
      <c r="K1608" s="249"/>
      <c r="L1608" s="269"/>
      <c r="M1608" s="270"/>
      <c r="N1608" s="271"/>
      <c r="O1608" s="271"/>
      <c r="P1608" s="269"/>
      <c r="Q1608" s="276"/>
      <c r="R1608" s="270"/>
      <c r="S1608" s="270"/>
      <c r="T1608" s="270"/>
      <c r="U1608" s="106"/>
      <c r="V1608" s="106"/>
      <c r="W1608" s="106"/>
      <c r="X1608" s="106">
        <f>SUMIF($L:$L,$C1608,X:X)</f>
        <v>0</v>
      </c>
      <c r="Y1608" s="106"/>
      <c r="Z1608" s="106"/>
      <c r="AA1608" s="106"/>
      <c r="AB1608" s="106">
        <f>SUMIF($L:$L,$C1608,AB:AB)</f>
        <v>0</v>
      </c>
      <c r="AC1608" s="106">
        <f>SUMIF($L:$L,$C1608,AC:AC)</f>
        <v>0</v>
      </c>
      <c r="AD1608" s="106">
        <f>SUMIF($L:$L,$C1608,AD:AD)</f>
        <v>0</v>
      </c>
      <c r="AE1608" s="106">
        <f>SUMIF($L:$L,$C1608,AE:AE)</f>
        <v>0</v>
      </c>
      <c r="AF1608" s="106">
        <f>SUMIF($L:$L,$C1608,AF:AF)</f>
        <v>0</v>
      </c>
      <c r="AG1608" s="106">
        <f>SUMIF($L:$L,$C1608,AG:AG)</f>
        <v>0</v>
      </c>
      <c r="AH1608" s="106">
        <f>SUMIF($L:$L,$C1608,AH:AH)</f>
        <v>0</v>
      </c>
      <c r="AI1608" s="106">
        <f>SUMIF($L:$L,$C1608,AI:AI)</f>
        <v>0</v>
      </c>
      <c r="AJ1608" s="106">
        <f>SUMIF($L:$L,$C1608,AJ:AJ)</f>
        <v>0</v>
      </c>
      <c r="AK1608" s="106">
        <f>SUMIF($L:$L,$C1608,AK:AK)</f>
        <v>0</v>
      </c>
      <c r="AL1608" s="106">
        <f>SUMIF($L:$L,$C1608,AL:AL)</f>
        <v>0</v>
      </c>
      <c r="AM1608" s="106">
        <f>SUMIF($L:$L,$C1608,AM:AM)</f>
        <v>0</v>
      </c>
      <c r="AN1608" s="106">
        <f>SUMIF($L:$L,$C1608,AN:AN)</f>
        <v>0</v>
      </c>
      <c r="AO1608" s="106">
        <f>SUMIF($L:$L,$C1608,AO:AO)</f>
        <v>0</v>
      </c>
      <c r="AP1608" s="106"/>
      <c r="AQ1608" s="106"/>
      <c r="AR1608" s="106"/>
      <c r="AS1608" s="106"/>
      <c r="AT1608" s="106"/>
    </row>
    <row r="1609" spans="1:46">
      <c r="A1609" s="246"/>
      <c r="B1609" s="246"/>
      <c r="C1609" s="265" t="s">
        <v>211</v>
      </c>
      <c r="D1609" s="246" t="s">
        <v>1422</v>
      </c>
      <c r="E1609" s="266"/>
      <c r="F1609" s="266"/>
      <c r="G1609" s="267" t="s">
        <v>1731</v>
      </c>
      <c r="H1609" s="249"/>
      <c r="I1609" s="273"/>
      <c r="J1609" s="273"/>
      <c r="K1609" s="249"/>
      <c r="L1609" s="269"/>
      <c r="M1609" s="270"/>
      <c r="N1609" s="271"/>
      <c r="O1609" s="271"/>
      <c r="P1609" s="269"/>
      <c r="Q1609" s="276"/>
      <c r="R1609" s="270"/>
      <c r="S1609" s="270"/>
      <c r="T1609" s="270"/>
      <c r="U1609" s="106"/>
      <c r="V1609" s="106"/>
      <c r="W1609" s="106"/>
      <c r="X1609" s="106">
        <f>SUMIF($L:$L,$C1609,X:X)</f>
        <v>0</v>
      </c>
      <c r="Y1609" s="106"/>
      <c r="Z1609" s="106"/>
      <c r="AA1609" s="106"/>
      <c r="AB1609" s="106">
        <f>SUMIF($L:$L,$C1609,AB:AB)</f>
        <v>0</v>
      </c>
      <c r="AC1609" s="106">
        <f>SUMIF($L:$L,$C1609,AC:AC)</f>
        <v>0</v>
      </c>
      <c r="AD1609" s="106">
        <f>SUMIF($L:$L,$C1609,AD:AD)</f>
        <v>0</v>
      </c>
      <c r="AE1609" s="106">
        <f>SUMIF($L:$L,$C1609,AE:AE)</f>
        <v>0</v>
      </c>
      <c r="AF1609" s="106">
        <f>SUMIF($L:$L,$C1609,AF:AF)</f>
        <v>0</v>
      </c>
      <c r="AG1609" s="106">
        <f>SUMIF($L:$L,$C1609,AG:AG)</f>
        <v>0</v>
      </c>
      <c r="AH1609" s="106">
        <f>SUMIF($L:$L,$C1609,AH:AH)</f>
        <v>0</v>
      </c>
      <c r="AI1609" s="106">
        <f>SUMIF($L:$L,$C1609,AI:AI)</f>
        <v>0</v>
      </c>
      <c r="AJ1609" s="106">
        <f>SUMIF($L:$L,$C1609,AJ:AJ)</f>
        <v>0</v>
      </c>
      <c r="AK1609" s="106">
        <f>SUMIF($L:$L,$C1609,AK:AK)</f>
        <v>0</v>
      </c>
      <c r="AL1609" s="106">
        <f>SUMIF($L:$L,$C1609,AL:AL)</f>
        <v>0</v>
      </c>
      <c r="AM1609" s="106">
        <f>SUMIF($L:$L,$C1609,AM:AM)</f>
        <v>0</v>
      </c>
      <c r="AN1609" s="106">
        <f>SUMIF($L:$L,$C1609,AN:AN)</f>
        <v>0</v>
      </c>
      <c r="AO1609" s="106">
        <f>SUMIF($L:$L,$C1609,AO:AO)</f>
        <v>0</v>
      </c>
      <c r="AP1609" s="106"/>
      <c r="AQ1609" s="106"/>
      <c r="AR1609" s="106"/>
      <c r="AS1609" s="106"/>
      <c r="AT1609" s="106"/>
    </row>
    <row r="1610" spans="1:46">
      <c r="A1610" s="246"/>
      <c r="B1610" s="246"/>
      <c r="C1610" s="265" t="s">
        <v>1732</v>
      </c>
      <c r="D1610" s="246" t="s">
        <v>1422</v>
      </c>
      <c r="E1610" s="266"/>
      <c r="F1610" s="266"/>
      <c r="G1610" s="267" t="s">
        <v>1415</v>
      </c>
      <c r="H1610" s="249"/>
      <c r="I1610" s="273"/>
      <c r="J1610" s="273"/>
      <c r="K1610" s="249"/>
      <c r="L1610" s="269"/>
      <c r="M1610" s="270"/>
      <c r="N1610" s="271"/>
      <c r="O1610" s="271"/>
      <c r="P1610" s="269"/>
      <c r="Q1610" s="276"/>
      <c r="R1610" s="270"/>
      <c r="S1610" s="270"/>
      <c r="T1610" s="270"/>
      <c r="U1610" s="106"/>
      <c r="V1610" s="106"/>
      <c r="W1610" s="106"/>
      <c r="X1610" s="106">
        <f>SUMIF($L:$L,$C1610,X:X)</f>
        <v>8962.4733208333382</v>
      </c>
      <c r="Y1610" s="106"/>
      <c r="Z1610" s="106"/>
      <c r="AA1610" s="106"/>
      <c r="AB1610" s="106">
        <f>SUMIF($L:$L,$C1610,AB:AB)</f>
        <v>8455.6975500000008</v>
      </c>
      <c r="AC1610" s="106">
        <f>SUMIF($L:$L,$C1610,AC:AC)</f>
        <v>9625.8273499999996</v>
      </c>
      <c r="AD1610" s="106">
        <f>SUMIF($L:$L,$C1610,AD:AD)</f>
        <v>9372.4815600000002</v>
      </c>
      <c r="AE1610" s="106">
        <f>SUMIF($L:$L,$C1610,AE:AE)</f>
        <v>9291.7102200000008</v>
      </c>
      <c r="AF1610" s="106">
        <f>SUMIF($L:$L,$C1610,AF:AF)</f>
        <v>9210.9388799999997</v>
      </c>
      <c r="AG1610" s="106">
        <f>SUMIF($L:$L,$C1610,AG:AG)</f>
        <v>9130.1675399999986</v>
      </c>
      <c r="AH1610" s="106">
        <f>SUMIF($L:$L,$C1610,AH:AH)</f>
        <v>9049.3961999999992</v>
      </c>
      <c r="AI1610" s="106">
        <f>SUMIF($L:$L,$C1610,AI:AI)</f>
        <v>8989.9298600000002</v>
      </c>
      <c r="AJ1610" s="106">
        <f>SUMIF($L:$L,$C1610,AJ:AJ)</f>
        <v>9040.1825200000003</v>
      </c>
      <c r="AK1610" s="106">
        <f>SUMIF($L:$L,$C1610,AK:AK)</f>
        <v>8796.9251800000002</v>
      </c>
      <c r="AL1610" s="106">
        <f>SUMIF($L:$L,$C1610,AL:AL)</f>
        <v>8585.7306099999987</v>
      </c>
      <c r="AM1610" s="106">
        <f>SUMIF($L:$L,$C1610,AM:AM)</f>
        <v>8525.5306500000006</v>
      </c>
      <c r="AN1610" s="106">
        <f>SUMIF($L:$L,$C1610,AN:AN)</f>
        <v>8515.92418</v>
      </c>
      <c r="AO1610" s="106">
        <f>SUMIF($L:$L,$C1610,AO:AO)</f>
        <v>8455.6975500000008</v>
      </c>
      <c r="AP1610" s="106"/>
      <c r="AQ1610" s="106"/>
      <c r="AR1610" s="106"/>
      <c r="AS1610" s="106"/>
      <c r="AT1610" s="106"/>
    </row>
    <row r="1611" spans="1:46">
      <c r="A1611" s="246"/>
      <c r="B1611" s="246"/>
      <c r="C1611" s="265" t="s">
        <v>1424</v>
      </c>
      <c r="D1611" s="246" t="s">
        <v>1422</v>
      </c>
      <c r="E1611" s="266"/>
      <c r="F1611" s="266"/>
      <c r="G1611" s="267" t="s">
        <v>1425</v>
      </c>
      <c r="H1611" s="249"/>
      <c r="I1611" s="273"/>
      <c r="J1611" s="273"/>
      <c r="K1611" s="249"/>
      <c r="L1611" s="269"/>
      <c r="M1611" s="270"/>
      <c r="N1611" s="271"/>
      <c r="O1611" s="271"/>
      <c r="P1611" s="269"/>
      <c r="Q1611" s="276"/>
      <c r="R1611" s="270"/>
      <c r="S1611" s="270"/>
      <c r="T1611" s="270"/>
      <c r="U1611" s="106"/>
      <c r="V1611" s="106"/>
      <c r="W1611" s="106"/>
      <c r="X1611" s="106">
        <f>SUMIF($L:$L,$C1611,X:X)</f>
        <v>-13402.470304166634</v>
      </c>
      <c r="Y1611" s="106"/>
      <c r="Z1611" s="106"/>
      <c r="AA1611" s="106"/>
      <c r="AB1611" s="106">
        <f>SUMIF($L:$L,$C1611,AB:AB)</f>
        <v>-13344.919040000001</v>
      </c>
      <c r="AC1611" s="106">
        <f>SUMIF($L:$L,$C1611,AC:AC)</f>
        <v>-13212.18166</v>
      </c>
      <c r="AD1611" s="106">
        <f>SUMIF($L:$L,$C1611,AD:AD)</f>
        <v>-13091.314330000001</v>
      </c>
      <c r="AE1611" s="106">
        <f>SUMIF($L:$L,$C1611,AE:AE)</f>
        <v>-13026.860120000001</v>
      </c>
      <c r="AF1611" s="106">
        <f>SUMIF($L:$L,$C1611,AF:AF)</f>
        <v>-13000.013420000001</v>
      </c>
      <c r="AG1611" s="106">
        <f>SUMIF($L:$L,$C1611,AG:AG)</f>
        <v>-13175.209629999999</v>
      </c>
      <c r="AH1611" s="106">
        <f>SUMIF($L:$L,$C1611,AH:AH)</f>
        <v>-13487.425639999999</v>
      </c>
      <c r="AI1611" s="106">
        <f>SUMIF($L:$L,$C1611,AI:AI)</f>
        <v>-13592.106750000001</v>
      </c>
      <c r="AJ1611" s="106">
        <f>SUMIF($L:$L,$C1611,AJ:AJ)</f>
        <v>-13712.13327</v>
      </c>
      <c r="AK1611" s="106">
        <f>SUMIF($L:$L,$C1611,AK:AK)</f>
        <v>-13845.799830000002</v>
      </c>
      <c r="AL1611" s="106">
        <f>SUMIF($L:$L,$C1611,AL:AL)</f>
        <v>-13660.387500000001</v>
      </c>
      <c r="AM1611" s="106">
        <f>SUMIF($L:$L,$C1611,AM:AM)</f>
        <v>-13483.679600000001</v>
      </c>
      <c r="AN1611" s="106">
        <f>SUMIF($L:$L,$C1611,AN:AN)</f>
        <v>-13476.163210000001</v>
      </c>
      <c r="AO1611" s="106">
        <f>SUMIF($L:$L,$C1611,AO:AO)</f>
        <v>-13344.919040000001</v>
      </c>
      <c r="AP1611" s="106"/>
      <c r="AQ1611" s="106"/>
      <c r="AR1611" s="106"/>
      <c r="AS1611" s="106"/>
      <c r="AT1611" s="106"/>
    </row>
    <row r="1612" spans="1:46">
      <c r="A1612" s="246"/>
      <c r="B1612" s="246"/>
      <c r="C1612" s="265" t="s">
        <v>1426</v>
      </c>
      <c r="D1612" s="246" t="s">
        <v>1422</v>
      </c>
      <c r="E1612" s="266"/>
      <c r="F1612" s="266"/>
      <c r="G1612" s="267" t="s">
        <v>1427</v>
      </c>
      <c r="H1612" s="249"/>
      <c r="I1612" s="273"/>
      <c r="J1612" s="273"/>
      <c r="K1612" s="249"/>
      <c r="L1612" s="269"/>
      <c r="M1612" s="270"/>
      <c r="N1612" s="271"/>
      <c r="O1612" s="271"/>
      <c r="P1612" s="269"/>
      <c r="Q1612" s="276"/>
      <c r="R1612" s="270"/>
      <c r="S1612" s="270"/>
      <c r="T1612" s="270"/>
      <c r="U1612" s="106"/>
      <c r="V1612" s="106"/>
      <c r="W1612" s="106"/>
      <c r="X1612" s="106">
        <f>SUMIF($L:$L,$C1612,X:X)</f>
        <v>0</v>
      </c>
      <c r="Y1612" s="106"/>
      <c r="Z1612" s="106"/>
      <c r="AA1612" s="106"/>
      <c r="AB1612" s="106">
        <f>SUMIF($L:$L,$C1612,AB:AB)</f>
        <v>0</v>
      </c>
      <c r="AC1612" s="106">
        <f>SUMIF($L:$L,$C1612,AC:AC)</f>
        <v>0</v>
      </c>
      <c r="AD1612" s="106">
        <f>SUMIF($L:$L,$C1612,AD:AD)</f>
        <v>0</v>
      </c>
      <c r="AE1612" s="106">
        <f>SUMIF($L:$L,$C1612,AE:AE)</f>
        <v>0</v>
      </c>
      <c r="AF1612" s="106">
        <f>SUMIF($L:$L,$C1612,AF:AF)</f>
        <v>0</v>
      </c>
      <c r="AG1612" s="106">
        <f>SUMIF($L:$L,$C1612,AG:AG)</f>
        <v>0</v>
      </c>
      <c r="AH1612" s="106">
        <f>SUMIF($L:$L,$C1612,AH:AH)</f>
        <v>0</v>
      </c>
      <c r="AI1612" s="106">
        <f>SUMIF($L:$L,$C1612,AI:AI)</f>
        <v>0</v>
      </c>
      <c r="AJ1612" s="106">
        <f>SUMIF($L:$L,$C1612,AJ:AJ)</f>
        <v>0</v>
      </c>
      <c r="AK1612" s="106">
        <f>SUMIF($L:$L,$C1612,AK:AK)</f>
        <v>0</v>
      </c>
      <c r="AL1612" s="106">
        <f>SUMIF($L:$L,$C1612,AL:AL)</f>
        <v>0</v>
      </c>
      <c r="AM1612" s="106">
        <f>SUMIF($L:$L,$C1612,AM:AM)</f>
        <v>0</v>
      </c>
      <c r="AN1612" s="106">
        <f>SUMIF($L:$L,$C1612,AN:AN)</f>
        <v>0</v>
      </c>
      <c r="AO1612" s="106">
        <f>SUMIF($L:$L,$C1612,AO:AO)</f>
        <v>0</v>
      </c>
      <c r="AP1612" s="106"/>
      <c r="AQ1612" s="106"/>
      <c r="AR1612" s="106"/>
      <c r="AS1612" s="106"/>
      <c r="AT1612" s="106"/>
    </row>
    <row r="1613" spans="1:46">
      <c r="A1613" s="246"/>
      <c r="B1613" s="246"/>
      <c r="C1613" s="265" t="s">
        <v>1428</v>
      </c>
      <c r="D1613" s="246" t="s">
        <v>1422</v>
      </c>
      <c r="E1613" s="266"/>
      <c r="F1613" s="266"/>
      <c r="G1613" s="267" t="s">
        <v>1429</v>
      </c>
      <c r="H1613" s="249"/>
      <c r="I1613" s="273"/>
      <c r="J1613" s="273"/>
      <c r="K1613" s="249"/>
      <c r="L1613" s="269"/>
      <c r="M1613" s="270"/>
      <c r="N1613" s="271"/>
      <c r="O1613" s="271"/>
      <c r="P1613" s="269"/>
      <c r="Q1613" s="276"/>
      <c r="R1613" s="270"/>
      <c r="S1613" s="270"/>
      <c r="T1613" s="270"/>
      <c r="U1613" s="106"/>
      <c r="V1613" s="106"/>
      <c r="W1613" s="106"/>
      <c r="X1613" s="106">
        <f>SUMIF($L:$L,$C1613,X:X)</f>
        <v>0</v>
      </c>
      <c r="Y1613" s="106"/>
      <c r="Z1613" s="106"/>
      <c r="AA1613" s="106"/>
      <c r="AB1613" s="106">
        <f>SUMIF($L:$L,$C1613,AB:AB)</f>
        <v>0</v>
      </c>
      <c r="AC1613" s="106">
        <f>SUMIF($L:$L,$C1613,AC:AC)</f>
        <v>0</v>
      </c>
      <c r="AD1613" s="106">
        <f>SUMIF($L:$L,$C1613,AD:AD)</f>
        <v>0</v>
      </c>
      <c r="AE1613" s="106">
        <f>SUMIF($L:$L,$C1613,AE:AE)</f>
        <v>0</v>
      </c>
      <c r="AF1613" s="106">
        <f>SUMIF($L:$L,$C1613,AF:AF)</f>
        <v>0</v>
      </c>
      <c r="AG1613" s="106">
        <f>SUMIF($L:$L,$C1613,AG:AG)</f>
        <v>0</v>
      </c>
      <c r="AH1613" s="106">
        <f>SUMIF($L:$L,$C1613,AH:AH)</f>
        <v>0</v>
      </c>
      <c r="AI1613" s="106">
        <f>SUMIF($L:$L,$C1613,AI:AI)</f>
        <v>0</v>
      </c>
      <c r="AJ1613" s="106">
        <f>SUMIF($L:$L,$C1613,AJ:AJ)</f>
        <v>0</v>
      </c>
      <c r="AK1613" s="106">
        <f>SUMIF($L:$L,$C1613,AK:AK)</f>
        <v>0</v>
      </c>
      <c r="AL1613" s="106">
        <f>SUMIF($L:$L,$C1613,AL:AL)</f>
        <v>0</v>
      </c>
      <c r="AM1613" s="106">
        <f>SUMIF($L:$L,$C1613,AM:AM)</f>
        <v>0</v>
      </c>
      <c r="AN1613" s="106">
        <f>SUMIF($L:$L,$C1613,AN:AN)</f>
        <v>0</v>
      </c>
      <c r="AO1613" s="106">
        <f>SUMIF($L:$L,$C1613,AO:AO)</f>
        <v>0</v>
      </c>
      <c r="AP1613" s="106"/>
      <c r="AQ1613" s="106"/>
      <c r="AR1613" s="106"/>
      <c r="AS1613" s="106"/>
      <c r="AT1613" s="106"/>
    </row>
    <row r="1614" spans="1:46">
      <c r="A1614" s="246"/>
      <c r="B1614" s="246"/>
      <c r="C1614" s="265" t="s">
        <v>1430</v>
      </c>
      <c r="D1614" s="246" t="s">
        <v>1422</v>
      </c>
      <c r="E1614" s="266"/>
      <c r="F1614" s="266"/>
      <c r="G1614" s="267" t="s">
        <v>265</v>
      </c>
      <c r="H1614" s="249"/>
      <c r="I1614" s="273"/>
      <c r="J1614" s="273"/>
      <c r="K1614" s="249"/>
      <c r="L1614" s="269"/>
      <c r="M1614" s="270"/>
      <c r="N1614" s="271"/>
      <c r="O1614" s="271"/>
      <c r="P1614" s="269"/>
      <c r="Q1614" s="276"/>
      <c r="R1614" s="270"/>
      <c r="S1614" s="270"/>
      <c r="T1614" s="270"/>
      <c r="U1614" s="106"/>
      <c r="V1614" s="106"/>
      <c r="W1614" s="106"/>
      <c r="X1614" s="106">
        <f>SUMIF($L:$L,$C1614,X:X)</f>
        <v>-5.4166666666700003E-4</v>
      </c>
      <c r="Y1614" s="106"/>
      <c r="Z1614" s="106"/>
      <c r="AA1614" s="106"/>
      <c r="AB1614" s="106">
        <f>SUMIF($L:$L,$C1614,AB:AB)</f>
        <v>0</v>
      </c>
      <c r="AC1614" s="106">
        <f>SUMIF($L:$L,$C1614,AC:AC)</f>
        <v>-1E-3</v>
      </c>
      <c r="AD1614" s="106">
        <f>SUMIF($L:$L,$C1614,AD:AD)</f>
        <v>-1E-3</v>
      </c>
      <c r="AE1614" s="106">
        <f>SUMIF($L:$L,$C1614,AE:AE)</f>
        <v>-1E-3</v>
      </c>
      <c r="AF1614" s="106">
        <f>SUMIF($L:$L,$C1614,AF:AF)</f>
        <v>-1E-3</v>
      </c>
      <c r="AG1614" s="106">
        <f>SUMIF($L:$L,$C1614,AG:AG)</f>
        <v>-1E-3</v>
      </c>
      <c r="AH1614" s="106">
        <f>SUMIF($L:$L,$C1614,AH:AH)</f>
        <v>-1E-3</v>
      </c>
      <c r="AI1614" s="106">
        <f>SUMIF($L:$L,$C1614,AI:AI)</f>
        <v>-1E-3</v>
      </c>
      <c r="AJ1614" s="106">
        <f>SUMIF($L:$L,$C1614,AJ:AJ)</f>
        <v>0</v>
      </c>
      <c r="AK1614" s="106">
        <f>SUMIF($L:$L,$C1614,AK:AK)</f>
        <v>0</v>
      </c>
      <c r="AL1614" s="106">
        <f>SUMIF($L:$L,$C1614,AL:AL)</f>
        <v>0</v>
      </c>
      <c r="AM1614" s="106">
        <f>SUMIF($L:$L,$C1614,AM:AM)</f>
        <v>0</v>
      </c>
      <c r="AN1614" s="106">
        <f>SUMIF($L:$L,$C1614,AN:AN)</f>
        <v>0</v>
      </c>
      <c r="AO1614" s="106">
        <f>SUMIF($L:$L,$C1614,AO:AO)</f>
        <v>0</v>
      </c>
      <c r="AP1614" s="106"/>
      <c r="AQ1614" s="106"/>
      <c r="AR1614" s="106"/>
      <c r="AS1614" s="106"/>
      <c r="AT1614" s="106"/>
    </row>
    <row r="1615" spans="1:46">
      <c r="A1615" s="246"/>
      <c r="B1615" s="246"/>
      <c r="C1615" s="265" t="s">
        <v>266</v>
      </c>
      <c r="D1615" s="246" t="s">
        <v>1422</v>
      </c>
      <c r="E1615" s="266"/>
      <c r="F1615" s="266"/>
      <c r="G1615" s="267" t="s">
        <v>267</v>
      </c>
      <c r="H1615" s="249"/>
      <c r="I1615" s="273"/>
      <c r="J1615" s="273"/>
      <c r="K1615" s="249"/>
      <c r="L1615" s="269"/>
      <c r="M1615" s="270"/>
      <c r="N1615" s="271"/>
      <c r="O1615" s="271"/>
      <c r="P1615" s="269"/>
      <c r="Q1615" s="276"/>
      <c r="R1615" s="270"/>
      <c r="S1615" s="270"/>
      <c r="T1615" s="270"/>
      <c r="U1615" s="106"/>
      <c r="V1615" s="106"/>
      <c r="W1615" s="106"/>
      <c r="X1615" s="106">
        <f>SUMIF($L:$L,$C1615,X:X)</f>
        <v>-1195270.5341279171</v>
      </c>
      <c r="Y1615" s="106"/>
      <c r="Z1615" s="106"/>
      <c r="AA1615" s="106"/>
      <c r="AB1615" s="106">
        <f>SUMIF($L:$L,$C1615,AB:AB)</f>
        <v>-1150989.16215</v>
      </c>
      <c r="AC1615" s="106">
        <f>SUMIF($L:$L,$C1615,AC:AC)</f>
        <v>-1136010.6410800002</v>
      </c>
      <c r="AD1615" s="106">
        <f>SUMIF($L:$L,$C1615,AD:AD)</f>
        <v>-1150695.52626</v>
      </c>
      <c r="AE1615" s="106">
        <f>SUMIF($L:$L,$C1615,AE:AE)</f>
        <v>-1162086.7867399999</v>
      </c>
      <c r="AF1615" s="106">
        <f>SUMIF($L:$L,$C1615,AF:AF)</f>
        <v>-1174076.3804899999</v>
      </c>
      <c r="AG1615" s="106">
        <f>SUMIF($L:$L,$C1615,AG:AG)</f>
        <v>-1183527.9342700001</v>
      </c>
      <c r="AH1615" s="106">
        <f>SUMIF($L:$L,$C1615,AH:AH)</f>
        <v>-1191841.1856499999</v>
      </c>
      <c r="AI1615" s="106">
        <f>SUMIF($L:$L,$C1615,AI:AI)</f>
        <v>-1203939.3951600001</v>
      </c>
      <c r="AJ1615" s="106">
        <f>SUMIF($L:$L,$C1615,AJ:AJ)</f>
        <v>-1212011.1193299999</v>
      </c>
      <c r="AK1615" s="106">
        <f>SUMIF($L:$L,$C1615,AK:AK)</f>
        <v>-1220075.1927</v>
      </c>
      <c r="AL1615" s="106">
        <f>SUMIF($L:$L,$C1615,AL:AL)</f>
        <v>-1226115.6066999999</v>
      </c>
      <c r="AM1615" s="106">
        <f>SUMIF($L:$L,$C1615,AM:AM)</f>
        <v>-1233976.8361899999</v>
      </c>
      <c r="AN1615" s="106">
        <f>SUMIF($L:$L,$C1615,AN:AN)</f>
        <v>-1241400.54443</v>
      </c>
      <c r="AO1615" s="106">
        <f>SUMIF($L:$L,$C1615,AO:AO)</f>
        <v>-1150989.16215</v>
      </c>
      <c r="AP1615" s="106"/>
      <c r="AQ1615" s="106"/>
      <c r="AR1615" s="106"/>
      <c r="AS1615" s="106"/>
      <c r="AT1615" s="106"/>
    </row>
    <row r="1616" spans="1:46">
      <c r="A1616" s="246"/>
      <c r="B1616" s="246"/>
      <c r="C1616" s="265" t="s">
        <v>268</v>
      </c>
      <c r="D1616" s="246" t="s">
        <v>1422</v>
      </c>
      <c r="E1616" s="266"/>
      <c r="F1616" s="266"/>
      <c r="G1616" s="267" t="s">
        <v>269</v>
      </c>
      <c r="H1616" s="249"/>
      <c r="I1616" s="273"/>
      <c r="J1616" s="273"/>
      <c r="K1616" s="249"/>
      <c r="L1616" s="269"/>
      <c r="M1616" s="270"/>
      <c r="N1616" s="271"/>
      <c r="O1616" s="271"/>
      <c r="P1616" s="269"/>
      <c r="Q1616" s="276"/>
      <c r="R1616" s="270"/>
      <c r="S1616" s="270"/>
      <c r="T1616" s="270"/>
      <c r="U1616" s="106"/>
      <c r="V1616" s="106"/>
      <c r="W1616" s="106"/>
      <c r="X1616" s="106">
        <f>SUMIF($L:$L,$C1616,X:X)</f>
        <v>-280960.30303374969</v>
      </c>
      <c r="Y1616" s="106"/>
      <c r="Z1616" s="106"/>
      <c r="AA1616" s="106"/>
      <c r="AB1616" s="106">
        <f>SUMIF($L:$L,$C1616,AB:AB)</f>
        <v>-418055</v>
      </c>
      <c r="AC1616" s="106">
        <f>SUMIF($L:$L,$C1616,AC:AC)</f>
        <v>-232773.82367000001</v>
      </c>
      <c r="AD1616" s="106">
        <f>SUMIF($L:$L,$C1616,AD:AD)</f>
        <v>-331895.29894000001</v>
      </c>
      <c r="AE1616" s="106">
        <f>SUMIF($L:$L,$C1616,AE:AE)</f>
        <v>-282997.48439</v>
      </c>
      <c r="AF1616" s="106">
        <f>SUMIF($L:$L,$C1616,AF:AF)</f>
        <v>-304897.49871999997</v>
      </c>
      <c r="AG1616" s="106">
        <f>SUMIF($L:$L,$C1616,AG:AG)</f>
        <v>-250850</v>
      </c>
      <c r="AH1616" s="106">
        <f>SUMIF($L:$L,$C1616,AH:AH)</f>
        <v>-242594.67066999999</v>
      </c>
      <c r="AI1616" s="106">
        <f>SUMIF($L:$L,$C1616,AI:AI)</f>
        <v>-238564.86761000002</v>
      </c>
      <c r="AJ1616" s="106">
        <f>SUMIF($L:$L,$C1616,AJ:AJ)</f>
        <v>-255604.5998</v>
      </c>
      <c r="AK1616" s="106">
        <f>SUMIF($L:$L,$C1616,AK:AK)</f>
        <v>-226964.80444000001</v>
      </c>
      <c r="AL1616" s="106">
        <f>SUMIF($L:$L,$C1616,AL:AL)</f>
        <v>-286455</v>
      </c>
      <c r="AM1616" s="106">
        <f>SUMIF($L:$L,$C1616,AM:AM)</f>
        <v>-314030</v>
      </c>
      <c r="AN1616" s="106">
        <f>SUMIF($L:$L,$C1616,AN:AN)</f>
        <v>-311255</v>
      </c>
      <c r="AO1616" s="106">
        <f>SUMIF($L:$L,$C1616,AO:AO)</f>
        <v>-418055</v>
      </c>
      <c r="AP1616" s="106"/>
      <c r="AQ1616" s="106"/>
      <c r="AR1616" s="106"/>
      <c r="AS1616" s="106"/>
      <c r="AT1616" s="106"/>
    </row>
    <row r="1617" spans="1:46" ht="5.25" customHeight="1">
      <c r="A1617" s="246"/>
      <c r="B1617" s="246"/>
      <c r="C1617" s="265"/>
      <c r="D1617" s="246"/>
      <c r="E1617" s="266"/>
      <c r="F1617" s="266"/>
      <c r="G1617" s="267"/>
      <c r="H1617" s="249"/>
      <c r="I1617" s="273"/>
      <c r="J1617" s="273"/>
      <c r="K1617" s="249"/>
      <c r="L1617" s="269"/>
      <c r="M1617" s="270"/>
      <c r="N1617" s="271"/>
      <c r="O1617" s="271"/>
      <c r="P1617" s="269"/>
      <c r="Q1617" s="276"/>
      <c r="R1617" s="270"/>
      <c r="S1617" s="270"/>
      <c r="T1617" s="270"/>
      <c r="U1617" s="274"/>
      <c r="V1617" s="274"/>
      <c r="W1617" s="274"/>
      <c r="X1617" s="274">
        <v>0</v>
      </c>
      <c r="Y1617" s="274"/>
      <c r="Z1617" s="274"/>
      <c r="AA1617" s="274"/>
      <c r="AB1617" s="274">
        <v>0</v>
      </c>
      <c r="AC1617" s="274">
        <v>0</v>
      </c>
      <c r="AD1617" s="274">
        <v>0</v>
      </c>
      <c r="AE1617" s="274">
        <v>0</v>
      </c>
      <c r="AF1617" s="274">
        <v>0</v>
      </c>
      <c r="AG1617" s="274">
        <v>0</v>
      </c>
      <c r="AH1617" s="274">
        <v>0</v>
      </c>
      <c r="AI1617" s="274">
        <v>0</v>
      </c>
      <c r="AJ1617" s="274">
        <v>0</v>
      </c>
      <c r="AK1617" s="274">
        <v>0</v>
      </c>
      <c r="AL1617" s="274">
        <v>0</v>
      </c>
      <c r="AM1617" s="274">
        <v>0</v>
      </c>
      <c r="AN1617" s="274">
        <v>0</v>
      </c>
      <c r="AO1617" s="274">
        <v>0</v>
      </c>
      <c r="AP1617" s="106"/>
      <c r="AQ1617" s="106"/>
      <c r="AR1617" s="106"/>
      <c r="AS1617" s="106"/>
      <c r="AT1617" s="106"/>
    </row>
    <row r="1618" spans="1:46">
      <c r="A1618" s="246"/>
      <c r="B1618" s="246"/>
      <c r="C1618" s="214"/>
      <c r="D1618" s="246"/>
      <c r="E1618" s="266"/>
      <c r="F1618" s="266"/>
      <c r="G1618" s="267"/>
      <c r="H1618" s="249"/>
      <c r="I1618" s="273"/>
      <c r="J1618" s="273"/>
      <c r="K1618" s="249"/>
      <c r="L1618" s="215"/>
      <c r="M1618" s="249"/>
      <c r="N1618" s="254"/>
      <c r="O1618" s="254"/>
      <c r="P1618" s="215"/>
      <c r="Q1618" s="247"/>
      <c r="R1618" s="249"/>
      <c r="S1618" s="249"/>
      <c r="T1618" s="249"/>
      <c r="U1618" s="106"/>
      <c r="V1618" s="106"/>
      <c r="W1618" s="106"/>
      <c r="X1618" s="106"/>
      <c r="Y1618" s="106"/>
      <c r="Z1618" s="106"/>
      <c r="AA1618" s="106"/>
      <c r="AB1618" s="106"/>
      <c r="AC1618" s="106"/>
      <c r="AD1618" s="106"/>
      <c r="AE1618" s="106"/>
      <c r="AF1618" s="106"/>
      <c r="AG1618" s="106"/>
      <c r="AH1618" s="106"/>
      <c r="AI1618" s="106"/>
      <c r="AJ1618" s="106"/>
      <c r="AK1618" s="106"/>
      <c r="AL1618" s="106"/>
      <c r="AM1618" s="106"/>
      <c r="AN1618" s="106"/>
      <c r="AO1618" s="106"/>
      <c r="AP1618" s="248"/>
      <c r="AQ1618" s="248"/>
      <c r="AR1618" s="248"/>
      <c r="AS1618" s="248"/>
      <c r="AT1618" s="248"/>
    </row>
    <row r="1619" spans="1:46">
      <c r="A1619" s="246"/>
      <c r="B1619" s="246"/>
      <c r="C1619" s="246" t="s">
        <v>1179</v>
      </c>
      <c r="D1619" s="246"/>
      <c r="E1619" s="266"/>
      <c r="F1619" s="266"/>
      <c r="G1619" s="267"/>
      <c r="H1619" s="249"/>
      <c r="I1619" s="273"/>
      <c r="J1619" s="273"/>
      <c r="K1619" s="249"/>
      <c r="L1619" s="215"/>
      <c r="M1619" s="249"/>
      <c r="N1619" s="254"/>
      <c r="O1619" s="254"/>
      <c r="P1619" s="215"/>
      <c r="Q1619" s="247"/>
      <c r="R1619" s="249"/>
      <c r="S1619" s="249"/>
      <c r="T1619" s="249"/>
      <c r="U1619" s="106"/>
      <c r="V1619" s="106"/>
      <c r="W1619" s="106"/>
      <c r="X1619" s="106">
        <f>SUM(X1605:X1618)</f>
        <v>-2359762.980876667</v>
      </c>
      <c r="Y1619" s="106"/>
      <c r="Z1619" s="106"/>
      <c r="AA1619" s="106"/>
      <c r="AB1619" s="106">
        <f>SUM(AB1605:AB1618)</f>
        <v>-2451421.3422300001</v>
      </c>
      <c r="AC1619" s="106">
        <f t="shared" ref="AC1619:AO1619" si="638">SUM(AC1605:AC1618)</f>
        <v>-2252804.6538499999</v>
      </c>
      <c r="AD1619" s="106">
        <f t="shared" si="638"/>
        <v>-2366760.5031599998</v>
      </c>
      <c r="AE1619" s="106">
        <f t="shared" si="638"/>
        <v>-2329287.2766199997</v>
      </c>
      <c r="AF1619" s="106">
        <f t="shared" si="638"/>
        <v>-2363247.8197399997</v>
      </c>
      <c r="AG1619" s="106">
        <f t="shared" si="638"/>
        <v>-2318924.8527500001</v>
      </c>
      <c r="AH1619" s="106">
        <f t="shared" si="638"/>
        <v>-2319392.7725499999</v>
      </c>
      <c r="AI1619" s="106">
        <f t="shared" si="638"/>
        <v>-2327642.3368500001</v>
      </c>
      <c r="AJ1619" s="106">
        <f t="shared" si="638"/>
        <v>-2349690.5764699997</v>
      </c>
      <c r="AK1619" s="106">
        <f t="shared" si="638"/>
        <v>-2329508.7887800001</v>
      </c>
      <c r="AL1619" s="106">
        <f t="shared" si="638"/>
        <v>-2395082.19098</v>
      </c>
      <c r="AM1619" s="106">
        <f t="shared" si="638"/>
        <v>-2430418.9229299999</v>
      </c>
      <c r="AN1619" s="106">
        <f t="shared" si="638"/>
        <v>-2435086.73165</v>
      </c>
      <c r="AO1619" s="106">
        <f t="shared" si="638"/>
        <v>-2451421.3422300001</v>
      </c>
      <c r="AP1619" s="248"/>
      <c r="AQ1619" s="248"/>
      <c r="AR1619" s="248"/>
      <c r="AS1619" s="248"/>
      <c r="AT1619" s="248"/>
    </row>
    <row r="1620" spans="1:46" s="262" customFormat="1" ht="12.75" customHeight="1">
      <c r="A1620" s="275"/>
      <c r="B1620" s="246"/>
      <c r="C1620" s="256"/>
      <c r="D1620" s="214"/>
      <c r="E1620" s="215"/>
      <c r="F1620" s="215"/>
      <c r="G1620" s="248"/>
      <c r="H1620" s="249"/>
      <c r="I1620" s="253"/>
      <c r="J1620" s="253"/>
      <c r="K1620" s="249"/>
      <c r="L1620" s="215"/>
      <c r="M1620" s="249"/>
      <c r="N1620" s="254"/>
      <c r="O1620" s="254"/>
      <c r="P1620" s="215"/>
      <c r="Q1620" s="247"/>
      <c r="R1620" s="249"/>
      <c r="S1620" s="249"/>
      <c r="T1620" s="249"/>
      <c r="U1620" s="261"/>
      <c r="V1620" s="261"/>
      <c r="W1620" s="261"/>
      <c r="X1620" s="261"/>
      <c r="Y1620" s="261"/>
      <c r="Z1620" s="261"/>
      <c r="AA1620" s="261"/>
      <c r="AB1620" s="261"/>
      <c r="AC1620" s="261"/>
      <c r="AD1620" s="261"/>
      <c r="AE1620" s="261"/>
      <c r="AF1620" s="261"/>
      <c r="AG1620" s="261"/>
      <c r="AH1620" s="261"/>
      <c r="AI1620" s="261"/>
      <c r="AJ1620" s="261"/>
      <c r="AK1620" s="261"/>
      <c r="AL1620" s="261"/>
      <c r="AM1620" s="261"/>
      <c r="AN1620" s="261"/>
      <c r="AO1620" s="261"/>
      <c r="AS1620" s="248"/>
    </row>
    <row r="1621" spans="1:46">
      <c r="A1621" s="246"/>
      <c r="B1621" s="246"/>
      <c r="C1621" s="256"/>
      <c r="D1621" s="214"/>
      <c r="E1621" s="215"/>
      <c r="F1621" s="215"/>
      <c r="G1621" s="248"/>
      <c r="H1621" s="249"/>
      <c r="I1621" s="253"/>
      <c r="J1621" s="253"/>
      <c r="K1621" s="249"/>
      <c r="L1621" s="215"/>
      <c r="M1621" s="249"/>
      <c r="N1621" s="254"/>
      <c r="O1621" s="254"/>
      <c r="P1621" s="215"/>
      <c r="Q1621" s="247"/>
      <c r="R1621" s="249"/>
      <c r="S1621" s="249"/>
      <c r="T1621" s="249"/>
      <c r="U1621" s="106"/>
      <c r="V1621" s="106"/>
      <c r="W1621" s="106"/>
      <c r="X1621" s="106"/>
      <c r="Y1621" s="106"/>
      <c r="Z1621" s="106"/>
      <c r="AA1621" s="106"/>
      <c r="AB1621" s="106"/>
      <c r="AC1621" s="106"/>
      <c r="AD1621" s="106"/>
      <c r="AE1621" s="106"/>
      <c r="AF1621" s="106"/>
      <c r="AG1621" s="106"/>
      <c r="AH1621" s="106"/>
      <c r="AI1621" s="106"/>
      <c r="AJ1621" s="106"/>
      <c r="AK1621" s="106"/>
      <c r="AL1621" s="106"/>
      <c r="AM1621" s="106"/>
      <c r="AN1621" s="106"/>
      <c r="AO1621" s="106"/>
      <c r="AP1621" s="248"/>
      <c r="AQ1621" s="248"/>
      <c r="AR1621" s="248"/>
      <c r="AS1621" s="248"/>
      <c r="AT1621" s="248"/>
    </row>
    <row r="1622" spans="1:46">
      <c r="A1622" s="246"/>
      <c r="B1622" s="246"/>
      <c r="C1622" s="256"/>
      <c r="D1622" s="214"/>
      <c r="E1622" s="215"/>
      <c r="F1622" s="215"/>
      <c r="G1622" s="248"/>
      <c r="H1622" s="249"/>
      <c r="I1622" s="253"/>
      <c r="J1622" s="253"/>
      <c r="K1622" s="249"/>
      <c r="L1622" s="215"/>
      <c r="M1622" s="249"/>
      <c r="N1622" s="254"/>
      <c r="O1622" s="254"/>
      <c r="P1622" s="215"/>
      <c r="Q1622" s="247"/>
      <c r="R1622" s="249"/>
      <c r="S1622" s="249"/>
      <c r="T1622" s="249"/>
      <c r="U1622" s="263"/>
      <c r="V1622" s="263"/>
      <c r="W1622" s="263"/>
      <c r="X1622" s="263"/>
      <c r="Y1622" s="263"/>
      <c r="Z1622" s="263"/>
      <c r="AA1622" s="263"/>
      <c r="AB1622" s="263"/>
      <c r="AC1622" s="263"/>
      <c r="AD1622" s="263"/>
      <c r="AE1622" s="263"/>
      <c r="AF1622" s="263"/>
      <c r="AG1622" s="263"/>
      <c r="AH1622" s="263"/>
      <c r="AI1622" s="263"/>
      <c r="AJ1622" s="263"/>
      <c r="AK1622" s="263"/>
      <c r="AL1622" s="263"/>
      <c r="AM1622" s="263"/>
      <c r="AN1622" s="263"/>
      <c r="AO1622" s="263"/>
      <c r="AP1622" s="264"/>
      <c r="AQ1622" s="264"/>
      <c r="AR1622" s="264"/>
      <c r="AS1622" s="248"/>
      <c r="AT1622" s="264"/>
    </row>
    <row r="1623" spans="1:46">
      <c r="A1623" s="246"/>
      <c r="B1623" s="246"/>
      <c r="C1623" s="256"/>
      <c r="D1623" s="214"/>
      <c r="E1623" s="215"/>
      <c r="F1623" s="215"/>
      <c r="G1623" s="248"/>
      <c r="H1623" s="249"/>
      <c r="I1623" s="253"/>
      <c r="J1623" s="253"/>
      <c r="K1623" s="249"/>
      <c r="L1623" s="215"/>
      <c r="M1623" s="249"/>
      <c r="N1623" s="254"/>
      <c r="O1623" s="254"/>
      <c r="P1623" s="215"/>
      <c r="Q1623" s="247"/>
      <c r="R1623" s="249"/>
      <c r="S1623" s="249"/>
      <c r="T1623" s="249"/>
      <c r="U1623" s="106"/>
      <c r="V1623" s="106"/>
      <c r="W1623" s="106"/>
      <c r="X1623" s="106"/>
      <c r="Y1623" s="106"/>
      <c r="Z1623" s="106"/>
      <c r="AA1623" s="106"/>
      <c r="AB1623" s="106"/>
      <c r="AC1623" s="106"/>
      <c r="AD1623" s="106"/>
      <c r="AE1623" s="106"/>
      <c r="AF1623" s="106"/>
      <c r="AG1623" s="106"/>
      <c r="AH1623" s="106"/>
      <c r="AI1623" s="106"/>
      <c r="AJ1623" s="106"/>
      <c r="AK1623" s="106"/>
      <c r="AL1623" s="106"/>
      <c r="AM1623" s="106"/>
      <c r="AN1623" s="106"/>
      <c r="AO1623" s="106"/>
      <c r="AP1623" s="248"/>
      <c r="AQ1623" s="248"/>
      <c r="AR1623" s="248"/>
      <c r="AS1623" s="248"/>
      <c r="AT1623" s="248"/>
    </row>
    <row r="1624" spans="1:46">
      <c r="A1624" s="246"/>
      <c r="B1624" s="246"/>
      <c r="C1624" s="256"/>
      <c r="D1624" s="214"/>
      <c r="E1624" s="215"/>
      <c r="F1624" s="215"/>
      <c r="G1624" s="248"/>
      <c r="H1624" s="249"/>
      <c r="I1624" s="253"/>
      <c r="J1624" s="253"/>
      <c r="K1624" s="249"/>
      <c r="L1624" s="215"/>
      <c r="M1624" s="249"/>
      <c r="N1624" s="254"/>
      <c r="O1624" s="254"/>
      <c r="P1624" s="215"/>
      <c r="Q1624" s="247"/>
      <c r="R1624" s="249"/>
      <c r="S1624" s="249"/>
      <c r="T1624" s="249"/>
      <c r="U1624" s="106"/>
      <c r="V1624" s="106"/>
      <c r="W1624" s="106"/>
      <c r="X1624" s="106"/>
      <c r="Y1624" s="106"/>
      <c r="Z1624" s="106"/>
      <c r="AA1624" s="106"/>
      <c r="AB1624" s="106"/>
      <c r="AC1624" s="106"/>
      <c r="AD1624" s="106"/>
      <c r="AE1624" s="106"/>
      <c r="AF1624" s="106"/>
      <c r="AG1624" s="106"/>
      <c r="AH1624" s="106"/>
      <c r="AI1624" s="106"/>
      <c r="AJ1624" s="106"/>
      <c r="AK1624" s="106"/>
      <c r="AL1624" s="106"/>
      <c r="AM1624" s="106"/>
      <c r="AN1624" s="106"/>
      <c r="AO1624" s="106"/>
      <c r="AP1624" s="248"/>
      <c r="AQ1624" s="248"/>
      <c r="AR1624" s="248"/>
      <c r="AS1624" s="248"/>
      <c r="AT1624" s="248"/>
    </row>
    <row r="1625" spans="1:46">
      <c r="A1625" s="246"/>
      <c r="B1625" s="246"/>
      <c r="C1625" s="256"/>
      <c r="D1625" s="214"/>
      <c r="E1625" s="215"/>
      <c r="F1625" s="215"/>
      <c r="G1625" s="248"/>
      <c r="H1625" s="249"/>
      <c r="I1625" s="253"/>
      <c r="J1625" s="253"/>
      <c r="K1625" s="249"/>
      <c r="L1625" s="215"/>
      <c r="M1625" s="249"/>
      <c r="N1625" s="254"/>
      <c r="O1625" s="254"/>
      <c r="P1625" s="215"/>
      <c r="Q1625" s="247"/>
      <c r="R1625" s="249"/>
      <c r="S1625" s="249"/>
      <c r="T1625" s="249"/>
      <c r="U1625" s="106"/>
      <c r="V1625" s="106"/>
      <c r="W1625" s="106"/>
      <c r="X1625" s="106"/>
      <c r="Y1625" s="106"/>
      <c r="Z1625" s="106"/>
      <c r="AA1625" s="106"/>
      <c r="AB1625" s="106"/>
      <c r="AC1625" s="106"/>
      <c r="AD1625" s="106"/>
      <c r="AE1625" s="106"/>
      <c r="AF1625" s="106"/>
      <c r="AG1625" s="106"/>
      <c r="AH1625" s="106"/>
      <c r="AI1625" s="106"/>
      <c r="AJ1625" s="106"/>
      <c r="AK1625" s="106"/>
      <c r="AL1625" s="106"/>
      <c r="AM1625" s="106"/>
      <c r="AN1625" s="106"/>
      <c r="AO1625" s="106"/>
      <c r="AP1625" s="248"/>
      <c r="AQ1625" s="248"/>
      <c r="AR1625" s="248"/>
      <c r="AS1625" s="248"/>
      <c r="AT1625" s="248"/>
    </row>
    <row r="1626" spans="1:46">
      <c r="A1626" s="246"/>
      <c r="B1626" s="252" t="s">
        <v>4310</v>
      </c>
      <c r="C1626" s="256"/>
      <c r="D1626" s="214"/>
      <c r="E1626" s="215"/>
      <c r="F1626" s="215"/>
      <c r="G1626" s="248"/>
      <c r="H1626" s="249"/>
      <c r="I1626" s="253"/>
      <c r="J1626" s="253"/>
      <c r="K1626" s="249"/>
      <c r="L1626" s="215"/>
      <c r="M1626" s="249"/>
      <c r="N1626" s="254"/>
      <c r="O1626" s="254"/>
      <c r="P1626" s="215"/>
      <c r="Q1626" s="247"/>
      <c r="R1626" s="249"/>
      <c r="S1626" s="249"/>
      <c r="T1626" s="249"/>
      <c r="U1626" s="106"/>
      <c r="V1626" s="106"/>
      <c r="W1626" s="106"/>
      <c r="X1626" s="106"/>
      <c r="Y1626" s="106"/>
      <c r="Z1626" s="106"/>
      <c r="AA1626" s="106"/>
      <c r="AB1626" s="106"/>
      <c r="AC1626" s="106"/>
      <c r="AD1626" s="106"/>
      <c r="AE1626" s="106"/>
      <c r="AF1626" s="106"/>
      <c r="AG1626" s="106"/>
      <c r="AH1626" s="106"/>
      <c r="AI1626" s="106"/>
      <c r="AJ1626" s="106"/>
      <c r="AK1626" s="106"/>
      <c r="AL1626" s="106"/>
      <c r="AM1626" s="106"/>
      <c r="AN1626" s="106"/>
      <c r="AO1626" s="106"/>
      <c r="AP1626" s="248"/>
      <c r="AQ1626" s="248"/>
      <c r="AR1626" s="248"/>
      <c r="AS1626" s="248"/>
      <c r="AT1626" s="248"/>
    </row>
    <row r="1627" spans="1:46" ht="14.25">
      <c r="A1627" s="246"/>
      <c r="B1627" s="246"/>
      <c r="C1627" s="256" t="s">
        <v>3012</v>
      </c>
      <c r="D1627" s="214"/>
      <c r="E1627" s="215"/>
      <c r="F1627" s="215"/>
      <c r="G1627" s="248"/>
      <c r="H1627" s="249"/>
      <c r="I1627" s="253"/>
      <c r="J1627" s="253"/>
      <c r="K1627" s="249"/>
      <c r="L1627" s="215"/>
      <c r="M1627" s="249"/>
      <c r="N1627" s="254"/>
      <c r="O1627" s="254"/>
      <c r="P1627" s="215"/>
      <c r="Q1627" s="247"/>
      <c r="R1627" s="249"/>
      <c r="S1627" s="249"/>
      <c r="T1627" s="249"/>
      <c r="U1627" s="274">
        <f>SUMIF($H:$H,$C1627,U:U)</f>
        <v>0</v>
      </c>
      <c r="V1627" s="274">
        <f>SUMIF($H:$H,$C1627,V:V)</f>
        <v>18738.230879583331</v>
      </c>
      <c r="W1627" s="274">
        <f>SUMIF($H:$H,$C1627,W:W)</f>
        <v>0</v>
      </c>
      <c r="X1627" s="274">
        <f>SUMIF($H:$H,$C1627,X:X)</f>
        <v>18738.230879583331</v>
      </c>
      <c r="Y1627" s="274">
        <f>SUMIF($H:$H,$C1627,Y:Y)</f>
        <v>0</v>
      </c>
      <c r="Z1627" s="274">
        <f>SUMIF($H:$H,$C1627,Z:Z)</f>
        <v>23602.51153</v>
      </c>
      <c r="AA1627" s="274">
        <f>SUMIF($H:$H,$C1627,AA:AA)</f>
        <v>0</v>
      </c>
      <c r="AB1627" s="274">
        <f>SUMIF($H:$H,$C1627,AB:AB)</f>
        <v>23602.511530000003</v>
      </c>
      <c r="AC1627" s="274">
        <f>SUMIF($H:$H,$C1627,AC:AC)</f>
        <v>23986.34116</v>
      </c>
      <c r="AD1627" s="274">
        <f>SUMIF($H:$H,$C1627,AD:AD)</f>
        <v>16249.413579999999</v>
      </c>
      <c r="AE1627" s="274">
        <f>SUMIF($H:$H,$C1627,AE:AE)</f>
        <v>8290.2878000000001</v>
      </c>
      <c r="AF1627" s="274">
        <f>SUMIF($H:$H,$C1627,AF:AF)</f>
        <v>2713.2835399999999</v>
      </c>
      <c r="AG1627" s="274">
        <f>SUMIF($H:$H,$C1627,AG:AG)</f>
        <v>6304.1408599999995</v>
      </c>
      <c r="AH1627" s="274">
        <f>SUMIF($H:$H,$C1627,AH:AH)</f>
        <v>11907.77614</v>
      </c>
      <c r="AI1627" s="274">
        <f>SUMIF($H:$H,$C1627,AI:AI)</f>
        <v>17559.208500000001</v>
      </c>
      <c r="AJ1627" s="274">
        <f>SUMIF($H:$H,$C1627,AJ:AJ)</f>
        <v>22440.30761</v>
      </c>
      <c r="AK1627" s="274">
        <f>SUMIF($H:$H,$C1627,AK:AK)</f>
        <v>26542.553259999997</v>
      </c>
      <c r="AL1627" s="274">
        <f>SUMIF($H:$H,$C1627,AL:AL)</f>
        <v>29202.153180000001</v>
      </c>
      <c r="AM1627" s="274">
        <f>SUMIF($H:$H,$C1627,AM:AM)</f>
        <v>30965.459920000001</v>
      </c>
      <c r="AN1627" s="274">
        <f>SUMIF($H:$H,$C1627,AN:AN)</f>
        <v>28889.759820000003</v>
      </c>
      <c r="AO1627" s="274">
        <f>SUMIF($H:$H,$C1627,AO:AO)</f>
        <v>23602.511530000003</v>
      </c>
      <c r="AP1627" s="264"/>
      <c r="AQ1627" s="264"/>
      <c r="AR1627" s="264"/>
      <c r="AS1627" s="248"/>
      <c r="AT1627" s="264"/>
    </row>
    <row r="1628" spans="1:46">
      <c r="A1628" s="246"/>
      <c r="B1628" s="246"/>
      <c r="C1628" s="256"/>
      <c r="D1628" s="214"/>
      <c r="E1628" s="215"/>
      <c r="F1628" s="215"/>
      <c r="G1628" s="248"/>
      <c r="H1628" s="249"/>
      <c r="I1628" s="253"/>
      <c r="J1628" s="253"/>
      <c r="K1628" s="249"/>
      <c r="L1628" s="215"/>
      <c r="M1628" s="249"/>
      <c r="N1628" s="254"/>
      <c r="O1628" s="254"/>
      <c r="P1628" s="215"/>
      <c r="Q1628" s="247"/>
      <c r="R1628" s="249"/>
      <c r="S1628" s="249"/>
      <c r="T1628" s="249"/>
      <c r="U1628" s="106"/>
      <c r="V1628" s="106"/>
      <c r="W1628" s="106"/>
      <c r="X1628" s="106"/>
      <c r="Y1628" s="106"/>
      <c r="Z1628" s="106"/>
      <c r="AA1628" s="106"/>
      <c r="AB1628" s="106"/>
      <c r="AC1628" s="106"/>
      <c r="AD1628" s="106"/>
      <c r="AE1628" s="106"/>
      <c r="AF1628" s="106"/>
      <c r="AG1628" s="106"/>
      <c r="AH1628" s="106"/>
      <c r="AI1628" s="106"/>
      <c r="AJ1628" s="106"/>
      <c r="AK1628" s="106"/>
      <c r="AL1628" s="106"/>
      <c r="AM1628" s="106"/>
      <c r="AN1628" s="106"/>
      <c r="AO1628" s="106"/>
      <c r="AP1628" s="248"/>
      <c r="AQ1628" s="248"/>
      <c r="AR1628" s="248"/>
      <c r="AS1628" s="248"/>
      <c r="AT1628" s="248"/>
    </row>
    <row r="1629" spans="1:46">
      <c r="A1629" s="246"/>
      <c r="B1629" s="246"/>
      <c r="C1629" s="256" t="s">
        <v>1179</v>
      </c>
      <c r="D1629" s="256" t="s">
        <v>1823</v>
      </c>
      <c r="E1629" s="215"/>
      <c r="F1629" s="215"/>
      <c r="G1629" s="248"/>
      <c r="H1629" s="249"/>
      <c r="I1629" s="253"/>
      <c r="J1629" s="253"/>
      <c r="K1629" s="249"/>
      <c r="L1629" s="215"/>
      <c r="M1629" s="249"/>
      <c r="N1629" s="254"/>
      <c r="O1629" s="254"/>
      <c r="P1629" s="215"/>
      <c r="Q1629" s="247"/>
      <c r="R1629" s="249"/>
      <c r="S1629" s="249"/>
      <c r="T1629" s="249"/>
      <c r="U1629" s="261">
        <f>SUMIF($L:$L,$D1629,U:U)</f>
        <v>0</v>
      </c>
      <c r="V1629" s="261">
        <f>SUMIF($L:$L,$D1629,V:V)</f>
        <v>18738.230879583331</v>
      </c>
      <c r="W1629" s="261">
        <f>SUMIF($L:$L,$D1629,W:W)</f>
        <v>0</v>
      </c>
      <c r="X1629" s="261">
        <f>SUMIF($L:$L,$D1629,X:X)</f>
        <v>18738.230879583331</v>
      </c>
      <c r="Y1629" s="261">
        <f>SUMIF($L:$L,$D1629,Y:Y)</f>
        <v>0</v>
      </c>
      <c r="Z1629" s="261">
        <f>SUMIF($L:$L,$D1629,Z:Z)</f>
        <v>23602.51153</v>
      </c>
      <c r="AA1629" s="261">
        <f>SUMIF($L:$L,$D1629,AA:AA)</f>
        <v>0</v>
      </c>
      <c r="AB1629" s="261">
        <f>SUMIF($L:$L,$D1629,AB:AB)</f>
        <v>23602.511530000003</v>
      </c>
      <c r="AC1629" s="261">
        <f>SUMIF($L:$L,$D1629,AC:AC)</f>
        <v>23986.34116</v>
      </c>
      <c r="AD1629" s="261">
        <f>SUMIF($L:$L,$D1629,AD:AD)</f>
        <v>16249.413579999999</v>
      </c>
      <c r="AE1629" s="261">
        <f>SUMIF($L:$L,$D1629,AE:AE)</f>
        <v>8290.2878000000001</v>
      </c>
      <c r="AF1629" s="261">
        <f>SUMIF($L:$L,$D1629,AF:AF)</f>
        <v>2713.2835399999999</v>
      </c>
      <c r="AG1629" s="261">
        <f>SUMIF($L:$L,$D1629,AG:AG)</f>
        <v>6304.1408599999995</v>
      </c>
      <c r="AH1629" s="261">
        <f>SUMIF($L:$L,$D1629,AH:AH)</f>
        <v>11907.77614</v>
      </c>
      <c r="AI1629" s="261">
        <f>SUMIF($L:$L,$D1629,AI:AI)</f>
        <v>17559.208500000001</v>
      </c>
      <c r="AJ1629" s="261">
        <f>SUMIF($L:$L,$D1629,AJ:AJ)</f>
        <v>22440.30761</v>
      </c>
      <c r="AK1629" s="261">
        <f>SUMIF($L:$L,$D1629,AK:AK)</f>
        <v>26542.553259999997</v>
      </c>
      <c r="AL1629" s="261">
        <f>SUMIF($L:$L,$D1629,AL:AL)</f>
        <v>29202.153180000001</v>
      </c>
      <c r="AM1629" s="261">
        <f>SUMIF($L:$L,$D1629,AM:AM)</f>
        <v>30965.459920000001</v>
      </c>
      <c r="AN1629" s="261">
        <f>SUMIF($L:$L,$D1629,AN:AN)</f>
        <v>28889.759820000003</v>
      </c>
      <c r="AO1629" s="261">
        <f>SUMIF($L:$L,$D1629,AO:AO)</f>
        <v>23602.511530000003</v>
      </c>
      <c r="AP1629" s="248"/>
      <c r="AQ1629" s="248"/>
      <c r="AR1629" s="248"/>
      <c r="AS1629" s="248"/>
      <c r="AT1629" s="248"/>
    </row>
    <row r="1630" spans="1:46">
      <c r="A1630" s="246"/>
      <c r="B1630" s="246"/>
      <c r="C1630" s="256"/>
      <c r="D1630" s="214"/>
      <c r="E1630" s="215"/>
      <c r="F1630" s="215"/>
      <c r="G1630" s="248"/>
      <c r="H1630" s="249"/>
      <c r="I1630" s="253"/>
      <c r="J1630" s="253"/>
      <c r="K1630" s="249"/>
      <c r="L1630" s="215"/>
      <c r="M1630" s="249"/>
      <c r="N1630" s="254"/>
      <c r="O1630" s="254"/>
      <c r="P1630" s="215"/>
      <c r="Q1630" s="247"/>
      <c r="R1630" s="249"/>
      <c r="S1630" s="249"/>
      <c r="T1630" s="249"/>
      <c r="U1630" s="106"/>
      <c r="V1630" s="106"/>
      <c r="W1630" s="106"/>
      <c r="X1630" s="106"/>
      <c r="Y1630" s="106"/>
      <c r="Z1630" s="106"/>
      <c r="AA1630" s="106"/>
      <c r="AB1630" s="106"/>
      <c r="AC1630" s="106"/>
      <c r="AD1630" s="106"/>
      <c r="AE1630" s="106"/>
      <c r="AF1630" s="106"/>
      <c r="AG1630" s="106"/>
      <c r="AH1630" s="106"/>
      <c r="AI1630" s="106"/>
      <c r="AJ1630" s="106"/>
      <c r="AK1630" s="106"/>
      <c r="AL1630" s="106"/>
      <c r="AM1630" s="106"/>
      <c r="AN1630" s="106"/>
      <c r="AO1630" s="106"/>
      <c r="AP1630" s="248"/>
      <c r="AQ1630" s="248"/>
      <c r="AR1630" s="248"/>
      <c r="AS1630" s="248"/>
      <c r="AT1630" s="248"/>
    </row>
    <row r="1631" spans="1:46">
      <c r="A1631" s="252"/>
      <c r="B1631" s="252" t="s">
        <v>2506</v>
      </c>
      <c r="C1631" s="256"/>
      <c r="D1631" s="277"/>
      <c r="E1631" s="278"/>
      <c r="F1631" s="278"/>
      <c r="G1631" s="264"/>
      <c r="H1631" s="279"/>
      <c r="I1631" s="280"/>
      <c r="J1631" s="280"/>
      <c r="K1631" s="279"/>
      <c r="L1631" s="278"/>
      <c r="M1631" s="279"/>
      <c r="N1631" s="281"/>
      <c r="O1631" s="281"/>
      <c r="P1631" s="278"/>
      <c r="Q1631" s="282"/>
      <c r="R1631" s="279"/>
      <c r="S1631" s="279"/>
      <c r="T1631" s="279"/>
      <c r="U1631" s="263"/>
      <c r="V1631" s="263"/>
      <c r="W1631" s="263"/>
      <c r="X1631" s="263"/>
      <c r="Y1631" s="263"/>
      <c r="Z1631" s="263"/>
      <c r="AA1631" s="263"/>
      <c r="AB1631" s="263"/>
      <c r="AC1631" s="263"/>
      <c r="AD1631" s="263"/>
      <c r="AE1631" s="263"/>
      <c r="AF1631" s="263"/>
      <c r="AG1631" s="263"/>
      <c r="AH1631" s="263"/>
      <c r="AI1631" s="263"/>
      <c r="AJ1631" s="263"/>
      <c r="AK1631" s="263"/>
      <c r="AL1631" s="263"/>
      <c r="AM1631" s="263"/>
      <c r="AN1631" s="263"/>
      <c r="AO1631" s="263"/>
      <c r="AP1631" s="264"/>
      <c r="AQ1631" s="264"/>
      <c r="AR1631" s="264"/>
      <c r="AS1631" s="248"/>
      <c r="AT1631" s="264"/>
    </row>
    <row r="1632" spans="1:46" ht="14.25">
      <c r="A1632" s="283"/>
      <c r="B1632" s="283"/>
      <c r="C1632" s="256" t="s">
        <v>327</v>
      </c>
      <c r="D1632" s="277"/>
      <c r="E1632" s="278"/>
      <c r="F1632" s="278"/>
      <c r="G1632" s="264"/>
      <c r="H1632" s="279"/>
      <c r="I1632" s="280"/>
      <c r="J1632" s="280"/>
      <c r="K1632" s="279"/>
      <c r="L1632" s="278"/>
      <c r="M1632" s="279"/>
      <c r="N1632" s="281"/>
      <c r="O1632" s="281"/>
      <c r="P1632" s="278"/>
      <c r="Q1632" s="282"/>
      <c r="R1632" s="279"/>
      <c r="S1632" s="279"/>
      <c r="T1632" s="279"/>
      <c r="U1632" s="274">
        <f t="shared" ref="U1632:AB1632" si="639">+U1634-SUM(U1631:U1631)</f>
        <v>10691.05118215199</v>
      </c>
      <c r="V1632" s="274">
        <f t="shared" si="639"/>
        <v>3362.8090432646763</v>
      </c>
      <c r="W1632" s="274">
        <f t="shared" si="639"/>
        <v>0</v>
      </c>
      <c r="X1632" s="274">
        <f t="shared" si="639"/>
        <v>14053.860225416667</v>
      </c>
      <c r="Y1632" s="274">
        <f t="shared" si="639"/>
        <v>10294.211492824819</v>
      </c>
      <c r="Z1632" s="274">
        <f t="shared" si="639"/>
        <v>3237.9853871752007</v>
      </c>
      <c r="AA1632" s="274">
        <f t="shared" si="639"/>
        <v>0</v>
      </c>
      <c r="AB1632" s="274">
        <f t="shared" si="639"/>
        <v>13532.19688</v>
      </c>
      <c r="AC1632" s="274">
        <f t="shared" ref="AC1632:AO1632" si="640">+AC1634-SUM(AC1631:AC1631)</f>
        <v>14044.280150000001</v>
      </c>
      <c r="AD1632" s="274">
        <f t="shared" si="640"/>
        <v>14196.419610000001</v>
      </c>
      <c r="AE1632" s="274">
        <f t="shared" si="640"/>
        <v>14121.4264</v>
      </c>
      <c r="AF1632" s="274">
        <f t="shared" si="640"/>
        <v>14292.59699</v>
      </c>
      <c r="AG1632" s="274">
        <f t="shared" si="640"/>
        <v>14022.159640000002</v>
      </c>
      <c r="AH1632" s="274">
        <f t="shared" si="640"/>
        <v>13836.99814</v>
      </c>
      <c r="AI1632" s="274">
        <f t="shared" si="640"/>
        <v>13853.119419999999</v>
      </c>
      <c r="AJ1632" s="274">
        <f t="shared" si="640"/>
        <v>14924.8776</v>
      </c>
      <c r="AK1632" s="274">
        <f t="shared" si="640"/>
        <v>14027.47235</v>
      </c>
      <c r="AL1632" s="274">
        <f t="shared" si="640"/>
        <v>13762.10576</v>
      </c>
      <c r="AM1632" s="274">
        <f t="shared" si="640"/>
        <v>14032.643309999999</v>
      </c>
      <c r="AN1632" s="274">
        <f t="shared" si="640"/>
        <v>13788.264970000002</v>
      </c>
      <c r="AO1632" s="274">
        <f t="shared" si="640"/>
        <v>13532.19688</v>
      </c>
      <c r="AP1632" s="264"/>
      <c r="AQ1632" s="264"/>
      <c r="AR1632" s="264"/>
      <c r="AS1632" s="248"/>
      <c r="AT1632" s="264"/>
    </row>
    <row r="1633" spans="1:46">
      <c r="A1633" s="283"/>
      <c r="B1633" s="283"/>
      <c r="C1633" s="256"/>
      <c r="D1633" s="277"/>
      <c r="E1633" s="278"/>
      <c r="F1633" s="278"/>
      <c r="G1633" s="264"/>
      <c r="H1633" s="279"/>
      <c r="I1633" s="280"/>
      <c r="J1633" s="280"/>
      <c r="K1633" s="279"/>
      <c r="L1633" s="278"/>
      <c r="M1633" s="279"/>
      <c r="N1633" s="281"/>
      <c r="O1633" s="281"/>
      <c r="P1633" s="278"/>
      <c r="Q1633" s="282"/>
      <c r="R1633" s="279"/>
      <c r="S1633" s="279"/>
      <c r="T1633" s="279"/>
      <c r="U1633" s="263"/>
      <c r="V1633" s="263"/>
      <c r="W1633" s="263"/>
      <c r="X1633" s="263"/>
      <c r="Y1633" s="263"/>
      <c r="Z1633" s="263"/>
      <c r="AA1633" s="263"/>
      <c r="AB1633" s="263"/>
      <c r="AC1633" s="263"/>
      <c r="AD1633" s="263"/>
      <c r="AE1633" s="263"/>
      <c r="AF1633" s="263"/>
      <c r="AG1633" s="263"/>
      <c r="AH1633" s="263"/>
      <c r="AI1633" s="263"/>
      <c r="AJ1633" s="263"/>
      <c r="AK1633" s="263"/>
      <c r="AL1633" s="263"/>
      <c r="AM1633" s="263"/>
      <c r="AN1633" s="263"/>
      <c r="AO1633" s="263"/>
      <c r="AP1633" s="264"/>
      <c r="AQ1633" s="264"/>
      <c r="AR1633" s="264"/>
      <c r="AS1633" s="248"/>
      <c r="AT1633" s="264"/>
    </row>
    <row r="1634" spans="1:46">
      <c r="A1634" s="246"/>
      <c r="B1634" s="246"/>
      <c r="C1634" s="256" t="s">
        <v>1179</v>
      </c>
      <c r="D1634" s="256" t="s">
        <v>213</v>
      </c>
      <c r="E1634" s="247"/>
      <c r="F1634" s="247"/>
      <c r="G1634" s="262"/>
      <c r="H1634" s="258"/>
      <c r="I1634" s="253"/>
      <c r="J1634" s="253"/>
      <c r="K1634" s="258"/>
      <c r="L1634" s="257"/>
      <c r="M1634" s="258"/>
      <c r="N1634" s="259"/>
      <c r="O1634" s="259"/>
      <c r="P1634" s="257"/>
      <c r="Q1634" s="284"/>
      <c r="R1634" s="258"/>
      <c r="S1634" s="258"/>
      <c r="T1634" s="258"/>
      <c r="U1634" s="261">
        <f>SUMIF($L:$L,$D1634,U:U)</f>
        <v>10691.05118215199</v>
      </c>
      <c r="V1634" s="261">
        <f>SUMIF($L:$L,$D1634,V:V)</f>
        <v>3362.8090432646763</v>
      </c>
      <c r="W1634" s="261">
        <f>SUMIF($L:$L,$D1634,W:W)</f>
        <v>0</v>
      </c>
      <c r="X1634" s="261">
        <f>SUMIF($L:$L,$D1634,X:X)</f>
        <v>14053.860225416667</v>
      </c>
      <c r="Y1634" s="261">
        <f>SUMIF($L:$L,$D1634,Y:Y)</f>
        <v>10294.211492824819</v>
      </c>
      <c r="Z1634" s="261">
        <f>SUMIF($L:$L,$D1634,Z:Z)</f>
        <v>3237.9853871752007</v>
      </c>
      <c r="AA1634" s="261">
        <f>SUMIF($L:$L,$D1634,AA:AA)</f>
        <v>0</v>
      </c>
      <c r="AB1634" s="261">
        <f>SUMIF($L:$L,$D1634,AB:AB)</f>
        <v>13532.19688</v>
      </c>
      <c r="AC1634" s="261">
        <f>SUMIF($L:$L,$D1634,AC:AC)</f>
        <v>14044.280150000001</v>
      </c>
      <c r="AD1634" s="261">
        <f>SUMIF($L:$L,$D1634,AD:AD)</f>
        <v>14196.419610000001</v>
      </c>
      <c r="AE1634" s="261">
        <f>SUMIF($L:$L,$D1634,AE:AE)</f>
        <v>14121.4264</v>
      </c>
      <c r="AF1634" s="261">
        <f>SUMIF($L:$L,$D1634,AF:AF)</f>
        <v>14292.59699</v>
      </c>
      <c r="AG1634" s="261">
        <f>SUMIF($L:$L,$D1634,AG:AG)</f>
        <v>14022.159640000002</v>
      </c>
      <c r="AH1634" s="261">
        <f>SUMIF($L:$L,$D1634,AH:AH)</f>
        <v>13836.99814</v>
      </c>
      <c r="AI1634" s="261">
        <f>SUMIF($L:$L,$D1634,AI:AI)</f>
        <v>13853.119419999999</v>
      </c>
      <c r="AJ1634" s="261">
        <f>SUMIF($L:$L,$D1634,AJ:AJ)</f>
        <v>14924.8776</v>
      </c>
      <c r="AK1634" s="261">
        <f>SUMIF($L:$L,$D1634,AK:AK)</f>
        <v>14027.47235</v>
      </c>
      <c r="AL1634" s="261">
        <f>SUMIF($L:$L,$D1634,AL:AL)</f>
        <v>13762.10576</v>
      </c>
      <c r="AM1634" s="261">
        <f>SUMIF($L:$L,$D1634,AM:AM)</f>
        <v>14032.643309999999</v>
      </c>
      <c r="AN1634" s="261">
        <f>SUMIF($L:$L,$D1634,AN:AN)</f>
        <v>13788.264970000002</v>
      </c>
      <c r="AO1634" s="261">
        <f>SUMIF($L:$L,$D1634,AO:AO)</f>
        <v>13532.19688</v>
      </c>
      <c r="AP1634" s="264"/>
      <c r="AQ1634" s="264"/>
      <c r="AR1634" s="264"/>
      <c r="AS1634" s="248"/>
      <c r="AT1634" s="264"/>
    </row>
    <row r="1635" spans="1:46">
      <c r="A1635" s="246"/>
      <c r="B1635" s="246"/>
      <c r="C1635" s="256"/>
      <c r="D1635" s="214"/>
      <c r="E1635" s="215"/>
      <c r="F1635" s="215"/>
      <c r="G1635" s="248"/>
      <c r="H1635" s="249"/>
      <c r="I1635" s="253"/>
      <c r="J1635" s="253"/>
      <c r="K1635" s="249"/>
      <c r="L1635" s="215"/>
      <c r="M1635" s="249"/>
      <c r="N1635" s="254"/>
      <c r="O1635" s="254"/>
      <c r="P1635" s="215"/>
      <c r="Q1635" s="247"/>
      <c r="R1635" s="249"/>
      <c r="S1635" s="249"/>
      <c r="T1635" s="249"/>
      <c r="U1635" s="106"/>
      <c r="V1635" s="106"/>
      <c r="W1635" s="106"/>
      <c r="X1635" s="106"/>
      <c r="Y1635" s="106"/>
      <c r="Z1635" s="106"/>
      <c r="AA1635" s="106"/>
      <c r="AB1635" s="106"/>
      <c r="AC1635" s="106"/>
      <c r="AD1635" s="106"/>
      <c r="AE1635" s="106"/>
      <c r="AF1635" s="106"/>
      <c r="AG1635" s="106"/>
      <c r="AH1635" s="106"/>
      <c r="AI1635" s="106"/>
      <c r="AJ1635" s="106"/>
      <c r="AK1635" s="106"/>
      <c r="AL1635" s="106"/>
      <c r="AM1635" s="106"/>
      <c r="AN1635" s="106"/>
      <c r="AO1635" s="106"/>
      <c r="AP1635" s="248"/>
      <c r="AQ1635" s="248"/>
      <c r="AR1635" s="248"/>
      <c r="AS1635" s="248"/>
      <c r="AT1635" s="248"/>
    </row>
    <row r="1636" spans="1:46">
      <c r="A1636" s="252"/>
      <c r="B1636" s="252" t="s">
        <v>2507</v>
      </c>
      <c r="C1636" s="256"/>
      <c r="D1636" s="277"/>
      <c r="E1636" s="278"/>
      <c r="F1636" s="278"/>
      <c r="G1636" s="264"/>
      <c r="H1636" s="279"/>
      <c r="I1636" s="280"/>
      <c r="J1636" s="280"/>
      <c r="K1636" s="279"/>
      <c r="L1636" s="278"/>
      <c r="M1636" s="279"/>
      <c r="N1636" s="281"/>
      <c r="O1636" s="281"/>
      <c r="P1636" s="278"/>
      <c r="Q1636" s="282"/>
      <c r="R1636" s="279"/>
      <c r="S1636" s="279"/>
      <c r="T1636" s="279"/>
      <c r="U1636" s="263"/>
      <c r="V1636" s="263"/>
      <c r="W1636" s="263"/>
      <c r="X1636" s="263"/>
      <c r="Y1636" s="263"/>
      <c r="Z1636" s="263"/>
      <c r="AA1636" s="263"/>
      <c r="AB1636" s="263"/>
      <c r="AC1636" s="263"/>
      <c r="AD1636" s="263"/>
      <c r="AE1636" s="263"/>
      <c r="AF1636" s="263"/>
      <c r="AG1636" s="263"/>
      <c r="AH1636" s="263"/>
      <c r="AI1636" s="263"/>
      <c r="AJ1636" s="263"/>
      <c r="AK1636" s="263"/>
      <c r="AL1636" s="263"/>
      <c r="AM1636" s="263"/>
      <c r="AN1636" s="263"/>
      <c r="AO1636" s="263"/>
      <c r="AP1636" s="264"/>
      <c r="AQ1636" s="264"/>
      <c r="AR1636" s="264"/>
      <c r="AS1636" s="248"/>
      <c r="AT1636" s="264"/>
    </row>
    <row r="1637" spans="1:46">
      <c r="A1637" s="283"/>
      <c r="B1637" s="283"/>
      <c r="C1637" s="285" t="s">
        <v>969</v>
      </c>
      <c r="D1637" s="277"/>
      <c r="E1637" s="278"/>
      <c r="F1637" s="278"/>
      <c r="G1637" s="264"/>
      <c r="H1637" s="279"/>
      <c r="I1637" s="280"/>
      <c r="J1637" s="280"/>
      <c r="K1637" s="279"/>
      <c r="L1637" s="278"/>
      <c r="M1637" s="279"/>
      <c r="N1637" s="281"/>
      <c r="O1637" s="281"/>
      <c r="P1637" s="278"/>
      <c r="Q1637" s="282"/>
      <c r="R1637" s="279"/>
      <c r="S1637" s="279"/>
      <c r="T1637" s="279"/>
      <c r="U1637" s="106">
        <f>SUMIF($AS:$AS,$AT1637,U:U)</f>
        <v>1046.97892084211</v>
      </c>
      <c r="V1637" s="106">
        <f>SUMIF($AS:$AS,$AT1637,V:V)</f>
        <v>329.32123540789399</v>
      </c>
      <c r="W1637" s="106">
        <f>SUMIF($AS:$AS,$AT1637,W:W)</f>
        <v>0</v>
      </c>
      <c r="X1637" s="106">
        <f>SUMIF($AS:$AS,$AT1637,X:X)</f>
        <v>1376.3001562500001</v>
      </c>
      <c r="Y1637" s="106">
        <f>SUMIF($AS:$AS,$AT1637,Y:Y)</f>
        <v>1430.0700572437499</v>
      </c>
      <c r="Z1637" s="106">
        <f>SUMIF($AS:$AS,$AT1637,Z:Z)</f>
        <v>449.82036275625501</v>
      </c>
      <c r="AA1637" s="106">
        <f>SUMIF($AS:$AS,$AT1637,AA:AA)</f>
        <v>0</v>
      </c>
      <c r="AB1637" s="106">
        <f>SUMIF($AS:$AS,$AT1637,AB:AB)</f>
        <v>1879.8904199999999</v>
      </c>
      <c r="AC1637" s="106">
        <f>SUMIF($AS:$AS,$AT1637,AC:AC)</f>
        <v>995.74572999999998</v>
      </c>
      <c r="AD1637" s="106">
        <f>SUMIF($AS:$AS,$AT1637,AD:AD)</f>
        <v>710.42277000000001</v>
      </c>
      <c r="AE1637" s="106">
        <f>SUMIF($AS:$AS,$AT1637,AE:AE)</f>
        <v>572.30327</v>
      </c>
      <c r="AF1637" s="106">
        <f>SUMIF($AS:$AS,$AT1637,AF:AF)</f>
        <v>201.14020000000002</v>
      </c>
      <c r="AG1637" s="106">
        <f>SUMIF($AS:$AS,$AT1637,AG:AG)</f>
        <v>494.18248</v>
      </c>
      <c r="AH1637" s="106">
        <f>SUMIF($AS:$AS,$AT1637,AH:AH)</f>
        <v>126.30892</v>
      </c>
      <c r="AI1637" s="106">
        <f>SUMIF($AS:$AS,$AT1637,AI:AI)</f>
        <v>244.84476999999998</v>
      </c>
      <c r="AJ1637" s="106">
        <f>SUMIF($AS:$AS,$AT1637,AJ:AJ)</f>
        <v>1773.3363300000001</v>
      </c>
      <c r="AK1637" s="106">
        <f>SUMIF($AS:$AS,$AT1637,AK:AK)</f>
        <v>3093.8735899999997</v>
      </c>
      <c r="AL1637" s="106">
        <f>SUMIF($AS:$AS,$AT1637,AL:AL)</f>
        <v>2903.96902</v>
      </c>
      <c r="AM1637" s="106">
        <f>SUMIF($AS:$AS,$AT1637,AM:AM)</f>
        <v>2529.96182</v>
      </c>
      <c r="AN1637" s="106">
        <f>SUMIF($AS:$AS,$AT1637,AN:AN)</f>
        <v>2427.4406300000001</v>
      </c>
      <c r="AO1637" s="106">
        <f>SUMIF($AS:$AS,$AT1637,AO:AO)</f>
        <v>1879.8904199999999</v>
      </c>
      <c r="AP1637" s="264"/>
      <c r="AQ1637" s="264"/>
      <c r="AR1637" s="264"/>
      <c r="AS1637" s="286"/>
      <c r="AT1637" s="248" t="str">
        <f>CONCATENATE("R7",C1637)</f>
        <v>R7Prepaid Insurance</v>
      </c>
    </row>
    <row r="1638" spans="1:46">
      <c r="A1638" s="283"/>
      <c r="B1638" s="283"/>
      <c r="C1638" s="285" t="s">
        <v>1085</v>
      </c>
      <c r="D1638" s="277"/>
      <c r="E1638" s="278"/>
      <c r="F1638" s="278"/>
      <c r="G1638" s="264"/>
      <c r="H1638" s="279"/>
      <c r="I1638" s="280"/>
      <c r="J1638" s="280"/>
      <c r="K1638" s="279"/>
      <c r="L1638" s="278"/>
      <c r="M1638" s="279"/>
      <c r="N1638" s="281"/>
      <c r="O1638" s="281"/>
      <c r="P1638" s="278"/>
      <c r="Q1638" s="282"/>
      <c r="R1638" s="279"/>
      <c r="S1638" s="279"/>
      <c r="T1638" s="279"/>
      <c r="U1638" s="106">
        <f>SUMIF($AS:$AS,$AT1638,U:U)</f>
        <v>30391.348041236801</v>
      </c>
      <c r="V1638" s="106">
        <f>SUMIF($AS:$AS,$AT1638,V:V)</f>
        <v>7148.0002612631597</v>
      </c>
      <c r="W1638" s="106">
        <f>SUMIF($AS:$AS,$AT1638,W:W)</f>
        <v>0</v>
      </c>
      <c r="X1638" s="106">
        <f>SUMIF($AS:$AS,$AT1638,X:X)</f>
        <v>37539.348302500002</v>
      </c>
      <c r="Y1638" s="106">
        <f>SUMIF($AS:$AS,$AT1638,Y:Y)</f>
        <v>26430.163438386298</v>
      </c>
      <c r="Z1638" s="106">
        <f>SUMIF($AS:$AS,$AT1638,Z:Z)</f>
        <v>6216.3354816137398</v>
      </c>
      <c r="AA1638" s="106">
        <f>SUMIF($AS:$AS,$AT1638,AA:AA)</f>
        <v>0</v>
      </c>
      <c r="AB1638" s="106">
        <f>SUMIF($AS:$AS,$AT1638,AB:AB)</f>
        <v>32646.498920000002</v>
      </c>
      <c r="AC1638" s="106">
        <f>SUMIF($AS:$AS,$AT1638,AC:AC)</f>
        <v>31744.90652</v>
      </c>
      <c r="AD1638" s="106">
        <f>SUMIF($AS:$AS,$AT1638,AD:AD)</f>
        <v>56571.429240000005</v>
      </c>
      <c r="AE1638" s="106">
        <f>SUMIF($AS:$AS,$AT1638,AE:AE)</f>
        <v>51874.332130000003</v>
      </c>
      <c r="AF1638" s="106">
        <f>SUMIF($AS:$AS,$AT1638,AF:AF)</f>
        <v>43995.915070000003</v>
      </c>
      <c r="AG1638" s="106">
        <f>SUMIF($AS:$AS,$AT1638,AG:AG)</f>
        <v>36007.756380000006</v>
      </c>
      <c r="AH1638" s="106">
        <f>SUMIF($AS:$AS,$AT1638,AH:AH)</f>
        <v>28155.151989999998</v>
      </c>
      <c r="AI1638" s="106">
        <f>SUMIF($AS:$AS,$AT1638,AI:AI)</f>
        <v>22841.325339999999</v>
      </c>
      <c r="AJ1638" s="106">
        <f>SUMIF($AS:$AS,$AT1638,AJ:AJ)</f>
        <v>19954.0779</v>
      </c>
      <c r="AK1638" s="106">
        <f>SUMIF($AS:$AS,$AT1638,AK:AK)</f>
        <v>16752.47236</v>
      </c>
      <c r="AL1638" s="106">
        <f>SUMIF($AS:$AS,$AT1638,AL:AL)</f>
        <v>50703.874929999998</v>
      </c>
      <c r="AM1638" s="106">
        <f>SUMIF($AS:$AS,$AT1638,AM:AM)</f>
        <v>50000.056229999995</v>
      </c>
      <c r="AN1638" s="106">
        <f>SUMIF($AS:$AS,$AT1638,AN:AN)</f>
        <v>41420.085340000005</v>
      </c>
      <c r="AO1638" s="106">
        <f>SUMIF($AS:$AS,$AT1638,AO:AO)</f>
        <v>32646.498920000002</v>
      </c>
      <c r="AP1638" s="264"/>
      <c r="AQ1638" s="264"/>
      <c r="AR1638" s="264"/>
      <c r="AS1638" s="286"/>
      <c r="AT1638" s="248" t="str">
        <f>CONCATENATE("R7",C1638)</f>
        <v>R7Prepaid Property Taxes</v>
      </c>
    </row>
    <row r="1639" spans="1:46">
      <c r="A1639" s="283"/>
      <c r="B1639" s="283"/>
      <c r="C1639" s="285" t="s">
        <v>1844</v>
      </c>
      <c r="D1639" s="277"/>
      <c r="E1639" s="278"/>
      <c r="F1639" s="278"/>
      <c r="G1639" s="264"/>
      <c r="H1639" s="279"/>
      <c r="I1639" s="280"/>
      <c r="J1639" s="280"/>
      <c r="K1639" s="279"/>
      <c r="L1639" s="278"/>
      <c r="M1639" s="279"/>
      <c r="N1639" s="281"/>
      <c r="O1639" s="281"/>
      <c r="P1639" s="278"/>
      <c r="Q1639" s="282"/>
      <c r="R1639" s="279"/>
      <c r="S1639" s="279"/>
      <c r="T1639" s="279"/>
      <c r="U1639" s="106">
        <f>SUMIF($AS:$AS,$AT1639,U:U)</f>
        <v>8136.2353036639397</v>
      </c>
      <c r="V1639" s="106">
        <f>SUMIF($AS:$AS,$AT1639,V:V)</f>
        <v>2866.21511550276</v>
      </c>
      <c r="W1639" s="106">
        <f>SUMIF($AS:$AS,$AT1639,W:W)</f>
        <v>0</v>
      </c>
      <c r="X1639" s="106">
        <f>SUMIF($AS:$AS,$AT1639,X:X)</f>
        <v>11002.4504191667</v>
      </c>
      <c r="Y1639" s="106">
        <f>SUMIF($AS:$AS,$AT1639,Y:Y)</f>
        <v>6457.66369625472</v>
      </c>
      <c r="Z1639" s="106">
        <f>SUMIF($AS:$AS,$AT1639,Z:Z)</f>
        <v>2274.8915937452798</v>
      </c>
      <c r="AA1639" s="106">
        <f>SUMIF($AS:$AS,$AT1639,AA:AA)</f>
        <v>0</v>
      </c>
      <c r="AB1639" s="106">
        <f>SUMIF($AS:$AS,$AT1639,AB:AB)</f>
        <v>8732.5552899999984</v>
      </c>
      <c r="AC1639" s="106">
        <f>SUMIF($AS:$AS,$AT1639,AC:AC)</f>
        <v>9837.2613900000015</v>
      </c>
      <c r="AD1639" s="106">
        <f>SUMIF($AS:$AS,$AT1639,AD:AD)</f>
        <v>6558.17407</v>
      </c>
      <c r="AE1639" s="106">
        <f>SUMIF($AS:$AS,$AT1639,AE:AE)</f>
        <v>3279.0867499999999</v>
      </c>
      <c r="AF1639" s="106">
        <f>SUMIF($AS:$AS,$AT1639,AF:AF)</f>
        <v>19784.131450000001</v>
      </c>
      <c r="AG1639" s="106">
        <f>SUMIF($AS:$AS,$AT1639,AG:AG)</f>
        <v>16486.776030000001</v>
      </c>
      <c r="AH1639" s="106">
        <f>SUMIF($AS:$AS,$AT1639,AH:AH)</f>
        <v>13189.420609999999</v>
      </c>
      <c r="AI1639" s="106">
        <f>SUMIF($AS:$AS,$AT1639,AI:AI)</f>
        <v>9892.0651899999993</v>
      </c>
      <c r="AJ1639" s="106">
        <f>SUMIF($AS:$AS,$AT1639,AJ:AJ)</f>
        <v>6594.7097699999995</v>
      </c>
      <c r="AK1639" s="106">
        <f>SUMIF($AS:$AS,$AT1639,AK:AK)</f>
        <v>3297.3543500000001</v>
      </c>
      <c r="AL1639" s="106">
        <f>SUMIF($AS:$AS,$AT1639,AL:AL)</f>
        <v>17465.11159</v>
      </c>
      <c r="AM1639" s="106">
        <f>SUMIF($AS:$AS,$AT1639,AM:AM)</f>
        <v>14554.25949</v>
      </c>
      <c r="AN1639" s="106">
        <f>SUMIF($AS:$AS,$AT1639,AN:AN)</f>
        <v>11643.40739</v>
      </c>
      <c r="AO1639" s="106">
        <f>SUMIF($AS:$AS,$AT1639,AO:AO)</f>
        <v>8732.5552899999984</v>
      </c>
      <c r="AP1639" s="264"/>
      <c r="AQ1639" s="264"/>
      <c r="AR1639" s="264"/>
      <c r="AS1639" s="286"/>
      <c r="AT1639" s="248" t="str">
        <f>CONCATENATE("R7",C1639)</f>
        <v>R7PSC Assessment</v>
      </c>
    </row>
    <row r="1640" spans="1:46">
      <c r="A1640" s="283"/>
      <c r="B1640" s="283"/>
      <c r="C1640" s="256"/>
      <c r="D1640" s="277"/>
      <c r="E1640" s="278"/>
      <c r="F1640" s="278"/>
      <c r="G1640" s="264"/>
      <c r="H1640" s="279"/>
      <c r="I1640" s="280"/>
      <c r="J1640" s="280"/>
      <c r="K1640" s="279"/>
      <c r="L1640" s="278"/>
      <c r="M1640" s="279"/>
      <c r="N1640" s="281"/>
      <c r="O1640" s="281"/>
      <c r="P1640" s="278"/>
      <c r="Q1640" s="282"/>
      <c r="R1640" s="279"/>
      <c r="S1640" s="279"/>
      <c r="T1640" s="279"/>
      <c r="U1640" s="106"/>
      <c r="V1640" s="106"/>
      <c r="W1640" s="106"/>
      <c r="X1640" s="106"/>
      <c r="Y1640" s="106"/>
      <c r="Z1640" s="106"/>
      <c r="AA1640" s="106"/>
      <c r="AB1640" s="106"/>
      <c r="AC1640" s="106"/>
      <c r="AD1640" s="106"/>
      <c r="AE1640" s="106"/>
      <c r="AF1640" s="106"/>
      <c r="AG1640" s="106"/>
      <c r="AH1640" s="106"/>
      <c r="AI1640" s="106"/>
      <c r="AJ1640" s="106"/>
      <c r="AK1640" s="106"/>
      <c r="AL1640" s="106"/>
      <c r="AM1640" s="106"/>
      <c r="AN1640" s="106"/>
      <c r="AO1640" s="106"/>
      <c r="AP1640" s="264"/>
      <c r="AQ1640" s="264"/>
      <c r="AR1640" s="264"/>
      <c r="AS1640" s="248"/>
      <c r="AT1640" s="264"/>
    </row>
    <row r="1641" spans="1:46" ht="14.25">
      <c r="A1641" s="283"/>
      <c r="B1641" s="283"/>
      <c r="C1641" s="256" t="s">
        <v>327</v>
      </c>
      <c r="D1641" s="277"/>
      <c r="E1641" s="278"/>
      <c r="F1641" s="278"/>
      <c r="G1641" s="264"/>
      <c r="H1641" s="279"/>
      <c r="I1641" s="280"/>
      <c r="J1641" s="280"/>
      <c r="K1641" s="279"/>
      <c r="L1641" s="278"/>
      <c r="M1641" s="279"/>
      <c r="N1641" s="281"/>
      <c r="O1641" s="281"/>
      <c r="P1641" s="278"/>
      <c r="Q1641" s="282"/>
      <c r="R1641" s="279"/>
      <c r="S1641" s="279"/>
      <c r="T1641" s="279"/>
      <c r="U1641" s="274">
        <f t="shared" ref="U1641:AB1641" si="641">+U1643-SUM(U1636:U1640)</f>
        <v>535.91160072915955</v>
      </c>
      <c r="V1641" s="274">
        <f t="shared" si="641"/>
        <v>168.56793093751548</v>
      </c>
      <c r="W1641" s="274">
        <f t="shared" si="641"/>
        <v>0</v>
      </c>
      <c r="X1641" s="274">
        <f t="shared" si="641"/>
        <v>704.47953166667139</v>
      </c>
      <c r="Y1641" s="274">
        <f t="shared" si="641"/>
        <v>580.15221629818552</v>
      </c>
      <c r="Z1641" s="274">
        <f t="shared" si="641"/>
        <v>182.48356370181318</v>
      </c>
      <c r="AA1641" s="274">
        <f t="shared" si="641"/>
        <v>0</v>
      </c>
      <c r="AB1641" s="274">
        <f t="shared" si="641"/>
        <v>762.63577999999688</v>
      </c>
      <c r="AC1641" s="274">
        <f t="shared" ref="AC1641:AO1641" si="642">+AC1643-SUM(AC1636:AC1640)</f>
        <v>584.74154000000271</v>
      </c>
      <c r="AD1641" s="274">
        <f t="shared" si="642"/>
        <v>569.17751000000135</v>
      </c>
      <c r="AE1641" s="274">
        <f t="shared" si="642"/>
        <v>779.87786000000051</v>
      </c>
      <c r="AF1641" s="274">
        <f t="shared" si="642"/>
        <v>771.72372999999789</v>
      </c>
      <c r="AG1641" s="274">
        <f t="shared" si="642"/>
        <v>710.56480999999621</v>
      </c>
      <c r="AH1641" s="274">
        <f t="shared" si="642"/>
        <v>678.52659000000131</v>
      </c>
      <c r="AI1641" s="274">
        <f t="shared" si="642"/>
        <v>715.00993999999628</v>
      </c>
      <c r="AJ1641" s="274">
        <f t="shared" si="642"/>
        <v>744.24382999999943</v>
      </c>
      <c r="AK1641" s="274">
        <f t="shared" si="642"/>
        <v>797.19095000000016</v>
      </c>
      <c r="AL1641" s="274">
        <f t="shared" si="642"/>
        <v>706.47377000001143</v>
      </c>
      <c r="AM1641" s="274">
        <f t="shared" si="642"/>
        <v>641.02199999999721</v>
      </c>
      <c r="AN1641" s="274">
        <f t="shared" si="642"/>
        <v>666.25473000000056</v>
      </c>
      <c r="AO1641" s="274">
        <f t="shared" si="642"/>
        <v>762.63577999999688</v>
      </c>
      <c r="AP1641" s="264"/>
      <c r="AQ1641" s="264"/>
      <c r="AR1641" s="264"/>
      <c r="AS1641" s="248"/>
      <c r="AT1641" s="264"/>
    </row>
    <row r="1642" spans="1:46">
      <c r="A1642" s="283"/>
      <c r="B1642" s="283"/>
      <c r="C1642" s="256"/>
      <c r="D1642" s="277"/>
      <c r="E1642" s="278"/>
      <c r="F1642" s="278"/>
      <c r="G1642" s="264"/>
      <c r="H1642" s="279"/>
      <c r="I1642" s="280"/>
      <c r="J1642" s="280"/>
      <c r="K1642" s="279"/>
      <c r="L1642" s="278"/>
      <c r="M1642" s="279"/>
      <c r="N1642" s="281"/>
      <c r="O1642" s="281"/>
      <c r="P1642" s="278"/>
      <c r="Q1642" s="282"/>
      <c r="R1642" s="279"/>
      <c r="S1642" s="279"/>
      <c r="T1642" s="279"/>
      <c r="U1642" s="263"/>
      <c r="V1642" s="263"/>
      <c r="W1642" s="263"/>
      <c r="X1642" s="263"/>
      <c r="Y1642" s="263"/>
      <c r="Z1642" s="263"/>
      <c r="AA1642" s="263"/>
      <c r="AB1642" s="263"/>
      <c r="AC1642" s="263"/>
      <c r="AD1642" s="263"/>
      <c r="AE1642" s="263"/>
      <c r="AF1642" s="263"/>
      <c r="AG1642" s="263"/>
      <c r="AH1642" s="263"/>
      <c r="AI1642" s="263"/>
      <c r="AJ1642" s="263"/>
      <c r="AK1642" s="263"/>
      <c r="AL1642" s="263"/>
      <c r="AM1642" s="263"/>
      <c r="AN1642" s="263"/>
      <c r="AO1642" s="263"/>
      <c r="AP1642" s="264"/>
      <c r="AQ1642" s="264"/>
      <c r="AR1642" s="264"/>
      <c r="AS1642" s="248"/>
      <c r="AT1642" s="264"/>
    </row>
    <row r="1643" spans="1:46">
      <c r="A1643" s="246"/>
      <c r="B1643" s="246"/>
      <c r="C1643" s="256" t="s">
        <v>1179</v>
      </c>
      <c r="D1643" s="285" t="s">
        <v>733</v>
      </c>
      <c r="E1643" s="287"/>
      <c r="F1643" s="247"/>
      <c r="G1643" s="262"/>
      <c r="H1643" s="258"/>
      <c r="I1643" s="253"/>
      <c r="J1643" s="253"/>
      <c r="K1643" s="258"/>
      <c r="L1643" s="257"/>
      <c r="M1643" s="258"/>
      <c r="N1643" s="259"/>
      <c r="O1643" s="259"/>
      <c r="P1643" s="257"/>
      <c r="Q1643" s="284"/>
      <c r="R1643" s="258"/>
      <c r="S1643" s="258"/>
      <c r="T1643" s="258"/>
      <c r="U1643" s="106">
        <f>SUMIF($L:$L,$D1643,U:U)</f>
        <v>40110.473866472006</v>
      </c>
      <c r="V1643" s="106">
        <f>SUMIF($L:$L,$D1643,V:V)</f>
        <v>10512.104543111329</v>
      </c>
      <c r="W1643" s="106">
        <f>SUMIF($L:$L,$D1643,W:W)</f>
        <v>0</v>
      </c>
      <c r="X1643" s="106">
        <f>SUMIF($L:$L,$D1643,X:X)</f>
        <v>50622.578409583373</v>
      </c>
      <c r="Y1643" s="106">
        <f>SUMIF($L:$L,$D1643,Y:Y)</f>
        <v>34898.049408182953</v>
      </c>
      <c r="Z1643" s="106">
        <f>SUMIF($L:$L,$D1643,Z:Z)</f>
        <v>9123.5310018170876</v>
      </c>
      <c r="AA1643" s="106">
        <f>SUMIF($L:$L,$D1643,AA:AA)</f>
        <v>0</v>
      </c>
      <c r="AB1643" s="106">
        <f>SUMIF($L:$L,$D1643,AB:AB)</f>
        <v>44021.580409999995</v>
      </c>
      <c r="AC1643" s="106">
        <f>SUMIF($L:$L,$D1643,AC:AC)</f>
        <v>43162.655180000002</v>
      </c>
      <c r="AD1643" s="106">
        <f>SUMIF($L:$L,$D1643,AD:AD)</f>
        <v>64409.203590000005</v>
      </c>
      <c r="AE1643" s="106">
        <f>SUMIF($L:$L,$D1643,AE:AE)</f>
        <v>56505.600010000002</v>
      </c>
      <c r="AF1643" s="106">
        <f>SUMIF($L:$L,$D1643,AF:AF)</f>
        <v>64752.910450000003</v>
      </c>
      <c r="AG1643" s="106">
        <f>SUMIF($L:$L,$D1643,AG:AG)</f>
        <v>53699.279700000006</v>
      </c>
      <c r="AH1643" s="106">
        <f>SUMIF($L:$L,$D1643,AH:AH)</f>
        <v>42149.408109999997</v>
      </c>
      <c r="AI1643" s="106">
        <f>SUMIF($L:$L,$D1643,AI:AI)</f>
        <v>33693.245239999997</v>
      </c>
      <c r="AJ1643" s="106">
        <f>SUMIF($L:$L,$D1643,AJ:AJ)</f>
        <v>29066.367830000003</v>
      </c>
      <c r="AK1643" s="106">
        <f>SUMIF($L:$L,$D1643,AK:AK)</f>
        <v>23940.891250000001</v>
      </c>
      <c r="AL1643" s="106">
        <f>SUMIF($L:$L,$D1643,AL:AL)</f>
        <v>71779.429310000007</v>
      </c>
      <c r="AM1643" s="106">
        <f>SUMIF($L:$L,$D1643,AM:AM)</f>
        <v>67725.299539999993</v>
      </c>
      <c r="AN1643" s="106">
        <f>SUMIF($L:$L,$D1643,AN:AN)</f>
        <v>56157.188090000003</v>
      </c>
      <c r="AO1643" s="106">
        <f>SUMIF($L:$L,$D1643,AO:AO)</f>
        <v>44021.580409999995</v>
      </c>
      <c r="AP1643" s="264"/>
      <c r="AQ1643" s="264"/>
      <c r="AR1643" s="264"/>
      <c r="AS1643" s="248"/>
      <c r="AT1643" s="264"/>
    </row>
    <row r="1644" spans="1:46" ht="12.75" customHeight="1">
      <c r="C1644" s="256" t="s">
        <v>1849</v>
      </c>
      <c r="U1644" s="289">
        <f>-'NYSEG PSC Assess Liab'!T32/1000</f>
        <v>-6762.6497258700238</v>
      </c>
      <c r="V1644" s="289">
        <f>-'NYSEG PSC Assess Liab'!T33/1000</f>
        <v>-2382.3314028799687</v>
      </c>
      <c r="W1644" s="261">
        <v>0</v>
      </c>
      <c r="X1644" s="261">
        <f>SUBTOTAL(9,U1644:W1644)</f>
        <v>-9144.9811287499924</v>
      </c>
      <c r="Y1644" s="289">
        <f>(-'NYSEG PSC Assess Liab'!T28)/1000</f>
        <v>-5270.879543021776</v>
      </c>
      <c r="Z1644" s="289">
        <f>-'NYSEG PSC Assess Liab'!T29/1000</f>
        <v>-1856.813876978217</v>
      </c>
      <c r="AA1644" s="261">
        <v>0</v>
      </c>
      <c r="AB1644" s="261">
        <f>SUBTOTAL(9,Y1644:AA1644)</f>
        <v>-7127.6934199999932</v>
      </c>
      <c r="AC1644" s="261"/>
      <c r="AD1644" s="261"/>
      <c r="AE1644" s="261"/>
      <c r="AF1644" s="261"/>
      <c r="AG1644" s="261"/>
      <c r="AH1644" s="261"/>
      <c r="AI1644" s="261"/>
      <c r="AJ1644" s="261"/>
      <c r="AK1644" s="261"/>
      <c r="AL1644" s="261"/>
      <c r="AM1644" s="261"/>
      <c r="AN1644" s="261"/>
      <c r="AO1644" s="261"/>
    </row>
    <row r="1645" spans="1:46">
      <c r="A1645" s="246"/>
      <c r="B1645" s="290" t="s">
        <v>733</v>
      </c>
      <c r="C1645" s="256" t="s">
        <v>1850</v>
      </c>
      <c r="E1645" s="215"/>
      <c r="F1645" s="215"/>
      <c r="G1645" s="248"/>
      <c r="H1645" s="249"/>
      <c r="I1645" s="253"/>
      <c r="J1645" s="253"/>
      <c r="K1645" s="249"/>
      <c r="L1645" s="215"/>
      <c r="M1645" s="249"/>
      <c r="N1645" s="254"/>
      <c r="O1645" s="254"/>
      <c r="P1645" s="215"/>
      <c r="Q1645" s="247"/>
      <c r="R1645" s="249"/>
      <c r="S1645" s="249"/>
      <c r="T1645" s="249"/>
      <c r="U1645" s="106">
        <f>SUBTOTAL(9,U1643:U1644)</f>
        <v>33347.824140601981</v>
      </c>
      <c r="V1645" s="106">
        <f t="shared" ref="V1645:AA1645" si="643">SUBTOTAL(9,V1643:V1644)</f>
        <v>8129.7731402313602</v>
      </c>
      <c r="W1645" s="106">
        <f t="shared" si="643"/>
        <v>0</v>
      </c>
      <c r="X1645" s="106">
        <f>X1643+X1644</f>
        <v>41477.597280833383</v>
      </c>
      <c r="Y1645" s="106">
        <f t="shared" si="643"/>
        <v>29627.169865161177</v>
      </c>
      <c r="Z1645" s="106">
        <f t="shared" si="643"/>
        <v>7266.7171248388704</v>
      </c>
      <c r="AA1645" s="106">
        <f t="shared" si="643"/>
        <v>0</v>
      </c>
      <c r="AB1645" s="106">
        <f>AB1643+AB1644</f>
        <v>36893.886989999999</v>
      </c>
      <c r="AC1645" s="106"/>
      <c r="AD1645" s="106"/>
      <c r="AE1645" s="106"/>
      <c r="AF1645" s="106"/>
      <c r="AG1645" s="106"/>
      <c r="AH1645" s="106"/>
      <c r="AI1645" s="106"/>
      <c r="AJ1645" s="106"/>
      <c r="AK1645" s="106"/>
      <c r="AL1645" s="106"/>
      <c r="AM1645" s="106"/>
      <c r="AN1645" s="106"/>
      <c r="AO1645" s="106"/>
      <c r="AP1645" s="248"/>
      <c r="AQ1645" s="248"/>
      <c r="AR1645" s="248"/>
      <c r="AS1645" s="248"/>
      <c r="AT1645" s="248"/>
    </row>
    <row r="1646" spans="1:46">
      <c r="A1646" s="246"/>
      <c r="B1646" s="246"/>
      <c r="C1646" s="256"/>
      <c r="D1646" s="214"/>
      <c r="E1646" s="215"/>
      <c r="F1646" s="215"/>
      <c r="G1646" s="248"/>
      <c r="H1646" s="249"/>
      <c r="I1646" s="253"/>
      <c r="J1646" s="253"/>
      <c r="K1646" s="249"/>
      <c r="L1646" s="215"/>
      <c r="M1646" s="249"/>
      <c r="N1646" s="254"/>
      <c r="O1646" s="254"/>
      <c r="P1646" s="215"/>
      <c r="Q1646" s="247"/>
      <c r="R1646" s="249"/>
      <c r="S1646" s="249"/>
      <c r="T1646" s="249"/>
      <c r="U1646" s="263"/>
      <c r="V1646" s="263"/>
      <c r="W1646" s="263"/>
      <c r="X1646" s="263"/>
      <c r="Y1646" s="263"/>
      <c r="Z1646" s="263"/>
      <c r="AA1646" s="263"/>
      <c r="AB1646" s="263"/>
      <c r="AC1646" s="263"/>
      <c r="AD1646" s="263"/>
      <c r="AE1646" s="263"/>
      <c r="AF1646" s="263"/>
      <c r="AG1646" s="263"/>
      <c r="AH1646" s="263"/>
      <c r="AI1646" s="263"/>
      <c r="AJ1646" s="263"/>
      <c r="AK1646" s="263"/>
      <c r="AL1646" s="263"/>
      <c r="AM1646" s="263"/>
      <c r="AN1646" s="263"/>
      <c r="AO1646" s="263"/>
      <c r="AP1646" s="264"/>
      <c r="AQ1646" s="264"/>
      <c r="AR1646" s="264"/>
      <c r="AS1646" s="248"/>
      <c r="AT1646" s="248"/>
    </row>
    <row r="1647" spans="1:46">
      <c r="A1647" s="246"/>
      <c r="B1647" s="246"/>
      <c r="C1647" s="256"/>
      <c r="D1647" s="214"/>
      <c r="E1647" s="215"/>
      <c r="F1647" s="215"/>
      <c r="G1647" s="248"/>
      <c r="H1647" s="249"/>
      <c r="I1647" s="253"/>
      <c r="J1647" s="253"/>
      <c r="K1647" s="249"/>
      <c r="L1647" s="215"/>
      <c r="M1647" s="249"/>
      <c r="N1647" s="254"/>
      <c r="O1647" s="254"/>
      <c r="P1647" s="215"/>
      <c r="Q1647" s="247"/>
      <c r="R1647" s="249"/>
      <c r="S1647" s="249"/>
      <c r="T1647" s="249"/>
      <c r="U1647" s="106"/>
      <c r="V1647" s="106"/>
      <c r="W1647" s="106"/>
      <c r="X1647" s="106"/>
      <c r="Y1647" s="106"/>
      <c r="Z1647" s="106"/>
      <c r="AA1647" s="106"/>
      <c r="AB1647" s="106"/>
      <c r="AC1647" s="106"/>
      <c r="AD1647" s="106"/>
      <c r="AE1647" s="106"/>
      <c r="AF1647" s="106"/>
      <c r="AG1647" s="106"/>
      <c r="AH1647" s="106"/>
      <c r="AI1647" s="106"/>
      <c r="AJ1647" s="106"/>
      <c r="AK1647" s="106"/>
      <c r="AL1647" s="106"/>
      <c r="AM1647" s="106"/>
      <c r="AN1647" s="106"/>
      <c r="AO1647" s="106"/>
      <c r="AP1647" s="248"/>
      <c r="AQ1647" s="248"/>
      <c r="AR1647" s="248"/>
      <c r="AS1647" s="248"/>
      <c r="AT1647" s="248"/>
    </row>
    <row r="1648" spans="1:46">
      <c r="A1648" s="252"/>
      <c r="B1648" s="252" t="s">
        <v>2508</v>
      </c>
      <c r="C1648" s="256"/>
      <c r="D1648" s="277"/>
      <c r="E1648" s="278"/>
      <c r="F1648" s="278"/>
      <c r="G1648" s="264"/>
      <c r="H1648" s="279"/>
      <c r="I1648" s="280"/>
      <c r="J1648" s="280"/>
      <c r="K1648" s="279"/>
      <c r="L1648" s="278"/>
      <c r="M1648" s="279"/>
      <c r="N1648" s="281"/>
      <c r="O1648" s="281"/>
      <c r="P1648" s="278"/>
      <c r="Q1648" s="282"/>
      <c r="R1648" s="279"/>
      <c r="S1648" s="279"/>
      <c r="T1648" s="279"/>
      <c r="U1648" s="263"/>
      <c r="V1648" s="263"/>
      <c r="W1648" s="263"/>
      <c r="X1648" s="263"/>
      <c r="Y1648" s="263"/>
      <c r="Z1648" s="263"/>
      <c r="AA1648" s="263"/>
      <c r="AB1648" s="263"/>
      <c r="AC1648" s="263"/>
      <c r="AD1648" s="263"/>
      <c r="AE1648" s="263"/>
      <c r="AF1648" s="263"/>
      <c r="AG1648" s="263"/>
      <c r="AH1648" s="263"/>
      <c r="AI1648" s="263"/>
      <c r="AJ1648" s="263"/>
      <c r="AK1648" s="263"/>
      <c r="AL1648" s="263"/>
      <c r="AM1648" s="263"/>
      <c r="AN1648" s="263"/>
      <c r="AO1648" s="263"/>
      <c r="AP1648" s="264"/>
      <c r="AQ1648" s="264"/>
      <c r="AR1648" s="264"/>
      <c r="AS1648" s="248"/>
      <c r="AT1648" s="248"/>
    </row>
    <row r="1649" spans="1:46">
      <c r="A1649" s="283"/>
      <c r="B1649" s="283"/>
      <c r="C1649" s="285" t="s">
        <v>1405</v>
      </c>
      <c r="D1649" s="277"/>
      <c r="E1649" s="278"/>
      <c r="F1649" s="278"/>
      <c r="G1649" s="264"/>
      <c r="H1649" s="279"/>
      <c r="I1649" s="280"/>
      <c r="J1649" s="280"/>
      <c r="K1649" s="279"/>
      <c r="L1649" s="215"/>
      <c r="M1649" s="279"/>
      <c r="N1649" s="281"/>
      <c r="O1649" s="281"/>
      <c r="P1649" s="278"/>
      <c r="Q1649" s="282"/>
      <c r="R1649" s="279"/>
      <c r="S1649" s="279"/>
      <c r="T1649" s="279"/>
      <c r="U1649" s="106">
        <f>SUMIF($AS:$AS,$AT1649,U:U)</f>
        <v>-2947.8847126507899</v>
      </c>
      <c r="V1649" s="106">
        <f>SUMIF($AS:$AS,$AT1649,V:V)</f>
        <v>-927.24028734921205</v>
      </c>
      <c r="W1649" s="106">
        <f>SUMIF($AS:$AS,$AT1649,W:W)</f>
        <v>0</v>
      </c>
      <c r="X1649" s="106">
        <f>SUMIF($AS:$AS,$AT1649,X:X)</f>
        <v>-3875.125</v>
      </c>
      <c r="Y1649" s="106">
        <f>SUMIF($AS:$AS,$AT1649,Y:Y)</f>
        <v>-3102.2157628953701</v>
      </c>
      <c r="Z1649" s="106">
        <f>SUMIF($AS:$AS,$AT1649,Z:Z)</f>
        <v>-975.78423710463198</v>
      </c>
      <c r="AA1649" s="106">
        <f>SUMIF($AS:$AS,$AT1649,AA:AA)</f>
        <v>0</v>
      </c>
      <c r="AB1649" s="106">
        <f>SUMIF($AS:$AS,$AT1649,AB:AB)</f>
        <v>-4078</v>
      </c>
      <c r="AC1649" s="106">
        <f>SUMIF($AS:$AS,$AT1649,AC:AC)</f>
        <v>-3795</v>
      </c>
      <c r="AD1649" s="106">
        <f>SUMIF($AS:$AS,$AT1649,AD:AD)</f>
        <v>-3795</v>
      </c>
      <c r="AE1649" s="106">
        <f>SUMIF($AS:$AS,$AT1649,AE:AE)</f>
        <v>-3795</v>
      </c>
      <c r="AF1649" s="106">
        <f>SUMIF($AS:$AS,$AT1649,AF:AF)</f>
        <v>-3795</v>
      </c>
      <c r="AG1649" s="106">
        <f>SUMIF($AS:$AS,$AT1649,AG:AG)</f>
        <v>-3795</v>
      </c>
      <c r="AH1649" s="106">
        <f>SUMIF($AS:$AS,$AT1649,AH:AH)</f>
        <v>-3795</v>
      </c>
      <c r="AI1649" s="106">
        <f>SUMIF($AS:$AS,$AT1649,AI:AI)</f>
        <v>-3795</v>
      </c>
      <c r="AJ1649" s="106">
        <f>SUMIF($AS:$AS,$AT1649,AJ:AJ)</f>
        <v>-3795</v>
      </c>
      <c r="AK1649" s="106">
        <f>SUMIF($AS:$AS,$AT1649,AK:AK)</f>
        <v>-3795</v>
      </c>
      <c r="AL1649" s="106">
        <f>SUMIF($AS:$AS,$AT1649,AL:AL)</f>
        <v>-3795</v>
      </c>
      <c r="AM1649" s="106">
        <f>SUMIF($AS:$AS,$AT1649,AM:AM)</f>
        <v>-4205</v>
      </c>
      <c r="AN1649" s="106">
        <f>SUMIF($AS:$AS,$AT1649,AN:AN)</f>
        <v>-4205</v>
      </c>
      <c r="AO1649" s="106">
        <f>SUMIF($AS:$AS,$AT1649,AO:AO)</f>
        <v>-4078</v>
      </c>
      <c r="AP1649" s="264"/>
      <c r="AQ1649" s="264"/>
      <c r="AR1649" s="264"/>
      <c r="AS1649" s="264"/>
      <c r="AT1649" s="248" t="str">
        <f>+CONCATENATE(D$1690,C1649)</f>
        <v>R10A&amp;S CHIP</v>
      </c>
    </row>
    <row r="1650" spans="1:46">
      <c r="A1650" s="283"/>
      <c r="B1650" s="283"/>
      <c r="C1650" s="285" t="s">
        <v>1002</v>
      </c>
      <c r="D1650" s="277"/>
      <c r="E1650" s="278"/>
      <c r="F1650" s="278"/>
      <c r="G1650" s="264"/>
      <c r="H1650" s="279"/>
      <c r="I1650" s="280"/>
      <c r="J1650" s="280"/>
      <c r="K1650" s="279"/>
      <c r="L1650" s="215"/>
      <c r="M1650" s="279"/>
      <c r="N1650" s="281"/>
      <c r="O1650" s="281"/>
      <c r="P1650" s="278"/>
      <c r="Q1650" s="282"/>
      <c r="R1650" s="279"/>
      <c r="S1650" s="279"/>
      <c r="T1650" s="279"/>
      <c r="U1650" s="106">
        <f>SUMIF($AS:$AS,$AT1650,U:U)</f>
        <v>393266.39522693231</v>
      </c>
      <c r="V1650" s="106">
        <f>SUMIF($AS:$AS,$AT1650,V:V)</f>
        <v>86912.353523900863</v>
      </c>
      <c r="W1650" s="106">
        <f>SUMIF($AS:$AS,$AT1650,W:W)</f>
        <v>0</v>
      </c>
      <c r="X1650" s="106">
        <f>SUMIF($AS:$AS,$AT1650,X:X)</f>
        <v>480178.74875083333</v>
      </c>
      <c r="Y1650" s="106">
        <f>SUMIF($AS:$AS,$AT1650,Y:Y)</f>
        <v>375496.59747600002</v>
      </c>
      <c r="Z1650" s="106">
        <f>SUMIF($AS:$AS,$AT1650,Z:Z)</f>
        <v>82985.206523999994</v>
      </c>
      <c r="AA1650" s="106">
        <f>SUMIF($AS:$AS,$AT1650,AA:AA)</f>
        <v>0</v>
      </c>
      <c r="AB1650" s="106">
        <f>SUMIF($AS:$AS,$AT1650,AB:AB)</f>
        <v>458481.80399999977</v>
      </c>
      <c r="AC1650" s="106">
        <f>SUMIF($AS:$AS,$AT1650,AC:AC)</f>
        <v>501874.76621999999</v>
      </c>
      <c r="AD1650" s="106">
        <f>SUMIF($AS:$AS,$AT1650,AD:AD)</f>
        <v>498258.68605999998</v>
      </c>
      <c r="AE1650" s="106">
        <f>SUMIF($AS:$AS,$AT1650,AE:AE)</f>
        <v>494642.60589999997</v>
      </c>
      <c r="AF1650" s="106">
        <f>SUMIF($AS:$AS,$AT1650,AF:AF)</f>
        <v>491027.14373999991</v>
      </c>
      <c r="AG1650" s="106">
        <f>SUMIF($AS:$AS,$AT1650,AG:AG)</f>
        <v>487411.0635799999</v>
      </c>
      <c r="AH1650" s="106">
        <f>SUMIF($AS:$AS,$AT1650,AH:AH)</f>
        <v>483794.98341999989</v>
      </c>
      <c r="AI1650" s="106">
        <f>SUMIF($AS:$AS,$AT1650,AI:AI)</f>
        <v>480178.90325999988</v>
      </c>
      <c r="AJ1650" s="106">
        <f>SUMIF($AS:$AS,$AT1650,AJ:AJ)</f>
        <v>476562.8230999998</v>
      </c>
      <c r="AK1650" s="106">
        <f>SUMIF($AS:$AS,$AT1650,AK:AK)</f>
        <v>472946.74293999979</v>
      </c>
      <c r="AL1650" s="106">
        <f>SUMIF($AS:$AS,$AT1650,AL:AL)</f>
        <v>469330.66277999978</v>
      </c>
      <c r="AM1650" s="106">
        <f>SUMIF($AS:$AS,$AT1650,AM:AM)</f>
        <v>465714.5826399998</v>
      </c>
      <c r="AN1650" s="106">
        <f>SUMIF($AS:$AS,$AT1650,AN:AN)</f>
        <v>462098.50247999968</v>
      </c>
      <c r="AO1650" s="106">
        <f>SUMIF($AS:$AS,$AT1650,AO:AO)</f>
        <v>458481.80399999977</v>
      </c>
      <c r="AP1650" s="264"/>
      <c r="AQ1650" s="264"/>
      <c r="AR1650" s="264"/>
      <c r="AS1650" s="264"/>
      <c r="AT1650" s="248" t="str">
        <f t="shared" ref="AT1650:AT1685" si="644">+CONCATENATE(D$1690,C1650)</f>
        <v>R10Accrued Pension</v>
      </c>
    </row>
    <row r="1651" spans="1:46">
      <c r="A1651" s="283"/>
      <c r="B1651" s="283"/>
      <c r="C1651" s="285" t="s">
        <v>794</v>
      </c>
      <c r="D1651" s="277"/>
      <c r="E1651" s="278"/>
      <c r="F1651" s="278"/>
      <c r="G1651" s="264"/>
      <c r="H1651" s="279"/>
      <c r="I1651" s="280"/>
      <c r="J1651" s="280"/>
      <c r="K1651" s="279"/>
      <c r="L1651" s="215"/>
      <c r="M1651" s="279"/>
      <c r="N1651" s="281"/>
      <c r="O1651" s="281"/>
      <c r="P1651" s="278"/>
      <c r="Q1651" s="282"/>
      <c r="R1651" s="279"/>
      <c r="S1651" s="279"/>
      <c r="T1651" s="279"/>
      <c r="U1651" s="106">
        <f>SUMIF($AS:$AS,$AT1651,U:U)</f>
        <v>-5187.5</v>
      </c>
      <c r="V1651" s="106">
        <f>SUMIF($AS:$AS,$AT1651,V:V)</f>
        <v>0</v>
      </c>
      <c r="W1651" s="106">
        <f>SUMIF($AS:$AS,$AT1651,W:W)</f>
        <v>0</v>
      </c>
      <c r="X1651" s="106">
        <f>SUMIF($AS:$AS,$AT1651,X:X)</f>
        <v>-5187.5</v>
      </c>
      <c r="Y1651" s="106">
        <f>SUMIF($AS:$AS,$AT1651,Y:Y)</f>
        <v>-6000</v>
      </c>
      <c r="Z1651" s="106">
        <f>SUMIF($AS:$AS,$AT1651,Z:Z)</f>
        <v>0</v>
      </c>
      <c r="AA1651" s="106">
        <f>SUMIF($AS:$AS,$AT1651,AA:AA)</f>
        <v>0</v>
      </c>
      <c r="AB1651" s="106">
        <f>SUMIF($AS:$AS,$AT1651,AB:AB)</f>
        <v>-6000</v>
      </c>
      <c r="AC1651" s="106">
        <f>SUMIF($AS:$AS,$AT1651,AC:AC)</f>
        <v>-4500</v>
      </c>
      <c r="AD1651" s="106">
        <f>SUMIF($AS:$AS,$AT1651,AD:AD)</f>
        <v>-4500</v>
      </c>
      <c r="AE1651" s="106">
        <f>SUMIF($AS:$AS,$AT1651,AE:AE)</f>
        <v>-4500</v>
      </c>
      <c r="AF1651" s="106">
        <f>SUMIF($AS:$AS,$AT1651,AF:AF)</f>
        <v>-4500</v>
      </c>
      <c r="AG1651" s="106">
        <f>SUMIF($AS:$AS,$AT1651,AG:AG)</f>
        <v>-4500</v>
      </c>
      <c r="AH1651" s="106">
        <f>SUMIF($AS:$AS,$AT1651,AH:AH)</f>
        <v>-4500</v>
      </c>
      <c r="AI1651" s="106">
        <f>SUMIF($AS:$AS,$AT1651,AI:AI)</f>
        <v>-4500</v>
      </c>
      <c r="AJ1651" s="106">
        <f>SUMIF($AS:$AS,$AT1651,AJ:AJ)</f>
        <v>-6000</v>
      </c>
      <c r="AK1651" s="106">
        <f>SUMIF($AS:$AS,$AT1651,AK:AK)</f>
        <v>-6000</v>
      </c>
      <c r="AL1651" s="106">
        <f>SUMIF($AS:$AS,$AT1651,AL:AL)</f>
        <v>-6000</v>
      </c>
      <c r="AM1651" s="106">
        <f>SUMIF($AS:$AS,$AT1651,AM:AM)</f>
        <v>-6000</v>
      </c>
      <c r="AN1651" s="106">
        <f>SUMIF($AS:$AS,$AT1651,AN:AN)</f>
        <v>-6000</v>
      </c>
      <c r="AO1651" s="106">
        <f>SUMIF($AS:$AS,$AT1651,AO:AO)</f>
        <v>-6000</v>
      </c>
      <c r="AP1651" s="264"/>
      <c r="AQ1651" s="264"/>
      <c r="AR1651" s="264"/>
      <c r="AS1651" s="264"/>
      <c r="AT1651" s="248" t="str">
        <f t="shared" si="644"/>
        <v>R10ACF</v>
      </c>
    </row>
    <row r="1652" spans="1:46">
      <c r="A1652" s="283"/>
      <c r="B1652" s="283"/>
      <c r="C1652" s="285" t="s">
        <v>1805</v>
      </c>
      <c r="D1652" s="277"/>
      <c r="E1652" s="278"/>
      <c r="F1652" s="278"/>
      <c r="G1652" s="264"/>
      <c r="H1652" s="279"/>
      <c r="I1652" s="280"/>
      <c r="J1652" s="280"/>
      <c r="K1652" s="279"/>
      <c r="L1652" s="215"/>
      <c r="M1652" s="279"/>
      <c r="N1652" s="281"/>
      <c r="O1652" s="281"/>
      <c r="P1652" s="278"/>
      <c r="Q1652" s="282"/>
      <c r="R1652" s="279"/>
      <c r="S1652" s="279"/>
      <c r="T1652" s="279"/>
      <c r="U1652" s="106">
        <f>SUMIF($AS:$AS,$AT1652,U:U)</f>
        <v>-7.0000000000000001E-15</v>
      </c>
      <c r="V1652" s="106">
        <f>SUMIF($AS:$AS,$AT1652,V:V)</f>
        <v>-8.9999999999999995E-15</v>
      </c>
      <c r="W1652" s="106">
        <f>SUMIF($AS:$AS,$AT1652,W:W)</f>
        <v>0</v>
      </c>
      <c r="X1652" s="106">
        <f>SUMIF($AS:$AS,$AT1652,X:X)</f>
        <v>-1.6000000000000001E-14</v>
      </c>
      <c r="Y1652" s="106">
        <f>SUMIF($AS:$AS,$AT1652,Y:Y)</f>
        <v>0</v>
      </c>
      <c r="Z1652" s="106">
        <f>SUMIF($AS:$AS,$AT1652,Z:Z)</f>
        <v>0</v>
      </c>
      <c r="AA1652" s="106">
        <f>SUMIF($AS:$AS,$AT1652,AA:AA)</f>
        <v>0</v>
      </c>
      <c r="AB1652" s="106">
        <f>SUMIF($AS:$AS,$AT1652,AB:AB)</f>
        <v>0</v>
      </c>
      <c r="AC1652" s="106">
        <f>SUMIF($AS:$AS,$AT1652,AC:AC)</f>
        <v>-3.9290171116590499E-13</v>
      </c>
      <c r="AD1652" s="106">
        <f>SUMIF($AS:$AS,$AT1652,AD:AD)</f>
        <v>0</v>
      </c>
      <c r="AE1652" s="106">
        <f>SUMIF($AS:$AS,$AT1652,AE:AE)</f>
        <v>0</v>
      </c>
      <c r="AF1652" s="106">
        <f>SUMIF($AS:$AS,$AT1652,AF:AF)</f>
        <v>0</v>
      </c>
      <c r="AG1652" s="106">
        <f>SUMIF($AS:$AS,$AT1652,AG:AG)</f>
        <v>0</v>
      </c>
      <c r="AH1652" s="106">
        <f>SUMIF($AS:$AS,$AT1652,AH:AH)</f>
        <v>0</v>
      </c>
      <c r="AI1652" s="106">
        <f>SUMIF($AS:$AS,$AT1652,AI:AI)</f>
        <v>0</v>
      </c>
      <c r="AJ1652" s="106">
        <f>SUMIF($AS:$AS,$AT1652,AJ:AJ)</f>
        <v>0</v>
      </c>
      <c r="AK1652" s="106">
        <f>SUMIF($AS:$AS,$AT1652,AK:AK)</f>
        <v>0</v>
      </c>
      <c r="AL1652" s="106">
        <f>SUMIF($AS:$AS,$AT1652,AL:AL)</f>
        <v>0</v>
      </c>
      <c r="AM1652" s="106">
        <f>SUMIF($AS:$AS,$AT1652,AM:AM)</f>
        <v>0</v>
      </c>
      <c r="AN1652" s="106">
        <f>SUMIF($AS:$AS,$AT1652,AN:AN)</f>
        <v>0</v>
      </c>
      <c r="AO1652" s="106">
        <f>SUMIF($AS:$AS,$AT1652,AO:AO)</f>
        <v>0</v>
      </c>
      <c r="AP1652" s="264"/>
      <c r="AQ1652" s="264"/>
      <c r="AR1652" s="264"/>
      <c r="AS1652" s="264"/>
      <c r="AT1652" s="248" t="str">
        <f t="shared" si="644"/>
        <v>R10Capitalized Installation Costs</v>
      </c>
    </row>
    <row r="1653" spans="1:46">
      <c r="A1653" s="283"/>
      <c r="B1653" s="283"/>
      <c r="C1653" s="285" t="s">
        <v>1115</v>
      </c>
      <c r="D1653" s="277"/>
      <c r="E1653" s="278"/>
      <c r="F1653" s="278"/>
      <c r="G1653" s="264"/>
      <c r="H1653" s="279"/>
      <c r="I1653" s="280"/>
      <c r="J1653" s="280"/>
      <c r="K1653" s="279"/>
      <c r="L1653" s="215"/>
      <c r="M1653" s="279"/>
      <c r="N1653" s="281"/>
      <c r="O1653" s="281"/>
      <c r="P1653" s="278"/>
      <c r="Q1653" s="282"/>
      <c r="R1653" s="279"/>
      <c r="S1653" s="279"/>
      <c r="T1653" s="279"/>
      <c r="U1653" s="106">
        <f>SUMIF($AS:$AS,$AT1653,U:U)</f>
        <v>0</v>
      </c>
      <c r="V1653" s="106">
        <f>SUMIF($AS:$AS,$AT1653,V:V)</f>
        <v>5008.1785808333298</v>
      </c>
      <c r="W1653" s="106">
        <f>SUMIF($AS:$AS,$AT1653,W:W)</f>
        <v>0</v>
      </c>
      <c r="X1653" s="106">
        <f>SUMIF($AS:$AS,$AT1653,X:X)</f>
        <v>5008.1785808333298</v>
      </c>
      <c r="Y1653" s="106">
        <f>SUMIF($AS:$AS,$AT1653,Y:Y)</f>
        <v>0</v>
      </c>
      <c r="Z1653" s="106">
        <f>SUMIF($AS:$AS,$AT1653,Z:Z)</f>
        <v>40879.388079999997</v>
      </c>
      <c r="AA1653" s="106">
        <f>SUMIF($AS:$AS,$AT1653,AA:AA)</f>
        <v>0</v>
      </c>
      <c r="AB1653" s="106">
        <f>SUMIF($AS:$AS,$AT1653,AB:AB)</f>
        <v>40879.388079999997</v>
      </c>
      <c r="AC1653" s="106">
        <f>SUMIF($AS:$AS,$AT1653,AC:AC)</f>
        <v>5533.7629999999999</v>
      </c>
      <c r="AD1653" s="106">
        <f>SUMIF($AS:$AS,$AT1653,AD:AD)</f>
        <v>0</v>
      </c>
      <c r="AE1653" s="106">
        <f>SUMIF($AS:$AS,$AT1653,AE:AE)</f>
        <v>3344.4773500000001</v>
      </c>
      <c r="AF1653" s="106">
        <f>SUMIF($AS:$AS,$AT1653,AF:AF)</f>
        <v>0</v>
      </c>
      <c r="AG1653" s="106">
        <f>SUMIF($AS:$AS,$AT1653,AG:AG)</f>
        <v>0</v>
      </c>
      <c r="AH1653" s="106">
        <f>SUMIF($AS:$AS,$AT1653,AH:AH)</f>
        <v>0</v>
      </c>
      <c r="AI1653" s="106">
        <f>SUMIF($AS:$AS,$AT1653,AI:AI)</f>
        <v>0</v>
      </c>
      <c r="AJ1653" s="106">
        <f>SUMIF($AS:$AS,$AT1653,AJ:AJ)</f>
        <v>14818.891</v>
      </c>
      <c r="AK1653" s="106">
        <f>SUMIF($AS:$AS,$AT1653,AK:AK)</f>
        <v>6638.1229999999996</v>
      </c>
      <c r="AL1653" s="106">
        <f>SUMIF($AS:$AS,$AT1653,AL:AL)</f>
        <v>731.30799999999999</v>
      </c>
      <c r="AM1653" s="106">
        <f>SUMIF($AS:$AS,$AT1653,AM:AM)</f>
        <v>5351.0919999999996</v>
      </c>
      <c r="AN1653" s="106">
        <f>SUMIF($AS:$AS,$AT1653,AN:AN)</f>
        <v>6007.6760800000002</v>
      </c>
      <c r="AO1653" s="106">
        <f>SUMIF($AS:$AS,$AT1653,AO:AO)</f>
        <v>40879.388079999997</v>
      </c>
      <c r="AP1653" s="264"/>
      <c r="AQ1653" s="264"/>
      <c r="AR1653" s="264"/>
      <c r="AS1653" s="264"/>
      <c r="AT1653" s="248" t="str">
        <f t="shared" si="644"/>
        <v>R10Commodity Hedge Margin Account</v>
      </c>
    </row>
    <row r="1654" spans="1:46">
      <c r="A1654" s="283"/>
      <c r="B1654" s="283"/>
      <c r="C1654" s="285" t="s">
        <v>4673</v>
      </c>
      <c r="D1654" s="277"/>
      <c r="E1654" s="278"/>
      <c r="F1654" s="278"/>
      <c r="G1654" s="264"/>
      <c r="H1654" s="279"/>
      <c r="I1654" s="280"/>
      <c r="J1654" s="280"/>
      <c r="K1654" s="279"/>
      <c r="L1654" s="215"/>
      <c r="M1654" s="279"/>
      <c r="N1654" s="281"/>
      <c r="O1654" s="281"/>
      <c r="P1654" s="278"/>
      <c r="Q1654" s="282"/>
      <c r="R1654" s="279"/>
      <c r="S1654" s="279"/>
      <c r="T1654" s="279"/>
      <c r="U1654" s="106">
        <f>SUMIF($AS:$AS,$AT1654,U:U)</f>
        <v>3333.75</v>
      </c>
      <c r="V1654" s="106">
        <f>SUMIF($AS:$AS,$AT1654,V:V)</f>
        <v>-766.00001999999995</v>
      </c>
      <c r="W1654" s="106">
        <f>SUMIF($AS:$AS,$AT1654,W:W)</f>
        <v>0</v>
      </c>
      <c r="X1654" s="106">
        <f>SUMIF($AS:$AS,$AT1654,X:X)</f>
        <v>2567.7499800000001</v>
      </c>
      <c r="Y1654" s="106">
        <f>SUMIF($AS:$AS,$AT1654,Y:Y)</f>
        <v>6858</v>
      </c>
      <c r="Z1654" s="106">
        <f>SUMIF($AS:$AS,$AT1654,Z:Z)</f>
        <v>-1532.0000399999999</v>
      </c>
      <c r="AA1654" s="106">
        <f>SUMIF($AS:$AS,$AT1654,AA:AA)</f>
        <v>0</v>
      </c>
      <c r="AB1654" s="106">
        <f>SUMIF($AS:$AS,$AT1654,AB:AB)</f>
        <v>5325.9999600000001</v>
      </c>
      <c r="AC1654" s="106">
        <f>SUMIF($AS:$AS,$AT1654,AC:AC)</f>
        <v>0</v>
      </c>
      <c r="AD1654" s="106">
        <f>SUMIF($AS:$AS,$AT1654,AD:AD)</f>
        <v>443.83332999999999</v>
      </c>
      <c r="AE1654" s="106">
        <f>SUMIF($AS:$AS,$AT1654,AE:AE)</f>
        <v>887.66665999999998</v>
      </c>
      <c r="AF1654" s="106">
        <f>SUMIF($AS:$AS,$AT1654,AF:AF)</f>
        <v>1331.49999</v>
      </c>
      <c r="AG1654" s="106">
        <f>SUMIF($AS:$AS,$AT1654,AG:AG)</f>
        <v>1775.33332</v>
      </c>
      <c r="AH1654" s="106">
        <f>SUMIF($AS:$AS,$AT1654,AH:AH)</f>
        <v>2219.1666500000001</v>
      </c>
      <c r="AI1654" s="106">
        <f>SUMIF($AS:$AS,$AT1654,AI:AI)</f>
        <v>2662.9999800000001</v>
      </c>
      <c r="AJ1654" s="106">
        <f>SUMIF($AS:$AS,$AT1654,AJ:AJ)</f>
        <v>3106.83331</v>
      </c>
      <c r="AK1654" s="106">
        <f>SUMIF($AS:$AS,$AT1654,AK:AK)</f>
        <v>3550.6666399999999</v>
      </c>
      <c r="AL1654" s="106">
        <f>SUMIF($AS:$AS,$AT1654,AL:AL)</f>
        <v>3994.4999699999998</v>
      </c>
      <c r="AM1654" s="106">
        <f>SUMIF($AS:$AS,$AT1654,AM:AM)</f>
        <v>3866.8333000000002</v>
      </c>
      <c r="AN1654" s="106">
        <f>SUMIF($AS:$AS,$AT1654,AN:AN)</f>
        <v>4310.6666299999997</v>
      </c>
      <c r="AO1654" s="106">
        <f>SUMIF($AS:$AS,$AT1654,AO:AO)</f>
        <v>5325.9999600000001</v>
      </c>
      <c r="AP1654" s="264"/>
      <c r="AQ1654" s="264"/>
      <c r="AR1654" s="264"/>
      <c r="AS1654" s="264"/>
      <c r="AT1654" s="248" t="str">
        <f>+CONCATENATE(D$1690,C1654)</f>
        <v>R10Continuation of Current Amorts Until New Rates Reset</v>
      </c>
    </row>
    <row r="1655" spans="1:46">
      <c r="A1655" s="283"/>
      <c r="B1655" s="283"/>
      <c r="C1655" s="285" t="s">
        <v>1151</v>
      </c>
      <c r="D1655" s="277"/>
      <c r="E1655" s="278"/>
      <c r="F1655" s="278"/>
      <c r="G1655" s="264"/>
      <c r="H1655" s="279"/>
      <c r="I1655" s="280"/>
      <c r="J1655" s="280"/>
      <c r="K1655" s="279"/>
      <c r="L1655" s="215"/>
      <c r="M1655" s="279"/>
      <c r="N1655" s="281"/>
      <c r="O1655" s="281"/>
      <c r="P1655" s="278"/>
      <c r="Q1655" s="282"/>
      <c r="R1655" s="279"/>
      <c r="S1655" s="279"/>
      <c r="T1655" s="279"/>
      <c r="U1655" s="106">
        <f>SUMIF($AS:$AS,$AT1655,U:U)</f>
        <v>637.37647999999797</v>
      </c>
      <c r="V1655" s="106">
        <f>SUMIF($AS:$AS,$AT1655,V:V)</f>
        <v>-72.882869999999301</v>
      </c>
      <c r="W1655" s="106">
        <f>SUMIF($AS:$AS,$AT1655,W:W)</f>
        <v>0</v>
      </c>
      <c r="X1655" s="106">
        <f>SUMIF($AS:$AS,$AT1655,X:X)</f>
        <v>564.49360999999863</v>
      </c>
      <c r="Y1655" s="106">
        <f>SUMIF($AS:$AS,$AT1655,Y:Y)</f>
        <v>637.37647999999797</v>
      </c>
      <c r="Z1655" s="106">
        <f>SUMIF($AS:$AS,$AT1655,Z:Z)</f>
        <v>-72.882869999999301</v>
      </c>
      <c r="AA1655" s="106">
        <f>SUMIF($AS:$AS,$AT1655,AA:AA)</f>
        <v>0</v>
      </c>
      <c r="AB1655" s="106">
        <f>SUMIF($AS:$AS,$AT1655,AB:AB)</f>
        <v>564.49360999999885</v>
      </c>
      <c r="AC1655" s="106">
        <f>SUMIF($AS:$AS,$AT1655,AC:AC)</f>
        <v>564.49360999999885</v>
      </c>
      <c r="AD1655" s="106">
        <f>SUMIF($AS:$AS,$AT1655,AD:AD)</f>
        <v>564.49360999999885</v>
      </c>
      <c r="AE1655" s="106">
        <f>SUMIF($AS:$AS,$AT1655,AE:AE)</f>
        <v>564.49360999999885</v>
      </c>
      <c r="AF1655" s="106">
        <f>SUMIF($AS:$AS,$AT1655,AF:AF)</f>
        <v>564.49360999999885</v>
      </c>
      <c r="AG1655" s="106">
        <f>SUMIF($AS:$AS,$AT1655,AG:AG)</f>
        <v>564.49360999999885</v>
      </c>
      <c r="AH1655" s="106">
        <f>SUMIF($AS:$AS,$AT1655,AH:AH)</f>
        <v>564.49360999999885</v>
      </c>
      <c r="AI1655" s="106">
        <f>SUMIF($AS:$AS,$AT1655,AI:AI)</f>
        <v>564.49360999999885</v>
      </c>
      <c r="AJ1655" s="106">
        <f>SUMIF($AS:$AS,$AT1655,AJ:AJ)</f>
        <v>564.49360999999885</v>
      </c>
      <c r="AK1655" s="106">
        <f>SUMIF($AS:$AS,$AT1655,AK:AK)</f>
        <v>564.49360999999885</v>
      </c>
      <c r="AL1655" s="106">
        <f>SUMIF($AS:$AS,$AT1655,AL:AL)</f>
        <v>564.49360999999885</v>
      </c>
      <c r="AM1655" s="106">
        <f>SUMIF($AS:$AS,$AT1655,AM:AM)</f>
        <v>564.49360999999885</v>
      </c>
      <c r="AN1655" s="106">
        <f>SUMIF($AS:$AS,$AT1655,AN:AN)</f>
        <v>564.49360999999885</v>
      </c>
      <c r="AO1655" s="106">
        <f>SUMIF($AS:$AS,$AT1655,AO:AO)</f>
        <v>564.49360999999885</v>
      </c>
      <c r="AP1655" s="264"/>
      <c r="AQ1655" s="264"/>
      <c r="AR1655" s="264"/>
      <c r="AS1655" s="264"/>
      <c r="AT1655" s="248" t="str">
        <f t="shared" si="644"/>
        <v>R10CTA Efficiency</v>
      </c>
    </row>
    <row r="1656" spans="1:46">
      <c r="A1656" s="283"/>
      <c r="B1656" s="283"/>
      <c r="C1656" s="285" t="s">
        <v>102</v>
      </c>
      <c r="D1656" s="277"/>
      <c r="E1656" s="278"/>
      <c r="F1656" s="278"/>
      <c r="G1656" s="264"/>
      <c r="H1656" s="279"/>
      <c r="I1656" s="280"/>
      <c r="J1656" s="280"/>
      <c r="K1656" s="279"/>
      <c r="L1656" s="215"/>
      <c r="M1656" s="279"/>
      <c r="N1656" s="281"/>
      <c r="O1656" s="281"/>
      <c r="P1656" s="278"/>
      <c r="Q1656" s="282"/>
      <c r="R1656" s="279"/>
      <c r="S1656" s="279"/>
      <c r="T1656" s="279"/>
      <c r="U1656" s="106">
        <f>SUMIF($AS:$AS,$AT1656,U:U)</f>
        <v>0</v>
      </c>
      <c r="V1656" s="106">
        <f>SUMIF($AS:$AS,$AT1656,V:V)</f>
        <v>0</v>
      </c>
      <c r="W1656" s="106">
        <f>SUMIF($AS:$AS,$AT1656,W:W)</f>
        <v>0</v>
      </c>
      <c r="X1656" s="106">
        <f>SUMIF($AS:$AS,$AT1656,X:X)</f>
        <v>0</v>
      </c>
      <c r="Y1656" s="106">
        <f>SUMIF($AS:$AS,$AT1656,Y:Y)</f>
        <v>0</v>
      </c>
      <c r="Z1656" s="106">
        <f>SUMIF($AS:$AS,$AT1656,Z:Z)</f>
        <v>0</v>
      </c>
      <c r="AA1656" s="106">
        <f>SUMIF($AS:$AS,$AT1656,AA:AA)</f>
        <v>0</v>
      </c>
      <c r="AB1656" s="106">
        <f>SUMIF($AS:$AS,$AT1656,AB:AB)</f>
        <v>0</v>
      </c>
      <c r="AC1656" s="106">
        <f>SUMIF($AS:$AS,$AT1656,AC:AC)</f>
        <v>0</v>
      </c>
      <c r="AD1656" s="106">
        <f>SUMIF($AS:$AS,$AT1656,AD:AD)</f>
        <v>0</v>
      </c>
      <c r="AE1656" s="106">
        <f>SUMIF($AS:$AS,$AT1656,AE:AE)</f>
        <v>0</v>
      </c>
      <c r="AF1656" s="106">
        <f>SUMIF($AS:$AS,$AT1656,AF:AF)</f>
        <v>0</v>
      </c>
      <c r="AG1656" s="106">
        <f>SUMIF($AS:$AS,$AT1656,AG:AG)</f>
        <v>0</v>
      </c>
      <c r="AH1656" s="106">
        <f>SUMIF($AS:$AS,$AT1656,AH:AH)</f>
        <v>0</v>
      </c>
      <c r="AI1656" s="106">
        <f>SUMIF($AS:$AS,$AT1656,AI:AI)</f>
        <v>0</v>
      </c>
      <c r="AJ1656" s="106">
        <f>SUMIF($AS:$AS,$AT1656,AJ:AJ)</f>
        <v>0</v>
      </c>
      <c r="AK1656" s="106">
        <f>SUMIF($AS:$AS,$AT1656,AK:AK)</f>
        <v>0</v>
      </c>
      <c r="AL1656" s="106">
        <f>SUMIF($AS:$AS,$AT1656,AL:AL)</f>
        <v>0</v>
      </c>
      <c r="AM1656" s="106">
        <f>SUMIF($AS:$AS,$AT1656,AM:AM)</f>
        <v>0</v>
      </c>
      <c r="AN1656" s="106">
        <f>SUMIF($AS:$AS,$AT1656,AN:AN)</f>
        <v>0</v>
      </c>
      <c r="AO1656" s="106">
        <f>SUMIF($AS:$AS,$AT1656,AO:AO)</f>
        <v>0</v>
      </c>
      <c r="AP1656" s="264"/>
      <c r="AQ1656" s="264"/>
      <c r="AR1656" s="264"/>
      <c r="AS1656" s="264"/>
      <c r="AT1656" s="248" t="str">
        <f t="shared" si="644"/>
        <v>R10Deferred Gas Costs</v>
      </c>
    </row>
    <row r="1657" spans="1:46">
      <c r="A1657" s="283"/>
      <c r="B1657" s="283"/>
      <c r="C1657" s="285" t="s">
        <v>2915</v>
      </c>
      <c r="D1657" s="277"/>
      <c r="E1657" s="278"/>
      <c r="F1657" s="278"/>
      <c r="G1657" s="264"/>
      <c r="H1657" s="279"/>
      <c r="I1657" s="280"/>
      <c r="J1657" s="280"/>
      <c r="K1657" s="279"/>
      <c r="L1657" s="215"/>
      <c r="M1657" s="279"/>
      <c r="N1657" s="281"/>
      <c r="O1657" s="281"/>
      <c r="P1657" s="278"/>
      <c r="Q1657" s="282"/>
      <c r="R1657" s="279"/>
      <c r="S1657" s="279"/>
      <c r="T1657" s="279"/>
      <c r="U1657" s="106">
        <f>SUMIF($AS:$AS,$AT1657,U:U)</f>
        <v>15522.336699166701</v>
      </c>
      <c r="V1657" s="106">
        <f>SUMIF($AS:$AS,$AT1657,V:V)</f>
        <v>0</v>
      </c>
      <c r="W1657" s="106">
        <f>SUMIF($AS:$AS,$AT1657,W:W)</f>
        <v>0</v>
      </c>
      <c r="X1657" s="106">
        <f>SUMIF($AS:$AS,$AT1657,X:X)</f>
        <v>15522.336699166701</v>
      </c>
      <c r="Y1657" s="106">
        <f>SUMIF($AS:$AS,$AT1657,Y:Y)</f>
        <v>3854.02528999999</v>
      </c>
      <c r="Z1657" s="106">
        <f>SUMIF($AS:$AS,$AT1657,Z:Z)</f>
        <v>0</v>
      </c>
      <c r="AA1657" s="106">
        <f>SUMIF($AS:$AS,$AT1657,AA:AA)</f>
        <v>0</v>
      </c>
      <c r="AB1657" s="106">
        <f>SUMIF($AS:$AS,$AT1657,AB:AB)</f>
        <v>3854.0252899999932</v>
      </c>
      <c r="AC1657" s="106">
        <f>SUMIF($AS:$AS,$AT1657,AC:AC)</f>
        <v>-1066.1491900000003</v>
      </c>
      <c r="AD1657" s="106">
        <f>SUMIF($AS:$AS,$AT1657,AD:AD)</f>
        <v>45794.260430000002</v>
      </c>
      <c r="AE1657" s="106">
        <f>SUMIF($AS:$AS,$AT1657,AE:AE)</f>
        <v>56199.169629999997</v>
      </c>
      <c r="AF1657" s="106">
        <f>SUMIF($AS:$AS,$AT1657,AF:AF)</f>
        <v>56934.186319999993</v>
      </c>
      <c r="AG1657" s="106">
        <f>SUMIF($AS:$AS,$AT1657,AG:AG)</f>
        <v>24406.495839999992</v>
      </c>
      <c r="AH1657" s="106">
        <f>SUMIF($AS:$AS,$AT1657,AH:AH)</f>
        <v>1026.6096199999936</v>
      </c>
      <c r="AI1657" s="106">
        <f>SUMIF($AS:$AS,$AT1657,AI:AI)</f>
        <v>-7118.4760800000067</v>
      </c>
      <c r="AJ1657" s="106">
        <f>SUMIF($AS:$AS,$AT1657,AJ:AJ)</f>
        <v>-3373.7053600000063</v>
      </c>
      <c r="AK1657" s="106">
        <f>SUMIF($AS:$AS,$AT1657,AK:AK)</f>
        <v>413.85814999999337</v>
      </c>
      <c r="AL1657" s="106">
        <f>SUMIF($AS:$AS,$AT1657,AL:AL)</f>
        <v>1209.4174299999934</v>
      </c>
      <c r="AM1657" s="106">
        <f>SUMIF($AS:$AS,$AT1657,AM:AM)</f>
        <v>4570.3295099999932</v>
      </c>
      <c r="AN1657" s="106">
        <f>SUMIF($AS:$AS,$AT1657,AN:AN)</f>
        <v>4811.9568499999932</v>
      </c>
      <c r="AO1657" s="106">
        <f>SUMIF($AS:$AS,$AT1657,AO:AO)</f>
        <v>3854.0252899999932</v>
      </c>
      <c r="AP1657" s="264"/>
      <c r="AQ1657" s="264"/>
      <c r="AR1657" s="264"/>
      <c r="AS1657" s="264"/>
      <c r="AT1657" s="248" t="str">
        <f t="shared" si="644"/>
        <v>R10Energy Supply Reconciliation</v>
      </c>
    </row>
    <row r="1658" spans="1:46">
      <c r="A1658" s="283"/>
      <c r="B1658" s="283"/>
      <c r="C1658" s="285" t="s">
        <v>2369</v>
      </c>
      <c r="D1658" s="277"/>
      <c r="E1658" s="278"/>
      <c r="F1658" s="278"/>
      <c r="G1658" s="264"/>
      <c r="H1658" s="279"/>
      <c r="I1658" s="280"/>
      <c r="J1658" s="280"/>
      <c r="K1658" s="279"/>
      <c r="L1658" s="215"/>
      <c r="M1658" s="279"/>
      <c r="N1658" s="281"/>
      <c r="O1658" s="281"/>
      <c r="P1658" s="278"/>
      <c r="Q1658" s="282"/>
      <c r="R1658" s="279"/>
      <c r="S1658" s="279"/>
      <c r="T1658" s="279"/>
      <c r="U1658" s="106">
        <f>SUMIF($AS:$AS,$AT1658,U:U)</f>
        <v>-3.3155345136037795E-10</v>
      </c>
      <c r="V1658" s="106">
        <f>SUMIF($AS:$AS,$AT1658,V:V)</f>
        <v>-3.6397021382728706E-11</v>
      </c>
      <c r="W1658" s="106">
        <f>SUMIF($AS:$AS,$AT1658,W:W)</f>
        <v>0</v>
      </c>
      <c r="X1658" s="106">
        <f>SUMIF($AS:$AS,$AT1658,X:X)</f>
        <v>-8.7249345385516057E-12</v>
      </c>
      <c r="Y1658" s="106">
        <f>SUMIF($AS:$AS,$AT1658,Y:Y)</f>
        <v>6.3167249209072907E-11</v>
      </c>
      <c r="Z1658" s="106">
        <f>SUMIF($AS:$AS,$AT1658,Z:Z)</f>
        <v>4.6082249127721298E-11</v>
      </c>
      <c r="AA1658" s="106">
        <f>SUMIF($AS:$AS,$AT1658,AA:AA)</f>
        <v>0</v>
      </c>
      <c r="AB1658" s="106">
        <f>SUMIF($AS:$AS,$AT1658,AB:AB)</f>
        <v>9.6349594969069585E-12</v>
      </c>
      <c r="AC1658" s="106">
        <f>SUMIF($AS:$AS,$AT1658,AC:AC)</f>
        <v>-5.4990323405945671E-12</v>
      </c>
      <c r="AD1658" s="106">
        <f>SUMIF($AS:$AS,$AT1658,AD:AD)</f>
        <v>-9.1370111476862808E-12</v>
      </c>
      <c r="AE1658" s="106">
        <f>SUMIF($AS:$AS,$AT1658,AE:AE)</f>
        <v>-9.1370111476862808E-12</v>
      </c>
      <c r="AF1658" s="106">
        <f>SUMIF($AS:$AS,$AT1658,AF:AF)</f>
        <v>-9.1370111476862808E-12</v>
      </c>
      <c r="AG1658" s="106">
        <f>SUMIF($AS:$AS,$AT1658,AG:AG)</f>
        <v>-8.5549345385516062E-12</v>
      </c>
      <c r="AH1658" s="106">
        <f>SUMIF($AS:$AS,$AT1658,AH:AH)</f>
        <v>-1.5830892152735032E-11</v>
      </c>
      <c r="AI1658" s="106">
        <f>SUMIF($AS:$AS,$AT1658,AI:AI)</f>
        <v>-1.5830892152735032E-11</v>
      </c>
      <c r="AJ1658" s="106">
        <f>SUMIF($AS:$AS,$AT1658,AJ:AJ)</f>
        <v>-1.5830892152735032E-11</v>
      </c>
      <c r="AK1658" s="106">
        <f>SUMIF($AS:$AS,$AT1658,AK:AK)</f>
        <v>-1.5830892152735032E-11</v>
      </c>
      <c r="AL1658" s="106">
        <f>SUMIF($AS:$AS,$AT1658,AL:AL)</f>
        <v>-1.5830892152735032E-11</v>
      </c>
      <c r="AM1658" s="106">
        <f>SUMIF($AS:$AS,$AT1658,AM:AM)</f>
        <v>-1.5830892152735032E-11</v>
      </c>
      <c r="AN1658" s="106">
        <f>SUMIF($AS:$AS,$AT1658,AN:AN)</f>
        <v>9.6349594969069585E-12</v>
      </c>
      <c r="AO1658" s="106">
        <f>SUMIF($AS:$AS,$AT1658,AO:AO)</f>
        <v>9.6349594969069585E-12</v>
      </c>
      <c r="AP1658" s="264"/>
      <c r="AQ1658" s="264"/>
      <c r="AR1658" s="264"/>
      <c r="AS1658" s="264"/>
      <c r="AT1658" s="248" t="str">
        <f t="shared" si="644"/>
        <v>R10Environmental</v>
      </c>
    </row>
    <row r="1659" spans="1:46">
      <c r="A1659" s="283"/>
      <c r="B1659" s="283"/>
      <c r="C1659" s="285" t="s">
        <v>967</v>
      </c>
      <c r="D1659" s="277"/>
      <c r="E1659" s="278"/>
      <c r="F1659" s="278"/>
      <c r="G1659" s="264"/>
      <c r="H1659" s="279"/>
      <c r="I1659" s="280"/>
      <c r="J1659" s="280"/>
      <c r="K1659" s="279"/>
      <c r="L1659" s="215"/>
      <c r="M1659" s="279"/>
      <c r="N1659" s="281"/>
      <c r="O1659" s="281"/>
      <c r="P1659" s="278"/>
      <c r="Q1659" s="282"/>
      <c r="R1659" s="279"/>
      <c r="S1659" s="279"/>
      <c r="T1659" s="279"/>
      <c r="U1659" s="106">
        <f>SUMIF($AS:$AS,$AT1659,U:U)</f>
        <v>0</v>
      </c>
      <c r="V1659" s="106">
        <f>SUMIF($AS:$AS,$AT1659,V:V)</f>
        <v>-8.3333333300000003E-7</v>
      </c>
      <c r="W1659" s="106">
        <f>SUMIF($AS:$AS,$AT1659,W:W)</f>
        <v>0</v>
      </c>
      <c r="X1659" s="106">
        <f>SUMIF($AS:$AS,$AT1659,X:X)</f>
        <v>-8.3333333300000003E-7</v>
      </c>
      <c r="Y1659" s="106">
        <f>SUMIF($AS:$AS,$AT1659,Y:Y)</f>
        <v>0</v>
      </c>
      <c r="Z1659" s="106">
        <f>SUMIF($AS:$AS,$AT1659,Z:Z)</f>
        <v>0</v>
      </c>
      <c r="AA1659" s="106">
        <f>SUMIF($AS:$AS,$AT1659,AA:AA)</f>
        <v>0</v>
      </c>
      <c r="AB1659" s="106">
        <f>SUMIF($AS:$AS,$AT1659,AB:AB)</f>
        <v>0</v>
      </c>
      <c r="AC1659" s="106">
        <f>SUMIF($AS:$AS,$AT1659,AC:AC)</f>
        <v>-1.9999999982246662E-5</v>
      </c>
      <c r="AD1659" s="106">
        <f>SUMIF($AS:$AS,$AT1659,AD:AD)</f>
        <v>0</v>
      </c>
      <c r="AE1659" s="106">
        <f>SUMIF($AS:$AS,$AT1659,AE:AE)</f>
        <v>0</v>
      </c>
      <c r="AF1659" s="106">
        <f>SUMIF($AS:$AS,$AT1659,AF:AF)</f>
        <v>0</v>
      </c>
      <c r="AG1659" s="106">
        <f>SUMIF($AS:$AS,$AT1659,AG:AG)</f>
        <v>0</v>
      </c>
      <c r="AH1659" s="106">
        <f>SUMIF($AS:$AS,$AT1659,AH:AH)</f>
        <v>0</v>
      </c>
      <c r="AI1659" s="106">
        <f>SUMIF($AS:$AS,$AT1659,AI:AI)</f>
        <v>0</v>
      </c>
      <c r="AJ1659" s="106">
        <f>SUMIF($AS:$AS,$AT1659,AJ:AJ)</f>
        <v>0</v>
      </c>
      <c r="AK1659" s="106">
        <f>SUMIF($AS:$AS,$AT1659,AK:AK)</f>
        <v>0</v>
      </c>
      <c r="AL1659" s="106">
        <f>SUMIF($AS:$AS,$AT1659,AL:AL)</f>
        <v>0</v>
      </c>
      <c r="AM1659" s="106">
        <f>SUMIF($AS:$AS,$AT1659,AM:AM)</f>
        <v>0</v>
      </c>
      <c r="AN1659" s="106">
        <f>SUMIF($AS:$AS,$AT1659,AN:AN)</f>
        <v>0</v>
      </c>
      <c r="AO1659" s="106">
        <f>SUMIF($AS:$AS,$AT1659,AO:AO)</f>
        <v>0</v>
      </c>
      <c r="AP1659" s="264"/>
      <c r="AQ1659" s="264"/>
      <c r="AR1659" s="264"/>
      <c r="AS1659" s="264"/>
      <c r="AT1659" s="248" t="str">
        <f t="shared" si="644"/>
        <v>R10Excess DIT &gt; 7.1% (NYS)</v>
      </c>
    </row>
    <row r="1660" spans="1:46">
      <c r="A1660" s="283"/>
      <c r="B1660" s="283"/>
      <c r="C1660" s="285" t="s">
        <v>4761</v>
      </c>
      <c r="D1660" s="277"/>
      <c r="E1660" s="278"/>
      <c r="F1660" s="278"/>
      <c r="G1660" s="264"/>
      <c r="H1660" s="279"/>
      <c r="I1660" s="280"/>
      <c r="J1660" s="280"/>
      <c r="K1660" s="279"/>
      <c r="L1660" s="215"/>
      <c r="M1660" s="279"/>
      <c r="N1660" s="281"/>
      <c r="O1660" s="281"/>
      <c r="P1660" s="278"/>
      <c r="Q1660" s="282"/>
      <c r="R1660" s="279"/>
      <c r="S1660" s="279"/>
      <c r="T1660" s="279"/>
      <c r="U1660" s="106">
        <f>SUMIF($AS:$AS,$AT1660,U:U)</f>
        <v>-5784.8333333333303</v>
      </c>
      <c r="V1660" s="106">
        <f>SUMIF($AS:$AS,$AT1660,V:V)</f>
        <v>-1304.0833333333301</v>
      </c>
      <c r="W1660" s="106">
        <f>SUMIF($AS:$AS,$AT1660,W:W)</f>
        <v>0</v>
      </c>
      <c r="X1660" s="106">
        <f>SUMIF($AS:$AS,$AT1660,X:X)</f>
        <v>-7088.9166666666606</v>
      </c>
      <c r="Y1660" s="106">
        <f>SUMIF($AS:$AS,$AT1660,Y:Y)</f>
        <v>-10722</v>
      </c>
      <c r="Z1660" s="106">
        <f>SUMIF($AS:$AS,$AT1660,Z:Z)</f>
        <v>-2656</v>
      </c>
      <c r="AA1660" s="106">
        <f>SUMIF($AS:$AS,$AT1660,AA:AA)</f>
        <v>0</v>
      </c>
      <c r="AB1660" s="106">
        <f>SUMIF($AS:$AS,$AT1660,AB:AB)</f>
        <v>-13378</v>
      </c>
      <c r="AC1660" s="106">
        <f>SUMIF($AS:$AS,$AT1660,AC:AC)</f>
        <v>0</v>
      </c>
      <c r="AD1660" s="106">
        <f>SUMIF($AS:$AS,$AT1660,AD:AD)</f>
        <v>0</v>
      </c>
      <c r="AE1660" s="106">
        <f>SUMIF($AS:$AS,$AT1660,AE:AE)</f>
        <v>0</v>
      </c>
      <c r="AF1660" s="106">
        <f>SUMIF($AS:$AS,$AT1660,AF:AF)</f>
        <v>0</v>
      </c>
      <c r="AG1660" s="106">
        <f>SUMIF($AS:$AS,$AT1660,AG:AG)</f>
        <v>0</v>
      </c>
      <c r="AH1660" s="106">
        <f>SUMIF($AS:$AS,$AT1660,AH:AH)</f>
        <v>0</v>
      </c>
      <c r="AI1660" s="106">
        <f>SUMIF($AS:$AS,$AT1660,AI:AI)</f>
        <v>-13000</v>
      </c>
      <c r="AJ1660" s="106">
        <f>SUMIF($AS:$AS,$AT1660,AJ:AJ)</f>
        <v>-13000</v>
      </c>
      <c r="AK1660" s="106">
        <f>SUMIF($AS:$AS,$AT1660,AK:AK)</f>
        <v>-13000</v>
      </c>
      <c r="AL1660" s="106">
        <f>SUMIF($AS:$AS,$AT1660,AL:AL)</f>
        <v>-13000</v>
      </c>
      <c r="AM1660" s="106">
        <f>SUMIF($AS:$AS,$AT1660,AM:AM)</f>
        <v>-13000</v>
      </c>
      <c r="AN1660" s="106">
        <f>SUMIF($AS:$AS,$AT1660,AN:AN)</f>
        <v>-13378</v>
      </c>
      <c r="AO1660" s="106">
        <f>SUMIF($AS:$AS,$AT1660,AO:AO)</f>
        <v>-13378</v>
      </c>
      <c r="AP1660" s="264"/>
      <c r="AQ1660" s="264"/>
      <c r="AR1660" s="264"/>
      <c r="AS1660" s="264"/>
      <c r="AT1660" s="248" t="str">
        <f>+CONCATENATE(D$1690,C1660)</f>
        <v>R10Excess DIT - New York State Tax Rate change</v>
      </c>
    </row>
    <row r="1661" spans="1:46">
      <c r="A1661" s="283"/>
      <c r="B1661" s="283"/>
      <c r="C1661" s="285" t="s">
        <v>4564</v>
      </c>
      <c r="D1661" s="277"/>
      <c r="E1661" s="278"/>
      <c r="F1661" s="278"/>
      <c r="G1661" s="264"/>
      <c r="H1661" s="279"/>
      <c r="I1661" s="280"/>
      <c r="J1661" s="280"/>
      <c r="K1661" s="279"/>
      <c r="L1661" s="215"/>
      <c r="M1661" s="279"/>
      <c r="N1661" s="281"/>
      <c r="O1661" s="281"/>
      <c r="P1661" s="278"/>
      <c r="Q1661" s="282"/>
      <c r="R1661" s="279"/>
      <c r="S1661" s="279"/>
      <c r="T1661" s="279"/>
      <c r="U1661" s="106">
        <f>SUMIF($AS:$AS,$AT1661,U:U)</f>
        <v>32476.840811666701</v>
      </c>
      <c r="V1661" s="106">
        <f>SUMIF($AS:$AS,$AT1661,V:V)</f>
        <v>22741.6279629167</v>
      </c>
      <c r="W1661" s="106">
        <f>SUMIF($AS:$AS,$AT1661,W:W)</f>
        <v>0</v>
      </c>
      <c r="X1661" s="106">
        <f>SUMIF($AS:$AS,$AT1661,X:X)</f>
        <v>55218.468774583402</v>
      </c>
      <c r="Y1661" s="106">
        <f>SUMIF($AS:$AS,$AT1661,Y:Y)</f>
        <v>41351.289230000002</v>
      </c>
      <c r="Z1661" s="106">
        <f>SUMIF($AS:$AS,$AT1661,Z:Z)</f>
        <v>17009.85455</v>
      </c>
      <c r="AA1661" s="106">
        <f>SUMIF($AS:$AS,$AT1661,AA:AA)</f>
        <v>0</v>
      </c>
      <c r="AB1661" s="106">
        <f>SUMIF($AS:$AS,$AT1661,AB:AB)</f>
        <v>58361.143780000006</v>
      </c>
      <c r="AC1661" s="106">
        <f>SUMIF($AS:$AS,$AT1661,AC:AC)</f>
        <v>47508.080170000001</v>
      </c>
      <c r="AD1661" s="106">
        <f>SUMIF($AS:$AS,$AT1661,AD:AD)</f>
        <v>48827.747820000004</v>
      </c>
      <c r="AE1661" s="106">
        <f>SUMIF($AS:$AS,$AT1661,AE:AE)</f>
        <v>50147.416680000002</v>
      </c>
      <c r="AF1661" s="106">
        <f>SUMIF($AS:$AS,$AT1661,AF:AF)</f>
        <v>51467.08554</v>
      </c>
      <c r="AG1661" s="106">
        <f>SUMIF($AS:$AS,$AT1661,AG:AG)</f>
        <v>52786.754399999998</v>
      </c>
      <c r="AH1661" s="106">
        <f>SUMIF($AS:$AS,$AT1661,AH:AH)</f>
        <v>54106.423259999996</v>
      </c>
      <c r="AI1661" s="106">
        <f>SUMIF($AS:$AS,$AT1661,AI:AI)</f>
        <v>55426.092120000001</v>
      </c>
      <c r="AJ1661" s="106">
        <f>SUMIF($AS:$AS,$AT1661,AJ:AJ)</f>
        <v>56745.760979999992</v>
      </c>
      <c r="AK1661" s="106">
        <f>SUMIF($AS:$AS,$AT1661,AK:AK)</f>
        <v>58065.429839999997</v>
      </c>
      <c r="AL1661" s="106">
        <f>SUMIF($AS:$AS,$AT1661,AL:AL)</f>
        <v>59385.098700000002</v>
      </c>
      <c r="AM1661" s="106">
        <f>SUMIF($AS:$AS,$AT1661,AM:AM)</f>
        <v>60704.767559999993</v>
      </c>
      <c r="AN1661" s="106">
        <f>SUMIF($AS:$AS,$AT1661,AN:AN)</f>
        <v>62024.436419999998</v>
      </c>
      <c r="AO1661" s="106">
        <f>SUMIF($AS:$AS,$AT1661,AO:AO)</f>
        <v>58361.143780000006</v>
      </c>
      <c r="AP1661" s="264"/>
      <c r="AQ1661" s="264"/>
      <c r="AR1661" s="264"/>
      <c r="AS1661" s="264"/>
      <c r="AT1661" s="248" t="str">
        <f>+CONCATENATE(D$1690,C1661)</f>
        <v>R10Funded DIT Tax True-up Deferral</v>
      </c>
    </row>
    <row r="1662" spans="1:46">
      <c r="A1662" s="283"/>
      <c r="B1662" s="283"/>
      <c r="C1662" s="285" t="s">
        <v>1563</v>
      </c>
      <c r="D1662" s="277"/>
      <c r="E1662" s="278"/>
      <c r="F1662" s="278"/>
      <c r="G1662" s="264"/>
      <c r="H1662" s="279"/>
      <c r="I1662" s="280"/>
      <c r="J1662" s="280"/>
      <c r="K1662" s="279"/>
      <c r="L1662" s="215"/>
      <c r="M1662" s="279"/>
      <c r="N1662" s="281"/>
      <c r="O1662" s="281"/>
      <c r="P1662" s="278"/>
      <c r="Q1662" s="282"/>
      <c r="R1662" s="279"/>
      <c r="S1662" s="279"/>
      <c r="T1662" s="279"/>
      <c r="U1662" s="106">
        <f>SUMIF($AS:$AS,$AT1662,U:U)</f>
        <v>0</v>
      </c>
      <c r="V1662" s="106">
        <f>SUMIF($AS:$AS,$AT1662,V:V)</f>
        <v>52.6</v>
      </c>
      <c r="W1662" s="106">
        <f>SUMIF($AS:$AS,$AT1662,W:W)</f>
        <v>0</v>
      </c>
      <c r="X1662" s="106">
        <f>SUMIF($AS:$AS,$AT1662,X:X)</f>
        <v>52.6</v>
      </c>
      <c r="Y1662" s="106">
        <f>SUMIF($AS:$AS,$AT1662,Y:Y)</f>
        <v>0</v>
      </c>
      <c r="Z1662" s="106">
        <f>SUMIF($AS:$AS,$AT1662,Z:Z)</f>
        <v>52.6</v>
      </c>
      <c r="AA1662" s="106">
        <f>SUMIF($AS:$AS,$AT1662,AA:AA)</f>
        <v>0</v>
      </c>
      <c r="AB1662" s="106">
        <f>SUMIF($AS:$AS,$AT1662,AB:AB)</f>
        <v>52.6</v>
      </c>
      <c r="AC1662" s="106">
        <f>SUMIF($AS:$AS,$AT1662,AC:AC)</f>
        <v>52.6</v>
      </c>
      <c r="AD1662" s="106">
        <f>SUMIF($AS:$AS,$AT1662,AD:AD)</f>
        <v>52.6</v>
      </c>
      <c r="AE1662" s="106">
        <f>SUMIF($AS:$AS,$AT1662,AE:AE)</f>
        <v>52.6</v>
      </c>
      <c r="AF1662" s="106">
        <f>SUMIF($AS:$AS,$AT1662,AF:AF)</f>
        <v>52.6</v>
      </c>
      <c r="AG1662" s="106">
        <f>SUMIF($AS:$AS,$AT1662,AG:AG)</f>
        <v>52.6</v>
      </c>
      <c r="AH1662" s="106">
        <f>SUMIF($AS:$AS,$AT1662,AH:AH)</f>
        <v>52.6</v>
      </c>
      <c r="AI1662" s="106">
        <f>SUMIF($AS:$AS,$AT1662,AI:AI)</f>
        <v>52.6</v>
      </c>
      <c r="AJ1662" s="106">
        <f>SUMIF($AS:$AS,$AT1662,AJ:AJ)</f>
        <v>52.6</v>
      </c>
      <c r="AK1662" s="106">
        <f>SUMIF($AS:$AS,$AT1662,AK:AK)</f>
        <v>52.6</v>
      </c>
      <c r="AL1662" s="106">
        <f>SUMIF($AS:$AS,$AT1662,AL:AL)</f>
        <v>52.6</v>
      </c>
      <c r="AM1662" s="106">
        <f>SUMIF($AS:$AS,$AT1662,AM:AM)</f>
        <v>52.6</v>
      </c>
      <c r="AN1662" s="106">
        <f>SUMIF($AS:$AS,$AT1662,AN:AN)</f>
        <v>52.6</v>
      </c>
      <c r="AO1662" s="106">
        <f>SUMIF($AS:$AS,$AT1662,AO:AO)</f>
        <v>52.6</v>
      </c>
      <c r="AP1662" s="264"/>
      <c r="AQ1662" s="264"/>
      <c r="AR1662" s="264"/>
      <c r="AS1662" s="264"/>
      <c r="AT1662" s="248" t="str">
        <f t="shared" si="644"/>
        <v>R10Gas Phase 2A/B</v>
      </c>
    </row>
    <row r="1663" spans="1:46">
      <c r="A1663" s="283"/>
      <c r="B1663" s="283"/>
      <c r="C1663" s="285" t="s">
        <v>1167</v>
      </c>
      <c r="D1663" s="277"/>
      <c r="E1663" s="278"/>
      <c r="F1663" s="278"/>
      <c r="G1663" s="264"/>
      <c r="H1663" s="279"/>
      <c r="I1663" s="280"/>
      <c r="J1663" s="280"/>
      <c r="K1663" s="279"/>
      <c r="L1663" s="215"/>
      <c r="M1663" s="279"/>
      <c r="N1663" s="281"/>
      <c r="O1663" s="281"/>
      <c r="P1663" s="278"/>
      <c r="Q1663" s="282"/>
      <c r="R1663" s="279"/>
      <c r="S1663" s="279"/>
      <c r="T1663" s="279"/>
      <c r="U1663" s="106">
        <f>SUMIF($AS:$AS,$AT1663,U:U)</f>
        <v>0</v>
      </c>
      <c r="V1663" s="106">
        <f>SUMIF($AS:$AS,$AT1663,V:V)</f>
        <v>0</v>
      </c>
      <c r="W1663" s="106">
        <f>SUMIF($AS:$AS,$AT1663,W:W)</f>
        <v>0</v>
      </c>
      <c r="X1663" s="106">
        <f>SUMIF($AS:$AS,$AT1663,X:X)</f>
        <v>0</v>
      </c>
      <c r="Y1663" s="106">
        <f>SUMIF($AS:$AS,$AT1663,Y:Y)</f>
        <v>0</v>
      </c>
      <c r="Z1663" s="106">
        <f>SUMIF($AS:$AS,$AT1663,Z:Z)</f>
        <v>0</v>
      </c>
      <c r="AA1663" s="106">
        <f>SUMIF($AS:$AS,$AT1663,AA:AA)</f>
        <v>0</v>
      </c>
      <c r="AB1663" s="106">
        <f>SUMIF($AS:$AS,$AT1663,AB:AB)</f>
        <v>0</v>
      </c>
      <c r="AC1663" s="106">
        <f>SUMIF($AS:$AS,$AT1663,AC:AC)</f>
        <v>0</v>
      </c>
      <c r="AD1663" s="106">
        <f>SUMIF($AS:$AS,$AT1663,AD:AD)</f>
        <v>0</v>
      </c>
      <c r="AE1663" s="106">
        <f>SUMIF($AS:$AS,$AT1663,AE:AE)</f>
        <v>0</v>
      </c>
      <c r="AF1663" s="106">
        <f>SUMIF($AS:$AS,$AT1663,AF:AF)</f>
        <v>0</v>
      </c>
      <c r="AG1663" s="106">
        <f>SUMIF($AS:$AS,$AT1663,AG:AG)</f>
        <v>0</v>
      </c>
      <c r="AH1663" s="106">
        <f>SUMIF($AS:$AS,$AT1663,AH:AH)</f>
        <v>0</v>
      </c>
      <c r="AI1663" s="106">
        <f>SUMIF($AS:$AS,$AT1663,AI:AI)</f>
        <v>0</v>
      </c>
      <c r="AJ1663" s="106">
        <f>SUMIF($AS:$AS,$AT1663,AJ:AJ)</f>
        <v>0</v>
      </c>
      <c r="AK1663" s="106">
        <f>SUMIF($AS:$AS,$AT1663,AK:AK)</f>
        <v>0</v>
      </c>
      <c r="AL1663" s="106">
        <f>SUMIF($AS:$AS,$AT1663,AL:AL)</f>
        <v>0</v>
      </c>
      <c r="AM1663" s="106">
        <f>SUMIF($AS:$AS,$AT1663,AM:AM)</f>
        <v>0</v>
      </c>
      <c r="AN1663" s="106">
        <f>SUMIF($AS:$AS,$AT1663,AN:AN)</f>
        <v>0</v>
      </c>
      <c r="AO1663" s="106">
        <f>SUMIF($AS:$AS,$AT1663,AO:AO)</f>
        <v>0</v>
      </c>
      <c r="AP1663" s="264"/>
      <c r="AQ1663" s="264"/>
      <c r="AR1663" s="264"/>
      <c r="AS1663" s="264"/>
      <c r="AT1663" s="248" t="str">
        <f t="shared" si="644"/>
        <v>R10Hung Deferred Taxes</v>
      </c>
    </row>
    <row r="1664" spans="1:46">
      <c r="A1664" s="283"/>
      <c r="B1664" s="283"/>
      <c r="C1664" s="285" t="s">
        <v>1567</v>
      </c>
      <c r="D1664" s="277"/>
      <c r="E1664" s="278"/>
      <c r="F1664" s="278"/>
      <c r="G1664" s="264"/>
      <c r="H1664" s="279"/>
      <c r="I1664" s="280"/>
      <c r="J1664" s="280"/>
      <c r="K1664" s="279"/>
      <c r="L1664" s="215"/>
      <c r="M1664" s="279"/>
      <c r="N1664" s="281"/>
      <c r="O1664" s="281"/>
      <c r="P1664" s="278"/>
      <c r="Q1664" s="282"/>
      <c r="R1664" s="279"/>
      <c r="S1664" s="279"/>
      <c r="T1664" s="279"/>
      <c r="U1664" s="106">
        <f>SUMIF($AS:$AS,$AT1664,U:U)</f>
        <v>0</v>
      </c>
      <c r="V1664" s="106">
        <f>SUMIF($AS:$AS,$AT1664,V:V)</f>
        <v>0</v>
      </c>
      <c r="W1664" s="106">
        <f>SUMIF($AS:$AS,$AT1664,W:W)</f>
        <v>0</v>
      </c>
      <c r="X1664" s="106">
        <f>SUMIF($AS:$AS,$AT1664,X:X)</f>
        <v>0</v>
      </c>
      <c r="Y1664" s="106">
        <f>SUMIF($AS:$AS,$AT1664,Y:Y)</f>
        <v>0</v>
      </c>
      <c r="Z1664" s="106">
        <f>SUMIF($AS:$AS,$AT1664,Z:Z)</f>
        <v>0</v>
      </c>
      <c r="AA1664" s="106">
        <f>SUMIF($AS:$AS,$AT1664,AA:AA)</f>
        <v>0</v>
      </c>
      <c r="AB1664" s="106">
        <f>SUMIF($AS:$AS,$AT1664,AB:AB)</f>
        <v>0</v>
      </c>
      <c r="AC1664" s="106">
        <f>SUMIF($AS:$AS,$AT1664,AC:AC)</f>
        <v>0</v>
      </c>
      <c r="AD1664" s="106">
        <f>SUMIF($AS:$AS,$AT1664,AD:AD)</f>
        <v>0</v>
      </c>
      <c r="AE1664" s="106">
        <f>SUMIF($AS:$AS,$AT1664,AE:AE)</f>
        <v>0</v>
      </c>
      <c r="AF1664" s="106">
        <f>SUMIF($AS:$AS,$AT1664,AF:AF)</f>
        <v>0</v>
      </c>
      <c r="AG1664" s="106">
        <f>SUMIF($AS:$AS,$AT1664,AG:AG)</f>
        <v>0</v>
      </c>
      <c r="AH1664" s="106">
        <f>SUMIF($AS:$AS,$AT1664,AH:AH)</f>
        <v>0</v>
      </c>
      <c r="AI1664" s="106">
        <f>SUMIF($AS:$AS,$AT1664,AI:AI)</f>
        <v>0</v>
      </c>
      <c r="AJ1664" s="106">
        <f>SUMIF($AS:$AS,$AT1664,AJ:AJ)</f>
        <v>0</v>
      </c>
      <c r="AK1664" s="106">
        <f>SUMIF($AS:$AS,$AT1664,AK:AK)</f>
        <v>0</v>
      </c>
      <c r="AL1664" s="106">
        <f>SUMIF($AS:$AS,$AT1664,AL:AL)</f>
        <v>0</v>
      </c>
      <c r="AM1664" s="106">
        <f>SUMIF($AS:$AS,$AT1664,AM:AM)</f>
        <v>0</v>
      </c>
      <c r="AN1664" s="106">
        <f>SUMIF($AS:$AS,$AT1664,AN:AN)</f>
        <v>0</v>
      </c>
      <c r="AO1664" s="106">
        <f>SUMIF($AS:$AS,$AT1664,AO:AO)</f>
        <v>0</v>
      </c>
      <c r="AP1664" s="264"/>
      <c r="AQ1664" s="264"/>
      <c r="AR1664" s="264"/>
      <c r="AS1664" s="264"/>
      <c r="AT1664" s="248" t="str">
        <f t="shared" si="644"/>
        <v>R10Net (Gains) &amp; Losses on Hedges</v>
      </c>
    </row>
    <row r="1665" spans="1:46">
      <c r="A1665" s="283"/>
      <c r="B1665" s="283"/>
      <c r="C1665" s="285" t="s">
        <v>45</v>
      </c>
      <c r="D1665" s="277"/>
      <c r="E1665" s="278"/>
      <c r="F1665" s="278"/>
      <c r="G1665" s="264"/>
      <c r="H1665" s="279"/>
      <c r="I1665" s="280"/>
      <c r="J1665" s="280"/>
      <c r="K1665" s="279"/>
      <c r="L1665" s="215"/>
      <c r="M1665" s="279"/>
      <c r="N1665" s="281"/>
      <c r="O1665" s="281"/>
      <c r="P1665" s="278"/>
      <c r="Q1665" s="282"/>
      <c r="R1665" s="279"/>
      <c r="S1665" s="279"/>
      <c r="T1665" s="279"/>
      <c r="U1665" s="106">
        <f>SUMIF($AS:$AS,$AT1665,U:U)</f>
        <v>16253.413368120426</v>
      </c>
      <c r="V1665" s="106">
        <f>SUMIF($AS:$AS,$AT1665,V:V)</f>
        <v>5112.4182764629168</v>
      </c>
      <c r="W1665" s="106">
        <f>SUMIF($AS:$AS,$AT1665,W:W)</f>
        <v>0</v>
      </c>
      <c r="X1665" s="106">
        <f>SUMIF($AS:$AS,$AT1665,X:X)</f>
        <v>21365.831644583333</v>
      </c>
      <c r="Y1665" s="106">
        <f>SUMIF($AS:$AS,$AT1665,Y:Y)</f>
        <v>15461.186147657016</v>
      </c>
      <c r="Z1665" s="106">
        <f>SUMIF($AS:$AS,$AT1665,Z:Z)</f>
        <v>4863.2277323429553</v>
      </c>
      <c r="AA1665" s="106">
        <f>SUMIF($AS:$AS,$AT1665,AA:AA)</f>
        <v>0</v>
      </c>
      <c r="AB1665" s="106">
        <f>SUMIF($AS:$AS,$AT1665,AB:AB)</f>
        <v>20324.413879999989</v>
      </c>
      <c r="AC1665" s="106">
        <f>SUMIF($AS:$AS,$AT1665,AC:AC)</f>
        <v>22614.736529999995</v>
      </c>
      <c r="AD1665" s="106">
        <f>SUMIF($AS:$AS,$AT1665,AD:AD)</f>
        <v>22401.266780000002</v>
      </c>
      <c r="AE1665" s="106">
        <f>SUMIF($AS:$AS,$AT1665,AE:AE)</f>
        <v>22187.797029999994</v>
      </c>
      <c r="AF1665" s="106">
        <f>SUMIF($AS:$AS,$AT1665,AF:AF)</f>
        <v>21974.327280000001</v>
      </c>
      <c r="AG1665" s="106">
        <f>SUMIF($AS:$AS,$AT1665,AG:AG)</f>
        <v>21760.857529999994</v>
      </c>
      <c r="AH1665" s="106">
        <f>SUMIF($AS:$AS,$AT1665,AH:AH)</f>
        <v>21559.161169999999</v>
      </c>
      <c r="AI1665" s="106">
        <f>SUMIF($AS:$AS,$AT1665,AI:AI)</f>
        <v>21357.464809999994</v>
      </c>
      <c r="AJ1665" s="106">
        <f>SUMIF($AS:$AS,$AT1665,AJ:AJ)</f>
        <v>21162.558710000001</v>
      </c>
      <c r="AK1665" s="106">
        <f>SUMIF($AS:$AS,$AT1665,AK:AK)</f>
        <v>21109.901410000002</v>
      </c>
      <c r="AL1665" s="106">
        <f>SUMIF($AS:$AS,$AT1665,AL:AL)</f>
        <v>20663.462340000002</v>
      </c>
      <c r="AM1665" s="106">
        <f>SUMIF($AS:$AS,$AT1665,AM:AM)</f>
        <v>20469.023269999991</v>
      </c>
      <c r="AN1665" s="106">
        <f>SUMIF($AS:$AS,$AT1665,AN:AN)</f>
        <v>20274.584199999987</v>
      </c>
      <c r="AO1665" s="106">
        <f>SUMIF($AS:$AS,$AT1665,AO:AO)</f>
        <v>20324.413879999989</v>
      </c>
      <c r="AP1665" s="264"/>
      <c r="AQ1665" s="264"/>
      <c r="AR1665" s="264"/>
      <c r="AS1665" s="264"/>
      <c r="AT1665" s="248" t="str">
        <f t="shared" si="644"/>
        <v>R10Gain / Loss on Reacquired Debt</v>
      </c>
    </row>
    <row r="1666" spans="1:46">
      <c r="A1666" s="283"/>
      <c r="B1666" s="283"/>
      <c r="C1666" s="285" t="s">
        <v>539</v>
      </c>
      <c r="D1666" s="277"/>
      <c r="E1666" s="278"/>
      <c r="F1666" s="278"/>
      <c r="G1666" s="264"/>
      <c r="H1666" s="279"/>
      <c r="I1666" s="280"/>
      <c r="J1666" s="280"/>
      <c r="K1666" s="279"/>
      <c r="L1666" s="215"/>
      <c r="M1666" s="279"/>
      <c r="N1666" s="281"/>
      <c r="O1666" s="281"/>
      <c r="P1666" s="278"/>
      <c r="Q1666" s="282"/>
      <c r="R1666" s="279"/>
      <c r="S1666" s="279"/>
      <c r="T1666" s="279"/>
      <c r="U1666" s="106">
        <f>SUMIF($AS:$AS,$AT1666,U:U)</f>
        <v>-4925.1014299999997</v>
      </c>
      <c r="V1666" s="106">
        <f>SUMIF($AS:$AS,$AT1666,V:V)</f>
        <v>0</v>
      </c>
      <c r="W1666" s="106">
        <f>SUMIF($AS:$AS,$AT1666,W:W)</f>
        <v>0</v>
      </c>
      <c r="X1666" s="106">
        <f>SUMIF($AS:$AS,$AT1666,X:X)</f>
        <v>-4925.1014299999997</v>
      </c>
      <c r="Y1666" s="106">
        <f>SUMIF($AS:$AS,$AT1666,Y:Y)</f>
        <v>-4925.1014299999997</v>
      </c>
      <c r="Z1666" s="106">
        <f>SUMIF($AS:$AS,$AT1666,Z:Z)</f>
        <v>0</v>
      </c>
      <c r="AA1666" s="106">
        <f>SUMIF($AS:$AS,$AT1666,AA:AA)</f>
        <v>0</v>
      </c>
      <c r="AB1666" s="106">
        <f>SUMIF($AS:$AS,$AT1666,AB:AB)</f>
        <v>-4925.1014299999997</v>
      </c>
      <c r="AC1666" s="106">
        <f>SUMIF($AS:$AS,$AT1666,AC:AC)</f>
        <v>-4925.1014299999997</v>
      </c>
      <c r="AD1666" s="106">
        <f>SUMIF($AS:$AS,$AT1666,AD:AD)</f>
        <v>-4925.1014299999997</v>
      </c>
      <c r="AE1666" s="106">
        <f>SUMIF($AS:$AS,$AT1666,AE:AE)</f>
        <v>-4925.1014299999997</v>
      </c>
      <c r="AF1666" s="106">
        <f>SUMIF($AS:$AS,$AT1666,AF:AF)</f>
        <v>-4925.1014299999997</v>
      </c>
      <c r="AG1666" s="106">
        <f>SUMIF($AS:$AS,$AT1666,AG:AG)</f>
        <v>-4925.1014299999997</v>
      </c>
      <c r="AH1666" s="106">
        <f>SUMIF($AS:$AS,$AT1666,AH:AH)</f>
        <v>-4925.1014299999997</v>
      </c>
      <c r="AI1666" s="106">
        <f>SUMIF($AS:$AS,$AT1666,AI:AI)</f>
        <v>-4925.1014299999997</v>
      </c>
      <c r="AJ1666" s="106">
        <f>SUMIF($AS:$AS,$AT1666,AJ:AJ)</f>
        <v>-4925.1014299999997</v>
      </c>
      <c r="AK1666" s="106">
        <f>SUMIF($AS:$AS,$AT1666,AK:AK)</f>
        <v>-4925.1014299999997</v>
      </c>
      <c r="AL1666" s="106">
        <f>SUMIF($AS:$AS,$AT1666,AL:AL)</f>
        <v>-4925.1014299999997</v>
      </c>
      <c r="AM1666" s="106">
        <f>SUMIF($AS:$AS,$AT1666,AM:AM)</f>
        <v>-4925.1014299999997</v>
      </c>
      <c r="AN1666" s="106">
        <f>SUMIF($AS:$AS,$AT1666,AN:AN)</f>
        <v>-4925.1014299999997</v>
      </c>
      <c r="AO1666" s="106">
        <f>SUMIF($AS:$AS,$AT1666,AO:AO)</f>
        <v>-4925.1014299999997</v>
      </c>
      <c r="AP1666" s="264"/>
      <c r="AQ1666" s="264"/>
      <c r="AR1666" s="264"/>
      <c r="AS1666" s="264"/>
      <c r="AT1666" s="248" t="str">
        <f t="shared" si="644"/>
        <v>R10Inc Tax on Lower Book Depr Exp vs. Amt in Rates</v>
      </c>
    </row>
    <row r="1667" spans="1:46">
      <c r="A1667" s="283"/>
      <c r="B1667" s="283"/>
      <c r="C1667" s="285" t="s">
        <v>2861</v>
      </c>
      <c r="D1667" s="277"/>
      <c r="E1667" s="278"/>
      <c r="F1667" s="278"/>
      <c r="G1667" s="264"/>
      <c r="H1667" s="279"/>
      <c r="I1667" s="280"/>
      <c r="J1667" s="280"/>
      <c r="K1667" s="279"/>
      <c r="L1667" s="215"/>
      <c r="M1667" s="279"/>
      <c r="N1667" s="281"/>
      <c r="O1667" s="281"/>
      <c r="P1667" s="278"/>
      <c r="Q1667" s="282"/>
      <c r="R1667" s="279"/>
      <c r="S1667" s="279"/>
      <c r="T1667" s="279"/>
      <c r="U1667" s="106">
        <f>SUMIF($AS:$AS,$AT1667,U:U)</f>
        <v>-5584.9519517549898</v>
      </c>
      <c r="V1667" s="106">
        <f>SUMIF($AS:$AS,$AT1667,V:V)</f>
        <v>-1756.7147149116799</v>
      </c>
      <c r="W1667" s="106">
        <f>SUMIF($AS:$AS,$AT1667,W:W)</f>
        <v>0</v>
      </c>
      <c r="X1667" s="106">
        <f>SUMIF($AS:$AS,$AT1667,X:X)</f>
        <v>-7341.6666666666697</v>
      </c>
      <c r="Y1667" s="106">
        <f>SUMIF($AS:$AS,$AT1667,Y:Y)</f>
        <v>-4488.24742547393</v>
      </c>
      <c r="Z1667" s="106">
        <f>SUMIF($AS:$AS,$AT1667,Z:Z)</f>
        <v>-1411.75257452607</v>
      </c>
      <c r="AA1667" s="106">
        <f>SUMIF($AS:$AS,$AT1667,AA:AA)</f>
        <v>0</v>
      </c>
      <c r="AB1667" s="106">
        <f>SUMIF($AS:$AS,$AT1667,AB:AB)</f>
        <v>-5900</v>
      </c>
      <c r="AC1667" s="106">
        <f>SUMIF($AS:$AS,$AT1667,AC:AC)</f>
        <v>-6900</v>
      </c>
      <c r="AD1667" s="106">
        <f>SUMIF($AS:$AS,$AT1667,AD:AD)</f>
        <v>-6900</v>
      </c>
      <c r="AE1667" s="106">
        <f>SUMIF($AS:$AS,$AT1667,AE:AE)</f>
        <v>-7900</v>
      </c>
      <c r="AF1667" s="106">
        <f>SUMIF($AS:$AS,$AT1667,AF:AF)</f>
        <v>-8000</v>
      </c>
      <c r="AG1667" s="106">
        <f>SUMIF($AS:$AS,$AT1667,AG:AG)</f>
        <v>-9000</v>
      </c>
      <c r="AH1667" s="106">
        <f>SUMIF($AS:$AS,$AT1667,AH:AH)</f>
        <v>-9000</v>
      </c>
      <c r="AI1667" s="106">
        <f>SUMIF($AS:$AS,$AT1667,AI:AI)</f>
        <v>-7300</v>
      </c>
      <c r="AJ1667" s="106">
        <f>SUMIF($AS:$AS,$AT1667,AJ:AJ)</f>
        <v>-7400</v>
      </c>
      <c r="AK1667" s="106">
        <f>SUMIF($AS:$AS,$AT1667,AK:AK)</f>
        <v>-7400</v>
      </c>
      <c r="AL1667" s="106">
        <f>SUMIF($AS:$AS,$AT1667,AL:AL)</f>
        <v>-6800</v>
      </c>
      <c r="AM1667" s="106">
        <f>SUMIF($AS:$AS,$AT1667,AM:AM)</f>
        <v>-6100</v>
      </c>
      <c r="AN1667" s="106">
        <f>SUMIF($AS:$AS,$AT1667,AN:AN)</f>
        <v>-5900</v>
      </c>
      <c r="AO1667" s="106">
        <f>SUMIF($AS:$AS,$AT1667,AO:AO)</f>
        <v>-5900</v>
      </c>
      <c r="AP1667" s="264"/>
      <c r="AQ1667" s="264"/>
      <c r="AR1667" s="264"/>
      <c r="AS1667" s="264"/>
      <c r="AT1667" s="248" t="str">
        <f>+CONCATENATE(D$1690,C1667)</f>
        <v>R10Injuries &amp; Damages</v>
      </c>
    </row>
    <row r="1668" spans="1:46">
      <c r="A1668" s="283"/>
      <c r="B1668" s="283"/>
      <c r="C1668" s="285" t="s">
        <v>713</v>
      </c>
      <c r="D1668" s="277"/>
      <c r="E1668" s="278"/>
      <c r="F1668" s="278"/>
      <c r="G1668" s="264"/>
      <c r="H1668" s="279"/>
      <c r="I1668" s="280"/>
      <c r="J1668" s="280"/>
      <c r="K1668" s="279"/>
      <c r="L1668" s="215"/>
      <c r="M1668" s="279"/>
      <c r="N1668" s="281"/>
      <c r="O1668" s="281"/>
      <c r="P1668" s="278"/>
      <c r="Q1668" s="282"/>
      <c r="R1668" s="279"/>
      <c r="S1668" s="279"/>
      <c r="T1668" s="279"/>
      <c r="U1668" s="106">
        <f>SUMIF($AS:$AS,$AT1668,U:U)</f>
        <v>-11738.91034875</v>
      </c>
      <c r="V1668" s="106">
        <f>SUMIF($AS:$AS,$AT1668,V:V)</f>
        <v>0</v>
      </c>
      <c r="W1668" s="106">
        <f>SUMIF($AS:$AS,$AT1668,W:W)</f>
        <v>0</v>
      </c>
      <c r="X1668" s="106">
        <f>SUMIF($AS:$AS,$AT1668,X:X)</f>
        <v>-11738.91034875</v>
      </c>
      <c r="Y1668" s="106">
        <f>SUMIF($AS:$AS,$AT1668,Y:Y)</f>
        <v>0</v>
      </c>
      <c r="Z1668" s="106">
        <f>SUMIF($AS:$AS,$AT1668,Z:Z)</f>
        <v>0</v>
      </c>
      <c r="AA1668" s="106">
        <f>SUMIF($AS:$AS,$AT1668,AA:AA)</f>
        <v>0</v>
      </c>
      <c r="AB1668" s="106">
        <f>SUMIF($AS:$AS,$AT1668,AB:AB)</f>
        <v>0</v>
      </c>
      <c r="AC1668" s="106">
        <f>SUMIF($AS:$AS,$AT1668,AC:AC)</f>
        <v>-12450.25863</v>
      </c>
      <c r="AD1668" s="106">
        <f>SUMIF($AS:$AS,$AT1668,AD:AD)</f>
        <v>-12415.24272</v>
      </c>
      <c r="AE1668" s="106">
        <f>SUMIF($AS:$AS,$AT1668,AE:AE)</f>
        <v>-12380.22681</v>
      </c>
      <c r="AF1668" s="106">
        <f>SUMIF($AS:$AS,$AT1668,AF:AF)</f>
        <v>-12345.2109</v>
      </c>
      <c r="AG1668" s="106">
        <f>SUMIF($AS:$AS,$AT1668,AG:AG)</f>
        <v>-12310.19499</v>
      </c>
      <c r="AH1668" s="106">
        <f>SUMIF($AS:$AS,$AT1668,AH:AH)</f>
        <v>-12275.17908</v>
      </c>
      <c r="AI1668" s="106">
        <f>SUMIF($AS:$AS,$AT1668,AI:AI)</f>
        <v>-12240.16317</v>
      </c>
      <c r="AJ1668" s="106">
        <f>SUMIF($AS:$AS,$AT1668,AJ:AJ)</f>
        <v>-12205.14726</v>
      </c>
      <c r="AK1668" s="106">
        <f>SUMIF($AS:$AS,$AT1668,AK:AK)</f>
        <v>-12170.13135</v>
      </c>
      <c r="AL1668" s="106">
        <f>SUMIF($AS:$AS,$AT1668,AL:AL)</f>
        <v>-12135.11544</v>
      </c>
      <c r="AM1668" s="106">
        <f>SUMIF($AS:$AS,$AT1668,AM:AM)</f>
        <v>-12100.09953</v>
      </c>
      <c r="AN1668" s="106">
        <f>SUMIF($AS:$AS,$AT1668,AN:AN)</f>
        <v>-12065.083619999999</v>
      </c>
      <c r="AO1668" s="106">
        <f>SUMIF($AS:$AS,$AT1668,AO:AO)</f>
        <v>0</v>
      </c>
      <c r="AP1668" s="264"/>
      <c r="AQ1668" s="264"/>
      <c r="AR1668" s="264"/>
      <c r="AS1668" s="264"/>
      <c r="AT1668" s="248" t="str">
        <f t="shared" si="644"/>
        <v>R10Marcy South</v>
      </c>
    </row>
    <row r="1669" spans="1:46">
      <c r="A1669" s="283"/>
      <c r="B1669" s="283"/>
      <c r="C1669" s="285" t="s">
        <v>914</v>
      </c>
      <c r="D1669" s="277"/>
      <c r="E1669" s="278"/>
      <c r="F1669" s="278"/>
      <c r="G1669" s="264"/>
      <c r="H1669" s="279"/>
      <c r="I1669" s="280"/>
      <c r="J1669" s="280"/>
      <c r="K1669" s="279"/>
      <c r="L1669" s="215"/>
      <c r="M1669" s="279"/>
      <c r="N1669" s="281"/>
      <c r="O1669" s="281"/>
      <c r="P1669" s="278"/>
      <c r="Q1669" s="282"/>
      <c r="R1669" s="279"/>
      <c r="S1669" s="279"/>
      <c r="T1669" s="279"/>
      <c r="U1669" s="106">
        <f>SUMIF($AS:$AS,$AT1669,U:U)</f>
        <v>272.32982014879963</v>
      </c>
      <c r="V1669" s="106">
        <f>SUMIF($AS:$AS,$AT1669,V:V)</f>
        <v>60.185222767920095</v>
      </c>
      <c r="W1669" s="106">
        <f>SUMIF($AS:$AS,$AT1669,W:W)</f>
        <v>0</v>
      </c>
      <c r="X1669" s="106">
        <f>SUMIF($AS:$AS,$AT1669,X:X)</f>
        <v>332.51504291670062</v>
      </c>
      <c r="Y1669" s="106">
        <f>SUMIF($AS:$AS,$AT1669,Y:Y)</f>
        <v>0</v>
      </c>
      <c r="Z1669" s="106">
        <f>SUMIF($AS:$AS,$AT1669,Z:Z)</f>
        <v>0</v>
      </c>
      <c r="AA1669" s="106">
        <f>SUMIF($AS:$AS,$AT1669,AA:AA)</f>
        <v>0</v>
      </c>
      <c r="AB1669" s="106">
        <f>SUMIF($AS:$AS,$AT1669,AB:AB)</f>
        <v>0</v>
      </c>
      <c r="AC1669" s="106">
        <f>SUMIF($AS:$AS,$AT1669,AC:AC)</f>
        <v>1595.4878899999931</v>
      </c>
      <c r="AD1669" s="106">
        <f>SUMIF($AS:$AS,$AT1669,AD:AD)</f>
        <v>1595.4878899999931</v>
      </c>
      <c r="AE1669" s="106">
        <f>SUMIF($AS:$AS,$AT1669,AE:AE)</f>
        <v>1595.4878900000003</v>
      </c>
      <c r="AF1669" s="106">
        <f>SUMIF($AS:$AS,$AT1669,AF:AF)</f>
        <v>0.16230999999970663</v>
      </c>
      <c r="AG1669" s="106">
        <f>SUMIF($AS:$AS,$AT1669,AG:AG)</f>
        <v>0.16230999999970663</v>
      </c>
      <c r="AH1669" s="106">
        <f>SUMIF($AS:$AS,$AT1669,AH:AH)</f>
        <v>0.16230999999970663</v>
      </c>
      <c r="AI1669" s="106">
        <f>SUMIF($AS:$AS,$AT1669,AI:AI)</f>
        <v>0.16230999999970663</v>
      </c>
      <c r="AJ1669" s="106">
        <f>SUMIF($AS:$AS,$AT1669,AJ:AJ)</f>
        <v>0.16230999999970663</v>
      </c>
      <c r="AK1669" s="106">
        <f>SUMIF($AS:$AS,$AT1669,AK:AK)</f>
        <v>0.16230999999970663</v>
      </c>
      <c r="AL1669" s="106">
        <f>SUMIF($AS:$AS,$AT1669,AL:AL)</f>
        <v>0.16230999999970663</v>
      </c>
      <c r="AM1669" s="106">
        <f>SUMIF($AS:$AS,$AT1669,AM:AM)</f>
        <v>0.16230999999970663</v>
      </c>
      <c r="AN1669" s="106">
        <f>SUMIF($AS:$AS,$AT1669,AN:AN)</f>
        <v>0.16230999999970663</v>
      </c>
      <c r="AO1669" s="106">
        <f>SUMIF($AS:$AS,$AT1669,AO:AO)</f>
        <v>0</v>
      </c>
      <c r="AP1669" s="264"/>
      <c r="AQ1669" s="264"/>
      <c r="AR1669" s="264"/>
      <c r="AS1669" s="264"/>
      <c r="AT1669" s="248" t="str">
        <f t="shared" si="644"/>
        <v>R10Medicare Subsidy</v>
      </c>
    </row>
    <row r="1670" spans="1:46">
      <c r="A1670" s="283"/>
      <c r="B1670" s="283"/>
      <c r="C1670" s="285" t="s">
        <v>1484</v>
      </c>
      <c r="D1670" s="277"/>
      <c r="E1670" s="278"/>
      <c r="F1670" s="278"/>
      <c r="G1670" s="264"/>
      <c r="H1670" s="279"/>
      <c r="I1670" s="280"/>
      <c r="J1670" s="280"/>
      <c r="K1670" s="279"/>
      <c r="L1670" s="215"/>
      <c r="M1670" s="279"/>
      <c r="N1670" s="281"/>
      <c r="O1670" s="281"/>
      <c r="P1670" s="278"/>
      <c r="Q1670" s="282"/>
      <c r="R1670" s="279"/>
      <c r="S1670" s="279"/>
      <c r="T1670" s="279"/>
      <c r="U1670" s="106">
        <f>SUMIF($AS:$AS,$AT1670,U:U)</f>
        <v>699.31633461750005</v>
      </c>
      <c r="V1670" s="106">
        <f>SUMIF($AS:$AS,$AT1670,V:V)</f>
        <v>62.466164965833109</v>
      </c>
      <c r="W1670" s="106">
        <f>SUMIF($AS:$AS,$AT1670,W:W)</f>
        <v>0</v>
      </c>
      <c r="X1670" s="106">
        <f>SUMIF($AS:$AS,$AT1670,X:X)</f>
        <v>761.78249958333004</v>
      </c>
      <c r="Y1670" s="106">
        <f>SUMIF($AS:$AS,$AT1670,Y:Y)</f>
        <v>1001.6779674599991</v>
      </c>
      <c r="Z1670" s="106">
        <f>SUMIF($AS:$AS,$AT1670,Z:Z)</f>
        <v>89.474502539999904</v>
      </c>
      <c r="AA1670" s="106">
        <f>SUMIF($AS:$AS,$AT1670,AA:AA)</f>
        <v>0</v>
      </c>
      <c r="AB1670" s="106">
        <f>SUMIF($AS:$AS,$AT1670,AB:AB)</f>
        <v>1091.1524699999993</v>
      </c>
      <c r="AC1670" s="106">
        <f>SUMIF($AS:$AS,$AT1670,AC:AC)</f>
        <v>659.32695999999942</v>
      </c>
      <c r="AD1670" s="106">
        <f>SUMIF($AS:$AS,$AT1670,AD:AD)</f>
        <v>644.72875999999997</v>
      </c>
      <c r="AE1670" s="106">
        <f>SUMIF($AS:$AS,$AT1670,AE:AE)</f>
        <v>610.46370999999931</v>
      </c>
      <c r="AF1670" s="106">
        <f>SUMIF($AS:$AS,$AT1670,AF:AF)</f>
        <v>660.05745999999931</v>
      </c>
      <c r="AG1670" s="106">
        <f>SUMIF($AS:$AS,$AT1670,AG:AG)</f>
        <v>678.44464999999934</v>
      </c>
      <c r="AH1670" s="106">
        <f>SUMIF($AS:$AS,$AT1670,AH:AH)</f>
        <v>666.39443000000017</v>
      </c>
      <c r="AI1670" s="106">
        <f>SUMIF($AS:$AS,$AT1670,AI:AI)</f>
        <v>688.86578999999938</v>
      </c>
      <c r="AJ1670" s="106">
        <f>SUMIF($AS:$AS,$AT1670,AJ:AJ)</f>
        <v>695.54068999999993</v>
      </c>
      <c r="AK1670" s="106">
        <f>SUMIF($AS:$AS,$AT1670,AK:AK)</f>
        <v>696.73540999999932</v>
      </c>
      <c r="AL1670" s="106">
        <f>SUMIF($AS:$AS,$AT1670,AL:AL)</f>
        <v>824.06595999999934</v>
      </c>
      <c r="AM1670" s="106">
        <f>SUMIF($AS:$AS,$AT1670,AM:AM)</f>
        <v>1035.5011499999991</v>
      </c>
      <c r="AN1670" s="106">
        <f>SUMIF($AS:$AS,$AT1670,AN:AN)</f>
        <v>1065.3522699999992</v>
      </c>
      <c r="AO1670" s="106">
        <f>SUMIF($AS:$AS,$AT1670,AO:AO)</f>
        <v>1091.1524699999993</v>
      </c>
      <c r="AP1670" s="264"/>
      <c r="AQ1670" s="264"/>
      <c r="AR1670" s="264"/>
      <c r="AS1670" s="264"/>
      <c r="AT1670" s="248" t="str">
        <f t="shared" si="644"/>
        <v>R10MTA Surcharge</v>
      </c>
    </row>
    <row r="1671" spans="1:46">
      <c r="A1671" s="283"/>
      <c r="B1671" s="283"/>
      <c r="C1671" s="285" t="s">
        <v>635</v>
      </c>
      <c r="D1671" s="277"/>
      <c r="E1671" s="278"/>
      <c r="F1671" s="278"/>
      <c r="G1671" s="264"/>
      <c r="H1671" s="279"/>
      <c r="I1671" s="280"/>
      <c r="J1671" s="280"/>
      <c r="K1671" s="279"/>
      <c r="L1671" s="215"/>
      <c r="M1671" s="279"/>
      <c r="N1671" s="281"/>
      <c r="O1671" s="281"/>
      <c r="P1671" s="278"/>
      <c r="Q1671" s="282"/>
      <c r="R1671" s="279"/>
      <c r="S1671" s="279"/>
      <c r="T1671" s="279"/>
      <c r="U1671" s="106">
        <f>SUMIF($AS:$AS,$AT1671,U:U)</f>
        <v>-4134.1057662499734</v>
      </c>
      <c r="V1671" s="106">
        <f>SUMIF($AS:$AS,$AT1671,V:V)</f>
        <v>0</v>
      </c>
      <c r="W1671" s="106">
        <f>SUMIF($AS:$AS,$AT1671,W:W)</f>
        <v>0</v>
      </c>
      <c r="X1671" s="106">
        <f>SUMIF($AS:$AS,$AT1671,X:X)</f>
        <v>-4134.1057662499734</v>
      </c>
      <c r="Y1671" s="106">
        <f>SUMIF($AS:$AS,$AT1671,Y:Y)</f>
        <v>-2186.8760599999709</v>
      </c>
      <c r="Z1671" s="106">
        <f>SUMIF($AS:$AS,$AT1671,Z:Z)</f>
        <v>0</v>
      </c>
      <c r="AA1671" s="106">
        <f>SUMIF($AS:$AS,$AT1671,AA:AA)</f>
        <v>0</v>
      </c>
      <c r="AB1671" s="106">
        <f>SUMIF($AS:$AS,$AT1671,AB:AB)</f>
        <v>-2186.8760599999709</v>
      </c>
      <c r="AC1671" s="106">
        <f>SUMIF($AS:$AS,$AT1671,AC:AC)</f>
        <v>1377.9166700000294</v>
      </c>
      <c r="AD1671" s="106">
        <f>SUMIF($AS:$AS,$AT1671,AD:AD)</f>
        <v>-25508.667379999973</v>
      </c>
      <c r="AE1671" s="106">
        <f>SUMIF($AS:$AS,$AT1671,AE:AE)</f>
        <v>-36565.298679999971</v>
      </c>
      <c r="AF1671" s="106">
        <f>SUMIF($AS:$AS,$AT1671,AF:AF)</f>
        <v>-42424.661459999967</v>
      </c>
      <c r="AG1671" s="106">
        <f>SUMIF($AS:$AS,$AT1671,AG:AG)</f>
        <v>-11959.535539999972</v>
      </c>
      <c r="AH1671" s="106">
        <f>SUMIF($AS:$AS,$AT1671,AH:AH)</f>
        <v>7298.2795900000292</v>
      </c>
      <c r="AI1671" s="106">
        <f>SUMIF($AS:$AS,$AT1671,AI:AI)</f>
        <v>18808.272620000025</v>
      </c>
      <c r="AJ1671" s="106">
        <f>SUMIF($AS:$AS,$AT1671,AJ:AJ)</f>
        <v>17354.12106000003</v>
      </c>
      <c r="AK1671" s="106">
        <f>SUMIF($AS:$AS,$AT1671,AK:AK)</f>
        <v>13969.364500000031</v>
      </c>
      <c r="AL1671" s="106">
        <f>SUMIF($AS:$AS,$AT1671,AL:AL)</f>
        <v>7403.5449300000291</v>
      </c>
      <c r="AM1671" s="106">
        <f>SUMIF($AS:$AS,$AT1671,AM:AM)</f>
        <v>3379.3219300000296</v>
      </c>
      <c r="AN1671" s="106">
        <f>SUMIF($AS:$AS,$AT1671,AN:AN)</f>
        <v>-959.53106999997067</v>
      </c>
      <c r="AO1671" s="106">
        <f>SUMIF($AS:$AS,$AT1671,AO:AO)</f>
        <v>-2186.8760599999709</v>
      </c>
      <c r="AP1671" s="264"/>
      <c r="AQ1671" s="264"/>
      <c r="AR1671" s="264"/>
      <c r="AS1671" s="264"/>
      <c r="AT1671" s="248" t="str">
        <f t="shared" si="644"/>
        <v>R10NBWC True-up</v>
      </c>
    </row>
    <row r="1672" spans="1:46">
      <c r="A1672" s="283"/>
      <c r="B1672" s="283"/>
      <c r="C1672" s="285" t="s">
        <v>4519</v>
      </c>
      <c r="D1672" s="277"/>
      <c r="E1672" s="278"/>
      <c r="F1672" s="278"/>
      <c r="G1672" s="264"/>
      <c r="H1672" s="279"/>
      <c r="I1672" s="280"/>
      <c r="J1672" s="280"/>
      <c r="K1672" s="279"/>
      <c r="L1672" s="215"/>
      <c r="M1672" s="279"/>
      <c r="N1672" s="281"/>
      <c r="O1672" s="281"/>
      <c r="P1672" s="278"/>
      <c r="Q1672" s="282"/>
      <c r="R1672" s="279"/>
      <c r="S1672" s="279"/>
      <c r="T1672" s="279"/>
      <c r="U1672" s="106">
        <f>SUMIF($AS:$AS,$AT1672,U:U)</f>
        <v>0</v>
      </c>
      <c r="V1672" s="106">
        <f>SUMIF($AS:$AS,$AT1672,V:V)</f>
        <v>-137.07979166666701</v>
      </c>
      <c r="W1672" s="106">
        <f>SUMIF($AS:$AS,$AT1672,W:W)</f>
        <v>0</v>
      </c>
      <c r="X1672" s="106">
        <f>SUMIF($AS:$AS,$AT1672,X:X)</f>
        <v>-137.07979166666701</v>
      </c>
      <c r="Y1672" s="106">
        <f>SUMIF($AS:$AS,$AT1672,Y:Y)</f>
        <v>0</v>
      </c>
      <c r="Z1672" s="106">
        <f>SUMIF($AS:$AS,$AT1672,Z:Z)</f>
        <v>-137</v>
      </c>
      <c r="AA1672" s="106">
        <f>SUMIF($AS:$AS,$AT1672,AA:AA)</f>
        <v>0</v>
      </c>
      <c r="AB1672" s="106">
        <f>SUMIF($AS:$AS,$AT1672,AB:AB)</f>
        <v>-137</v>
      </c>
      <c r="AC1672" s="106">
        <f>SUMIF($AS:$AS,$AT1672,AC:AC)</f>
        <v>-138.91499999999999</v>
      </c>
      <c r="AD1672" s="106">
        <f>SUMIF($AS:$AS,$AT1672,AD:AD)</f>
        <v>-137</v>
      </c>
      <c r="AE1672" s="106">
        <f>SUMIF($AS:$AS,$AT1672,AE:AE)</f>
        <v>-137</v>
      </c>
      <c r="AF1672" s="106">
        <f>SUMIF($AS:$AS,$AT1672,AF:AF)</f>
        <v>-137</v>
      </c>
      <c r="AG1672" s="106">
        <f>SUMIF($AS:$AS,$AT1672,AG:AG)</f>
        <v>-137</v>
      </c>
      <c r="AH1672" s="106">
        <f>SUMIF($AS:$AS,$AT1672,AH:AH)</f>
        <v>-137</v>
      </c>
      <c r="AI1672" s="106">
        <f>SUMIF($AS:$AS,$AT1672,AI:AI)</f>
        <v>-137</v>
      </c>
      <c r="AJ1672" s="106">
        <f>SUMIF($AS:$AS,$AT1672,AJ:AJ)</f>
        <v>-137</v>
      </c>
      <c r="AK1672" s="106">
        <f>SUMIF($AS:$AS,$AT1672,AK:AK)</f>
        <v>-137</v>
      </c>
      <c r="AL1672" s="106">
        <f>SUMIF($AS:$AS,$AT1672,AL:AL)</f>
        <v>-137</v>
      </c>
      <c r="AM1672" s="106">
        <f>SUMIF($AS:$AS,$AT1672,AM:AM)</f>
        <v>-137</v>
      </c>
      <c r="AN1672" s="106">
        <f>SUMIF($AS:$AS,$AT1672,AN:AN)</f>
        <v>-137</v>
      </c>
      <c r="AO1672" s="106">
        <f>SUMIF($AS:$AS,$AT1672,AO:AO)</f>
        <v>-137</v>
      </c>
      <c r="AP1672" s="264"/>
      <c r="AQ1672" s="264"/>
      <c r="AR1672" s="264"/>
      <c r="AS1672" s="264"/>
      <c r="AT1672" s="248" t="str">
        <f>+CONCATENATE(D$1690,C1672)</f>
        <v>R10Net Plant reconciliation</v>
      </c>
    </row>
    <row r="1673" spans="1:46">
      <c r="A1673" s="283"/>
      <c r="B1673" s="283"/>
      <c r="C1673" s="285" t="s">
        <v>791</v>
      </c>
      <c r="D1673" s="277"/>
      <c r="E1673" s="278"/>
      <c r="F1673" s="278"/>
      <c r="G1673" s="264"/>
      <c r="H1673" s="279"/>
      <c r="I1673" s="280"/>
      <c r="J1673" s="280"/>
      <c r="K1673" s="279"/>
      <c r="L1673" s="215"/>
      <c r="M1673" s="279"/>
      <c r="N1673" s="281"/>
      <c r="O1673" s="281"/>
      <c r="P1673" s="278"/>
      <c r="Q1673" s="282"/>
      <c r="R1673" s="279"/>
      <c r="S1673" s="279"/>
      <c r="T1673" s="279"/>
      <c r="U1673" s="106">
        <f>SUMIF($AS:$AS,$AT1673,U:U)</f>
        <v>0</v>
      </c>
      <c r="V1673" s="106">
        <f>SUMIF($AS:$AS,$AT1673,V:V)</f>
        <v>0</v>
      </c>
      <c r="W1673" s="106">
        <f>SUMIF($AS:$AS,$AT1673,W:W)</f>
        <v>0</v>
      </c>
      <c r="X1673" s="106">
        <f>SUMIF($AS:$AS,$AT1673,X:X)</f>
        <v>0</v>
      </c>
      <c r="Y1673" s="106">
        <f>SUMIF($AS:$AS,$AT1673,Y:Y)</f>
        <v>0</v>
      </c>
      <c r="Z1673" s="106">
        <f>SUMIF($AS:$AS,$AT1673,Z:Z)</f>
        <v>0</v>
      </c>
      <c r="AA1673" s="106">
        <f>SUMIF($AS:$AS,$AT1673,AA:AA)</f>
        <v>0</v>
      </c>
      <c r="AB1673" s="106">
        <f>SUMIF($AS:$AS,$AT1673,AB:AB)</f>
        <v>0</v>
      </c>
      <c r="AC1673" s="106">
        <f>SUMIF($AS:$AS,$AT1673,AC:AC)</f>
        <v>0</v>
      </c>
      <c r="AD1673" s="106">
        <f>SUMIF($AS:$AS,$AT1673,AD:AD)</f>
        <v>0</v>
      </c>
      <c r="AE1673" s="106">
        <f>SUMIF($AS:$AS,$AT1673,AE:AE)</f>
        <v>0</v>
      </c>
      <c r="AF1673" s="106">
        <f>SUMIF($AS:$AS,$AT1673,AF:AF)</f>
        <v>0</v>
      </c>
      <c r="AG1673" s="106">
        <f>SUMIF($AS:$AS,$AT1673,AG:AG)</f>
        <v>0</v>
      </c>
      <c r="AH1673" s="106">
        <f>SUMIF($AS:$AS,$AT1673,AH:AH)</f>
        <v>0</v>
      </c>
      <c r="AI1673" s="106">
        <f>SUMIF($AS:$AS,$AT1673,AI:AI)</f>
        <v>0</v>
      </c>
      <c r="AJ1673" s="106">
        <f>SUMIF($AS:$AS,$AT1673,AJ:AJ)</f>
        <v>0</v>
      </c>
      <c r="AK1673" s="106">
        <f>SUMIF($AS:$AS,$AT1673,AK:AK)</f>
        <v>0</v>
      </c>
      <c r="AL1673" s="106">
        <f>SUMIF($AS:$AS,$AT1673,AL:AL)</f>
        <v>0</v>
      </c>
      <c r="AM1673" s="106">
        <f>SUMIF($AS:$AS,$AT1673,AM:AM)</f>
        <v>0</v>
      </c>
      <c r="AN1673" s="106">
        <f>SUMIF($AS:$AS,$AT1673,AN:AN)</f>
        <v>0</v>
      </c>
      <c r="AO1673" s="106">
        <f>SUMIF($AS:$AS,$AT1673,AO:AO)</f>
        <v>0</v>
      </c>
      <c r="AP1673" s="264"/>
      <c r="AQ1673" s="264"/>
      <c r="AR1673" s="264"/>
      <c r="AS1673" s="264"/>
      <c r="AT1673" s="248" t="str">
        <f t="shared" si="644"/>
        <v>R10Non-Qualified Retiree Trust (net of related liability)</v>
      </c>
    </row>
    <row r="1674" spans="1:46">
      <c r="A1674" s="283"/>
      <c r="B1674" s="283"/>
      <c r="C1674" s="285" t="s">
        <v>1665</v>
      </c>
      <c r="D1674" s="277"/>
      <c r="E1674" s="278"/>
      <c r="F1674" s="278"/>
      <c r="G1674" s="264"/>
      <c r="H1674" s="279"/>
      <c r="I1674" s="280"/>
      <c r="J1674" s="280"/>
      <c r="K1674" s="279"/>
      <c r="L1674" s="215"/>
      <c r="M1674" s="279"/>
      <c r="N1674" s="281"/>
      <c r="O1674" s="281"/>
      <c r="P1674" s="278"/>
      <c r="Q1674" s="282"/>
      <c r="R1674" s="279"/>
      <c r="S1674" s="279"/>
      <c r="T1674" s="279"/>
      <c r="U1674" s="106">
        <f>SUMIF($AS:$AS,$AT1674,U:U)</f>
        <v>26.860700000000001</v>
      </c>
      <c r="V1674" s="106">
        <f>SUMIF($AS:$AS,$AT1674,V:V)</f>
        <v>0</v>
      </c>
      <c r="W1674" s="106">
        <f>SUMIF($AS:$AS,$AT1674,W:W)</f>
        <v>0</v>
      </c>
      <c r="X1674" s="106">
        <f>SUMIF($AS:$AS,$AT1674,X:X)</f>
        <v>26.860700000000001</v>
      </c>
      <c r="Y1674" s="106">
        <f>SUMIF($AS:$AS,$AT1674,Y:Y)</f>
        <v>26.860700000000001</v>
      </c>
      <c r="Z1674" s="106">
        <f>SUMIF($AS:$AS,$AT1674,Z:Z)</f>
        <v>0</v>
      </c>
      <c r="AA1674" s="106">
        <f>SUMIF($AS:$AS,$AT1674,AA:AA)</f>
        <v>0</v>
      </c>
      <c r="AB1674" s="106">
        <f>SUMIF($AS:$AS,$AT1674,AB:AB)</f>
        <v>26.860699999999984</v>
      </c>
      <c r="AC1674" s="106">
        <f>SUMIF($AS:$AS,$AT1674,AC:AC)</f>
        <v>26.860699999999984</v>
      </c>
      <c r="AD1674" s="106">
        <f>SUMIF($AS:$AS,$AT1674,AD:AD)</f>
        <v>26.860699999999984</v>
      </c>
      <c r="AE1674" s="106">
        <f>SUMIF($AS:$AS,$AT1674,AE:AE)</f>
        <v>26.860699999999984</v>
      </c>
      <c r="AF1674" s="106">
        <f>SUMIF($AS:$AS,$AT1674,AF:AF)</f>
        <v>26.860699999999984</v>
      </c>
      <c r="AG1674" s="106">
        <f>SUMIF($AS:$AS,$AT1674,AG:AG)</f>
        <v>26.860699999999984</v>
      </c>
      <c r="AH1674" s="106">
        <f>SUMIF($AS:$AS,$AT1674,AH:AH)</f>
        <v>26.860699999999984</v>
      </c>
      <c r="AI1674" s="106">
        <f>SUMIF($AS:$AS,$AT1674,AI:AI)</f>
        <v>26.860699999999984</v>
      </c>
      <c r="AJ1674" s="106">
        <f>SUMIF($AS:$AS,$AT1674,AJ:AJ)</f>
        <v>26.860699999999984</v>
      </c>
      <c r="AK1674" s="106">
        <f>SUMIF($AS:$AS,$AT1674,AK:AK)</f>
        <v>26.860699999999984</v>
      </c>
      <c r="AL1674" s="106">
        <f>SUMIF($AS:$AS,$AT1674,AL:AL)</f>
        <v>26.860699999999984</v>
      </c>
      <c r="AM1674" s="106">
        <f>SUMIF($AS:$AS,$AT1674,AM:AM)</f>
        <v>26.860699999999984</v>
      </c>
      <c r="AN1674" s="106">
        <f>SUMIF($AS:$AS,$AT1674,AN:AN)</f>
        <v>26.860699999999984</v>
      </c>
      <c r="AO1674" s="106">
        <f>SUMIF($AS:$AS,$AT1674,AO:AO)</f>
        <v>26.860699999999984</v>
      </c>
      <c r="AP1674" s="264"/>
      <c r="AQ1674" s="264"/>
      <c r="AR1674" s="264"/>
      <c r="AS1674" s="264"/>
      <c r="AT1674" s="248" t="str">
        <f t="shared" si="644"/>
        <v>R10NYPA Ancillaries</v>
      </c>
    </row>
    <row r="1675" spans="1:46">
      <c r="A1675" s="283"/>
      <c r="B1675" s="283"/>
      <c r="C1675" s="285" t="s">
        <v>170</v>
      </c>
      <c r="D1675" s="277"/>
      <c r="E1675" s="278"/>
      <c r="F1675" s="278"/>
      <c r="G1675" s="264"/>
      <c r="H1675" s="279"/>
      <c r="I1675" s="280"/>
      <c r="J1675" s="280"/>
      <c r="K1675" s="279"/>
      <c r="L1675" s="215"/>
      <c r="M1675" s="279"/>
      <c r="N1675" s="281"/>
      <c r="O1675" s="281"/>
      <c r="P1675" s="278"/>
      <c r="Q1675" s="282"/>
      <c r="R1675" s="279"/>
      <c r="S1675" s="279"/>
      <c r="T1675" s="279"/>
      <c r="U1675" s="106">
        <f>SUMIF($AS:$AS,$AT1675,U:U)</f>
        <v>-113780.10527690619</v>
      </c>
      <c r="V1675" s="106">
        <f>SUMIF($AS:$AS,$AT1675,V:V)</f>
        <v>-25145.542191843771</v>
      </c>
      <c r="W1675" s="106">
        <f>SUMIF($AS:$AS,$AT1675,W:W)</f>
        <v>0</v>
      </c>
      <c r="X1675" s="106">
        <f>SUMIF($AS:$AS,$AT1675,X:X)</f>
        <v>-138925.64746875002</v>
      </c>
      <c r="Y1675" s="106">
        <f>SUMIF($AS:$AS,$AT1675,Y:Y)</f>
        <v>-102356.27028900001</v>
      </c>
      <c r="Z1675" s="106">
        <f>SUMIF($AS:$AS,$AT1675,Z:Z)</f>
        <v>-22620.860710999998</v>
      </c>
      <c r="AA1675" s="106">
        <f>SUMIF($AS:$AS,$AT1675,AA:AA)</f>
        <v>0</v>
      </c>
      <c r="AB1675" s="106">
        <f>SUMIF($AS:$AS,$AT1675,AB:AB)</f>
        <v>-124977.13099999999</v>
      </c>
      <c r="AC1675" s="106">
        <f>SUMIF($AS:$AS,$AT1675,AC:AC)</f>
        <v>-148796.58723</v>
      </c>
      <c r="AD1675" s="106">
        <f>SUMIF($AS:$AS,$AT1675,AD:AD)</f>
        <v>-148005.41584999999</v>
      </c>
      <c r="AE1675" s="106">
        <f>SUMIF($AS:$AS,$AT1675,AE:AE)</f>
        <v>-146754.46814000001</v>
      </c>
      <c r="AF1675" s="106">
        <f>SUMIF($AS:$AS,$AT1675,AF:AF)</f>
        <v>-145766.71752000001</v>
      </c>
      <c r="AG1675" s="106">
        <f>SUMIF($AS:$AS,$AT1675,AG:AG)</f>
        <v>-144748.34492999999</v>
      </c>
      <c r="AH1675" s="106">
        <f>SUMIF($AS:$AS,$AT1675,AH:AH)</f>
        <v>-143000.98757</v>
      </c>
      <c r="AI1675" s="106">
        <f>SUMIF($AS:$AS,$AT1675,AI:AI)</f>
        <v>-140891.02949000002</v>
      </c>
      <c r="AJ1675" s="106">
        <f>SUMIF($AS:$AS,$AT1675,AJ:AJ)</f>
        <v>-136372.63803999999</v>
      </c>
      <c r="AK1675" s="106">
        <f>SUMIF($AS:$AS,$AT1675,AK:AK)</f>
        <v>-134622.16365</v>
      </c>
      <c r="AL1675" s="106">
        <f>SUMIF($AS:$AS,$AT1675,AL:AL)</f>
        <v>-132377.52755</v>
      </c>
      <c r="AM1675" s="106">
        <f>SUMIF($AS:$AS,$AT1675,AM:AM)</f>
        <v>-130774.40594</v>
      </c>
      <c r="AN1675" s="106">
        <f>SUMIF($AS:$AS,$AT1675,AN:AN)</f>
        <v>-126907.21183000001</v>
      </c>
      <c r="AO1675" s="106">
        <f>SUMIF($AS:$AS,$AT1675,AO:AO)</f>
        <v>-124977.13099999999</v>
      </c>
      <c r="AP1675" s="264"/>
      <c r="AQ1675" s="264"/>
      <c r="AR1675" s="264"/>
      <c r="AS1675" s="264"/>
      <c r="AT1675" s="248" t="str">
        <f t="shared" si="644"/>
        <v>R10OPEBs</v>
      </c>
    </row>
    <row r="1676" spans="1:46">
      <c r="A1676" s="283"/>
      <c r="B1676" s="283"/>
      <c r="C1676" s="285" t="s">
        <v>815</v>
      </c>
      <c r="D1676" s="277"/>
      <c r="E1676" s="278"/>
      <c r="F1676" s="278"/>
      <c r="G1676" s="264"/>
      <c r="H1676" s="279"/>
      <c r="I1676" s="280"/>
      <c r="J1676" s="280"/>
      <c r="K1676" s="279"/>
      <c r="L1676" s="215"/>
      <c r="M1676" s="279"/>
      <c r="N1676" s="281"/>
      <c r="O1676" s="281"/>
      <c r="P1676" s="278"/>
      <c r="Q1676" s="282"/>
      <c r="R1676" s="279"/>
      <c r="S1676" s="279"/>
      <c r="T1676" s="279"/>
      <c r="U1676" s="106">
        <f>SUMIF($AS:$AS,$AT1676,U:U)</f>
        <v>0</v>
      </c>
      <c r="V1676" s="106">
        <f>SUMIF($AS:$AS,$AT1676,V:V)</f>
        <v>20.378355000000091</v>
      </c>
      <c r="W1676" s="106">
        <f>SUMIF($AS:$AS,$AT1676,W:W)</f>
        <v>0</v>
      </c>
      <c r="X1676" s="106">
        <f>SUMIF($AS:$AS,$AT1676,X:X)</f>
        <v>20.378355000000091</v>
      </c>
      <c r="Y1676" s="106">
        <f>SUMIF($AS:$AS,$AT1676,Y:Y)</f>
        <v>0</v>
      </c>
      <c r="Z1676" s="106">
        <f>SUMIF($AS:$AS,$AT1676,Z:Z)</f>
        <v>5.8000000000000005E-14</v>
      </c>
      <c r="AA1676" s="106">
        <f>SUMIF($AS:$AS,$AT1676,AA:AA)</f>
        <v>0</v>
      </c>
      <c r="AB1676" s="106">
        <f>SUMIF($AS:$AS,$AT1676,AB:AB)</f>
        <v>5.8207660913467408E-14</v>
      </c>
      <c r="AC1676" s="106">
        <f>SUMIF($AS:$AS,$AT1676,AC:AC)</f>
        <v>53.717980000000054</v>
      </c>
      <c r="AD1676" s="106">
        <f>SUMIF($AS:$AS,$AT1676,AD:AD)</f>
        <v>53.997460000000054</v>
      </c>
      <c r="AE1676" s="106">
        <f>SUMIF($AS:$AS,$AT1676,AE:AE)</f>
        <v>54.278390000000059</v>
      </c>
      <c r="AF1676" s="106">
        <f>SUMIF($AS:$AS,$AT1676,AF:AF)</f>
        <v>54.560780000000058</v>
      </c>
      <c r="AG1676" s="106">
        <f>SUMIF($AS:$AS,$AT1676,AG:AG)</f>
        <v>54.844640000000055</v>
      </c>
      <c r="AH1676" s="106">
        <f>SUMIF($AS:$AS,$AT1676,AH:AH)</f>
        <v>5.8207660913467408E-14</v>
      </c>
      <c r="AI1676" s="106">
        <f>SUMIF($AS:$AS,$AT1676,AI:AI)</f>
        <v>5.8207660913467408E-14</v>
      </c>
      <c r="AJ1676" s="106">
        <f>SUMIF($AS:$AS,$AT1676,AJ:AJ)</f>
        <v>5.8207660913467408E-14</v>
      </c>
      <c r="AK1676" s="106">
        <f>SUMIF($AS:$AS,$AT1676,AK:AK)</f>
        <v>5.8207660913467408E-14</v>
      </c>
      <c r="AL1676" s="106">
        <f>SUMIF($AS:$AS,$AT1676,AL:AL)</f>
        <v>5.8207660913467408E-14</v>
      </c>
      <c r="AM1676" s="106">
        <f>SUMIF($AS:$AS,$AT1676,AM:AM)</f>
        <v>5.8207660913467408E-14</v>
      </c>
      <c r="AN1676" s="106">
        <f>SUMIF($AS:$AS,$AT1676,AN:AN)</f>
        <v>5.8207660913467408E-14</v>
      </c>
      <c r="AO1676" s="106">
        <f>SUMIF($AS:$AS,$AT1676,AO:AO)</f>
        <v>5.8207660913467408E-14</v>
      </c>
      <c r="AP1676" s="264"/>
      <c r="AQ1676" s="264"/>
      <c r="AR1676" s="264"/>
      <c r="AS1676" s="264"/>
      <c r="AT1676" s="248" t="str">
        <f t="shared" si="644"/>
        <v>R10Property Tax Deferral</v>
      </c>
    </row>
    <row r="1677" spans="1:46">
      <c r="A1677" s="283"/>
      <c r="B1677" s="283"/>
      <c r="C1677" s="285" t="s">
        <v>763</v>
      </c>
      <c r="D1677" s="277"/>
      <c r="E1677" s="278"/>
      <c r="F1677" s="278"/>
      <c r="G1677" s="264"/>
      <c r="H1677" s="279"/>
      <c r="I1677" s="280"/>
      <c r="J1677" s="280"/>
      <c r="K1677" s="279"/>
      <c r="L1677" s="215"/>
      <c r="M1677" s="279"/>
      <c r="N1677" s="281"/>
      <c r="O1677" s="281"/>
      <c r="P1677" s="278"/>
      <c r="Q1677" s="282"/>
      <c r="R1677" s="279"/>
      <c r="S1677" s="279"/>
      <c r="T1677" s="279"/>
      <c r="U1677" s="106">
        <f>SUMIF($AS:$AS,$AT1677,U:U)</f>
        <v>-13654.55565</v>
      </c>
      <c r="V1677" s="106">
        <f>SUMIF($AS:$AS,$AT1677,V:V)</f>
        <v>231.48803999999799</v>
      </c>
      <c r="W1677" s="106">
        <f>SUMIF($AS:$AS,$AT1677,W:W)</f>
        <v>0</v>
      </c>
      <c r="X1677" s="106">
        <f>SUMIF($AS:$AS,$AT1677,X:X)</f>
        <v>-13423.067610000002</v>
      </c>
      <c r="Y1677" s="106">
        <f>SUMIF($AS:$AS,$AT1677,Y:Y)</f>
        <v>-13654.55565</v>
      </c>
      <c r="Z1677" s="106">
        <f>SUMIF($AS:$AS,$AT1677,Z:Z)</f>
        <v>231.48804000000001</v>
      </c>
      <c r="AA1677" s="106">
        <f>SUMIF($AS:$AS,$AT1677,AA:AA)</f>
        <v>0</v>
      </c>
      <c r="AB1677" s="106">
        <f>SUMIF($AS:$AS,$AT1677,AB:AB)</f>
        <v>-13423.067610000002</v>
      </c>
      <c r="AC1677" s="106">
        <f>SUMIF($AS:$AS,$AT1677,AC:AC)</f>
        <v>-13423.067610000002</v>
      </c>
      <c r="AD1677" s="106">
        <f>SUMIF($AS:$AS,$AT1677,AD:AD)</f>
        <v>-13423.067610000026</v>
      </c>
      <c r="AE1677" s="106">
        <f>SUMIF($AS:$AS,$AT1677,AE:AE)</f>
        <v>-13423.067610000002</v>
      </c>
      <c r="AF1677" s="106">
        <f>SUMIF($AS:$AS,$AT1677,AF:AF)</f>
        <v>-13423.067610000002</v>
      </c>
      <c r="AG1677" s="106">
        <f>SUMIF($AS:$AS,$AT1677,AG:AG)</f>
        <v>-13423.067610000002</v>
      </c>
      <c r="AH1677" s="106">
        <f>SUMIF($AS:$AS,$AT1677,AH:AH)</f>
        <v>-13423.067610000002</v>
      </c>
      <c r="AI1677" s="106">
        <f>SUMIF($AS:$AS,$AT1677,AI:AI)</f>
        <v>-13423.067610000002</v>
      </c>
      <c r="AJ1677" s="106">
        <f>SUMIF($AS:$AS,$AT1677,AJ:AJ)</f>
        <v>-13423.067610000002</v>
      </c>
      <c r="AK1677" s="106">
        <f>SUMIF($AS:$AS,$AT1677,AK:AK)</f>
        <v>-13423.067610000002</v>
      </c>
      <c r="AL1677" s="106">
        <f>SUMIF($AS:$AS,$AT1677,AL:AL)</f>
        <v>-13423.067610000002</v>
      </c>
      <c r="AM1677" s="106">
        <f>SUMIF($AS:$AS,$AT1677,AM:AM)</f>
        <v>-13423.067610000002</v>
      </c>
      <c r="AN1677" s="106">
        <f>SUMIF($AS:$AS,$AT1677,AN:AN)</f>
        <v>-13423.067610000002</v>
      </c>
      <c r="AO1677" s="106">
        <f>SUMIF($AS:$AS,$AT1677,AO:AO)</f>
        <v>-13423.067610000002</v>
      </c>
      <c r="AP1677" s="264"/>
      <c r="AQ1677" s="264"/>
      <c r="AR1677" s="264"/>
      <c r="AS1677" s="264"/>
      <c r="AT1677" s="248" t="str">
        <f t="shared" si="644"/>
        <v>R10Positive Benefit Adjustment</v>
      </c>
    </row>
    <row r="1678" spans="1:46">
      <c r="A1678" s="283"/>
      <c r="B1678" s="283"/>
      <c r="C1678" s="285" t="s">
        <v>1844</v>
      </c>
      <c r="D1678" s="277"/>
      <c r="E1678" s="278"/>
      <c r="F1678" s="278"/>
      <c r="G1678" s="264"/>
      <c r="H1678" s="279"/>
      <c r="I1678" s="280"/>
      <c r="J1678" s="280"/>
      <c r="K1678" s="279"/>
      <c r="L1678" s="215"/>
      <c r="M1678" s="279"/>
      <c r="N1678" s="281"/>
      <c r="O1678" s="281"/>
      <c r="P1678" s="278"/>
      <c r="Q1678" s="282"/>
      <c r="R1678" s="279"/>
      <c r="S1678" s="279"/>
      <c r="T1678" s="279"/>
      <c r="U1678" s="106">
        <f>SUMIF($AS:$AS,$AT1678,U:U)</f>
        <v>145.21123125</v>
      </c>
      <c r="V1678" s="106">
        <f>SUMIF($AS:$AS,$AT1678,V:V)</f>
        <v>-43.919492083333303</v>
      </c>
      <c r="W1678" s="106">
        <f>SUMIF($AS:$AS,$AT1678,W:W)</f>
        <v>0</v>
      </c>
      <c r="X1678" s="106">
        <f>SUMIF($AS:$AS,$AT1678,X:X)</f>
        <v>101.2917391666667</v>
      </c>
      <c r="Y1678" s="106">
        <f>SUMIF($AS:$AS,$AT1678,Y:Y)</f>
        <v>200.39098999999999</v>
      </c>
      <c r="Z1678" s="106">
        <f>SUMIF($AS:$AS,$AT1678,Z:Z)</f>
        <v>-94.110209999999995</v>
      </c>
      <c r="AA1678" s="106">
        <f>SUMIF($AS:$AS,$AT1678,AA:AA)</f>
        <v>0</v>
      </c>
      <c r="AB1678" s="106">
        <f>SUMIF($AS:$AS,$AT1678,AB:AB)</f>
        <v>106.28077999999995</v>
      </c>
      <c r="AC1678" s="106">
        <f>SUMIF($AS:$AS,$AT1678,AC:AC)</f>
        <v>0</v>
      </c>
      <c r="AD1678" s="106">
        <f>SUMIF($AS:$AS,$AT1678,AD:AD)</f>
        <v>0</v>
      </c>
      <c r="AE1678" s="106">
        <f>SUMIF($AS:$AS,$AT1678,AE:AE)</f>
        <v>0</v>
      </c>
      <c r="AF1678" s="106">
        <f>SUMIF($AS:$AS,$AT1678,AF:AF)</f>
        <v>0</v>
      </c>
      <c r="AG1678" s="106">
        <f>SUMIF($AS:$AS,$AT1678,AG:AG)</f>
        <v>0</v>
      </c>
      <c r="AH1678" s="106">
        <f>SUMIF($AS:$AS,$AT1678,AH:AH)</f>
        <v>0</v>
      </c>
      <c r="AI1678" s="106">
        <f>SUMIF($AS:$AS,$AT1678,AI:AI)</f>
        <v>0</v>
      </c>
      <c r="AJ1678" s="106">
        <f>SUMIF($AS:$AS,$AT1678,AJ:AJ)</f>
        <v>327.27519000000001</v>
      </c>
      <c r="AK1678" s="106">
        <f>SUMIF($AS:$AS,$AT1678,AK:AK)</f>
        <v>262.78480999999999</v>
      </c>
      <c r="AL1678" s="106">
        <f>SUMIF($AS:$AS,$AT1678,AL:AL)</f>
        <v>241.53901999999997</v>
      </c>
      <c r="AM1678" s="106">
        <f>SUMIF($AS:$AS,$AT1678,AM:AM)</f>
        <v>186.64313999999996</v>
      </c>
      <c r="AN1678" s="106">
        <f>SUMIF($AS:$AS,$AT1678,AN:AN)</f>
        <v>144.11831999999993</v>
      </c>
      <c r="AO1678" s="106">
        <f>SUMIF($AS:$AS,$AT1678,AO:AO)</f>
        <v>106.28077999999995</v>
      </c>
      <c r="AP1678" s="264"/>
      <c r="AQ1678" s="264"/>
      <c r="AR1678" s="264"/>
      <c r="AS1678" s="264"/>
      <c r="AT1678" s="248" t="str">
        <f t="shared" si="644"/>
        <v>R10PSC Assessment</v>
      </c>
    </row>
    <row r="1679" spans="1:46">
      <c r="A1679" s="283"/>
      <c r="B1679" s="283"/>
      <c r="C1679" s="285" t="s">
        <v>2858</v>
      </c>
      <c r="D1679" s="277"/>
      <c r="E1679" s="278"/>
      <c r="F1679" s="278"/>
      <c r="G1679" s="264"/>
      <c r="H1679" s="279"/>
      <c r="I1679" s="280"/>
      <c r="J1679" s="280"/>
      <c r="K1679" s="279"/>
      <c r="L1679" s="215"/>
      <c r="M1679" s="279"/>
      <c r="N1679" s="281"/>
      <c r="O1679" s="281"/>
      <c r="P1679" s="278"/>
      <c r="Q1679" s="282"/>
      <c r="R1679" s="279"/>
      <c r="S1679" s="279"/>
      <c r="T1679" s="279"/>
      <c r="U1679" s="106">
        <f>SUMIF($AS:$AS,$AT1679,U:U)</f>
        <v>-810.62223625000047</v>
      </c>
      <c r="V1679" s="106">
        <f>SUMIF($AS:$AS,$AT1679,V:V)</f>
        <v>-106.27664208333371</v>
      </c>
      <c r="W1679" s="106">
        <f>SUMIF($AS:$AS,$AT1679,W:W)</f>
        <v>0</v>
      </c>
      <c r="X1679" s="106">
        <f>SUMIF($AS:$AS,$AT1679,X:X)</f>
        <v>-916.8988783333341</v>
      </c>
      <c r="Y1679" s="106">
        <f>SUMIF($AS:$AS,$AT1679,Y:Y)</f>
        <v>-730.8918900000001</v>
      </c>
      <c r="Z1679" s="106">
        <f>SUMIF($AS:$AS,$AT1679,Z:Z)</f>
        <v>-41.620049999999999</v>
      </c>
      <c r="AA1679" s="106">
        <f>SUMIF($AS:$AS,$AT1679,AA:AA)</f>
        <v>0</v>
      </c>
      <c r="AB1679" s="106">
        <f>SUMIF($AS:$AS,$AT1679,AB:AB)</f>
        <v>-772.5119400000001</v>
      </c>
      <c r="AC1679" s="106">
        <f>SUMIF($AS:$AS,$AT1679,AC:AC)</f>
        <v>-219.9618199999999</v>
      </c>
      <c r="AD1679" s="106">
        <f>SUMIF($AS:$AS,$AT1679,AD:AD)</f>
        <v>-431.74768999999998</v>
      </c>
      <c r="AE1679" s="106">
        <f>SUMIF($AS:$AS,$AT1679,AE:AE)</f>
        <v>-660.45910000000003</v>
      </c>
      <c r="AF1679" s="106">
        <f>SUMIF($AS:$AS,$AT1679,AF:AF)</f>
        <v>-957.46021000000007</v>
      </c>
      <c r="AG1679" s="106">
        <f>SUMIF($AS:$AS,$AT1679,AG:AG)</f>
        <v>-1036.0626700000003</v>
      </c>
      <c r="AH1679" s="106">
        <f>SUMIF($AS:$AS,$AT1679,AH:AH)</f>
        <v>-1083.0438900000001</v>
      </c>
      <c r="AI1679" s="106">
        <f>SUMIF($AS:$AS,$AT1679,AI:AI)</f>
        <v>-1107.7432700000002</v>
      </c>
      <c r="AJ1679" s="106">
        <f>SUMIF($AS:$AS,$AT1679,AJ:AJ)</f>
        <v>-1155.86815</v>
      </c>
      <c r="AK1679" s="106">
        <f>SUMIF($AS:$AS,$AT1679,AK:AK)</f>
        <v>-1189.0439999999999</v>
      </c>
      <c r="AL1679" s="106">
        <f>SUMIF($AS:$AS,$AT1679,AL:AL)</f>
        <v>-1086.8017199999999</v>
      </c>
      <c r="AM1679" s="106">
        <f>SUMIF($AS:$AS,$AT1679,AM:AM)</f>
        <v>-971.29383000000007</v>
      </c>
      <c r="AN1679" s="106">
        <f>SUMIF($AS:$AS,$AT1679,AN:AN)</f>
        <v>-827.02512999999988</v>
      </c>
      <c r="AO1679" s="106">
        <f>SUMIF($AS:$AS,$AT1679,AO:AO)</f>
        <v>-772.5119400000001</v>
      </c>
      <c r="AP1679" s="264"/>
      <c r="AQ1679" s="264"/>
      <c r="AR1679" s="264"/>
      <c r="AS1679" s="264"/>
      <c r="AT1679" s="248" t="str">
        <f t="shared" si="644"/>
        <v>R10Purchase of Receivables</v>
      </c>
    </row>
    <row r="1680" spans="1:46">
      <c r="A1680" s="283"/>
      <c r="B1680" s="283"/>
      <c r="C1680" s="285" t="s">
        <v>2219</v>
      </c>
      <c r="D1680" s="277"/>
      <c r="E1680" s="278"/>
      <c r="F1680" s="278"/>
      <c r="G1680" s="264"/>
      <c r="H1680" s="279"/>
      <c r="I1680" s="280"/>
      <c r="J1680" s="280"/>
      <c r="K1680" s="279"/>
      <c r="L1680" s="215"/>
      <c r="M1680" s="279"/>
      <c r="N1680" s="281"/>
      <c r="O1680" s="281"/>
      <c r="P1680" s="278"/>
      <c r="Q1680" s="282"/>
      <c r="R1680" s="279"/>
      <c r="S1680" s="279"/>
      <c r="T1680" s="279"/>
      <c r="U1680" s="106">
        <f>SUMIF($AS:$AS,$AT1680,U:U)</f>
        <v>0</v>
      </c>
      <c r="V1680" s="106">
        <f>SUMIF($AS:$AS,$AT1680,V:V)</f>
        <v>0</v>
      </c>
      <c r="W1680" s="106">
        <f>SUMIF($AS:$AS,$AT1680,W:W)</f>
        <v>0</v>
      </c>
      <c r="X1680" s="106">
        <f>SUMIF($AS:$AS,$AT1680,X:X)</f>
        <v>0</v>
      </c>
      <c r="Y1680" s="106">
        <f>SUMIF($AS:$AS,$AT1680,Y:Y)</f>
        <v>0</v>
      </c>
      <c r="Z1680" s="106">
        <f>SUMIF($AS:$AS,$AT1680,Z:Z)</f>
        <v>0</v>
      </c>
      <c r="AA1680" s="106">
        <f>SUMIF($AS:$AS,$AT1680,AA:AA)</f>
        <v>0</v>
      </c>
      <c r="AB1680" s="106">
        <f>SUMIF($AS:$AS,$AT1680,AB:AB)</f>
        <v>0</v>
      </c>
      <c r="AC1680" s="106">
        <f>SUMIF($AS:$AS,$AT1680,AC:AC)</f>
        <v>0</v>
      </c>
      <c r="AD1680" s="106">
        <f>SUMIF($AS:$AS,$AT1680,AD:AD)</f>
        <v>0</v>
      </c>
      <c r="AE1680" s="106">
        <f>SUMIF($AS:$AS,$AT1680,AE:AE)</f>
        <v>0</v>
      </c>
      <c r="AF1680" s="106">
        <f>SUMIF($AS:$AS,$AT1680,AF:AF)</f>
        <v>0</v>
      </c>
      <c r="AG1680" s="106">
        <f>SUMIF($AS:$AS,$AT1680,AG:AG)</f>
        <v>0</v>
      </c>
      <c r="AH1680" s="106">
        <f>SUMIF($AS:$AS,$AT1680,AH:AH)</f>
        <v>0</v>
      </c>
      <c r="AI1680" s="106">
        <f>SUMIF($AS:$AS,$AT1680,AI:AI)</f>
        <v>0</v>
      </c>
      <c r="AJ1680" s="106">
        <f>SUMIF($AS:$AS,$AT1680,AJ:AJ)</f>
        <v>0</v>
      </c>
      <c r="AK1680" s="106">
        <f>SUMIF($AS:$AS,$AT1680,AK:AK)</f>
        <v>0</v>
      </c>
      <c r="AL1680" s="106">
        <f>SUMIF($AS:$AS,$AT1680,AL:AL)</f>
        <v>0</v>
      </c>
      <c r="AM1680" s="106">
        <f>SUMIF($AS:$AS,$AT1680,AM:AM)</f>
        <v>0</v>
      </c>
      <c r="AN1680" s="106">
        <f>SUMIF($AS:$AS,$AT1680,AN:AN)</f>
        <v>0</v>
      </c>
      <c r="AO1680" s="106">
        <f>SUMIF($AS:$AS,$AT1680,AO:AO)</f>
        <v>0</v>
      </c>
      <c r="AP1680" s="264"/>
      <c r="AQ1680" s="264"/>
      <c r="AR1680" s="264"/>
      <c r="AS1680" s="264"/>
      <c r="AT1680" s="248" t="str">
        <f t="shared" si="644"/>
        <v>R10Research &amp; Development</v>
      </c>
    </row>
    <row r="1681" spans="1:46">
      <c r="A1681" s="283"/>
      <c r="B1681" s="283"/>
      <c r="C1681" s="285" t="s">
        <v>3032</v>
      </c>
      <c r="D1681" s="277"/>
      <c r="E1681" s="278"/>
      <c r="F1681" s="278"/>
      <c r="G1681" s="264"/>
      <c r="H1681" s="279"/>
      <c r="I1681" s="280"/>
      <c r="J1681" s="280"/>
      <c r="K1681" s="279"/>
      <c r="L1681" s="215"/>
      <c r="M1681" s="279"/>
      <c r="N1681" s="281"/>
      <c r="O1681" s="281"/>
      <c r="P1681" s="278"/>
      <c r="Q1681" s="282"/>
      <c r="R1681" s="279"/>
      <c r="S1681" s="279"/>
      <c r="T1681" s="279"/>
      <c r="U1681" s="106">
        <f>SUMIF($AS:$AS,$AT1681,U:U)</f>
        <v>0</v>
      </c>
      <c r="V1681" s="106">
        <f>SUMIF($AS:$AS,$AT1681,V:V)</f>
        <v>182.37376999999998</v>
      </c>
      <c r="W1681" s="106">
        <f>SUMIF($AS:$AS,$AT1681,W:W)</f>
        <v>0</v>
      </c>
      <c r="X1681" s="106">
        <f>SUMIF($AS:$AS,$AT1681,X:X)</f>
        <v>182.37376999999998</v>
      </c>
      <c r="Y1681" s="106">
        <f>SUMIF($AS:$AS,$AT1681,Y:Y)</f>
        <v>0</v>
      </c>
      <c r="Z1681" s="106">
        <f>SUMIF($AS:$AS,$AT1681,Z:Z)</f>
        <v>182.37377000000001</v>
      </c>
      <c r="AA1681" s="106">
        <f>SUMIF($AS:$AS,$AT1681,AA:AA)</f>
        <v>0</v>
      </c>
      <c r="AB1681" s="106">
        <f>SUMIF($AS:$AS,$AT1681,AB:AB)</f>
        <v>182.37376999999998</v>
      </c>
      <c r="AC1681" s="106">
        <f>SUMIF($AS:$AS,$AT1681,AC:AC)</f>
        <v>182.37376999999992</v>
      </c>
      <c r="AD1681" s="106">
        <f>SUMIF($AS:$AS,$AT1681,AD:AD)</f>
        <v>182.37376999999992</v>
      </c>
      <c r="AE1681" s="106">
        <f>SUMIF($AS:$AS,$AT1681,AE:AE)</f>
        <v>182.37376999999992</v>
      </c>
      <c r="AF1681" s="106">
        <f>SUMIF($AS:$AS,$AT1681,AF:AF)</f>
        <v>182.37376999999992</v>
      </c>
      <c r="AG1681" s="106">
        <f>SUMIF($AS:$AS,$AT1681,AG:AG)</f>
        <v>182.37376999999998</v>
      </c>
      <c r="AH1681" s="106">
        <f>SUMIF($AS:$AS,$AT1681,AH:AH)</f>
        <v>182.37376999999998</v>
      </c>
      <c r="AI1681" s="106">
        <f>SUMIF($AS:$AS,$AT1681,AI:AI)</f>
        <v>182.37376999999998</v>
      </c>
      <c r="AJ1681" s="106">
        <f>SUMIF($AS:$AS,$AT1681,AJ:AJ)</f>
        <v>182.37376999999998</v>
      </c>
      <c r="AK1681" s="106">
        <f>SUMIF($AS:$AS,$AT1681,AK:AK)</f>
        <v>182.37376999999998</v>
      </c>
      <c r="AL1681" s="106">
        <f>SUMIF($AS:$AS,$AT1681,AL:AL)</f>
        <v>182.37376999999998</v>
      </c>
      <c r="AM1681" s="106">
        <f>SUMIF($AS:$AS,$AT1681,AM:AM)</f>
        <v>182.37376999999998</v>
      </c>
      <c r="AN1681" s="106">
        <f>SUMIF($AS:$AS,$AT1681,AN:AN)</f>
        <v>182.37376999999998</v>
      </c>
      <c r="AO1681" s="106">
        <f>SUMIF($AS:$AS,$AT1681,AO:AO)</f>
        <v>182.37376999999998</v>
      </c>
      <c r="AP1681" s="264"/>
      <c r="AQ1681" s="264"/>
      <c r="AR1681" s="264"/>
      <c r="AS1681" s="264"/>
      <c r="AT1681" s="248" t="str">
        <f t="shared" si="644"/>
        <v>R10Sarbanes-Oxley</v>
      </c>
    </row>
    <row r="1682" spans="1:46">
      <c r="A1682" s="283"/>
      <c r="B1682" s="283"/>
      <c r="C1682" s="285" t="s">
        <v>2714</v>
      </c>
      <c r="D1682" s="277"/>
      <c r="E1682" s="278"/>
      <c r="F1682" s="278"/>
      <c r="G1682" s="264"/>
      <c r="H1682" s="279"/>
      <c r="I1682" s="280"/>
      <c r="J1682" s="280"/>
      <c r="K1682" s="279"/>
      <c r="L1682" s="215"/>
      <c r="M1682" s="279"/>
      <c r="N1682" s="281"/>
      <c r="O1682" s="281"/>
      <c r="P1682" s="278"/>
      <c r="Q1682" s="282"/>
      <c r="R1682" s="279"/>
      <c r="S1682" s="279"/>
      <c r="T1682" s="279"/>
      <c r="U1682" s="106">
        <f>SUMIF($AS:$AS,$AT1682,U:U)</f>
        <v>0</v>
      </c>
      <c r="V1682" s="106">
        <f>SUMIF($AS:$AS,$AT1682,V:V)</f>
        <v>-212.16536000000093</v>
      </c>
      <c r="W1682" s="106">
        <f>SUMIF($AS:$AS,$AT1682,W:W)</f>
        <v>0</v>
      </c>
      <c r="X1682" s="106">
        <f>SUMIF($AS:$AS,$AT1682,X:X)</f>
        <v>-212.16536000000093</v>
      </c>
      <c r="Y1682" s="106">
        <f>SUMIF($AS:$AS,$AT1682,Y:Y)</f>
        <v>0</v>
      </c>
      <c r="Z1682" s="106">
        <f>SUMIF($AS:$AS,$AT1682,Z:Z)</f>
        <v>-212.16536000000093</v>
      </c>
      <c r="AA1682" s="106">
        <f>SUMIF($AS:$AS,$AT1682,AA:AA)</f>
        <v>0</v>
      </c>
      <c r="AB1682" s="106">
        <f>SUMIF($AS:$AS,$AT1682,AB:AB)</f>
        <v>-212.16536000000087</v>
      </c>
      <c r="AC1682" s="106">
        <f>SUMIF($AS:$AS,$AT1682,AC:AC)</f>
        <v>-212.16536000000087</v>
      </c>
      <c r="AD1682" s="106">
        <f>SUMIF($AS:$AS,$AT1682,AD:AD)</f>
        <v>-212.16536000000087</v>
      </c>
      <c r="AE1682" s="106">
        <f>SUMIF($AS:$AS,$AT1682,AE:AE)</f>
        <v>-212.16536000000087</v>
      </c>
      <c r="AF1682" s="106">
        <f>SUMIF($AS:$AS,$AT1682,AF:AF)</f>
        <v>-212.16536000000087</v>
      </c>
      <c r="AG1682" s="106">
        <f>SUMIF($AS:$AS,$AT1682,AG:AG)</f>
        <v>-212.16536000000087</v>
      </c>
      <c r="AH1682" s="106">
        <f>SUMIF($AS:$AS,$AT1682,AH:AH)</f>
        <v>-212.16536000000087</v>
      </c>
      <c r="AI1682" s="106">
        <f>SUMIF($AS:$AS,$AT1682,AI:AI)</f>
        <v>-212.16536000000087</v>
      </c>
      <c r="AJ1682" s="106">
        <f>SUMIF($AS:$AS,$AT1682,AJ:AJ)</f>
        <v>-212.16536000000087</v>
      </c>
      <c r="AK1682" s="106">
        <f>SUMIF($AS:$AS,$AT1682,AK:AK)</f>
        <v>-212.16536000000087</v>
      </c>
      <c r="AL1682" s="106">
        <f>SUMIF($AS:$AS,$AT1682,AL:AL)</f>
        <v>-212.16536000000087</v>
      </c>
      <c r="AM1682" s="106">
        <f>SUMIF($AS:$AS,$AT1682,AM:AM)</f>
        <v>-212.16536000000087</v>
      </c>
      <c r="AN1682" s="106">
        <f>SUMIF($AS:$AS,$AT1682,AN:AN)</f>
        <v>-212.16536000000087</v>
      </c>
      <c r="AO1682" s="106">
        <f>SUMIF($AS:$AS,$AT1682,AO:AO)</f>
        <v>-212.16536000000087</v>
      </c>
      <c r="AP1682" s="264"/>
      <c r="AQ1682" s="264"/>
      <c r="AR1682" s="264"/>
      <c r="AS1682" s="264"/>
      <c r="AT1682" s="248" t="str">
        <f t="shared" si="644"/>
        <v>R10Seneca Storage</v>
      </c>
    </row>
    <row r="1683" spans="1:46">
      <c r="A1683" s="283"/>
      <c r="B1683" s="283"/>
      <c r="C1683" s="285" t="s">
        <v>1943</v>
      </c>
      <c r="D1683" s="277"/>
      <c r="E1683" s="278"/>
      <c r="F1683" s="278"/>
      <c r="G1683" s="264"/>
      <c r="H1683" s="279"/>
      <c r="I1683" s="280"/>
      <c r="J1683" s="280"/>
      <c r="K1683" s="279"/>
      <c r="L1683" s="215"/>
      <c r="M1683" s="279"/>
      <c r="N1683" s="281"/>
      <c r="O1683" s="281"/>
      <c r="P1683" s="278"/>
      <c r="Q1683" s="282"/>
      <c r="R1683" s="279"/>
      <c r="S1683" s="279"/>
      <c r="T1683" s="279"/>
      <c r="U1683" s="106">
        <f>SUMIF($AS:$AS,$AT1683,U:U)</f>
        <v>1.1E-14</v>
      </c>
      <c r="V1683" s="106">
        <f>SUMIF($AS:$AS,$AT1683,V:V)</f>
        <v>-4.0000000000000003E-15</v>
      </c>
      <c r="W1683" s="106">
        <f>SUMIF($AS:$AS,$AT1683,W:W)</f>
        <v>0</v>
      </c>
      <c r="X1683" s="106">
        <f>SUMIF($AS:$AS,$AT1683,X:X)</f>
        <v>7.0000000000000001E-15</v>
      </c>
      <c r="Y1683" s="106">
        <f>SUMIF($AS:$AS,$AT1683,Y:Y)</f>
        <v>0</v>
      </c>
      <c r="Z1683" s="106">
        <f>SUMIF($AS:$AS,$AT1683,Z:Z)</f>
        <v>0</v>
      </c>
      <c r="AA1683" s="106">
        <f>SUMIF($AS:$AS,$AT1683,AA:AA)</f>
        <v>0</v>
      </c>
      <c r="AB1683" s="106">
        <f>SUMIF($AS:$AS,$AT1683,AB:AB)</f>
        <v>0</v>
      </c>
      <c r="AC1683" s="106">
        <f>SUMIF($AS:$AS,$AT1683,AC:AC)</f>
        <v>-5.9153536235978513E-14</v>
      </c>
      <c r="AD1683" s="106">
        <f>SUMIF($AS:$AS,$AT1683,AD:AD)</f>
        <v>3.7252902151951871E-14</v>
      </c>
      <c r="AE1683" s="106">
        <f>SUMIF($AS:$AS,$AT1683,AE:AE)</f>
        <v>3.7252902151951871E-14</v>
      </c>
      <c r="AF1683" s="106">
        <f>SUMIF($AS:$AS,$AT1683,AF:AF)</f>
        <v>3.7252902151951871E-14</v>
      </c>
      <c r="AG1683" s="106">
        <f>SUMIF($AS:$AS,$AT1683,AG:AG)</f>
        <v>0</v>
      </c>
      <c r="AH1683" s="106">
        <f>SUMIF($AS:$AS,$AT1683,AH:AH)</f>
        <v>0</v>
      </c>
      <c r="AI1683" s="106">
        <f>SUMIF($AS:$AS,$AT1683,AI:AI)</f>
        <v>0</v>
      </c>
      <c r="AJ1683" s="106">
        <f>SUMIF($AS:$AS,$AT1683,AJ:AJ)</f>
        <v>0</v>
      </c>
      <c r="AK1683" s="106">
        <f>SUMIF($AS:$AS,$AT1683,AK:AK)</f>
        <v>0</v>
      </c>
      <c r="AL1683" s="106">
        <f>SUMIF($AS:$AS,$AT1683,AL:AL)</f>
        <v>0</v>
      </c>
      <c r="AM1683" s="106">
        <f>SUMIF($AS:$AS,$AT1683,AM:AM)</f>
        <v>0</v>
      </c>
      <c r="AN1683" s="106">
        <f>SUMIF($AS:$AS,$AT1683,AN:AN)</f>
        <v>0</v>
      </c>
      <c r="AO1683" s="106">
        <f>SUMIF($AS:$AS,$AT1683,AO:AO)</f>
        <v>0</v>
      </c>
      <c r="AP1683" s="264"/>
      <c r="AQ1683" s="264"/>
      <c r="AR1683" s="264"/>
      <c r="AS1683" s="264"/>
      <c r="AT1683" s="248" t="str">
        <f t="shared" si="644"/>
        <v>R10Service Quality Performance Program</v>
      </c>
    </row>
    <row r="1684" spans="1:46">
      <c r="A1684" s="283"/>
      <c r="B1684" s="283"/>
      <c r="C1684" s="285" t="s">
        <v>1488</v>
      </c>
      <c r="D1684" s="277"/>
      <c r="E1684" s="278"/>
      <c r="F1684" s="278"/>
      <c r="G1684" s="264"/>
      <c r="H1684" s="279"/>
      <c r="I1684" s="280"/>
      <c r="J1684" s="280"/>
      <c r="K1684" s="279"/>
      <c r="L1684" s="215"/>
      <c r="M1684" s="279"/>
      <c r="N1684" s="281"/>
      <c r="O1684" s="281"/>
      <c r="P1684" s="278"/>
      <c r="Q1684" s="282"/>
      <c r="R1684" s="279"/>
      <c r="S1684" s="279"/>
      <c r="T1684" s="279"/>
      <c r="U1684" s="106">
        <f>SUMIF($AS:$AS,$AT1684,U:U)</f>
        <v>-3877.1192226834701</v>
      </c>
      <c r="V1684" s="106">
        <f>SUMIF($AS:$AS,$AT1684,V:V)</f>
        <v>-1018.44679231653</v>
      </c>
      <c r="W1684" s="106">
        <f>SUMIF($AS:$AS,$AT1684,W:W)</f>
        <v>0</v>
      </c>
      <c r="X1684" s="106">
        <f>SUMIF($AS:$AS,$AT1684,X:X)</f>
        <v>-4895.5660150000003</v>
      </c>
      <c r="Y1684" s="106">
        <f>SUMIF($AS:$AS,$AT1684,Y:Y)</f>
        <v>-3936.0683683348998</v>
      </c>
      <c r="Z1684" s="106">
        <f>SUMIF($AS:$AS,$AT1684,Z:Z)</f>
        <v>-1033.9316316651</v>
      </c>
      <c r="AA1684" s="106">
        <f>SUMIF($AS:$AS,$AT1684,AA:AA)</f>
        <v>0</v>
      </c>
      <c r="AB1684" s="106">
        <f>SUMIF($AS:$AS,$AT1684,AB:AB)</f>
        <v>-4970</v>
      </c>
      <c r="AC1684" s="106">
        <f>SUMIF($AS:$AS,$AT1684,AC:AC)</f>
        <v>-5028.3</v>
      </c>
      <c r="AD1684" s="106">
        <f>SUMIF($AS:$AS,$AT1684,AD:AD)</f>
        <v>-5040.6757500000003</v>
      </c>
      <c r="AE1684" s="106">
        <f>SUMIF($AS:$AS,$AT1684,AE:AE)</f>
        <v>-5013.2493700000005</v>
      </c>
      <c r="AF1684" s="106">
        <f>SUMIF($AS:$AS,$AT1684,AF:AF)</f>
        <v>-4935.8433299999997</v>
      </c>
      <c r="AG1684" s="106">
        <f>SUMIF($AS:$AS,$AT1684,AG:AG)</f>
        <v>-4947.2947699999995</v>
      </c>
      <c r="AH1684" s="106">
        <f>SUMIF($AS:$AS,$AT1684,AH:AH)</f>
        <v>-4885.9335700000001</v>
      </c>
      <c r="AI1684" s="106">
        <f>SUMIF($AS:$AS,$AT1684,AI:AI)</f>
        <v>-4897.4995999999992</v>
      </c>
      <c r="AJ1684" s="106">
        <f>SUMIF($AS:$AS,$AT1684,AJ:AJ)</f>
        <v>-4836.9499800000003</v>
      </c>
      <c r="AK1684" s="106">
        <f>SUMIF($AS:$AS,$AT1684,AK:AK)</f>
        <v>-4849.5152099999996</v>
      </c>
      <c r="AL1684" s="106">
        <f>SUMIF($AS:$AS,$AT1684,AL:AL)</f>
        <v>-4791.1197400000001</v>
      </c>
      <c r="AM1684" s="106">
        <f>SUMIF($AS:$AS,$AT1684,AM:AM)</f>
        <v>-4802.7583399999994</v>
      </c>
      <c r="AN1684" s="106">
        <f>SUMIF($AS:$AS,$AT1684,AN:AN)</f>
        <v>-4746.8025199999993</v>
      </c>
      <c r="AO1684" s="106">
        <f>SUMIF($AS:$AS,$AT1684,AO:AO)</f>
        <v>-4970</v>
      </c>
      <c r="AP1684" s="264"/>
      <c r="AQ1684" s="264"/>
      <c r="AR1684" s="264"/>
      <c r="AS1684" s="264"/>
      <c r="AT1684" s="248" t="str">
        <f t="shared" si="644"/>
        <v>R10SFAS-112</v>
      </c>
    </row>
    <row r="1685" spans="1:46">
      <c r="A1685" s="283"/>
      <c r="B1685" s="283"/>
      <c r="C1685" s="285" t="s">
        <v>2857</v>
      </c>
      <c r="D1685" s="277"/>
      <c r="E1685" s="278"/>
      <c r="F1685" s="278"/>
      <c r="G1685" s="264"/>
      <c r="H1685" s="279"/>
      <c r="I1685" s="280"/>
      <c r="J1685" s="280"/>
      <c r="K1685" s="279"/>
      <c r="L1685" s="215"/>
      <c r="M1685" s="279"/>
      <c r="N1685" s="281"/>
      <c r="O1685" s="281"/>
      <c r="P1685" s="278"/>
      <c r="Q1685" s="282"/>
      <c r="R1685" s="279"/>
      <c r="S1685" s="279"/>
      <c r="T1685" s="279"/>
      <c r="U1685" s="106">
        <f>SUMIF($AS:$AS,$AT1685,U:U)</f>
        <v>32.084780000004898</v>
      </c>
      <c r="V1685" s="106">
        <f>SUMIF($AS:$AS,$AT1685,V:V)</f>
        <v>0</v>
      </c>
      <c r="W1685" s="106">
        <f>SUMIF($AS:$AS,$AT1685,W:W)</f>
        <v>0</v>
      </c>
      <c r="X1685" s="106">
        <f>SUMIF($AS:$AS,$AT1685,X:X)</f>
        <v>32.084780000004898</v>
      </c>
      <c r="Y1685" s="106">
        <f>SUMIF($AS:$AS,$AT1685,Y:Y)</f>
        <v>32.084780000004898</v>
      </c>
      <c r="Z1685" s="106">
        <f>SUMIF($AS:$AS,$AT1685,Z:Z)</f>
        <v>0</v>
      </c>
      <c r="AA1685" s="106">
        <f>SUMIF($AS:$AS,$AT1685,AA:AA)</f>
        <v>0</v>
      </c>
      <c r="AB1685" s="106">
        <f>SUMIF($AS:$AS,$AT1685,AB:AB)</f>
        <v>32.084780000004919</v>
      </c>
      <c r="AC1685" s="106">
        <f>SUMIF($AS:$AS,$AT1685,AC:AC)</f>
        <v>32.084780000004919</v>
      </c>
      <c r="AD1685" s="106">
        <f>SUMIF($AS:$AS,$AT1685,AD:AD)</f>
        <v>32.084780000004919</v>
      </c>
      <c r="AE1685" s="106">
        <f>SUMIF($AS:$AS,$AT1685,AE:AE)</f>
        <v>32.084780000004919</v>
      </c>
      <c r="AF1685" s="106">
        <f>SUMIF($AS:$AS,$AT1685,AF:AF)</f>
        <v>32.084780000004919</v>
      </c>
      <c r="AG1685" s="106">
        <f>SUMIF($AS:$AS,$AT1685,AG:AG)</f>
        <v>32.084780000004919</v>
      </c>
      <c r="AH1685" s="106">
        <f>SUMIF($AS:$AS,$AT1685,AH:AH)</f>
        <v>32.084780000004919</v>
      </c>
      <c r="AI1685" s="106">
        <f>SUMIF($AS:$AS,$AT1685,AI:AI)</f>
        <v>32.084780000004919</v>
      </c>
      <c r="AJ1685" s="106">
        <f>SUMIF($AS:$AS,$AT1685,AJ:AJ)</f>
        <v>32.084780000004919</v>
      </c>
      <c r="AK1685" s="106">
        <f>SUMIF($AS:$AS,$AT1685,AK:AK)</f>
        <v>32.084780000004919</v>
      </c>
      <c r="AL1685" s="106">
        <f>SUMIF($AS:$AS,$AT1685,AL:AL)</f>
        <v>32.084780000004919</v>
      </c>
      <c r="AM1685" s="106">
        <f>SUMIF($AS:$AS,$AT1685,AM:AM)</f>
        <v>32.084780000004919</v>
      </c>
      <c r="AN1685" s="106">
        <f>SUMIF($AS:$AS,$AT1685,AN:AN)</f>
        <v>32.084780000004919</v>
      </c>
      <c r="AO1685" s="106">
        <f>SUMIF($AS:$AS,$AT1685,AO:AO)</f>
        <v>32.084780000004919</v>
      </c>
      <c r="AP1685" s="264"/>
      <c r="AQ1685" s="264"/>
      <c r="AR1685" s="264"/>
      <c r="AS1685" s="264"/>
      <c r="AT1685" s="248" t="str">
        <f t="shared" si="644"/>
        <v>R10Stray Voltage</v>
      </c>
    </row>
    <row r="1686" spans="1:46">
      <c r="A1686" s="283"/>
      <c r="B1686" s="283"/>
      <c r="C1686" s="285" t="s">
        <v>1217</v>
      </c>
      <c r="D1686" s="277"/>
      <c r="E1686" s="278"/>
      <c r="F1686" s="278"/>
      <c r="G1686" s="264"/>
      <c r="H1686" s="279"/>
      <c r="I1686" s="280"/>
      <c r="J1686" s="280"/>
      <c r="K1686" s="279"/>
      <c r="L1686" s="215"/>
      <c r="M1686" s="279"/>
      <c r="N1686" s="281"/>
      <c r="O1686" s="281"/>
      <c r="P1686" s="278"/>
      <c r="Q1686" s="282"/>
      <c r="R1686" s="279"/>
      <c r="S1686" s="279"/>
      <c r="T1686" s="279"/>
      <c r="U1686" s="106">
        <f>SUMIF($AS:$AS,$AT1686,U:U)</f>
        <v>-5401.1113086211699</v>
      </c>
      <c r="V1686" s="106">
        <f>SUMIF($AS:$AS,$AT1686,V:V)</f>
        <v>-1698.8886913788399</v>
      </c>
      <c r="W1686" s="106">
        <f>SUMIF($AS:$AS,$AT1686,W:W)</f>
        <v>0</v>
      </c>
      <c r="X1686" s="106">
        <f>SUMIF($AS:$AS,$AT1686,X:X)</f>
        <v>-7100</v>
      </c>
      <c r="Y1686" s="106">
        <f>SUMIF($AS:$AS,$AT1686,Y:Y)</f>
        <v>-5401.1113086211699</v>
      </c>
      <c r="Z1686" s="106">
        <f>SUMIF($AS:$AS,$AT1686,Z:Z)</f>
        <v>-1698.8886913788399</v>
      </c>
      <c r="AA1686" s="106">
        <f>SUMIF($AS:$AS,$AT1686,AA:AA)</f>
        <v>0</v>
      </c>
      <c r="AB1686" s="106">
        <f>SUMIF($AS:$AS,$AT1686,AB:AB)</f>
        <v>-7100</v>
      </c>
      <c r="AC1686" s="106">
        <f>SUMIF($AS:$AS,$AT1686,AC:AC)</f>
        <v>-7100</v>
      </c>
      <c r="AD1686" s="106">
        <f>SUMIF($AS:$AS,$AT1686,AD:AD)</f>
        <v>-7100</v>
      </c>
      <c r="AE1686" s="106">
        <f>SUMIF($AS:$AS,$AT1686,AE:AE)</f>
        <v>-7100</v>
      </c>
      <c r="AF1686" s="106">
        <f>SUMIF($AS:$AS,$AT1686,AF:AF)</f>
        <v>-7100</v>
      </c>
      <c r="AG1686" s="106">
        <f>SUMIF($AS:$AS,$AT1686,AG:AG)</f>
        <v>-7100</v>
      </c>
      <c r="AH1686" s="106">
        <f>SUMIF($AS:$AS,$AT1686,AH:AH)</f>
        <v>-7100</v>
      </c>
      <c r="AI1686" s="106">
        <f>SUMIF($AS:$AS,$AT1686,AI:AI)</f>
        <v>-7100</v>
      </c>
      <c r="AJ1686" s="106">
        <f>SUMIF($AS:$AS,$AT1686,AJ:AJ)</f>
        <v>-7100</v>
      </c>
      <c r="AK1686" s="106">
        <f>SUMIF($AS:$AS,$AT1686,AK:AK)</f>
        <v>-7100</v>
      </c>
      <c r="AL1686" s="106">
        <f>SUMIF($AS:$AS,$AT1686,AL:AL)</f>
        <v>-7100</v>
      </c>
      <c r="AM1686" s="106">
        <f>SUMIF($AS:$AS,$AT1686,AM:AM)</f>
        <v>-7100</v>
      </c>
      <c r="AN1686" s="106">
        <f>SUMIF($AS:$AS,$AT1686,AN:AN)</f>
        <v>-7100</v>
      </c>
      <c r="AO1686" s="106">
        <f>SUMIF($AS:$AS,$AT1686,AO:AO)</f>
        <v>-7100</v>
      </c>
      <c r="AP1686" s="264"/>
      <c r="AQ1686" s="264"/>
      <c r="AR1686" s="264"/>
      <c r="AS1686" s="264"/>
      <c r="AT1686" s="248" t="str">
        <f>+CONCATENATE(D$1690,C1686)</f>
        <v>R10Workman's Comp Reserve</v>
      </c>
    </row>
    <row r="1687" spans="1:46">
      <c r="A1687" s="283"/>
      <c r="B1687" s="283"/>
      <c r="C1687" s="256"/>
      <c r="D1687" s="277"/>
      <c r="E1687" s="278"/>
      <c r="F1687" s="278"/>
      <c r="G1687" s="264"/>
      <c r="H1687" s="279"/>
      <c r="I1687" s="280"/>
      <c r="J1687" s="280"/>
      <c r="K1687" s="279"/>
      <c r="L1687" s="278"/>
      <c r="M1687" s="279"/>
      <c r="N1687" s="281"/>
      <c r="O1687" s="281"/>
      <c r="P1687" s="278"/>
      <c r="Q1687" s="282"/>
      <c r="R1687" s="279"/>
      <c r="S1687" s="279"/>
      <c r="T1687" s="279"/>
      <c r="U1687" s="106"/>
      <c r="V1687" s="106"/>
      <c r="W1687" s="106"/>
      <c r="X1687" s="106"/>
      <c r="Y1687" s="106"/>
      <c r="Z1687" s="106"/>
      <c r="AA1687" s="106"/>
      <c r="AB1687" s="106"/>
      <c r="AC1687" s="106"/>
      <c r="AD1687" s="106"/>
      <c r="AE1687" s="106"/>
      <c r="AF1687" s="106"/>
      <c r="AG1687" s="106"/>
      <c r="AH1687" s="106"/>
      <c r="AI1687" s="106"/>
      <c r="AJ1687" s="106"/>
      <c r="AK1687" s="106"/>
      <c r="AL1687" s="106"/>
      <c r="AM1687" s="106"/>
      <c r="AN1687" s="106"/>
      <c r="AO1687" s="106"/>
      <c r="AP1687" s="264"/>
      <c r="AQ1687" s="264"/>
      <c r="AR1687" s="264"/>
      <c r="AS1687" s="248"/>
      <c r="AT1687" s="248" t="str">
        <f>+CONCATENATE(D$3131,C1687)</f>
        <v/>
      </c>
    </row>
    <row r="1688" spans="1:46" ht="14.25">
      <c r="A1688" s="283"/>
      <c r="B1688" s="283"/>
      <c r="C1688" s="256" t="s">
        <v>365</v>
      </c>
      <c r="D1688" s="277"/>
      <c r="E1688" s="278"/>
      <c r="F1688" s="278"/>
      <c r="G1688" s="264"/>
      <c r="H1688" s="279"/>
      <c r="I1688" s="280"/>
      <c r="J1688" s="280"/>
      <c r="K1688" s="279"/>
      <c r="L1688" s="278"/>
      <c r="M1688" s="279"/>
      <c r="N1688" s="281"/>
      <c r="O1688" s="281"/>
      <c r="P1688" s="278"/>
      <c r="Q1688" s="282"/>
      <c r="R1688" s="279"/>
      <c r="S1688" s="279"/>
      <c r="T1688" s="279"/>
      <c r="U1688" s="274">
        <f t="shared" ref="U1688:AB1688" si="645">+U1690-SUM(U1648:U1687)</f>
        <v>1333.6918899999</v>
      </c>
      <c r="V1688" s="274">
        <f t="shared" si="645"/>
        <v>206.05118875003245</v>
      </c>
      <c r="W1688" s="274">
        <f t="shared" si="645"/>
        <v>0</v>
      </c>
      <c r="X1688" s="274">
        <f t="shared" si="645"/>
        <v>1539.7430787501507</v>
      </c>
      <c r="Y1688" s="274">
        <f t="shared" si="645"/>
        <v>892.80481000005966</v>
      </c>
      <c r="Z1688" s="274">
        <f t="shared" si="645"/>
        <v>264.48011999997834</v>
      </c>
      <c r="AA1688" s="274">
        <f t="shared" si="645"/>
        <v>0</v>
      </c>
      <c r="AB1688" s="274">
        <f t="shared" si="645"/>
        <v>1157.2849300001981</v>
      </c>
      <c r="AC1688" s="274">
        <f t="shared" ref="AC1688:AO1688" si="646">+AC1690-SUM(AC1648:AC1687)</f>
        <v>1747.798400000378</v>
      </c>
      <c r="AD1688" s="274">
        <f t="shared" si="646"/>
        <v>1840.1748500003014</v>
      </c>
      <c r="AE1688" s="274">
        <f t="shared" si="646"/>
        <v>1824.8497800001642</v>
      </c>
      <c r="AF1688" s="274">
        <f t="shared" si="646"/>
        <v>2037.5417500001495</v>
      </c>
      <c r="AG1688" s="274">
        <f t="shared" si="646"/>
        <v>2156.2039299999597</v>
      </c>
      <c r="AH1688" s="274">
        <f t="shared" si="646"/>
        <v>1329.1968600002001</v>
      </c>
      <c r="AI1688" s="274">
        <f t="shared" si="646"/>
        <v>377.04165000014473</v>
      </c>
      <c r="AJ1688" s="274">
        <f t="shared" si="646"/>
        <v>373.57052000018302</v>
      </c>
      <c r="AK1688" s="274">
        <f t="shared" si="646"/>
        <v>143.3388200000627</v>
      </c>
      <c r="AL1688" s="274">
        <f t="shared" si="646"/>
        <v>1285.122330000333</v>
      </c>
      <c r="AM1688" s="274">
        <f t="shared" si="646"/>
        <v>2630.3806700000423</v>
      </c>
      <c r="AN1688" s="274">
        <f t="shared" si="646"/>
        <v>3026.9541200001258</v>
      </c>
      <c r="AO1688" s="274">
        <f t="shared" si="646"/>
        <v>1157.2849300001981</v>
      </c>
      <c r="AP1688" s="264"/>
      <c r="AQ1688" s="264"/>
      <c r="AR1688" s="264"/>
      <c r="AS1688" s="248"/>
      <c r="AT1688" s="264"/>
    </row>
    <row r="1689" spans="1:46">
      <c r="A1689" s="283"/>
      <c r="B1689" s="283"/>
      <c r="C1689" s="256"/>
      <c r="D1689" s="277"/>
      <c r="E1689" s="278"/>
      <c r="F1689" s="278"/>
      <c r="G1689" s="264"/>
      <c r="H1689" s="279"/>
      <c r="I1689" s="280"/>
      <c r="J1689" s="280"/>
      <c r="K1689" s="279"/>
      <c r="L1689" s="278"/>
      <c r="M1689" s="279"/>
      <c r="N1689" s="281"/>
      <c r="O1689" s="281"/>
      <c r="P1689" s="278"/>
      <c r="Q1689" s="282"/>
      <c r="R1689" s="279"/>
      <c r="S1689" s="279"/>
      <c r="T1689" s="279"/>
      <c r="U1689" s="263"/>
      <c r="V1689" s="263"/>
      <c r="W1689" s="263"/>
      <c r="X1689" s="263"/>
      <c r="Y1689" s="263"/>
      <c r="Z1689" s="263"/>
      <c r="AA1689" s="263"/>
      <c r="AB1689" s="263"/>
      <c r="AC1689" s="263"/>
      <c r="AD1689" s="263"/>
      <c r="AE1689" s="263"/>
      <c r="AF1689" s="263"/>
      <c r="AG1689" s="263"/>
      <c r="AH1689" s="263"/>
      <c r="AI1689" s="263"/>
      <c r="AJ1689" s="263"/>
      <c r="AK1689" s="263"/>
      <c r="AL1689" s="263"/>
      <c r="AM1689" s="263"/>
      <c r="AN1689" s="263"/>
      <c r="AO1689" s="263"/>
      <c r="AP1689" s="264"/>
      <c r="AQ1689" s="264"/>
      <c r="AR1689" s="264"/>
      <c r="AS1689" s="248"/>
      <c r="AT1689" s="264"/>
    </row>
    <row r="1690" spans="1:46">
      <c r="A1690" s="246"/>
      <c r="B1690" s="246"/>
      <c r="C1690" s="256" t="s">
        <v>1179</v>
      </c>
      <c r="D1690" s="256" t="s">
        <v>1893</v>
      </c>
      <c r="E1690" s="247"/>
      <c r="F1690" s="247"/>
      <c r="G1690" s="248"/>
      <c r="H1690" s="249"/>
      <c r="I1690" s="253"/>
      <c r="J1690" s="253"/>
      <c r="K1690" s="249"/>
      <c r="L1690" s="215"/>
      <c r="M1690" s="249"/>
      <c r="N1690" s="254"/>
      <c r="O1690" s="254"/>
      <c r="P1690" s="215"/>
      <c r="Q1690" s="247"/>
      <c r="R1690" s="249"/>
      <c r="S1690" s="249"/>
      <c r="T1690" s="249"/>
      <c r="U1690" s="106">
        <f>SUMIF($L:$L,$D1690,U:U)</f>
        <v>286172.80610470212</v>
      </c>
      <c r="V1690" s="106">
        <f>SUMIF($L:$L,$D1690,V:V)</f>
        <v>87400.880897797499</v>
      </c>
      <c r="W1690" s="106">
        <f>SUMIF($L:$L,$D1690,W:W)</f>
        <v>0</v>
      </c>
      <c r="X1690" s="106">
        <f>SUMIF($L:$L,$D1690,X:X)</f>
        <v>373573.68700250034</v>
      </c>
      <c r="Y1690" s="106">
        <f>SUMIF($L:$L,$D1690,Y:Y)</f>
        <v>288308.95568679174</v>
      </c>
      <c r="Z1690" s="106">
        <f>SUMIF($L:$L,$D1690,Z:Z)</f>
        <v>114071.09694320834</v>
      </c>
      <c r="AA1690" s="106">
        <f>SUMIF($L:$L,$D1690,AA:AA)</f>
        <v>0</v>
      </c>
      <c r="AB1690" s="106">
        <f>SUMIF($L:$L,$D1690,AB:AB)</f>
        <v>402380.05262999999</v>
      </c>
      <c r="AC1690" s="106">
        <f>SUMIF($L:$L,$D1690,AC:AC)</f>
        <v>375268.50039000018</v>
      </c>
      <c r="AD1690" s="106">
        <f>SUMIF($L:$L,$D1690,AD:AD)</f>
        <v>388324.51245000015</v>
      </c>
      <c r="AE1690" s="106">
        <f>SUMIF($L:$L,$D1690,AE:AE)</f>
        <v>388986.58938000008</v>
      </c>
      <c r="AF1690" s="106">
        <f>SUMIF($L:$L,$D1690,AF:AF)</f>
        <v>377822.75021000009</v>
      </c>
      <c r="AG1690" s="106">
        <f>SUMIF($L:$L,$D1690,AG:AG)</f>
        <v>373794.8057599999</v>
      </c>
      <c r="AH1690" s="106">
        <f>SUMIF($L:$L,$D1690,AH:AH)</f>
        <v>368521.31166000012</v>
      </c>
      <c r="AI1690" s="106">
        <f>SUMIF($L:$L,$D1690,AI:AI)</f>
        <v>359710.96939000004</v>
      </c>
      <c r="AJ1690" s="106">
        <f>SUMIF($L:$L,$D1690,AJ:AJ)</f>
        <v>378069.30653999996</v>
      </c>
      <c r="AK1690" s="106">
        <f>SUMIF($L:$L,$D1690,AK:AK)</f>
        <v>369832.33207999991</v>
      </c>
      <c r="AL1690" s="106">
        <f>SUMIF($L:$L,$D1690,AL:AL)</f>
        <v>360144.39778000006</v>
      </c>
      <c r="AM1690" s="106">
        <f>SUMIF($L:$L,$D1690,AM:AM)</f>
        <v>365016.15829999989</v>
      </c>
      <c r="AN1690" s="106">
        <f>SUMIF($L:$L,$D1690,AN:AN)</f>
        <v>363836.8339699998</v>
      </c>
      <c r="AO1690" s="106">
        <f>SUMIF($L:$L,$D1690,AO:AO)</f>
        <v>402380.05262999999</v>
      </c>
      <c r="AP1690" s="248"/>
      <c r="AQ1690" s="248"/>
      <c r="AR1690" s="248"/>
      <c r="AS1690" s="248"/>
      <c r="AT1690" s="264"/>
    </row>
    <row r="1691" spans="1:46" s="248" customFormat="1" ht="12.75" customHeight="1">
      <c r="A1691" s="252"/>
      <c r="B1691" s="246"/>
      <c r="C1691" s="256"/>
      <c r="D1691" s="214"/>
      <c r="E1691" s="215"/>
      <c r="F1691" s="215"/>
      <c r="H1691" s="249"/>
      <c r="I1691" s="253"/>
      <c r="J1691" s="253"/>
      <c r="K1691" s="249"/>
      <c r="L1691" s="215"/>
      <c r="M1691" s="249"/>
      <c r="N1691" s="254"/>
      <c r="O1691" s="254"/>
      <c r="P1691" s="215"/>
      <c r="Q1691" s="247"/>
      <c r="R1691" s="249"/>
      <c r="S1691" s="249"/>
      <c r="T1691" s="249"/>
      <c r="U1691" s="274"/>
      <c r="V1691" s="274"/>
      <c r="W1691" s="274"/>
      <c r="X1691" s="274"/>
      <c r="Y1691" s="274"/>
      <c r="Z1691" s="274"/>
      <c r="AA1691" s="274"/>
      <c r="AB1691" s="274"/>
      <c r="AC1691" s="274"/>
      <c r="AD1691" s="274"/>
      <c r="AE1691" s="274"/>
      <c r="AF1691" s="274"/>
      <c r="AG1691" s="274"/>
      <c r="AH1691" s="274"/>
      <c r="AI1691" s="274"/>
      <c r="AJ1691" s="274"/>
      <c r="AK1691" s="274"/>
      <c r="AL1691" s="274"/>
      <c r="AM1691" s="274"/>
      <c r="AN1691" s="274"/>
      <c r="AO1691" s="274"/>
      <c r="AP1691" s="291"/>
      <c r="AQ1691" s="291"/>
      <c r="AR1691" s="291"/>
      <c r="AT1691" s="264"/>
    </row>
    <row r="1692" spans="1:46">
      <c r="A1692" s="246"/>
      <c r="B1692" s="246"/>
      <c r="C1692" s="256"/>
      <c r="D1692" s="214"/>
      <c r="E1692" s="215"/>
      <c r="F1692" s="215"/>
      <c r="G1692" s="248"/>
      <c r="H1692" s="249"/>
      <c r="I1692" s="253"/>
      <c r="J1692" s="253"/>
      <c r="K1692" s="249"/>
      <c r="L1692" s="215"/>
      <c r="M1692" s="249"/>
      <c r="N1692" s="254"/>
      <c r="O1692" s="254"/>
      <c r="P1692" s="215"/>
      <c r="Q1692" s="247"/>
      <c r="R1692" s="249"/>
      <c r="S1692" s="249"/>
      <c r="T1692" s="249"/>
      <c r="U1692" s="106"/>
      <c r="V1692" s="106"/>
      <c r="W1692" s="106"/>
      <c r="X1692" s="106"/>
      <c r="Y1692" s="106"/>
      <c r="Z1692" s="106"/>
      <c r="AA1692" s="106"/>
      <c r="AB1692" s="106"/>
      <c r="AC1692" s="106"/>
      <c r="AD1692" s="106"/>
      <c r="AE1692" s="106"/>
      <c r="AF1692" s="106"/>
      <c r="AG1692" s="106"/>
      <c r="AH1692" s="106"/>
      <c r="AI1692" s="106"/>
      <c r="AJ1692" s="106"/>
      <c r="AK1692" s="106"/>
      <c r="AL1692" s="106"/>
      <c r="AM1692" s="106"/>
      <c r="AN1692" s="106"/>
      <c r="AO1692" s="106"/>
      <c r="AP1692" s="248"/>
      <c r="AQ1692" s="248"/>
      <c r="AR1692" s="248"/>
      <c r="AS1692" s="248"/>
      <c r="AT1692" s="264"/>
    </row>
    <row r="1693" spans="1:46">
      <c r="A1693" s="246"/>
      <c r="B1693" s="246"/>
      <c r="C1693" s="256"/>
      <c r="D1693" s="214"/>
      <c r="E1693" s="215"/>
      <c r="F1693" s="215"/>
      <c r="G1693" s="248"/>
      <c r="H1693" s="249"/>
      <c r="I1693" s="253"/>
      <c r="J1693" s="253"/>
      <c r="K1693" s="249"/>
      <c r="L1693" s="215"/>
      <c r="M1693" s="249"/>
      <c r="N1693" s="254"/>
      <c r="O1693" s="254"/>
      <c r="P1693" s="215"/>
      <c r="Q1693" s="247"/>
      <c r="R1693" s="249"/>
      <c r="S1693" s="249"/>
      <c r="T1693" s="249"/>
      <c r="U1693" s="263"/>
      <c r="V1693" s="263"/>
      <c r="W1693" s="263"/>
      <c r="X1693" s="263"/>
      <c r="Y1693" s="263"/>
      <c r="Z1693" s="263"/>
      <c r="AA1693" s="263"/>
      <c r="AB1693" s="263"/>
      <c r="AC1693" s="263"/>
      <c r="AD1693" s="263"/>
      <c r="AE1693" s="263"/>
      <c r="AF1693" s="263"/>
      <c r="AG1693" s="263"/>
      <c r="AH1693" s="263"/>
      <c r="AI1693" s="263"/>
      <c r="AJ1693" s="263"/>
      <c r="AK1693" s="263"/>
      <c r="AL1693" s="263"/>
      <c r="AM1693" s="263"/>
      <c r="AN1693" s="263"/>
      <c r="AO1693" s="263"/>
      <c r="AP1693" s="264"/>
      <c r="AQ1693" s="264"/>
      <c r="AR1693" s="264"/>
      <c r="AS1693" s="248"/>
      <c r="AT1693" s="264"/>
    </row>
    <row r="1694" spans="1:46">
      <c r="A1694" s="246"/>
      <c r="B1694" s="246"/>
      <c r="C1694" s="256"/>
      <c r="D1694" s="214"/>
      <c r="E1694" s="215"/>
      <c r="F1694" s="215"/>
      <c r="G1694" s="248"/>
      <c r="H1694" s="249"/>
      <c r="I1694" s="253"/>
      <c r="J1694" s="253"/>
      <c r="K1694" s="249"/>
      <c r="L1694" s="215"/>
      <c r="M1694" s="249"/>
      <c r="N1694" s="254"/>
      <c r="O1694" s="254"/>
      <c r="P1694" s="215"/>
      <c r="Q1694" s="247"/>
      <c r="R1694" s="249"/>
      <c r="S1694" s="249"/>
      <c r="T1694" s="249"/>
      <c r="U1694" s="106"/>
      <c r="V1694" s="106"/>
      <c r="W1694" s="106"/>
      <c r="X1694" s="106"/>
      <c r="Y1694" s="106"/>
      <c r="Z1694" s="106"/>
      <c r="AA1694" s="106"/>
      <c r="AB1694" s="106"/>
      <c r="AC1694" s="106"/>
      <c r="AD1694" s="106"/>
      <c r="AE1694" s="106"/>
      <c r="AF1694" s="106"/>
      <c r="AG1694" s="106"/>
      <c r="AH1694" s="106"/>
      <c r="AI1694" s="106"/>
      <c r="AJ1694" s="106"/>
      <c r="AK1694" s="106"/>
      <c r="AL1694" s="106"/>
      <c r="AM1694" s="106"/>
      <c r="AN1694" s="106"/>
      <c r="AO1694" s="106"/>
      <c r="AP1694" s="248"/>
      <c r="AQ1694" s="248"/>
      <c r="AR1694" s="248"/>
      <c r="AS1694" s="248"/>
      <c r="AT1694" s="264"/>
    </row>
    <row r="1695" spans="1:46">
      <c r="A1695" s="252"/>
      <c r="B1695" s="252" t="s">
        <v>2925</v>
      </c>
      <c r="C1695" s="256"/>
      <c r="D1695" s="214"/>
      <c r="E1695" s="215"/>
      <c r="F1695" s="215"/>
      <c r="G1695" s="248"/>
      <c r="H1695" s="249"/>
      <c r="I1695" s="253"/>
      <c r="J1695" s="253"/>
      <c r="K1695" s="249"/>
      <c r="L1695" s="215"/>
      <c r="M1695" s="249"/>
      <c r="N1695" s="254"/>
      <c r="O1695" s="254"/>
      <c r="P1695" s="215"/>
      <c r="Q1695" s="247"/>
      <c r="R1695" s="249"/>
      <c r="S1695" s="249"/>
      <c r="T1695" s="249"/>
      <c r="U1695" s="106"/>
      <c r="V1695" s="106"/>
      <c r="W1695" s="106"/>
      <c r="X1695" s="106"/>
      <c r="Y1695" s="106"/>
      <c r="Z1695" s="106"/>
      <c r="AA1695" s="106"/>
      <c r="AB1695" s="106"/>
      <c r="AC1695" s="106"/>
      <c r="AD1695" s="106"/>
      <c r="AE1695" s="106"/>
      <c r="AF1695" s="106"/>
      <c r="AG1695" s="106"/>
      <c r="AH1695" s="106"/>
      <c r="AI1695" s="106"/>
      <c r="AJ1695" s="106"/>
      <c r="AK1695" s="106"/>
      <c r="AL1695" s="106"/>
      <c r="AM1695" s="106"/>
      <c r="AN1695" s="106"/>
      <c r="AO1695" s="106"/>
      <c r="AP1695" s="248"/>
      <c r="AQ1695" s="248"/>
      <c r="AR1695" s="248"/>
      <c r="AS1695" s="248"/>
      <c r="AT1695" s="248"/>
    </row>
    <row r="1696" spans="1:46">
      <c r="A1696" s="246"/>
      <c r="B1696" s="246"/>
      <c r="C1696" s="256" t="s">
        <v>1442</v>
      </c>
      <c r="D1696" s="214"/>
      <c r="E1696" s="215"/>
      <c r="F1696" s="215"/>
      <c r="G1696" s="248"/>
      <c r="H1696" s="249"/>
      <c r="I1696" s="253"/>
      <c r="J1696" s="253"/>
      <c r="K1696" s="249"/>
      <c r="L1696" s="215"/>
      <c r="M1696" s="249"/>
      <c r="N1696" s="254"/>
      <c r="O1696" s="254"/>
      <c r="P1696" s="215"/>
      <c r="Q1696" s="247"/>
      <c r="R1696" s="249"/>
      <c r="S1696" s="249"/>
      <c r="T1696" s="249"/>
      <c r="U1696" s="106">
        <f>SUMIF($A:$A,$C1696,U:U)</f>
        <v>493842.97109824274</v>
      </c>
      <c r="V1696" s="106">
        <f>SUMIF($A:$A,$C1696,V:V)</f>
        <v>133457.92828508979</v>
      </c>
      <c r="W1696" s="106">
        <f>SUMIF($A:$A,$C1696,W:W)</f>
        <v>142777.44645874994</v>
      </c>
      <c r="X1696" s="106">
        <f>SUMIF($A:$A,$C1696,X:X)</f>
        <v>770078.34584208333</v>
      </c>
      <c r="Y1696" s="106">
        <f>SUMIF($A:$A,$C1696,Y:Y)</f>
        <v>701568.39293909108</v>
      </c>
      <c r="Z1696" s="106">
        <f>SUMIF($A:$A,$C1696,Z:Z)</f>
        <v>171646.91908090829</v>
      </c>
      <c r="AA1696" s="106">
        <f>SUMIF($A:$A,$C1696,AA:AA)</f>
        <v>176435.81653999968</v>
      </c>
      <c r="AB1696" s="106">
        <f>SUMIF($A:$A,$C1696,AB:AB)</f>
        <v>1049651.1285600006</v>
      </c>
      <c r="AC1696" s="106">
        <f>SUMIF($A:$A,$C1696,AC:AC)</f>
        <v>814120.88556999946</v>
      </c>
      <c r="AD1696" s="106">
        <f>SUMIF($A:$A,$C1696,AD:AD)</f>
        <v>806047.93009000015</v>
      </c>
      <c r="AE1696" s="106">
        <f>SUMIF($A:$A,$C1696,AE:AE)</f>
        <v>789420.75629999954</v>
      </c>
      <c r="AF1696" s="106">
        <f>SUMIF($A:$A,$C1696,AF:AF)</f>
        <v>767505.06793999951</v>
      </c>
      <c r="AG1696" s="106">
        <f>SUMIF($A:$A,$C1696,AG:AG)</f>
        <v>748459.7080999997</v>
      </c>
      <c r="AH1696" s="106">
        <f>SUMIF($A:$A,$C1696,AH:AH)</f>
        <v>751727.65585000033</v>
      </c>
      <c r="AI1696" s="106">
        <f>SUMIF($A:$A,$C1696,AI:AI)</f>
        <v>749356.52939999977</v>
      </c>
      <c r="AJ1696" s="106">
        <f>SUMIF($A:$A,$C1696,AJ:AJ)</f>
        <v>785936.32013999985</v>
      </c>
      <c r="AK1696" s="106">
        <f>SUMIF($A:$A,$C1696,AK:AK)</f>
        <v>743625.40745999967</v>
      </c>
      <c r="AL1696" s="106">
        <f>SUMIF($A:$A,$C1696,AL:AL)</f>
        <v>726602.49025999953</v>
      </c>
      <c r="AM1696" s="106">
        <f>SUMIF($A:$A,$C1696,AM:AM)</f>
        <v>732641.33889999974</v>
      </c>
      <c r="AN1696" s="106">
        <f>SUMIF($A:$A,$C1696,AN:AN)</f>
        <v>707730.93859999906</v>
      </c>
      <c r="AO1696" s="106">
        <f>SUMIF($A:$A,$C1696,AO:AO)</f>
        <v>1049651.1285600006</v>
      </c>
      <c r="AP1696" s="248"/>
      <c r="AQ1696" s="248"/>
      <c r="AR1696" s="248"/>
      <c r="AS1696" s="248"/>
      <c r="AT1696" s="248"/>
    </row>
    <row r="1697" spans="1:46">
      <c r="A1697" s="292"/>
      <c r="B1697" s="292"/>
      <c r="C1697" s="256" t="s">
        <v>1171</v>
      </c>
      <c r="D1697" s="293"/>
      <c r="E1697" s="257"/>
      <c r="F1697" s="257"/>
      <c r="G1697" s="262"/>
      <c r="H1697" s="258"/>
      <c r="I1697" s="294"/>
      <c r="J1697" s="294"/>
      <c r="K1697" s="258"/>
      <c r="L1697" s="257"/>
      <c r="M1697" s="258"/>
      <c r="N1697" s="259"/>
      <c r="O1697" s="259"/>
      <c r="P1697" s="257"/>
      <c r="Q1697" s="284"/>
      <c r="R1697" s="258"/>
      <c r="S1697" s="258"/>
      <c r="T1697" s="258"/>
      <c r="U1697" s="261"/>
      <c r="V1697" s="261"/>
      <c r="W1697" s="261"/>
      <c r="X1697" s="261">
        <f>SUMIF($M:$M,$C1697,X:X)</f>
        <v>770078.2511616667</v>
      </c>
      <c r="Y1697" s="261"/>
      <c r="Z1697" s="261"/>
      <c r="AA1697" s="261"/>
      <c r="AB1697" s="261">
        <f>SUMIF($M:$M,$C1697,AB:AB)</f>
        <v>1049651.1285599996</v>
      </c>
      <c r="AC1697" s="261">
        <f>SUMIF($M:$M,$C1697,AC:AC)</f>
        <v>814120.88558000012</v>
      </c>
      <c r="AD1697" s="261">
        <f>SUMIF($M:$M,$C1697,AD:AD)</f>
        <v>806047.93008999957</v>
      </c>
      <c r="AE1697" s="261">
        <f>SUMIF($M:$M,$C1697,AE:AE)</f>
        <v>789420.75630000012</v>
      </c>
      <c r="AF1697" s="261">
        <f>SUMIF($M:$M,$C1697,AF:AF)</f>
        <v>767504.90563000005</v>
      </c>
      <c r="AG1697" s="261">
        <f>SUMIF($M:$M,$C1697,AG:AG)</f>
        <v>748459.54578999989</v>
      </c>
      <c r="AH1697" s="261">
        <f>SUMIF($M:$M,$C1697,AH:AH)</f>
        <v>751727.65584999986</v>
      </c>
      <c r="AI1697" s="261">
        <f>SUMIF($M:$M,$C1697,AI:AI)</f>
        <v>749356.36709000007</v>
      </c>
      <c r="AJ1697" s="261">
        <f>SUMIF($M:$M,$C1697,AJ:AJ)</f>
        <v>785936.15782999981</v>
      </c>
      <c r="AK1697" s="261">
        <f>SUMIF($M:$M,$C1697,AK:AK)</f>
        <v>743625.24514999997</v>
      </c>
      <c r="AL1697" s="261">
        <f>SUMIF($M:$M,$C1697,AL:AL)</f>
        <v>726602.32795000006</v>
      </c>
      <c r="AM1697" s="261">
        <f>SUMIF($M:$M,$C1697,AM:AM)</f>
        <v>732641.33889999997</v>
      </c>
      <c r="AN1697" s="261">
        <f>SUMIF($M:$M,$C1697,AN:AN)</f>
        <v>707730.77628999983</v>
      </c>
      <c r="AO1697" s="261">
        <f>SUMIF($M:$M,$C1697,AO:AO)</f>
        <v>1049651.1285599996</v>
      </c>
      <c r="AP1697" s="262"/>
      <c r="AQ1697" s="262"/>
      <c r="AR1697" s="262"/>
      <c r="AS1697" s="248"/>
      <c r="AT1697" s="262"/>
    </row>
    <row r="1698" spans="1:46">
      <c r="A1698" s="246"/>
      <c r="B1698" s="246"/>
      <c r="C1698" s="256"/>
      <c r="D1698" s="214"/>
      <c r="E1698" s="215"/>
      <c r="F1698" s="215"/>
      <c r="G1698" s="248"/>
      <c r="H1698" s="249"/>
      <c r="I1698" s="253"/>
      <c r="J1698" s="253"/>
      <c r="K1698" s="249"/>
      <c r="L1698" s="215"/>
      <c r="M1698" s="249"/>
      <c r="N1698" s="254"/>
      <c r="O1698" s="254"/>
      <c r="P1698" s="215"/>
      <c r="Q1698" s="247"/>
      <c r="R1698" s="249"/>
      <c r="S1698" s="249"/>
      <c r="T1698" s="249"/>
      <c r="U1698" s="106"/>
      <c r="V1698" s="106"/>
      <c r="W1698" s="106"/>
      <c r="X1698" s="106"/>
      <c r="Y1698" s="106"/>
      <c r="Z1698" s="106"/>
      <c r="AA1698" s="106"/>
      <c r="AB1698" s="106"/>
      <c r="AC1698" s="106"/>
      <c r="AD1698" s="106"/>
      <c r="AE1698" s="106"/>
      <c r="AF1698" s="106"/>
      <c r="AG1698" s="106"/>
      <c r="AH1698" s="106"/>
      <c r="AI1698" s="106"/>
      <c r="AJ1698" s="106"/>
      <c r="AK1698" s="106"/>
      <c r="AL1698" s="106"/>
      <c r="AM1698" s="106"/>
      <c r="AN1698" s="106"/>
      <c r="AO1698" s="106"/>
      <c r="AP1698" s="248"/>
      <c r="AQ1698" s="248"/>
      <c r="AR1698" s="248"/>
      <c r="AS1698" s="248"/>
      <c r="AT1698" s="248"/>
    </row>
    <row r="1699" spans="1:46">
      <c r="A1699" s="283"/>
      <c r="B1699" s="283"/>
      <c r="C1699" s="256" t="s">
        <v>2505</v>
      </c>
      <c r="D1699" s="277"/>
      <c r="E1699" s="278"/>
      <c r="F1699" s="278"/>
      <c r="G1699" s="264"/>
      <c r="H1699" s="279"/>
      <c r="I1699" s="280"/>
      <c r="J1699" s="280"/>
      <c r="K1699" s="279"/>
      <c r="L1699" s="278"/>
      <c r="M1699" s="279"/>
      <c r="N1699" s="281"/>
      <c r="O1699" s="281"/>
      <c r="P1699" s="278"/>
      <c r="Q1699" s="282"/>
      <c r="R1699" s="279"/>
      <c r="S1699" s="279"/>
      <c r="T1699" s="279"/>
      <c r="U1699" s="263"/>
      <c r="V1699" s="263"/>
      <c r="W1699" s="263"/>
      <c r="X1699" s="263">
        <f>+X1696-X1697</f>
        <v>9.4680416630581021E-2</v>
      </c>
      <c r="Y1699" s="263"/>
      <c r="Z1699" s="263"/>
      <c r="AA1699" s="263"/>
      <c r="AB1699" s="263">
        <f>+AB1696-AB1697</f>
        <v>0</v>
      </c>
      <c r="AC1699" s="263">
        <f t="shared" ref="AC1699:AO1699" si="647">+AC1696-AC1697</f>
        <v>-1.0000658221542835E-5</v>
      </c>
      <c r="AD1699" s="263">
        <f t="shared" si="647"/>
        <v>0</v>
      </c>
      <c r="AE1699" s="263">
        <f t="shared" si="647"/>
        <v>0</v>
      </c>
      <c r="AF1699" s="263">
        <f t="shared" si="647"/>
        <v>0.16230999946128577</v>
      </c>
      <c r="AG1699" s="263">
        <f t="shared" si="647"/>
        <v>0.16230999981053174</v>
      </c>
      <c r="AH1699" s="263">
        <f t="shared" si="647"/>
        <v>0</v>
      </c>
      <c r="AI1699" s="263">
        <f t="shared" si="647"/>
        <v>0.16230999969411641</v>
      </c>
      <c r="AJ1699" s="263">
        <f t="shared" si="647"/>
        <v>0.16231000004336238</v>
      </c>
      <c r="AK1699" s="263">
        <f t="shared" si="647"/>
        <v>0.16230999969411641</v>
      </c>
      <c r="AL1699" s="263">
        <f t="shared" si="647"/>
        <v>0.16230999946128577</v>
      </c>
      <c r="AM1699" s="263">
        <f t="shared" si="647"/>
        <v>0</v>
      </c>
      <c r="AN1699" s="263">
        <f t="shared" si="647"/>
        <v>0.16230999922845513</v>
      </c>
      <c r="AO1699" s="263">
        <f t="shared" si="647"/>
        <v>0</v>
      </c>
      <c r="AP1699" s="264"/>
      <c r="AQ1699" s="264"/>
      <c r="AR1699" s="264"/>
      <c r="AS1699" s="248"/>
      <c r="AT1699" s="264"/>
    </row>
    <row r="1700" spans="1:46">
      <c r="A1700" s="283"/>
      <c r="B1700" s="283"/>
      <c r="C1700" s="256"/>
      <c r="D1700" s="277"/>
      <c r="E1700" s="278"/>
      <c r="F1700" s="278"/>
      <c r="G1700" s="264"/>
      <c r="H1700" s="279"/>
      <c r="I1700" s="280"/>
      <c r="J1700" s="280"/>
      <c r="K1700" s="279"/>
      <c r="L1700" s="278"/>
      <c r="M1700" s="279"/>
      <c r="N1700" s="281"/>
      <c r="O1700" s="281"/>
      <c r="P1700" s="278"/>
      <c r="Q1700" s="282"/>
      <c r="R1700" s="279"/>
      <c r="S1700" s="279"/>
      <c r="T1700" s="279"/>
      <c r="U1700" s="263"/>
      <c r="V1700" s="263"/>
      <c r="W1700" s="263"/>
      <c r="X1700" s="263"/>
      <c r="Y1700" s="263"/>
      <c r="Z1700" s="263"/>
      <c r="AA1700" s="263"/>
      <c r="AB1700" s="263"/>
      <c r="AC1700" s="263"/>
      <c r="AD1700" s="263"/>
      <c r="AE1700" s="263"/>
      <c r="AF1700" s="263"/>
      <c r="AG1700" s="263"/>
      <c r="AH1700" s="263"/>
      <c r="AI1700" s="263"/>
      <c r="AJ1700" s="263"/>
      <c r="AK1700" s="263"/>
      <c r="AL1700" s="263"/>
      <c r="AM1700" s="263"/>
      <c r="AN1700" s="263"/>
      <c r="AO1700" s="263"/>
      <c r="AP1700" s="264"/>
      <c r="AQ1700" s="264"/>
      <c r="AR1700" s="264"/>
      <c r="AS1700" s="125" t="str">
        <f>CONCATENATE(L1700,H1700)</f>
        <v/>
      </c>
      <c r="AT1700" s="264"/>
    </row>
    <row r="1701" spans="1:46">
      <c r="A1701" s="283"/>
      <c r="B1701" s="283"/>
      <c r="C1701" s="256"/>
      <c r="D1701" s="277"/>
      <c r="E1701" s="278"/>
      <c r="F1701" s="278"/>
      <c r="G1701" s="264"/>
      <c r="H1701" s="279"/>
      <c r="I1701" s="280"/>
      <c r="J1701" s="280"/>
      <c r="K1701" s="279"/>
      <c r="L1701" s="278"/>
      <c r="M1701" s="279"/>
      <c r="N1701" s="281"/>
      <c r="O1701" s="281"/>
      <c r="P1701" s="278"/>
      <c r="Q1701" s="282"/>
      <c r="R1701" s="279"/>
      <c r="S1701" s="279"/>
      <c r="T1701" s="279"/>
      <c r="U1701" s="263"/>
      <c r="V1701" s="263"/>
      <c r="W1701" s="263"/>
      <c r="X1701" s="263"/>
      <c r="Y1701" s="263"/>
      <c r="Z1701" s="263"/>
      <c r="AA1701" s="263"/>
      <c r="AB1701" s="263"/>
      <c r="AC1701" s="263"/>
      <c r="AD1701" s="263"/>
      <c r="AE1701" s="263"/>
      <c r="AF1701" s="263"/>
      <c r="AG1701" s="263"/>
      <c r="AH1701" s="263"/>
      <c r="AI1701" s="263"/>
      <c r="AJ1701" s="263"/>
      <c r="AK1701" s="263"/>
      <c r="AL1701" s="263"/>
      <c r="AM1701" s="263"/>
      <c r="AN1701" s="263"/>
      <c r="AO1701" s="263"/>
      <c r="AP1701" s="264"/>
      <c r="AQ1701" s="264"/>
      <c r="AR1701" s="264"/>
      <c r="AS1701" s="125" t="str">
        <f>CONCATENATE(L1701,H1701)</f>
        <v/>
      </c>
      <c r="AT1701" s="264"/>
    </row>
    <row r="1702" spans="1:46">
      <c r="A1702" s="283"/>
      <c r="B1702" s="283"/>
      <c r="C1702" s="256"/>
      <c r="D1702" s="277"/>
      <c r="E1702" s="278"/>
      <c r="F1702" s="278"/>
      <c r="G1702" s="264"/>
      <c r="H1702" s="279"/>
      <c r="I1702" s="280"/>
      <c r="J1702" s="280"/>
      <c r="K1702" s="279"/>
      <c r="L1702" s="278"/>
      <c r="M1702" s="279"/>
      <c r="N1702" s="281"/>
      <c r="O1702" s="281"/>
      <c r="P1702" s="278"/>
      <c r="Q1702" s="282"/>
      <c r="R1702" s="279"/>
      <c r="S1702" s="279"/>
      <c r="T1702" s="279"/>
      <c r="U1702" s="263"/>
      <c r="V1702" s="263"/>
      <c r="W1702" s="263"/>
      <c r="X1702" s="263"/>
      <c r="Y1702" s="263"/>
      <c r="Z1702" s="263"/>
      <c r="AA1702" s="263"/>
      <c r="AB1702" s="263"/>
      <c r="AC1702" s="263"/>
      <c r="AD1702" s="263"/>
      <c r="AE1702" s="263"/>
      <c r="AF1702" s="263"/>
      <c r="AG1702" s="263"/>
      <c r="AH1702" s="263"/>
      <c r="AI1702" s="263"/>
      <c r="AJ1702" s="263"/>
      <c r="AK1702" s="263"/>
      <c r="AL1702" s="263"/>
      <c r="AM1702" s="263"/>
      <c r="AN1702" s="263"/>
      <c r="AO1702" s="263"/>
      <c r="AP1702" s="264"/>
      <c r="AQ1702" s="264"/>
      <c r="AR1702" s="264"/>
      <c r="AS1702" s="125" t="str">
        <f>CONCATENATE(L1702,H1702)</f>
        <v/>
      </c>
      <c r="AT1702" s="264"/>
    </row>
    <row r="1703" spans="1:46">
      <c r="A1703" s="252"/>
      <c r="B1703" s="252" t="s">
        <v>2926</v>
      </c>
      <c r="C1703" s="256"/>
      <c r="D1703" s="277"/>
      <c r="E1703" s="278"/>
      <c r="F1703" s="278"/>
      <c r="G1703" s="264"/>
      <c r="H1703" s="279"/>
      <c r="I1703" s="280"/>
      <c r="J1703" s="280"/>
      <c r="K1703" s="279"/>
      <c r="L1703" s="278"/>
      <c r="M1703" s="279"/>
      <c r="N1703" s="281"/>
      <c r="O1703" s="281"/>
      <c r="P1703" s="278"/>
      <c r="Q1703" s="282"/>
      <c r="R1703" s="279"/>
      <c r="S1703" s="279"/>
      <c r="T1703" s="279"/>
      <c r="U1703" s="263"/>
      <c r="V1703" s="263"/>
      <c r="W1703" s="263"/>
      <c r="X1703" s="263"/>
      <c r="Y1703" s="263"/>
      <c r="Z1703" s="263"/>
      <c r="AA1703" s="263"/>
      <c r="AB1703" s="263"/>
      <c r="AC1703" s="263"/>
      <c r="AD1703" s="263"/>
      <c r="AE1703" s="263"/>
      <c r="AF1703" s="263"/>
      <c r="AG1703" s="263"/>
      <c r="AH1703" s="263"/>
      <c r="AI1703" s="263"/>
      <c r="AJ1703" s="263"/>
      <c r="AK1703" s="263"/>
      <c r="AL1703" s="263"/>
      <c r="AM1703" s="263"/>
      <c r="AN1703" s="263"/>
      <c r="AO1703" s="263"/>
      <c r="AP1703" s="264"/>
      <c r="AQ1703" s="264"/>
      <c r="AR1703" s="264"/>
      <c r="AS1703" s="125" t="str">
        <f>CONCATENATE(L1703,H1703)</f>
        <v/>
      </c>
      <c r="AT1703" s="248" t="s">
        <v>229</v>
      </c>
    </row>
    <row r="1704" spans="1:46">
      <c r="A1704" s="283"/>
      <c r="B1704" s="283"/>
      <c r="C1704" s="285"/>
      <c r="D1704" s="277"/>
      <c r="E1704" s="278"/>
      <c r="F1704" s="278"/>
      <c r="G1704" s="264"/>
      <c r="H1704" s="279"/>
      <c r="I1704" s="280"/>
      <c r="J1704" s="280"/>
      <c r="K1704" s="279"/>
      <c r="L1704" s="215"/>
      <c r="M1704" s="279"/>
      <c r="N1704" s="281"/>
      <c r="O1704" s="281"/>
      <c r="P1704" s="278"/>
      <c r="Q1704" s="282"/>
      <c r="R1704" s="279"/>
      <c r="S1704" s="279"/>
      <c r="T1704" s="279"/>
      <c r="U1704" s="106"/>
      <c r="V1704" s="106"/>
      <c r="W1704" s="106"/>
      <c r="X1704" s="106"/>
      <c r="Y1704" s="106"/>
      <c r="Z1704" s="106"/>
      <c r="AA1704" s="106"/>
      <c r="AB1704" s="106"/>
      <c r="AC1704" s="106"/>
      <c r="AD1704" s="106"/>
      <c r="AE1704" s="106"/>
      <c r="AF1704" s="106"/>
      <c r="AG1704" s="106"/>
      <c r="AH1704" s="106"/>
      <c r="AI1704" s="106"/>
      <c r="AJ1704" s="106"/>
      <c r="AK1704" s="106"/>
      <c r="AL1704" s="106"/>
      <c r="AM1704" s="106"/>
      <c r="AN1704" s="106"/>
      <c r="AO1704" s="106"/>
      <c r="AP1704" s="106"/>
      <c r="AQ1704" s="264"/>
      <c r="AR1704" s="264"/>
      <c r="AS1704" s="125" t="str">
        <f>CONCATENATE(L1704,H1704)</f>
        <v/>
      </c>
      <c r="AT1704" s="248"/>
    </row>
    <row r="1705" spans="1:46">
      <c r="A1705" s="283"/>
      <c r="B1705" s="283"/>
      <c r="C1705" s="285" t="s">
        <v>1405</v>
      </c>
      <c r="D1705" s="277"/>
      <c r="E1705" s="278"/>
      <c r="F1705" s="278"/>
      <c r="G1705" s="264"/>
      <c r="H1705" s="279"/>
      <c r="I1705" s="280"/>
      <c r="J1705" s="280"/>
      <c r="K1705" s="279"/>
      <c r="L1705" s="215"/>
      <c r="M1705" s="279"/>
      <c r="N1705" s="281"/>
      <c r="O1705" s="281"/>
      <c r="P1705" s="278"/>
      <c r="Q1705" s="282"/>
      <c r="R1705" s="279"/>
      <c r="S1705" s="279"/>
      <c r="T1705" s="279"/>
      <c r="U1705" s="106">
        <f>SUMIF($AS:$AS,$AT1705,U:U)</f>
        <v>1116.4514272732574</v>
      </c>
      <c r="V1705" s="106">
        <f>SUMIF($AS:$AS,$AT1705,V:V)</f>
        <v>351.17341522674508</v>
      </c>
      <c r="W1705" s="106">
        <f>SUMIF($AS:$AS,$AT1705,W:W)</f>
        <v>0</v>
      </c>
      <c r="X1705" s="106">
        <f>SUMIF($AS:$AS,$AT1705,X:X)</f>
        <v>1467.6248424999997</v>
      </c>
      <c r="Y1705" s="106">
        <f>SUMIF($AS:$AS,$AT1705,Y:Y)</f>
        <v>1240.3118627380823</v>
      </c>
      <c r="Z1705" s="106">
        <f>SUMIF($AS:$AS,$AT1705,Z:Z)</f>
        <v>390.13300726192011</v>
      </c>
      <c r="AA1705" s="106">
        <f>SUMIF($AS:$AS,$AT1705,AA:AA)</f>
        <v>0</v>
      </c>
      <c r="AB1705" s="106">
        <f>SUMIF($AS:$AS,$AT1705,AB:AB)</f>
        <v>1630.4448699999998</v>
      </c>
      <c r="AC1705" s="106">
        <f>SUMIF($AS:$AS,$AT1705,AC:AC)</f>
        <v>1413.1935699999995</v>
      </c>
      <c r="AD1705" s="106">
        <f>SUMIF($AS:$AS,$AT1705,AD:AD)</f>
        <v>1426.0890699999995</v>
      </c>
      <c r="AE1705" s="106">
        <f>SUMIF($AS:$AS,$AT1705,AE:AE)</f>
        <v>1415.4939199999994</v>
      </c>
      <c r="AF1705" s="106">
        <f>SUMIF($AS:$AS,$AT1705,AF:AF)</f>
        <v>1419.5105199999994</v>
      </c>
      <c r="AG1705" s="106">
        <f>SUMIF($AS:$AS,$AT1705,AG:AG)</f>
        <v>1419.2768599999993</v>
      </c>
      <c r="AH1705" s="106">
        <f>SUMIF($AS:$AS,$AT1705,AH:AH)</f>
        <v>1419.5911999999994</v>
      </c>
      <c r="AI1705" s="106">
        <f>SUMIF($AS:$AS,$AT1705,AI:AI)</f>
        <v>1410.3018299999994</v>
      </c>
      <c r="AJ1705" s="106">
        <f>SUMIF($AS:$AS,$AT1705,AJ:AJ)</f>
        <v>1423.5081399999995</v>
      </c>
      <c r="AK1705" s="106">
        <f>SUMIF($AS:$AS,$AT1705,AK:AK)</f>
        <v>1427.2435199999995</v>
      </c>
      <c r="AL1705" s="106">
        <f>SUMIF($AS:$AS,$AT1705,AL:AL)</f>
        <v>1445.2658499999995</v>
      </c>
      <c r="AM1705" s="106">
        <f>SUMIF($AS:$AS,$AT1705,AM:AM)</f>
        <v>1625.9368899999995</v>
      </c>
      <c r="AN1705" s="106">
        <f>SUMIF($AS:$AS,$AT1705,AN:AN)</f>
        <v>1657.4610899999996</v>
      </c>
      <c r="AO1705" s="106">
        <f>SUMIF($AS:$AS,$AT1705,AO:AO)</f>
        <v>1630.4448699999998</v>
      </c>
      <c r="AP1705" s="264"/>
      <c r="AQ1705" s="264"/>
      <c r="AR1705" s="264"/>
      <c r="AS1705" s="125" t="str">
        <f>CONCATENATE(L1705,H1705)</f>
        <v/>
      </c>
      <c r="AT1705" s="248" t="str">
        <f>+CONCATENATE(D$1758,C1705)</f>
        <v>R11A&amp;S CHIP</v>
      </c>
    </row>
    <row r="1706" spans="1:46">
      <c r="A1706" s="283"/>
      <c r="B1706" s="283"/>
      <c r="C1706" s="285" t="s">
        <v>1364</v>
      </c>
      <c r="D1706" s="277"/>
      <c r="E1706" s="278"/>
      <c r="F1706" s="278"/>
      <c r="G1706" s="264"/>
      <c r="H1706" s="279"/>
      <c r="I1706" s="280"/>
      <c r="J1706" s="280"/>
      <c r="K1706" s="279"/>
      <c r="L1706" s="215"/>
      <c r="M1706" s="279"/>
      <c r="N1706" s="281"/>
      <c r="O1706" s="281"/>
      <c r="P1706" s="278"/>
      <c r="Q1706" s="282"/>
      <c r="R1706" s="279"/>
      <c r="S1706" s="279"/>
      <c r="T1706" s="279"/>
      <c r="U1706" s="106">
        <f>SUMIF($AS:$AS,$AT1706,U:U)</f>
        <v>-404606.04482416681</v>
      </c>
      <c r="V1706" s="106">
        <f>SUMIF($AS:$AS,$AT1706,V:V)</f>
        <v>-169756.58173291633</v>
      </c>
      <c r="W1706" s="106">
        <f>SUMIF($AS:$AS,$AT1706,W:W)</f>
        <v>0</v>
      </c>
      <c r="X1706" s="106">
        <f>SUMIF($AS:$AS,$AT1706,X:X)</f>
        <v>-574362.62655708299</v>
      </c>
      <c r="Y1706" s="106">
        <f>SUMIF($AS:$AS,$AT1706,Y:Y)</f>
        <v>-423529.35020000004</v>
      </c>
      <c r="Z1706" s="106">
        <f>SUMIF($AS:$AS,$AT1706,Z:Z)</f>
        <v>-171702.44071</v>
      </c>
      <c r="AA1706" s="106">
        <f>SUMIF($AS:$AS,$AT1706,AA:AA)</f>
        <v>0</v>
      </c>
      <c r="AB1706" s="106">
        <f>SUMIF($AS:$AS,$AT1706,AB:AB)</f>
        <v>-595231.79090999998</v>
      </c>
      <c r="AC1706" s="106">
        <f>SUMIF($AS:$AS,$AT1706,AC:AC)</f>
        <v>-565060.25407999998</v>
      </c>
      <c r="AD1706" s="106">
        <f>SUMIF($AS:$AS,$AT1706,AD:AD)</f>
        <v>-567101.66846999992</v>
      </c>
      <c r="AE1706" s="106">
        <f>SUMIF($AS:$AS,$AT1706,AE:AE)</f>
        <v>-569143.38485999999</v>
      </c>
      <c r="AF1706" s="106">
        <f>SUMIF($AS:$AS,$AT1706,AF:AF)</f>
        <v>-571182.98422999994</v>
      </c>
      <c r="AG1706" s="106">
        <f>SUMIF($AS:$AS,$AT1706,AG:AG)</f>
        <v>-567641.31377000001</v>
      </c>
      <c r="AH1706" s="106">
        <f>SUMIF($AS:$AS,$AT1706,AH:AH)</f>
        <v>-568287.92910000018</v>
      </c>
      <c r="AI1706" s="106">
        <f>SUMIF($AS:$AS,$AT1706,AI:AI)</f>
        <v>-568929.18354999996</v>
      </c>
      <c r="AJ1706" s="106">
        <f>SUMIF($AS:$AS,$AT1706,AJ:AJ)</f>
        <v>-569569.38010000007</v>
      </c>
      <c r="AK1706" s="106">
        <f>SUMIF($AS:$AS,$AT1706,AK:AK)</f>
        <v>-570429.28584999975</v>
      </c>
      <c r="AL1706" s="106">
        <f>SUMIF($AS:$AS,$AT1706,AL:AL)</f>
        <v>-579104.60510999977</v>
      </c>
      <c r="AM1706" s="106">
        <f>SUMIF($AS:$AS,$AT1706,AM:AM)</f>
        <v>-589581.88517999998</v>
      </c>
      <c r="AN1706" s="106">
        <f>SUMIF($AS:$AS,$AT1706,AN:AN)</f>
        <v>-591233.87596999982</v>
      </c>
      <c r="AO1706" s="106">
        <f>SUMIF($AS:$AS,$AT1706,AO:AO)</f>
        <v>-595231.79090999998</v>
      </c>
      <c r="AP1706" s="264"/>
      <c r="AQ1706" s="264"/>
      <c r="AR1706" s="264"/>
      <c r="AS1706" s="125" t="str">
        <f>CONCATENATE(L1706,H1706)</f>
        <v/>
      </c>
      <c r="AT1706" s="248" t="str">
        <f t="shared" ref="AT1706:AT1735" si="648">+CONCATENATE(D$1758,C1706)</f>
        <v>R11Accelerated Depreciation</v>
      </c>
    </row>
    <row r="1707" spans="1:46">
      <c r="A1707" s="283"/>
      <c r="B1707" s="283"/>
      <c r="C1707" s="285" t="s">
        <v>1002</v>
      </c>
      <c r="D1707" s="277"/>
      <c r="E1707" s="278"/>
      <c r="F1707" s="278"/>
      <c r="G1707" s="264"/>
      <c r="H1707" s="279"/>
      <c r="I1707" s="280"/>
      <c r="J1707" s="280"/>
      <c r="K1707" s="279"/>
      <c r="L1707" s="215"/>
      <c r="M1707" s="279"/>
      <c r="N1707" s="281"/>
      <c r="O1707" s="281"/>
      <c r="P1707" s="278"/>
      <c r="Q1707" s="282"/>
      <c r="R1707" s="279"/>
      <c r="S1707" s="279"/>
      <c r="T1707" s="279"/>
      <c r="U1707" s="106">
        <f>SUMIF($AS:$AS,$AT1707,U:U)</f>
        <v>-101248.54483004651</v>
      </c>
      <c r="V1707" s="106">
        <f>SUMIF($AS:$AS,$AT1707,V:V)</f>
        <v>-22376.052032037092</v>
      </c>
      <c r="W1707" s="106">
        <f>SUMIF($AS:$AS,$AT1707,W:W)</f>
        <v>0</v>
      </c>
      <c r="X1707" s="106">
        <f>SUMIF($AS:$AS,$AT1707,X:X)</f>
        <v>-123624.59686208359</v>
      </c>
      <c r="Y1707" s="106">
        <f>SUMIF($AS:$AS,$AT1707,Y:Y)</f>
        <v>-94209.039443610003</v>
      </c>
      <c r="Z1707" s="106">
        <f>SUMIF($AS:$AS,$AT1707,Z:Z)</f>
        <v>-20820.312746390002</v>
      </c>
      <c r="AA1707" s="106">
        <f>SUMIF($AS:$AS,$AT1707,AA:AA)</f>
        <v>0</v>
      </c>
      <c r="AB1707" s="106">
        <f>SUMIF($AS:$AS,$AT1707,AB:AB)</f>
        <v>-115029.35218999996</v>
      </c>
      <c r="AC1707" s="106">
        <f>SUMIF($AS:$AS,$AT1707,AC:AC)</f>
        <v>-132219.47417999987</v>
      </c>
      <c r="AD1707" s="106">
        <f>SUMIF($AS:$AS,$AT1707,AD:AD)</f>
        <v>-130786.96401999993</v>
      </c>
      <c r="AE1707" s="106">
        <f>SUMIF($AS:$AS,$AT1707,AE:AE)</f>
        <v>-129354.45386999991</v>
      </c>
      <c r="AF1707" s="106">
        <f>SUMIF($AS:$AS,$AT1707,AF:AF)</f>
        <v>-127922.1885499999</v>
      </c>
      <c r="AG1707" s="106">
        <f>SUMIF($AS:$AS,$AT1707,AG:AG)</f>
        <v>-126489.67837999991</v>
      </c>
      <c r="AH1707" s="106">
        <f>SUMIF($AS:$AS,$AT1707,AH:AH)</f>
        <v>-125057.16823999991</v>
      </c>
      <c r="AI1707" s="106">
        <f>SUMIF($AS:$AS,$AT1707,AI:AI)</f>
        <v>-123624.65807999991</v>
      </c>
      <c r="AJ1707" s="106">
        <f>SUMIF($AS:$AS,$AT1707,AJ:AJ)</f>
        <v>-122192.14790999994</v>
      </c>
      <c r="AK1707" s="106">
        <f>SUMIF($AS:$AS,$AT1707,AK:AK)</f>
        <v>-120759.63775999993</v>
      </c>
      <c r="AL1707" s="106">
        <f>SUMIF($AS:$AS,$AT1707,AL:AL)</f>
        <v>-119327.12759999992</v>
      </c>
      <c r="AM1707" s="106">
        <f>SUMIF($AS:$AS,$AT1707,AM:AM)</f>
        <v>-117894.61744999993</v>
      </c>
      <c r="AN1707" s="106">
        <f>SUMIF($AS:$AS,$AT1707,AN:AN)</f>
        <v>-116462.10729999995</v>
      </c>
      <c r="AO1707" s="106">
        <f>SUMIF($AS:$AS,$AT1707,AO:AO)</f>
        <v>-115029.35218999996</v>
      </c>
      <c r="AP1707" s="264"/>
      <c r="AQ1707" s="264"/>
      <c r="AR1707" s="264"/>
      <c r="AS1707" s="125" t="str">
        <f>CONCATENATE(L1707,H1707)</f>
        <v/>
      </c>
      <c r="AT1707" s="248" t="str">
        <f t="shared" si="648"/>
        <v>R11Accrued Pension</v>
      </c>
    </row>
    <row r="1708" spans="1:46">
      <c r="A1708" s="283"/>
      <c r="B1708" s="283"/>
      <c r="C1708" s="285" t="s">
        <v>275</v>
      </c>
      <c r="D1708" s="277"/>
      <c r="E1708" s="278"/>
      <c r="F1708" s="278"/>
      <c r="G1708" s="264"/>
      <c r="H1708" s="279"/>
      <c r="I1708" s="280"/>
      <c r="J1708" s="280"/>
      <c r="K1708" s="279"/>
      <c r="L1708" s="215"/>
      <c r="M1708" s="279"/>
      <c r="N1708" s="281"/>
      <c r="O1708" s="281"/>
      <c r="P1708" s="278"/>
      <c r="Q1708" s="282"/>
      <c r="R1708" s="279"/>
      <c r="S1708" s="279"/>
      <c r="T1708" s="279"/>
      <c r="U1708" s="106">
        <f>SUMIF($AS:$AS,$AT1708,U:U)</f>
        <v>-6.3E-2</v>
      </c>
      <c r="V1708" s="106">
        <f>SUMIF($AS:$AS,$AT1708,V:V)</f>
        <v>0</v>
      </c>
      <c r="W1708" s="106">
        <f>SUMIF($AS:$AS,$AT1708,W:W)</f>
        <v>0</v>
      </c>
      <c r="X1708" s="106">
        <f>SUMIF($AS:$AS,$AT1708,X:X)</f>
        <v>-6.3E-2</v>
      </c>
      <c r="Y1708" s="106">
        <f>SUMIF($AS:$AS,$AT1708,Y:Y)</f>
        <v>-7.1999999999999995E-2</v>
      </c>
      <c r="Z1708" s="106">
        <f>SUMIF($AS:$AS,$AT1708,Z:Z)</f>
        <v>0</v>
      </c>
      <c r="AA1708" s="106">
        <f>SUMIF($AS:$AS,$AT1708,AA:AA)</f>
        <v>0</v>
      </c>
      <c r="AB1708" s="106">
        <f>SUMIF($AS:$AS,$AT1708,AB:AB)</f>
        <v>-7.1999999999999995E-2</v>
      </c>
      <c r="AC1708" s="106">
        <f>SUMIF($AS:$AS,$AT1708,AC:AC)</f>
        <v>0</v>
      </c>
      <c r="AD1708" s="106">
        <f>SUMIF($AS:$AS,$AT1708,AD:AD)</f>
        <v>-7.1999999999999995E-2</v>
      </c>
      <c r="AE1708" s="106">
        <f>SUMIF($AS:$AS,$AT1708,AE:AE)</f>
        <v>0</v>
      </c>
      <c r="AF1708" s="106">
        <f>SUMIF($AS:$AS,$AT1708,AF:AF)</f>
        <v>-7.1999999999999995E-2</v>
      </c>
      <c r="AG1708" s="106">
        <f>SUMIF($AS:$AS,$AT1708,AG:AG)</f>
        <v>-7.1999999999999995E-2</v>
      </c>
      <c r="AH1708" s="106">
        <f>SUMIF($AS:$AS,$AT1708,AH:AH)</f>
        <v>-7.1999999999999995E-2</v>
      </c>
      <c r="AI1708" s="106">
        <f>SUMIF($AS:$AS,$AT1708,AI:AI)</f>
        <v>-7.1999999999999995E-2</v>
      </c>
      <c r="AJ1708" s="106">
        <f>SUMIF($AS:$AS,$AT1708,AJ:AJ)</f>
        <v>-7.1999999999999995E-2</v>
      </c>
      <c r="AK1708" s="106">
        <f>SUMIF($AS:$AS,$AT1708,AK:AK)</f>
        <v>-7.1999999999999995E-2</v>
      </c>
      <c r="AL1708" s="106">
        <f>SUMIF($AS:$AS,$AT1708,AL:AL)</f>
        <v>-7.1999999999999995E-2</v>
      </c>
      <c r="AM1708" s="106">
        <f>SUMIF($AS:$AS,$AT1708,AM:AM)</f>
        <v>-7.1999999999999995E-2</v>
      </c>
      <c r="AN1708" s="106">
        <f>SUMIF($AS:$AS,$AT1708,AN:AN)</f>
        <v>-7.1999999999999995E-2</v>
      </c>
      <c r="AO1708" s="106">
        <f>SUMIF($AS:$AS,$AT1708,AO:AO)</f>
        <v>-7.1999999999999995E-2</v>
      </c>
      <c r="AP1708" s="264"/>
      <c r="AQ1708" s="264"/>
      <c r="AR1708" s="264"/>
      <c r="AS1708" s="125" t="str">
        <f>CONCATENATE(L1708,H1708)</f>
        <v/>
      </c>
      <c r="AT1708" s="248" t="str">
        <f t="shared" si="648"/>
        <v>R11Asbestos Abatement</v>
      </c>
    </row>
    <row r="1709" spans="1:46">
      <c r="A1709" s="283"/>
      <c r="B1709" s="283"/>
      <c r="C1709" s="285" t="s">
        <v>2976</v>
      </c>
      <c r="D1709" s="277"/>
      <c r="E1709" s="278"/>
      <c r="F1709" s="278"/>
      <c r="G1709" s="264"/>
      <c r="H1709" s="279"/>
      <c r="I1709" s="280"/>
      <c r="J1709" s="280"/>
      <c r="K1709" s="279"/>
      <c r="L1709" s="215"/>
      <c r="M1709" s="279"/>
      <c r="N1709" s="281"/>
      <c r="O1709" s="281"/>
      <c r="P1709" s="278"/>
      <c r="Q1709" s="282"/>
      <c r="R1709" s="279"/>
      <c r="S1709" s="279"/>
      <c r="T1709" s="279"/>
      <c r="U1709" s="106">
        <f>SUMIF($AS:$AS,$AT1709,U:U)</f>
        <v>614.80035625000028</v>
      </c>
      <c r="V1709" s="106">
        <f>SUMIF($AS:$AS,$AT1709,V:V)</f>
        <v>-1300.5895470833334</v>
      </c>
      <c r="W1709" s="106">
        <f>SUMIF($AS:$AS,$AT1709,W:W)</f>
        <v>0</v>
      </c>
      <c r="X1709" s="106">
        <f>SUMIF($AS:$AS,$AT1709,X:X)</f>
        <v>-685.78919083333301</v>
      </c>
      <c r="Y1709" s="106">
        <f>SUMIF($AS:$AS,$AT1709,Y:Y)</f>
        <v>840.65090000000032</v>
      </c>
      <c r="Z1709" s="106">
        <f>SUMIF($AS:$AS,$AT1709,Z:Z)</f>
        <v>-1341.2872099999995</v>
      </c>
      <c r="AA1709" s="106">
        <f>SUMIF($AS:$AS,$AT1709,AA:AA)</f>
        <v>0</v>
      </c>
      <c r="AB1709" s="106">
        <f>SUMIF($AS:$AS,$AT1709,AB:AB)</f>
        <v>-500.63630999999737</v>
      </c>
      <c r="AC1709" s="106">
        <f>SUMIF($AS:$AS,$AT1709,AC:AC)</f>
        <v>-729.71528999999919</v>
      </c>
      <c r="AD1709" s="106">
        <f>SUMIF($AS:$AS,$AT1709,AD:AD)</f>
        <v>-724.37342999999976</v>
      </c>
      <c r="AE1709" s="106">
        <f>SUMIF($AS:$AS,$AT1709,AE:AE)</f>
        <v>-724.81299999999908</v>
      </c>
      <c r="AF1709" s="106">
        <f>SUMIF($AS:$AS,$AT1709,AF:AF)</f>
        <v>-733.35873999999899</v>
      </c>
      <c r="AG1709" s="106">
        <f>SUMIF($AS:$AS,$AT1709,AG:AG)</f>
        <v>-730.91588999999954</v>
      </c>
      <c r="AH1709" s="106">
        <f>SUMIF($AS:$AS,$AT1709,AH:AH)</f>
        <v>-740.61592999999857</v>
      </c>
      <c r="AI1709" s="106">
        <f>SUMIF($AS:$AS,$AT1709,AI:AI)</f>
        <v>-753.26746999999807</v>
      </c>
      <c r="AJ1709" s="106">
        <f>SUMIF($AS:$AS,$AT1709,AJ:AJ)</f>
        <v>-724.06988999999862</v>
      </c>
      <c r="AK1709" s="106">
        <f>SUMIF($AS:$AS,$AT1709,AK:AK)</f>
        <v>-688.3564099999985</v>
      </c>
      <c r="AL1709" s="106">
        <f>SUMIF($AS:$AS,$AT1709,AL:AL)</f>
        <v>-646.5698499999985</v>
      </c>
      <c r="AM1709" s="106">
        <f>SUMIF($AS:$AS,$AT1709,AM:AM)</f>
        <v>-602.51808999999855</v>
      </c>
      <c r="AN1709" s="106">
        <f>SUMIF($AS:$AS,$AT1709,AN:AN)</f>
        <v>-545.43578999999795</v>
      </c>
      <c r="AO1709" s="106">
        <f>SUMIF($AS:$AS,$AT1709,AO:AO)</f>
        <v>-500.63630999999737</v>
      </c>
      <c r="AP1709" s="264"/>
      <c r="AQ1709" s="264"/>
      <c r="AR1709" s="264"/>
      <c r="AS1709" s="125" t="str">
        <f>CONCATENATE(L1709,H1709)</f>
        <v/>
      </c>
      <c r="AT1709" s="248" t="str">
        <f t="shared" si="648"/>
        <v>R11Capitalized Interest</v>
      </c>
    </row>
    <row r="1710" spans="1:46">
      <c r="A1710" s="283"/>
      <c r="B1710" s="283"/>
      <c r="C1710" s="285" t="s">
        <v>1805</v>
      </c>
      <c r="D1710" s="277"/>
      <c r="E1710" s="278"/>
      <c r="F1710" s="278"/>
      <c r="G1710" s="264"/>
      <c r="H1710" s="279"/>
      <c r="I1710" s="280"/>
      <c r="J1710" s="280"/>
      <c r="K1710" s="279"/>
      <c r="L1710" s="215"/>
      <c r="M1710" s="279"/>
      <c r="N1710" s="281"/>
      <c r="O1710" s="281"/>
      <c r="P1710" s="278"/>
      <c r="Q1710" s="282"/>
      <c r="R1710" s="279"/>
      <c r="S1710" s="279"/>
      <c r="T1710" s="279"/>
      <c r="U1710" s="106">
        <f>SUMIF($AS:$AS,$AT1710,U:U)</f>
        <v>4.2916666436000014E-5</v>
      </c>
      <c r="V1710" s="106">
        <f>SUMIF($AS:$AS,$AT1710,V:V)</f>
        <v>-1.8700000000000001E-13</v>
      </c>
      <c r="W1710" s="106">
        <f>SUMIF($AS:$AS,$AT1710,W:W)</f>
        <v>0</v>
      </c>
      <c r="X1710" s="106">
        <f>SUMIF($AS:$AS,$AT1710,X:X)</f>
        <v>4.2916666249000021E-5</v>
      </c>
      <c r="Y1710" s="106">
        <f>SUMIF($AS:$AS,$AT1710,Y:Y)</f>
        <v>3.9999999769000017E-5</v>
      </c>
      <c r="Z1710" s="106">
        <f>SUMIF($AS:$AS,$AT1710,Z:Z)</f>
        <v>-1.8700000000000001E-13</v>
      </c>
      <c r="AA1710" s="106">
        <f>SUMIF($AS:$AS,$AT1710,AA:AA)</f>
        <v>0</v>
      </c>
      <c r="AB1710" s="106">
        <f>SUMIF($AS:$AS,$AT1710,AB:AB)</f>
        <v>3.9999999582278204E-5</v>
      </c>
      <c r="AC1710" s="106">
        <f>SUMIF($AS:$AS,$AT1710,AC:AC)</f>
        <v>1.0999999959017263E-4</v>
      </c>
      <c r="AD1710" s="106">
        <f>SUMIF($AS:$AS,$AT1710,AD:AD)</f>
        <v>3.9999999582278204E-5</v>
      </c>
      <c r="AE1710" s="106">
        <f>SUMIF($AS:$AS,$AT1710,AE:AE)</f>
        <v>3.9999999582278204E-5</v>
      </c>
      <c r="AF1710" s="106">
        <f>SUMIF($AS:$AS,$AT1710,AF:AF)</f>
        <v>3.9999999582278204E-5</v>
      </c>
      <c r="AG1710" s="106">
        <f>SUMIF($AS:$AS,$AT1710,AG:AG)</f>
        <v>3.9999999582278204E-5</v>
      </c>
      <c r="AH1710" s="106">
        <f>SUMIF($AS:$AS,$AT1710,AH:AH)</f>
        <v>3.9999999582278204E-5</v>
      </c>
      <c r="AI1710" s="106">
        <f>SUMIF($AS:$AS,$AT1710,AI:AI)</f>
        <v>3.9999999582278204E-5</v>
      </c>
      <c r="AJ1710" s="106">
        <f>SUMIF($AS:$AS,$AT1710,AJ:AJ)</f>
        <v>3.9999999582278204E-5</v>
      </c>
      <c r="AK1710" s="106">
        <f>SUMIF($AS:$AS,$AT1710,AK:AK)</f>
        <v>3.9999999582278204E-5</v>
      </c>
      <c r="AL1710" s="106">
        <f>SUMIF($AS:$AS,$AT1710,AL:AL)</f>
        <v>3.9999999582278204E-5</v>
      </c>
      <c r="AM1710" s="106">
        <f>SUMIF($AS:$AS,$AT1710,AM:AM)</f>
        <v>3.9999999582278204E-5</v>
      </c>
      <c r="AN1710" s="106">
        <f>SUMIF($AS:$AS,$AT1710,AN:AN)</f>
        <v>3.9999999582278204E-5</v>
      </c>
      <c r="AO1710" s="106">
        <f>SUMIF($AS:$AS,$AT1710,AO:AO)</f>
        <v>3.9999999582278204E-5</v>
      </c>
      <c r="AP1710" s="264"/>
      <c r="AQ1710" s="264"/>
      <c r="AR1710" s="264"/>
      <c r="AS1710" s="125"/>
      <c r="AT1710" s="248" t="str">
        <f t="shared" si="648"/>
        <v>R11Capitalized Installation Costs</v>
      </c>
    </row>
    <row r="1711" spans="1:46">
      <c r="A1711" s="283"/>
      <c r="B1711" s="283"/>
      <c r="C1711" s="285" t="s">
        <v>1799</v>
      </c>
      <c r="D1711" s="277"/>
      <c r="E1711" s="278"/>
      <c r="F1711" s="278"/>
      <c r="G1711" s="264"/>
      <c r="H1711" s="279"/>
      <c r="I1711" s="280"/>
      <c r="J1711" s="280"/>
      <c r="K1711" s="279"/>
      <c r="L1711" s="215"/>
      <c r="M1711" s="279"/>
      <c r="N1711" s="281"/>
      <c r="O1711" s="281"/>
      <c r="P1711" s="278"/>
      <c r="Q1711" s="282"/>
      <c r="R1711" s="279"/>
      <c r="S1711" s="279"/>
      <c r="T1711" s="279"/>
      <c r="U1711" s="106">
        <f>SUMIF($AS:$AS,$AT1711,U:U)</f>
        <v>-10854.5349816667</v>
      </c>
      <c r="V1711" s="106">
        <f>SUMIF($AS:$AS,$AT1711,V:V)</f>
        <v>-2265.1179999999999</v>
      </c>
      <c r="W1711" s="106">
        <f>SUMIF($AS:$AS,$AT1711,W:W)</f>
        <v>0</v>
      </c>
      <c r="X1711" s="106">
        <f>SUMIF($AS:$AS,$AT1711,X:X)</f>
        <v>-13119.652981666701</v>
      </c>
      <c r="Y1711" s="106">
        <f>SUMIF($AS:$AS,$AT1711,Y:Y)</f>
        <v>-11198.535</v>
      </c>
      <c r="Z1711" s="106">
        <f>SUMIF($AS:$AS,$AT1711,Z:Z)</f>
        <v>-2358.1179999999999</v>
      </c>
      <c r="AA1711" s="106">
        <f>SUMIF($AS:$AS,$AT1711,AA:AA)</f>
        <v>0</v>
      </c>
      <c r="AB1711" s="106">
        <f>SUMIF($AS:$AS,$AT1711,AB:AB)</f>
        <v>-13556.653</v>
      </c>
      <c r="AC1711" s="106">
        <f>SUMIF($AS:$AS,$AT1711,AC:AC)</f>
        <v>-12682.653</v>
      </c>
      <c r="AD1711" s="106">
        <f>SUMIF($AS:$AS,$AT1711,AD:AD)</f>
        <v>-12755.48633</v>
      </c>
      <c r="AE1711" s="106">
        <f>SUMIF($AS:$AS,$AT1711,AE:AE)</f>
        <v>-12828.319660000001</v>
      </c>
      <c r="AF1711" s="106">
        <f>SUMIF($AS:$AS,$AT1711,AF:AF)</f>
        <v>-12901.152990000001</v>
      </c>
      <c r="AG1711" s="106">
        <f>SUMIF($AS:$AS,$AT1711,AG:AG)</f>
        <v>-12973.98632</v>
      </c>
      <c r="AH1711" s="106">
        <f>SUMIF($AS:$AS,$AT1711,AH:AH)</f>
        <v>-13046.819650000001</v>
      </c>
      <c r="AI1711" s="106">
        <f>SUMIF($AS:$AS,$AT1711,AI:AI)</f>
        <v>-13119.652980000001</v>
      </c>
      <c r="AJ1711" s="106">
        <f>SUMIF($AS:$AS,$AT1711,AJ:AJ)</f>
        <v>-13192.48631</v>
      </c>
      <c r="AK1711" s="106">
        <f>SUMIF($AS:$AS,$AT1711,AK:AK)</f>
        <v>-13265.319640000002</v>
      </c>
      <c r="AL1711" s="106">
        <f>SUMIF($AS:$AS,$AT1711,AL:AL)</f>
        <v>-13338.152970000001</v>
      </c>
      <c r="AM1711" s="106">
        <f>SUMIF($AS:$AS,$AT1711,AM:AM)</f>
        <v>-13410.9863</v>
      </c>
      <c r="AN1711" s="106">
        <f>SUMIF($AS:$AS,$AT1711,AN:AN)</f>
        <v>-13483.819630000002</v>
      </c>
      <c r="AO1711" s="106">
        <f>SUMIF($AS:$AS,$AT1711,AO:AO)</f>
        <v>-13556.653</v>
      </c>
      <c r="AP1711" s="264"/>
      <c r="AQ1711" s="264"/>
      <c r="AR1711" s="264"/>
      <c r="AS1711" s="125"/>
      <c r="AT1711" s="248" t="str">
        <f t="shared" si="648"/>
        <v>R11Capitalized Pension</v>
      </c>
    </row>
    <row r="1712" spans="1:46">
      <c r="A1712" s="283"/>
      <c r="B1712" s="283"/>
      <c r="C1712" s="285" t="s">
        <v>1166</v>
      </c>
      <c r="D1712" s="277"/>
      <c r="E1712" s="278"/>
      <c r="F1712" s="278"/>
      <c r="G1712" s="264"/>
      <c r="H1712" s="279"/>
      <c r="I1712" s="280"/>
      <c r="J1712" s="280"/>
      <c r="K1712" s="279"/>
      <c r="L1712" s="215"/>
      <c r="M1712" s="279"/>
      <c r="N1712" s="281"/>
      <c r="O1712" s="281"/>
      <c r="P1712" s="278"/>
      <c r="Q1712" s="282"/>
      <c r="R1712" s="279"/>
      <c r="S1712" s="279"/>
      <c r="T1712" s="279"/>
      <c r="U1712" s="106">
        <f>SUMIF($AS:$AS,$AT1712,U:U)</f>
        <v>-3531.7955183333343</v>
      </c>
      <c r="V1712" s="106">
        <f>SUMIF($AS:$AS,$AT1712,V:V)</f>
        <v>0</v>
      </c>
      <c r="W1712" s="106">
        <f>SUMIF($AS:$AS,$AT1712,W:W)</f>
        <v>0</v>
      </c>
      <c r="X1712" s="106">
        <f>SUMIF($AS:$AS,$AT1712,X:X)</f>
        <v>-3531.7955183333343</v>
      </c>
      <c r="Y1712" s="106">
        <f>SUMIF($AS:$AS,$AT1712,Y:Y)</f>
        <v>-3450.7950000000001</v>
      </c>
      <c r="Z1712" s="106">
        <f>SUMIF($AS:$AS,$AT1712,Z:Z)</f>
        <v>0</v>
      </c>
      <c r="AA1712" s="106">
        <f>SUMIF($AS:$AS,$AT1712,AA:AA)</f>
        <v>0</v>
      </c>
      <c r="AB1712" s="106">
        <f>SUMIF($AS:$AS,$AT1712,AB:AB)</f>
        <v>-3450.7950000000005</v>
      </c>
      <c r="AC1712" s="106">
        <f>SUMIF($AS:$AS,$AT1712,AC:AC)</f>
        <v>-3612.7959999999998</v>
      </c>
      <c r="AD1712" s="106">
        <f>SUMIF($AS:$AS,$AT1712,AD:AD)</f>
        <v>-3599.29592</v>
      </c>
      <c r="AE1712" s="106">
        <f>SUMIF($AS:$AS,$AT1712,AE:AE)</f>
        <v>-3585.7958400000002</v>
      </c>
      <c r="AF1712" s="106">
        <f>SUMIF($AS:$AS,$AT1712,AF:AF)</f>
        <v>-3572.2957600000004</v>
      </c>
      <c r="AG1712" s="106">
        <f>SUMIF($AS:$AS,$AT1712,AG:AG)</f>
        <v>-3558.7956800000002</v>
      </c>
      <c r="AH1712" s="106">
        <f>SUMIF($AS:$AS,$AT1712,AH:AH)</f>
        <v>-3545.2956000000004</v>
      </c>
      <c r="AI1712" s="106">
        <f>SUMIF($AS:$AS,$AT1712,AI:AI)</f>
        <v>-3531.7955200000006</v>
      </c>
      <c r="AJ1712" s="106">
        <f>SUMIF($AS:$AS,$AT1712,AJ:AJ)</f>
        <v>-3518.2954399999999</v>
      </c>
      <c r="AK1712" s="106">
        <f>SUMIF($AS:$AS,$AT1712,AK:AK)</f>
        <v>-3504.7953600000001</v>
      </c>
      <c r="AL1712" s="106">
        <f>SUMIF($AS:$AS,$AT1712,AL:AL)</f>
        <v>-3491.2952800000003</v>
      </c>
      <c r="AM1712" s="106">
        <f>SUMIF($AS:$AS,$AT1712,AM:AM)</f>
        <v>-3477.7952</v>
      </c>
      <c r="AN1712" s="106">
        <f>SUMIF($AS:$AS,$AT1712,AN:AN)</f>
        <v>-3464.2951200000002</v>
      </c>
      <c r="AO1712" s="106">
        <f>SUMIF($AS:$AS,$AT1712,AO:AO)</f>
        <v>-3450.7950000000005</v>
      </c>
      <c r="AP1712" s="264"/>
      <c r="AQ1712" s="264"/>
      <c r="AR1712" s="264"/>
      <c r="AS1712" s="125"/>
      <c r="AT1712" s="248" t="str">
        <f t="shared" si="648"/>
        <v>R11Capitalized Storm</v>
      </c>
    </row>
    <row r="1713" spans="1:46">
      <c r="A1713" s="283"/>
      <c r="B1713" s="283"/>
      <c r="C1713" s="285" t="s">
        <v>968</v>
      </c>
      <c r="D1713" s="277"/>
      <c r="E1713" s="278"/>
      <c r="F1713" s="278"/>
      <c r="G1713" s="264"/>
      <c r="H1713" s="279"/>
      <c r="I1713" s="280"/>
      <c r="J1713" s="280"/>
      <c r="K1713" s="279"/>
      <c r="L1713" s="215"/>
      <c r="M1713" s="279"/>
      <c r="N1713" s="281"/>
      <c r="O1713" s="281"/>
      <c r="P1713" s="278"/>
      <c r="Q1713" s="282"/>
      <c r="R1713" s="279"/>
      <c r="S1713" s="279"/>
      <c r="T1713" s="279"/>
      <c r="U1713" s="106">
        <f>SUMIF($AS:$AS,$AT1713,U:U)</f>
        <v>-9093.3398212499742</v>
      </c>
      <c r="V1713" s="106">
        <f>SUMIF($AS:$AS,$AT1713,V:V)</f>
        <v>0</v>
      </c>
      <c r="W1713" s="106">
        <f>SUMIF($AS:$AS,$AT1713,W:W)</f>
        <v>0</v>
      </c>
      <c r="X1713" s="106">
        <f>SUMIF($AS:$AS,$AT1713,X:X)</f>
        <v>-9093.3398212499742</v>
      </c>
      <c r="Y1713" s="106">
        <f>SUMIF($AS:$AS,$AT1713,Y:Y)</f>
        <v>-2658.4037799999746</v>
      </c>
      <c r="Z1713" s="106">
        <f>SUMIF($AS:$AS,$AT1713,Z:Z)</f>
        <v>0</v>
      </c>
      <c r="AA1713" s="106">
        <f>SUMIF($AS:$AS,$AT1713,AA:AA)</f>
        <v>0</v>
      </c>
      <c r="AB1713" s="106">
        <f>SUMIF($AS:$AS,$AT1713,AB:AB)</f>
        <v>-2658.4037799999796</v>
      </c>
      <c r="AC1713" s="106">
        <f>SUMIF($AS:$AS,$AT1713,AC:AC)</f>
        <v>-15528.27578999998</v>
      </c>
      <c r="AD1713" s="106">
        <f>SUMIF($AS:$AS,$AT1713,AD:AD)</f>
        <v>-14455.786459999983</v>
      </c>
      <c r="AE1713" s="106">
        <f>SUMIF($AS:$AS,$AT1713,AE:AE)</f>
        <v>-13383.297129999981</v>
      </c>
      <c r="AF1713" s="106">
        <f>SUMIF($AS:$AS,$AT1713,AF:AF)</f>
        <v>-12310.80780999998</v>
      </c>
      <c r="AG1713" s="106">
        <f>SUMIF($AS:$AS,$AT1713,AG:AG)</f>
        <v>-11238.31847999998</v>
      </c>
      <c r="AH1713" s="106">
        <f>SUMIF($AS:$AS,$AT1713,AH:AH)</f>
        <v>-10165.829149999983</v>
      </c>
      <c r="AI1713" s="106">
        <f>SUMIF($AS:$AS,$AT1713,AI:AI)</f>
        <v>-9093.3398199999792</v>
      </c>
      <c r="AJ1713" s="106">
        <f>SUMIF($AS:$AS,$AT1713,AJ:AJ)</f>
        <v>-8020.8504999999805</v>
      </c>
      <c r="AK1713" s="106">
        <f>SUMIF($AS:$AS,$AT1713,AK:AK)</f>
        <v>-6948.3611699999801</v>
      </c>
      <c r="AL1713" s="106">
        <f>SUMIF($AS:$AS,$AT1713,AL:AL)</f>
        <v>-5875.8718399999798</v>
      </c>
      <c r="AM1713" s="106">
        <f>SUMIF($AS:$AS,$AT1713,AM:AM)</f>
        <v>-4803.3825099999794</v>
      </c>
      <c r="AN1713" s="106">
        <f>SUMIF($AS:$AS,$AT1713,AN:AN)</f>
        <v>-3730.8931999999795</v>
      </c>
      <c r="AO1713" s="106">
        <f>SUMIF($AS:$AS,$AT1713,AO:AO)</f>
        <v>-2658.4037799999796</v>
      </c>
      <c r="AP1713" s="264"/>
      <c r="AQ1713" s="264"/>
      <c r="AR1713" s="264"/>
      <c r="AS1713" s="125"/>
      <c r="AT1713" s="248" t="str">
        <f t="shared" si="648"/>
        <v>R11Casualty Loss</v>
      </c>
    </row>
    <row r="1714" spans="1:46">
      <c r="A1714" s="283"/>
      <c r="B1714" s="283"/>
      <c r="C1714" s="285" t="s">
        <v>4673</v>
      </c>
      <c r="D1714" s="277"/>
      <c r="E1714" s="278"/>
      <c r="F1714" s="278"/>
      <c r="G1714" s="264"/>
      <c r="H1714" s="279"/>
      <c r="I1714" s="280"/>
      <c r="J1714" s="280"/>
      <c r="K1714" s="279"/>
      <c r="L1714" s="215"/>
      <c r="M1714" s="279"/>
      <c r="N1714" s="281"/>
      <c r="O1714" s="281"/>
      <c r="P1714" s="278"/>
      <c r="Q1714" s="282"/>
      <c r="R1714" s="279"/>
      <c r="S1714" s="279"/>
      <c r="T1714" s="279"/>
      <c r="U1714" s="106">
        <f>SUMIF($AS:$AS,$AT1714,U:U)</f>
        <v>-1339.5317083333298</v>
      </c>
      <c r="V1714" s="106">
        <f>SUMIF($AS:$AS,$AT1714,V:V)</f>
        <v>299.23631208333302</v>
      </c>
      <c r="W1714" s="106">
        <f>SUMIF($AS:$AS,$AT1714,W:W)</f>
        <v>0</v>
      </c>
      <c r="X1714" s="106">
        <f>SUMIF($AS:$AS,$AT1714,X:X)</f>
        <v>-1040.2953962499969</v>
      </c>
      <c r="Y1714" s="106">
        <f>SUMIF($AS:$AS,$AT1714,Y:Y)</f>
        <v>-2716.7967000000003</v>
      </c>
      <c r="Z1714" s="106">
        <f>SUMIF($AS:$AS,$AT1714,Z:Z)</f>
        <v>606.90181000000007</v>
      </c>
      <c r="AA1714" s="106">
        <f>SUMIF($AS:$AS,$AT1714,AA:AA)</f>
        <v>0</v>
      </c>
      <c r="AB1714" s="106">
        <f>SUMIF($AS:$AS,$AT1714,AB:AB)</f>
        <v>-2109.89489</v>
      </c>
      <c r="AC1714" s="106">
        <f>SUMIF($AS:$AS,$AT1714,AC:AC)</f>
        <v>0</v>
      </c>
      <c r="AD1714" s="106">
        <f>SUMIF($AS:$AS,$AT1714,AD:AD)</f>
        <v>0</v>
      </c>
      <c r="AE1714" s="106">
        <f>SUMIF($AS:$AS,$AT1714,AE:AE)</f>
        <v>-351.64914000000005</v>
      </c>
      <c r="AF1714" s="106">
        <f>SUMIF($AS:$AS,$AT1714,AF:AF)</f>
        <v>-527.47373000000005</v>
      </c>
      <c r="AG1714" s="106">
        <f>SUMIF($AS:$AS,$AT1714,AG:AG)</f>
        <v>-703.29830000000015</v>
      </c>
      <c r="AH1714" s="106">
        <f>SUMIF($AS:$AS,$AT1714,AH:AH)</f>
        <v>-879.12286999999992</v>
      </c>
      <c r="AI1714" s="106">
        <f>SUMIF($AS:$AS,$AT1714,AI:AI)</f>
        <v>-1054.9474400000001</v>
      </c>
      <c r="AJ1714" s="106">
        <f>SUMIF($AS:$AS,$AT1714,AJ:AJ)</f>
        <v>-1230.7720300000001</v>
      </c>
      <c r="AK1714" s="106">
        <f>SUMIF($AS:$AS,$AT1714,AK:AK)</f>
        <v>-1406.5965900000001</v>
      </c>
      <c r="AL1714" s="106">
        <f>SUMIF($AS:$AS,$AT1714,AL:AL)</f>
        <v>-1582.4211700000001</v>
      </c>
      <c r="AM1714" s="106">
        <f>SUMIF($AS:$AS,$AT1714,AM:AM)</f>
        <v>-1758.2457300000001</v>
      </c>
      <c r="AN1714" s="106">
        <f>SUMIF($AS:$AS,$AT1714,AN:AN)</f>
        <v>-1934.0703100000001</v>
      </c>
      <c r="AO1714" s="106">
        <f>SUMIF($AS:$AS,$AT1714,AO:AO)</f>
        <v>-2109.89489</v>
      </c>
      <c r="AP1714" s="264"/>
      <c r="AQ1714" s="264"/>
      <c r="AR1714" s="264"/>
      <c r="AS1714" s="125"/>
      <c r="AT1714" s="248" t="str">
        <f>+CONCATENATE(D$1758,C1714)</f>
        <v>R11Continuation of Current Amorts Until New Rates Reset</v>
      </c>
    </row>
    <row r="1715" spans="1:46">
      <c r="A1715" s="283"/>
      <c r="B1715" s="283"/>
      <c r="C1715" s="285" t="s">
        <v>218</v>
      </c>
      <c r="D1715" s="277"/>
      <c r="E1715" s="278"/>
      <c r="F1715" s="278"/>
      <c r="G1715" s="264"/>
      <c r="H1715" s="279"/>
      <c r="I1715" s="280"/>
      <c r="J1715" s="280"/>
      <c r="K1715" s="279"/>
      <c r="L1715" s="215"/>
      <c r="M1715" s="279"/>
      <c r="N1715" s="281"/>
      <c r="O1715" s="281"/>
      <c r="P1715" s="278"/>
      <c r="Q1715" s="282"/>
      <c r="R1715" s="279"/>
      <c r="S1715" s="279"/>
      <c r="T1715" s="279"/>
      <c r="U1715" s="106">
        <f>SUMIF($AS:$AS,$AT1715,U:U)</f>
        <v>26726.076039583364</v>
      </c>
      <c r="V1715" s="106">
        <f>SUMIF($AS:$AS,$AT1715,V:V)</f>
        <v>6506.5672720833354</v>
      </c>
      <c r="W1715" s="106">
        <f>SUMIF($AS:$AS,$AT1715,W:W)</f>
        <v>0</v>
      </c>
      <c r="X1715" s="106">
        <f>SUMIF($AS:$AS,$AT1715,X:X)</f>
        <v>33232.643311666696</v>
      </c>
      <c r="Y1715" s="106">
        <f>SUMIF($AS:$AS,$AT1715,Y:Y)</f>
        <v>27636.659109999993</v>
      </c>
      <c r="Z1715" s="106">
        <f>SUMIF($AS:$AS,$AT1715,Z:Z)</f>
        <v>6800.1498900000006</v>
      </c>
      <c r="AA1715" s="106">
        <f>SUMIF($AS:$AS,$AT1715,AA:AA)</f>
        <v>0</v>
      </c>
      <c r="AB1715" s="106">
        <f>SUMIF($AS:$AS,$AT1715,AB:AB)</f>
        <v>34436.808999999994</v>
      </c>
      <c r="AC1715" s="106">
        <f>SUMIF($AS:$AS,$AT1715,AC:AC)</f>
        <v>31862.295479999993</v>
      </c>
      <c r="AD1715" s="106">
        <f>SUMIF($AS:$AS,$AT1715,AD:AD)</f>
        <v>32104.844319999993</v>
      </c>
      <c r="AE1715" s="106">
        <f>SUMIF($AS:$AS,$AT1715,AE:AE)</f>
        <v>32138.41994</v>
      </c>
      <c r="AF1715" s="106">
        <f>SUMIF($AS:$AS,$AT1715,AF:AF)</f>
        <v>32178.887069999993</v>
      </c>
      <c r="AG1715" s="106">
        <f>SUMIF($AS:$AS,$AT1715,AG:AG)</f>
        <v>32363.550309999995</v>
      </c>
      <c r="AH1715" s="106">
        <f>SUMIF($AS:$AS,$AT1715,AH:AH)</f>
        <v>32482.289559999994</v>
      </c>
      <c r="AI1715" s="106">
        <f>SUMIF($AS:$AS,$AT1715,AI:AI)</f>
        <v>33699.871199999994</v>
      </c>
      <c r="AJ1715" s="106">
        <f>SUMIF($AS:$AS,$AT1715,AJ:AJ)</f>
        <v>33797.952469999997</v>
      </c>
      <c r="AK1715" s="106">
        <f>SUMIF($AS:$AS,$AT1715,AK:AK)</f>
        <v>33973.416889999993</v>
      </c>
      <c r="AL1715" s="106">
        <f>SUMIF($AS:$AS,$AT1715,AL:AL)</f>
        <v>34020.369649999993</v>
      </c>
      <c r="AM1715" s="106">
        <f>SUMIF($AS:$AS,$AT1715,AM:AM)</f>
        <v>34217.204469999997</v>
      </c>
      <c r="AN1715" s="106">
        <f>SUMIF($AS:$AS,$AT1715,AN:AN)</f>
        <v>34665.361619999996</v>
      </c>
      <c r="AO1715" s="106">
        <f>SUMIF($AS:$AS,$AT1715,AO:AO)</f>
        <v>34436.808999999994</v>
      </c>
      <c r="AP1715" s="264"/>
      <c r="AQ1715" s="264"/>
      <c r="AR1715" s="264"/>
      <c r="AS1715" s="125" t="str">
        <f>CONCATENATE(L1715,H1715)</f>
        <v/>
      </c>
      <c r="AT1715" s="248" t="str">
        <f t="shared" si="648"/>
        <v>R11Contributions in Aid of Construction</v>
      </c>
    </row>
    <row r="1716" spans="1:46">
      <c r="A1716" s="283"/>
      <c r="B1716" s="283"/>
      <c r="C1716" s="285" t="s">
        <v>1151</v>
      </c>
      <c r="D1716" s="277"/>
      <c r="E1716" s="278"/>
      <c r="F1716" s="278"/>
      <c r="G1716" s="264"/>
      <c r="H1716" s="279"/>
      <c r="I1716" s="280"/>
      <c r="J1716" s="280"/>
      <c r="K1716" s="279"/>
      <c r="L1716" s="215"/>
      <c r="M1716" s="279"/>
      <c r="N1716" s="281"/>
      <c r="O1716" s="281"/>
      <c r="P1716" s="278"/>
      <c r="Q1716" s="282"/>
      <c r="R1716" s="279"/>
      <c r="S1716" s="279"/>
      <c r="T1716" s="279"/>
      <c r="U1716" s="106">
        <f>SUMIF($AS:$AS,$AT1716,U:U)</f>
        <v>-252.49709000000161</v>
      </c>
      <c r="V1716" s="106">
        <f>SUMIF($AS:$AS,$AT1716,V:V)</f>
        <v>28.872539999999439</v>
      </c>
      <c r="W1716" s="106">
        <f>SUMIF($AS:$AS,$AT1716,W:W)</f>
        <v>0</v>
      </c>
      <c r="X1716" s="106">
        <f>SUMIF($AS:$AS,$AT1716,X:X)</f>
        <v>-223.62455000000216</v>
      </c>
      <c r="Y1716" s="106">
        <f>SUMIF($AS:$AS,$AT1716,Y:Y)</f>
        <v>-252.49709000000161</v>
      </c>
      <c r="Z1716" s="106">
        <f>SUMIF($AS:$AS,$AT1716,Z:Z)</f>
        <v>28.872539999999439</v>
      </c>
      <c r="AA1716" s="106">
        <f>SUMIF($AS:$AS,$AT1716,AA:AA)</f>
        <v>0</v>
      </c>
      <c r="AB1716" s="106">
        <f>SUMIF($AS:$AS,$AT1716,AB:AB)</f>
        <v>-223.62455000000176</v>
      </c>
      <c r="AC1716" s="106">
        <f>SUMIF($AS:$AS,$AT1716,AC:AC)</f>
        <v>-223.62455000000176</v>
      </c>
      <c r="AD1716" s="106">
        <f>SUMIF($AS:$AS,$AT1716,AD:AD)</f>
        <v>-223.62455000000176</v>
      </c>
      <c r="AE1716" s="106">
        <f>SUMIF($AS:$AS,$AT1716,AE:AE)</f>
        <v>-223.62455000000176</v>
      </c>
      <c r="AF1716" s="106">
        <f>SUMIF($AS:$AS,$AT1716,AF:AF)</f>
        <v>-223.62455000000176</v>
      </c>
      <c r="AG1716" s="106">
        <f>SUMIF($AS:$AS,$AT1716,AG:AG)</f>
        <v>-223.62455000000176</v>
      </c>
      <c r="AH1716" s="106">
        <f>SUMIF($AS:$AS,$AT1716,AH:AH)</f>
        <v>-223.62455000000176</v>
      </c>
      <c r="AI1716" s="106">
        <f>SUMIF($AS:$AS,$AT1716,AI:AI)</f>
        <v>-223.62455000000176</v>
      </c>
      <c r="AJ1716" s="106">
        <f>SUMIF($AS:$AS,$AT1716,AJ:AJ)</f>
        <v>-223.62455000000176</v>
      </c>
      <c r="AK1716" s="106">
        <f>SUMIF($AS:$AS,$AT1716,AK:AK)</f>
        <v>-223.62455000000176</v>
      </c>
      <c r="AL1716" s="106">
        <f>SUMIF($AS:$AS,$AT1716,AL:AL)</f>
        <v>-223.62455000000176</v>
      </c>
      <c r="AM1716" s="106">
        <f>SUMIF($AS:$AS,$AT1716,AM:AM)</f>
        <v>-223.62455000000176</v>
      </c>
      <c r="AN1716" s="106">
        <f>SUMIF($AS:$AS,$AT1716,AN:AN)</f>
        <v>-223.62455000000176</v>
      </c>
      <c r="AO1716" s="106">
        <f>SUMIF($AS:$AS,$AT1716,AO:AO)</f>
        <v>-223.62455000000176</v>
      </c>
      <c r="AP1716" s="264"/>
      <c r="AQ1716" s="264"/>
      <c r="AR1716" s="264"/>
      <c r="AS1716" s="125"/>
      <c r="AT1716" s="248" t="str">
        <f t="shared" si="648"/>
        <v>R11CTA Efficiency</v>
      </c>
    </row>
    <row r="1717" spans="1:46">
      <c r="A1717" s="283"/>
      <c r="B1717" s="283"/>
      <c r="C1717" s="285" t="s">
        <v>102</v>
      </c>
      <c r="D1717" s="277"/>
      <c r="E1717" s="278"/>
      <c r="F1717" s="278"/>
      <c r="G1717" s="264"/>
      <c r="H1717" s="279"/>
      <c r="I1717" s="280"/>
      <c r="J1717" s="280"/>
      <c r="K1717" s="279"/>
      <c r="L1717" s="215"/>
      <c r="M1717" s="279"/>
      <c r="N1717" s="281"/>
      <c r="O1717" s="281"/>
      <c r="P1717" s="278"/>
      <c r="Q1717" s="282"/>
      <c r="R1717" s="279"/>
      <c r="S1717" s="279"/>
      <c r="T1717" s="279"/>
      <c r="U1717" s="106">
        <f>SUMIF($AS:$AS,$AT1717,U:U)</f>
        <v>0</v>
      </c>
      <c r="V1717" s="106">
        <f>SUMIF($AS:$AS,$AT1717,V:V)</f>
        <v>2.0208200000000049</v>
      </c>
      <c r="W1717" s="106">
        <f>SUMIF($AS:$AS,$AT1717,W:W)</f>
        <v>0</v>
      </c>
      <c r="X1717" s="106">
        <f>SUMIF($AS:$AS,$AT1717,X:X)</f>
        <v>2.0208200000000049</v>
      </c>
      <c r="Y1717" s="106">
        <f>SUMIF($AS:$AS,$AT1717,Y:Y)</f>
        <v>0</v>
      </c>
      <c r="Z1717" s="106">
        <f>SUMIF($AS:$AS,$AT1717,Z:Z)</f>
        <v>2.010899999999999</v>
      </c>
      <c r="AA1717" s="106">
        <f>SUMIF($AS:$AS,$AT1717,AA:AA)</f>
        <v>0</v>
      </c>
      <c r="AB1717" s="106">
        <f>SUMIF($AS:$AS,$AT1717,AB:AB)</f>
        <v>2.0108999999999995</v>
      </c>
      <c r="AC1717" s="106">
        <f>SUMIF($AS:$AS,$AT1717,AC:AC)</f>
        <v>2.0135600000000018</v>
      </c>
      <c r="AD1717" s="106">
        <f>SUMIF($AS:$AS,$AT1717,AD:AD)</f>
        <v>2.0495900000000078</v>
      </c>
      <c r="AE1717" s="106">
        <f>SUMIF($AS:$AS,$AT1717,AE:AE)</f>
        <v>2.0127900000000021</v>
      </c>
      <c r="AF1717" s="106">
        <f>SUMIF($AS:$AS,$AT1717,AF:AF)</f>
        <v>2.0127000000000086</v>
      </c>
      <c r="AG1717" s="106">
        <f>SUMIF($AS:$AS,$AT1717,AG:AG)</f>
        <v>2.0127000000000086</v>
      </c>
      <c r="AH1717" s="106">
        <f>SUMIF($AS:$AS,$AT1717,AH:AH)</f>
        <v>2.0495900000000078</v>
      </c>
      <c r="AI1717" s="106">
        <f>SUMIF($AS:$AS,$AT1717,AI:AI)</f>
        <v>2.0101300000000024</v>
      </c>
      <c r="AJ1717" s="106">
        <f>SUMIF($AS:$AS,$AT1717,AJ:AJ)</f>
        <v>2.0101300000000024</v>
      </c>
      <c r="AK1717" s="106">
        <f>SUMIF($AS:$AS,$AT1717,AK:AK)</f>
        <v>2.0495900000000078</v>
      </c>
      <c r="AL1717" s="106">
        <f>SUMIF($AS:$AS,$AT1717,AL:AL)</f>
        <v>2.0101300000000024</v>
      </c>
      <c r="AM1717" s="106">
        <f>SUMIF($AS:$AS,$AT1717,AM:AM)</f>
        <v>2.0101300000000024</v>
      </c>
      <c r="AN1717" s="106">
        <f>SUMIF($AS:$AS,$AT1717,AN:AN)</f>
        <v>2.0101300000000024</v>
      </c>
      <c r="AO1717" s="106">
        <f>SUMIF($AS:$AS,$AT1717,AO:AO)</f>
        <v>2.0108999999999995</v>
      </c>
      <c r="AP1717" s="264"/>
      <c r="AQ1717" s="264"/>
      <c r="AR1717" s="264"/>
      <c r="AS1717" s="125" t="str">
        <f>CONCATENATE(L1717,H1717)</f>
        <v/>
      </c>
      <c r="AT1717" s="248" t="str">
        <f t="shared" si="648"/>
        <v>R11Deferred Gas Costs</v>
      </c>
    </row>
    <row r="1718" spans="1:46">
      <c r="A1718" s="283"/>
      <c r="B1718" s="283"/>
      <c r="C1718" s="285" t="s">
        <v>1662</v>
      </c>
      <c r="D1718" s="277"/>
      <c r="E1718" s="278"/>
      <c r="F1718" s="278"/>
      <c r="G1718" s="264"/>
      <c r="H1718" s="279"/>
      <c r="I1718" s="280"/>
      <c r="J1718" s="280"/>
      <c r="K1718" s="279"/>
      <c r="L1718" s="215"/>
      <c r="M1718" s="279"/>
      <c r="N1718" s="281"/>
      <c r="O1718" s="281"/>
      <c r="P1718" s="278"/>
      <c r="Q1718" s="282"/>
      <c r="R1718" s="279"/>
      <c r="S1718" s="279"/>
      <c r="T1718" s="279"/>
      <c r="U1718" s="106">
        <f>SUMIF($AS:$AS,$AT1718,U:U)</f>
        <v>-92.292000000000002</v>
      </c>
      <c r="V1718" s="106">
        <f>SUMIF($AS:$AS,$AT1718,V:V)</f>
        <v>40.928110000000004</v>
      </c>
      <c r="W1718" s="106">
        <f>SUMIF($AS:$AS,$AT1718,W:W)</f>
        <v>0</v>
      </c>
      <c r="X1718" s="106">
        <f>SUMIF($AS:$AS,$AT1718,X:X)</f>
        <v>-51.363889999999984</v>
      </c>
      <c r="Y1718" s="106">
        <f>SUMIF($AS:$AS,$AT1718,Y:Y)</f>
        <v>-92.292000000000002</v>
      </c>
      <c r="Z1718" s="106">
        <f>SUMIF($AS:$AS,$AT1718,Z:Z)</f>
        <v>40.928110000000004</v>
      </c>
      <c r="AA1718" s="106">
        <f>SUMIF($AS:$AS,$AT1718,AA:AA)</f>
        <v>0</v>
      </c>
      <c r="AB1718" s="106">
        <f>SUMIF($AS:$AS,$AT1718,AB:AB)</f>
        <v>-51.363889999999998</v>
      </c>
      <c r="AC1718" s="106">
        <f>SUMIF($AS:$AS,$AT1718,AC:AC)</f>
        <v>-51.363889999999998</v>
      </c>
      <c r="AD1718" s="106">
        <f>SUMIF($AS:$AS,$AT1718,AD:AD)</f>
        <v>-51.363889999999998</v>
      </c>
      <c r="AE1718" s="106">
        <f>SUMIF($AS:$AS,$AT1718,AE:AE)</f>
        <v>-51.363889999999998</v>
      </c>
      <c r="AF1718" s="106">
        <f>SUMIF($AS:$AS,$AT1718,AF:AF)</f>
        <v>-51.363889999999998</v>
      </c>
      <c r="AG1718" s="106">
        <f>SUMIF($AS:$AS,$AT1718,AG:AG)</f>
        <v>-51.363889999999998</v>
      </c>
      <c r="AH1718" s="106">
        <f>SUMIF($AS:$AS,$AT1718,AH:AH)</f>
        <v>-51.363889999999998</v>
      </c>
      <c r="AI1718" s="106">
        <f>SUMIF($AS:$AS,$AT1718,AI:AI)</f>
        <v>-51.363889999999998</v>
      </c>
      <c r="AJ1718" s="106">
        <f>SUMIF($AS:$AS,$AT1718,AJ:AJ)</f>
        <v>-51.363889999999998</v>
      </c>
      <c r="AK1718" s="106">
        <f>SUMIF($AS:$AS,$AT1718,AK:AK)</f>
        <v>-51.363889999999998</v>
      </c>
      <c r="AL1718" s="106">
        <f>SUMIF($AS:$AS,$AT1718,AL:AL)</f>
        <v>-51.363889999999998</v>
      </c>
      <c r="AM1718" s="106">
        <f>SUMIF($AS:$AS,$AT1718,AM:AM)</f>
        <v>-51.363889999999998</v>
      </c>
      <c r="AN1718" s="106">
        <f>SUMIF($AS:$AS,$AT1718,AN:AN)</f>
        <v>-51.363889999999998</v>
      </c>
      <c r="AO1718" s="106">
        <f>SUMIF($AS:$AS,$AT1718,AO:AO)</f>
        <v>-51.363889999999998</v>
      </c>
      <c r="AP1718" s="264"/>
      <c r="AQ1718" s="264"/>
      <c r="AR1718" s="264"/>
      <c r="AS1718" s="125" t="str">
        <f>CONCATENATE(L1718,H1718)</f>
        <v/>
      </c>
      <c r="AT1718" s="248" t="str">
        <f t="shared" si="648"/>
        <v>R11Deferred Unbilled Revenue</v>
      </c>
    </row>
    <row r="1719" spans="1:46">
      <c r="A1719" s="283"/>
      <c r="B1719" s="283"/>
      <c r="C1719" s="285" t="s">
        <v>2369</v>
      </c>
      <c r="D1719" s="277"/>
      <c r="E1719" s="278"/>
      <c r="F1719" s="278"/>
      <c r="G1719" s="264"/>
      <c r="H1719" s="279"/>
      <c r="I1719" s="280"/>
      <c r="J1719" s="280"/>
      <c r="K1719" s="279"/>
      <c r="L1719" s="215"/>
      <c r="M1719" s="279"/>
      <c r="N1719" s="281"/>
      <c r="O1719" s="281"/>
      <c r="P1719" s="278"/>
      <c r="Q1719" s="282"/>
      <c r="R1719" s="279"/>
      <c r="S1719" s="279"/>
      <c r="T1719" s="279"/>
      <c r="U1719" s="106">
        <f>SUMIF($AS:$AS,$AT1719,U:U)</f>
        <v>0</v>
      </c>
      <c r="V1719" s="106">
        <f>SUMIF($AS:$AS,$AT1719,V:V)</f>
        <v>0</v>
      </c>
      <c r="W1719" s="106">
        <f>SUMIF($AS:$AS,$AT1719,W:W)</f>
        <v>0</v>
      </c>
      <c r="X1719" s="106">
        <f>SUMIF($AS:$AS,$AT1719,X:X)</f>
        <v>0</v>
      </c>
      <c r="Y1719" s="106">
        <f>SUMIF($AS:$AS,$AT1719,Y:Y)</f>
        <v>0</v>
      </c>
      <c r="Z1719" s="106">
        <f>SUMIF($AS:$AS,$AT1719,Z:Z)</f>
        <v>0</v>
      </c>
      <c r="AA1719" s="106">
        <f>SUMIF($AS:$AS,$AT1719,AA:AA)</f>
        <v>0</v>
      </c>
      <c r="AB1719" s="106">
        <f>SUMIF($AS:$AS,$AT1719,AB:AB)</f>
        <v>0</v>
      </c>
      <c r="AC1719" s="106">
        <f>SUMIF($AS:$AS,$AT1719,AC:AC)</f>
        <v>0</v>
      </c>
      <c r="AD1719" s="106">
        <f>SUMIF($AS:$AS,$AT1719,AD:AD)</f>
        <v>0</v>
      </c>
      <c r="AE1719" s="106">
        <f>SUMIF($AS:$AS,$AT1719,AE:AE)</f>
        <v>0</v>
      </c>
      <c r="AF1719" s="106">
        <f>SUMIF($AS:$AS,$AT1719,AF:AF)</f>
        <v>0</v>
      </c>
      <c r="AG1719" s="106">
        <f>SUMIF($AS:$AS,$AT1719,AG:AG)</f>
        <v>0</v>
      </c>
      <c r="AH1719" s="106">
        <f>SUMIF($AS:$AS,$AT1719,AH:AH)</f>
        <v>0</v>
      </c>
      <c r="AI1719" s="106">
        <f>SUMIF($AS:$AS,$AT1719,AI:AI)</f>
        <v>0</v>
      </c>
      <c r="AJ1719" s="106">
        <f>SUMIF($AS:$AS,$AT1719,AJ:AJ)</f>
        <v>0</v>
      </c>
      <c r="AK1719" s="106">
        <f>SUMIF($AS:$AS,$AT1719,AK:AK)</f>
        <v>0</v>
      </c>
      <c r="AL1719" s="106">
        <f>SUMIF($AS:$AS,$AT1719,AL:AL)</f>
        <v>0</v>
      </c>
      <c r="AM1719" s="106">
        <f>SUMIF($AS:$AS,$AT1719,AM:AM)</f>
        <v>0</v>
      </c>
      <c r="AN1719" s="106">
        <f>SUMIF($AS:$AS,$AT1719,AN:AN)</f>
        <v>0</v>
      </c>
      <c r="AO1719" s="106">
        <f>SUMIF($AS:$AS,$AT1719,AO:AO)</f>
        <v>0</v>
      </c>
      <c r="AP1719" s="264"/>
      <c r="AQ1719" s="264"/>
      <c r="AR1719" s="264"/>
      <c r="AS1719" s="125" t="str">
        <f>CONCATENATE(L1719,H1719)</f>
        <v/>
      </c>
      <c r="AT1719" s="248" t="str">
        <f t="shared" si="648"/>
        <v>R11Environmental</v>
      </c>
    </row>
    <row r="1720" spans="1:46">
      <c r="C1720" s="285" t="s">
        <v>403</v>
      </c>
      <c r="D1720" s="277"/>
      <c r="E1720" s="278"/>
      <c r="F1720" s="278"/>
      <c r="G1720" s="264"/>
      <c r="H1720" s="279"/>
      <c r="I1720" s="280"/>
      <c r="J1720" s="280"/>
      <c r="K1720" s="279"/>
      <c r="L1720" s="215"/>
      <c r="M1720" s="279"/>
      <c r="N1720" s="281"/>
      <c r="O1720" s="281"/>
      <c r="P1720" s="278"/>
      <c r="Q1720" s="282"/>
      <c r="R1720" s="279"/>
      <c r="S1720" s="279"/>
      <c r="T1720" s="279"/>
      <c r="U1720" s="106">
        <f>SUMIF($AS:$AS,$AT1720,U:U)</f>
        <v>0</v>
      </c>
      <c r="V1720" s="106">
        <f>SUMIF($AS:$AS,$AT1720,V:V)</f>
        <v>0</v>
      </c>
      <c r="W1720" s="106">
        <f>SUMIF($AS:$AS,$AT1720,W:W)</f>
        <v>0</v>
      </c>
      <c r="X1720" s="106">
        <f>SUMIF($AS:$AS,$AT1720,X:X)</f>
        <v>0</v>
      </c>
      <c r="Y1720" s="106">
        <f>SUMIF($AS:$AS,$AT1720,Y:Y)</f>
        <v>0</v>
      </c>
      <c r="Z1720" s="106">
        <f>SUMIF($AS:$AS,$AT1720,Z:Z)</f>
        <v>0</v>
      </c>
      <c r="AA1720" s="106">
        <f>SUMIF($AS:$AS,$AT1720,AA:AA)</f>
        <v>0</v>
      </c>
      <c r="AB1720" s="106">
        <f>SUMIF($AS:$AS,$AT1720,AB:AB)</f>
        <v>0</v>
      </c>
      <c r="AC1720" s="106">
        <f>SUMIF($AS:$AS,$AT1720,AC:AC)</f>
        <v>0</v>
      </c>
      <c r="AD1720" s="106">
        <f>SUMIF($AS:$AS,$AT1720,AD:AD)</f>
        <v>0</v>
      </c>
      <c r="AE1720" s="106">
        <f>SUMIF($AS:$AS,$AT1720,AE:AE)</f>
        <v>0</v>
      </c>
      <c r="AF1720" s="106">
        <f>SUMIF($AS:$AS,$AT1720,AF:AF)</f>
        <v>0</v>
      </c>
      <c r="AG1720" s="106">
        <f>SUMIF($AS:$AS,$AT1720,AG:AG)</f>
        <v>0</v>
      </c>
      <c r="AH1720" s="106">
        <f>SUMIF($AS:$AS,$AT1720,AH:AH)</f>
        <v>0</v>
      </c>
      <c r="AI1720" s="106">
        <f>SUMIF($AS:$AS,$AT1720,AI:AI)</f>
        <v>0</v>
      </c>
      <c r="AJ1720" s="106">
        <f>SUMIF($AS:$AS,$AT1720,AJ:AJ)</f>
        <v>0</v>
      </c>
      <c r="AK1720" s="106">
        <f>SUMIF($AS:$AS,$AT1720,AK:AK)</f>
        <v>0</v>
      </c>
      <c r="AL1720" s="106">
        <f>SUMIF($AS:$AS,$AT1720,AL:AL)</f>
        <v>0</v>
      </c>
      <c r="AM1720" s="106">
        <f>SUMIF($AS:$AS,$AT1720,AM:AM)</f>
        <v>0</v>
      </c>
      <c r="AN1720" s="106">
        <f>SUMIF($AS:$AS,$AT1720,AN:AN)</f>
        <v>0</v>
      </c>
      <c r="AO1720" s="106">
        <f>SUMIF($AS:$AS,$AT1720,AO:AO)</f>
        <v>0</v>
      </c>
      <c r="AP1720" s="264"/>
      <c r="AQ1720" s="264"/>
      <c r="AR1720" s="264"/>
      <c r="AS1720" s="125" t="str">
        <f>CONCATENATE(L1720,H1720)</f>
        <v/>
      </c>
      <c r="AT1720" s="248" t="str">
        <f t="shared" si="648"/>
        <v>R11Excess Deferred Income Tax</v>
      </c>
    </row>
    <row r="1721" spans="1:46">
      <c r="C1721" s="285" t="s">
        <v>967</v>
      </c>
      <c r="D1721" s="277"/>
      <c r="E1721" s="278"/>
      <c r="F1721" s="278"/>
      <c r="G1721" s="264"/>
      <c r="H1721" s="279"/>
      <c r="I1721" s="280"/>
      <c r="J1721" s="280"/>
      <c r="K1721" s="279"/>
      <c r="L1721" s="215"/>
      <c r="M1721" s="279"/>
      <c r="N1721" s="281"/>
      <c r="O1721" s="281"/>
      <c r="P1721" s="278"/>
      <c r="Q1721" s="282"/>
      <c r="R1721" s="279"/>
      <c r="S1721" s="279"/>
      <c r="T1721" s="279"/>
      <c r="U1721" s="106">
        <f>SUMIF($AS:$AS,$AT1721,U:U)</f>
        <v>-7.0000000038206167E-5</v>
      </c>
      <c r="V1721" s="106">
        <f>SUMIF($AS:$AS,$AT1721,V:V)</f>
        <v>-3.2000000001053408E-4</v>
      </c>
      <c r="W1721" s="106">
        <f>SUMIF($AS:$AS,$AT1721,W:W)</f>
        <v>0</v>
      </c>
      <c r="X1721" s="106">
        <f>SUMIF($AS:$AS,$AT1721,X:X)</f>
        <v>-3.9000000001854218E-4</v>
      </c>
      <c r="Y1721" s="106">
        <f>SUMIF($AS:$AS,$AT1721,Y:Y)</f>
        <v>-7.0000000038206167E-5</v>
      </c>
      <c r="Z1721" s="106">
        <f>SUMIF($AS:$AS,$AT1721,Z:Z)</f>
        <v>-3.2000000001053408E-4</v>
      </c>
      <c r="AA1721" s="106">
        <f>SUMIF($AS:$AS,$AT1721,AA:AA)</f>
        <v>0</v>
      </c>
      <c r="AB1721" s="106">
        <f>SUMIF($AS:$AS,$AT1721,AB:AB)</f>
        <v>-3.8999999998656776E-4</v>
      </c>
      <c r="AC1721" s="106">
        <f>SUMIF($AS:$AS,$AT1721,AC:AC)</f>
        <v>-3.8999999998656776E-4</v>
      </c>
      <c r="AD1721" s="106">
        <f>SUMIF($AS:$AS,$AT1721,AD:AD)</f>
        <v>-3.8999999998656776E-4</v>
      </c>
      <c r="AE1721" s="106">
        <f>SUMIF($AS:$AS,$AT1721,AE:AE)</f>
        <v>-3.8999999998656776E-4</v>
      </c>
      <c r="AF1721" s="106">
        <f>SUMIF($AS:$AS,$AT1721,AF:AF)</f>
        <v>-3.8999999998656776E-4</v>
      </c>
      <c r="AG1721" s="106">
        <f>SUMIF($AS:$AS,$AT1721,AG:AG)</f>
        <v>-3.8999999998656776E-4</v>
      </c>
      <c r="AH1721" s="106">
        <f>SUMIF($AS:$AS,$AT1721,AH:AH)</f>
        <v>-3.8999999998656776E-4</v>
      </c>
      <c r="AI1721" s="106">
        <f>SUMIF($AS:$AS,$AT1721,AI:AI)</f>
        <v>-3.8999999998656776E-4</v>
      </c>
      <c r="AJ1721" s="106">
        <f>SUMIF($AS:$AS,$AT1721,AJ:AJ)</f>
        <v>-3.8999999998656776E-4</v>
      </c>
      <c r="AK1721" s="106">
        <f>SUMIF($AS:$AS,$AT1721,AK:AK)</f>
        <v>-3.8999999998656776E-4</v>
      </c>
      <c r="AL1721" s="106">
        <f>SUMIF($AS:$AS,$AT1721,AL:AL)</f>
        <v>-3.8999999998656776E-4</v>
      </c>
      <c r="AM1721" s="106">
        <f>SUMIF($AS:$AS,$AT1721,AM:AM)</f>
        <v>-3.8999999998656776E-4</v>
      </c>
      <c r="AN1721" s="106">
        <f>SUMIF($AS:$AS,$AT1721,AN:AN)</f>
        <v>-3.8999999998656776E-4</v>
      </c>
      <c r="AO1721" s="106">
        <f>SUMIF($AS:$AS,$AT1721,AO:AO)</f>
        <v>-3.8999999998656776E-4</v>
      </c>
      <c r="AP1721" s="264"/>
      <c r="AQ1721" s="264"/>
      <c r="AR1721" s="264"/>
      <c r="AS1721" s="125" t="str">
        <f>CONCATENATE(L1721,H1721)</f>
        <v/>
      </c>
      <c r="AT1721" s="248" t="str">
        <f t="shared" si="648"/>
        <v>R11Excess DIT &gt; 7.1% (NYS)</v>
      </c>
    </row>
    <row r="1722" spans="1:46">
      <c r="C1722" s="285" t="s">
        <v>4761</v>
      </c>
      <c r="D1722" s="277"/>
      <c r="E1722" s="278"/>
      <c r="F1722" s="278"/>
      <c r="G1722" s="264"/>
      <c r="H1722" s="279"/>
      <c r="I1722" s="280"/>
      <c r="J1722" s="280"/>
      <c r="K1722" s="279"/>
      <c r="L1722" s="215"/>
      <c r="M1722" s="279"/>
      <c r="N1722" s="281"/>
      <c r="O1722" s="281"/>
      <c r="P1722" s="278"/>
      <c r="Q1722" s="282"/>
      <c r="R1722" s="279"/>
      <c r="S1722" s="279"/>
      <c r="T1722" s="279"/>
      <c r="U1722" s="106">
        <f>SUMIF($AS:$AS,$AT1722,U:U)</f>
        <v>5785.0783916666605</v>
      </c>
      <c r="V1722" s="106">
        <f>SUMIF($AS:$AS,$AT1722,V:V)</f>
        <v>1303.6542791666627</v>
      </c>
      <c r="W1722" s="106">
        <f>SUMIF($AS:$AS,$AT1722,W:W)</f>
        <v>0</v>
      </c>
      <c r="X1722" s="106">
        <f>SUMIF($AS:$AS,$AT1722,X:X)</f>
        <v>7088.7326708333239</v>
      </c>
      <c r="Y1722" s="106">
        <f>SUMIF($AS:$AS,$AT1722,Y:Y)</f>
        <v>10721.5203</v>
      </c>
      <c r="Z1722" s="106">
        <f>SUMIF($AS:$AS,$AT1722,Z:Z)</f>
        <v>2655.1743999999999</v>
      </c>
      <c r="AA1722" s="106">
        <f>SUMIF($AS:$AS,$AT1722,AA:AA)</f>
        <v>0</v>
      </c>
      <c r="AB1722" s="106">
        <f>SUMIF($AS:$AS,$AT1722,AB:AB)</f>
        <v>13376.6947</v>
      </c>
      <c r="AC1722" s="106">
        <f>SUMIF($AS:$AS,$AT1722,AC:AC)</f>
        <v>0</v>
      </c>
      <c r="AD1722" s="106">
        <f>SUMIF($AS:$AS,$AT1722,AD:AD)</f>
        <v>0</v>
      </c>
      <c r="AE1722" s="106">
        <f>SUMIF($AS:$AS,$AT1722,AE:AE)</f>
        <v>0</v>
      </c>
      <c r="AF1722" s="106">
        <f>SUMIF($AS:$AS,$AT1722,AF:AF)</f>
        <v>0</v>
      </c>
      <c r="AG1722" s="106">
        <f>SUMIF($AS:$AS,$AT1722,AG:AG)</f>
        <v>0</v>
      </c>
      <c r="AH1722" s="106">
        <f>SUMIF($AS:$AS,$AT1722,AH:AH)</f>
        <v>0</v>
      </c>
      <c r="AI1722" s="106">
        <f>SUMIF($AS:$AS,$AT1722,AI:AI)</f>
        <v>12999.95</v>
      </c>
      <c r="AJ1722" s="106">
        <f>SUMIF($AS:$AS,$AT1722,AJ:AJ)</f>
        <v>12999.95</v>
      </c>
      <c r="AK1722" s="106">
        <f>SUMIF($AS:$AS,$AT1722,AK:AK)</f>
        <v>12999.95</v>
      </c>
      <c r="AL1722" s="106">
        <f>SUMIF($AS:$AS,$AT1722,AL:AL)</f>
        <v>12999.95</v>
      </c>
      <c r="AM1722" s="106">
        <f>SUMIF($AS:$AS,$AT1722,AM:AM)</f>
        <v>12999.95</v>
      </c>
      <c r="AN1722" s="106">
        <f>SUMIF($AS:$AS,$AT1722,AN:AN)</f>
        <v>13376.6947</v>
      </c>
      <c r="AO1722" s="106">
        <f>SUMIF($AS:$AS,$AT1722,AO:AO)</f>
        <v>13376.6947</v>
      </c>
      <c r="AP1722" s="264"/>
      <c r="AQ1722" s="264"/>
      <c r="AR1722" s="264"/>
      <c r="AS1722" s="125" t="str">
        <f>CONCATENATE(L1722,H1722)</f>
        <v/>
      </c>
      <c r="AT1722" s="248" t="str">
        <f>+CONCATENATE(D$1758,C1722)</f>
        <v>R11Excess DIT - New York State Tax Rate change</v>
      </c>
    </row>
    <row r="1723" spans="1:46">
      <c r="C1723" s="285" t="s">
        <v>4564</v>
      </c>
      <c r="D1723" s="277"/>
      <c r="E1723" s="278"/>
      <c r="F1723" s="278"/>
      <c r="G1723" s="264"/>
      <c r="H1723" s="279"/>
      <c r="I1723" s="280"/>
      <c r="J1723" s="280"/>
      <c r="K1723" s="279"/>
      <c r="L1723" s="215"/>
      <c r="M1723" s="279"/>
      <c r="N1723" s="281"/>
      <c r="O1723" s="281"/>
      <c r="P1723" s="278"/>
      <c r="Q1723" s="282"/>
      <c r="R1723" s="279"/>
      <c r="S1723" s="279"/>
      <c r="T1723" s="279"/>
      <c r="U1723" s="106">
        <f>SUMIF($AS:$AS,$AT1723,U:U)</f>
        <v>-12773.823363333369</v>
      </c>
      <c r="V1723" s="106">
        <f>SUMIF($AS:$AS,$AT1723,V:V)</f>
        <v>-9100.9730437500002</v>
      </c>
      <c r="W1723" s="106">
        <f>SUMIF($AS:$AS,$AT1723,W:W)</f>
        <v>0</v>
      </c>
      <c r="X1723" s="106">
        <f>SUMIF($AS:$AS,$AT1723,X:X)</f>
        <v>-21874.79640708337</v>
      </c>
      <c r="Y1723" s="106">
        <f>SUMIF($AS:$AS,$AT1723,Y:Y)</f>
        <v>-16381.31323</v>
      </c>
      <c r="Z1723" s="106">
        <f>SUMIF($AS:$AS,$AT1723,Z:Z)</f>
        <v>-6738.45388</v>
      </c>
      <c r="AA1723" s="106">
        <f>SUMIF($AS:$AS,$AT1723,AA:AA)</f>
        <v>0</v>
      </c>
      <c r="AB1723" s="106">
        <f>SUMIF($AS:$AS,$AT1723,AB:AB)</f>
        <v>-23119.767110000001</v>
      </c>
      <c r="AC1723" s="106">
        <f>SUMIF($AS:$AS,$AT1723,AC:AC)</f>
        <v>-18820.325960000002</v>
      </c>
      <c r="AD1723" s="106">
        <f>SUMIF($AS:$AS,$AT1723,AD:AD)</f>
        <v>-19343.112300000004</v>
      </c>
      <c r="AE1723" s="106">
        <f>SUMIF($AS:$AS,$AT1723,AE:AE)</f>
        <v>-19865.899130000002</v>
      </c>
      <c r="AF1723" s="106">
        <f>SUMIF($AS:$AS,$AT1723,AF:AF)</f>
        <v>-20388.685939999999</v>
      </c>
      <c r="AG1723" s="106">
        <f>SUMIF($AS:$AS,$AT1723,AG:AG)</f>
        <v>-20911.472749999997</v>
      </c>
      <c r="AH1723" s="106">
        <f>SUMIF($AS:$AS,$AT1723,AH:AH)</f>
        <v>-21434.259570000002</v>
      </c>
      <c r="AI1723" s="106">
        <f>SUMIF($AS:$AS,$AT1723,AI:AI)</f>
        <v>-21957.046399999999</v>
      </c>
      <c r="AJ1723" s="106">
        <f>SUMIF($AS:$AS,$AT1723,AJ:AJ)</f>
        <v>-22479.833220000008</v>
      </c>
      <c r="AK1723" s="106">
        <f>SUMIF($AS:$AS,$AT1723,AK:AK)</f>
        <v>-23002.620040000002</v>
      </c>
      <c r="AL1723" s="106">
        <f>SUMIF($AS:$AS,$AT1723,AL:AL)</f>
        <v>-23525.40684</v>
      </c>
      <c r="AM1723" s="106">
        <f>SUMIF($AS:$AS,$AT1723,AM:AM)</f>
        <v>-24048.193670000001</v>
      </c>
      <c r="AN1723" s="106">
        <f>SUMIF($AS:$AS,$AT1723,AN:AN)</f>
        <v>-24570.980490000002</v>
      </c>
      <c r="AO1723" s="106">
        <f>SUMIF($AS:$AS,$AT1723,AO:AO)</f>
        <v>-23119.767110000001</v>
      </c>
      <c r="AP1723" s="264"/>
      <c r="AQ1723" s="264"/>
      <c r="AR1723" s="264"/>
      <c r="AS1723" s="125" t="str">
        <f>CONCATENATE(L1723,H1723)</f>
        <v/>
      </c>
      <c r="AT1723" s="248" t="str">
        <f>+CONCATENATE(D$1758,C1723)</f>
        <v>R11Funded DIT Tax True-up Deferral</v>
      </c>
    </row>
    <row r="1724" spans="1:46">
      <c r="A1724" s="283"/>
      <c r="B1724" s="283"/>
      <c r="C1724" s="285" t="s">
        <v>1488</v>
      </c>
      <c r="D1724" s="277"/>
      <c r="E1724" s="278"/>
      <c r="F1724" s="278"/>
      <c r="G1724" s="264"/>
      <c r="H1724" s="279"/>
      <c r="I1724" s="280"/>
      <c r="J1724" s="280"/>
      <c r="K1724" s="279"/>
      <c r="L1724" s="215"/>
      <c r="M1724" s="279"/>
      <c r="N1724" s="281"/>
      <c r="O1724" s="281"/>
      <c r="P1724" s="278"/>
      <c r="Q1724" s="282"/>
      <c r="R1724" s="279"/>
      <c r="S1724" s="279"/>
      <c r="T1724" s="279"/>
      <c r="U1724" s="106">
        <f>SUMIF($AS:$AS,$AT1724,U:U)</f>
        <v>409.40163093375003</v>
      </c>
      <c r="V1724" s="106">
        <f>SUMIF($AS:$AS,$AT1724,V:V)</f>
        <v>90.478260316250328</v>
      </c>
      <c r="W1724" s="106">
        <f>SUMIF($AS:$AS,$AT1724,W:W)</f>
        <v>0</v>
      </c>
      <c r="X1724" s="106">
        <f>SUMIF($AS:$AS,$AT1724,X:X)</f>
        <v>499.87989125000024</v>
      </c>
      <c r="Y1724" s="106">
        <f>SUMIF($AS:$AS,$AT1724,Y:Y)</f>
        <v>312.05687877000008</v>
      </c>
      <c r="Z1724" s="106">
        <f>SUMIF($AS:$AS,$AT1724,Z:Z)</f>
        <v>68.964951230000011</v>
      </c>
      <c r="AA1724" s="106">
        <f>SUMIF($AS:$AS,$AT1724,AA:AA)</f>
        <v>0</v>
      </c>
      <c r="AB1724" s="106">
        <f>SUMIF($AS:$AS,$AT1724,AB:AB)</f>
        <v>381.02183000000008</v>
      </c>
      <c r="AC1724" s="106">
        <f>SUMIF($AS:$AS,$AT1724,AC:AC)</f>
        <v>592.60554000000002</v>
      </c>
      <c r="AD1724" s="106">
        <f>SUMIF($AS:$AS,$AT1724,AD:AD)</f>
        <v>592.60554000000002</v>
      </c>
      <c r="AE1724" s="106">
        <f>SUMIF($AS:$AS,$AT1724,AE:AE)</f>
        <v>592.60554000000002</v>
      </c>
      <c r="AF1724" s="106">
        <f>SUMIF($AS:$AS,$AT1724,AF:AF)</f>
        <v>592.60554000000002</v>
      </c>
      <c r="AG1724" s="106">
        <f>SUMIF($AS:$AS,$AT1724,AG:AG)</f>
        <v>592.60554000000002</v>
      </c>
      <c r="AH1724" s="106">
        <f>SUMIF($AS:$AS,$AT1724,AH:AH)</f>
        <v>592.60554000000002</v>
      </c>
      <c r="AI1724" s="106">
        <f>SUMIF($AS:$AS,$AT1724,AI:AI)</f>
        <v>592.60554000000002</v>
      </c>
      <c r="AJ1724" s="106">
        <f>SUMIF($AS:$AS,$AT1724,AJ:AJ)</f>
        <v>516.80223000000001</v>
      </c>
      <c r="AK1724" s="106">
        <f>SUMIF($AS:$AS,$AT1724,AK:AK)</f>
        <v>521.77994000000001</v>
      </c>
      <c r="AL1724" s="106">
        <f>SUMIF($AS:$AS,$AT1724,AL:AL)</f>
        <v>310.15841000000012</v>
      </c>
      <c r="AM1724" s="106">
        <f>SUMIF($AS:$AS,$AT1724,AM:AM)</f>
        <v>314.76904000000019</v>
      </c>
      <c r="AN1724" s="106">
        <f>SUMIF($AS:$AS,$AT1724,AN:AN)</f>
        <v>292.60215000000005</v>
      </c>
      <c r="AO1724" s="106">
        <f>SUMIF($AS:$AS,$AT1724,AO:AO)</f>
        <v>381.02183000000008</v>
      </c>
      <c r="AP1724" s="264"/>
      <c r="AQ1724" s="264"/>
      <c r="AR1724" s="264"/>
      <c r="AS1724" s="125" t="str">
        <f>CONCATENATE(L1724,H1724)</f>
        <v/>
      </c>
      <c r="AT1724" s="248" t="str">
        <f t="shared" si="648"/>
        <v>R11SFAS-112</v>
      </c>
    </row>
    <row r="1725" spans="1:46">
      <c r="A1725" s="283"/>
      <c r="B1725" s="283"/>
      <c r="C1725" s="285" t="s">
        <v>45</v>
      </c>
      <c r="D1725" s="277"/>
      <c r="E1725" s="278"/>
      <c r="F1725" s="278"/>
      <c r="G1725" s="264"/>
      <c r="H1725" s="279"/>
      <c r="I1725" s="280"/>
      <c r="J1725" s="280"/>
      <c r="K1725" s="279"/>
      <c r="L1725" s="215"/>
      <c r="M1725" s="279"/>
      <c r="N1725" s="281"/>
      <c r="O1725" s="281"/>
      <c r="P1725" s="278"/>
      <c r="Q1725" s="282"/>
      <c r="R1725" s="279"/>
      <c r="S1725" s="279"/>
      <c r="T1725" s="279"/>
      <c r="U1725" s="106">
        <f>SUMIF($AS:$AS,$AT1725,U:U)</f>
        <v>1217.5342366406442</v>
      </c>
      <c r="V1725" s="106">
        <f>SUMIF($AS:$AS,$AT1725,V:V)</f>
        <v>3450.450027942692</v>
      </c>
      <c r="W1725" s="106">
        <f>SUMIF($AS:$AS,$AT1725,W:W)</f>
        <v>0</v>
      </c>
      <c r="X1725" s="106">
        <f>SUMIF($AS:$AS,$AT1725,X:X)</f>
        <v>4667.9842645833387</v>
      </c>
      <c r="Y1725" s="106">
        <f>SUMIF($AS:$AS,$AT1725,Y:Y)</f>
        <v>1364.8376004772165</v>
      </c>
      <c r="Z1725" s="106">
        <f>SUMIF($AS:$AS,$AT1725,Z:Z)</f>
        <v>3496.7835495228028</v>
      </c>
      <c r="AA1725" s="106">
        <f>SUMIF($AS:$AS,$AT1725,AA:AA)</f>
        <v>0</v>
      </c>
      <c r="AB1725" s="106">
        <f>SUMIF($AS:$AS,$AT1725,AB:AB)</f>
        <v>4861.62115000002</v>
      </c>
      <c r="AC1725" s="106">
        <f>SUMIF($AS:$AS,$AT1725,AC:AC)</f>
        <v>4720.2687200000119</v>
      </c>
      <c r="AD1725" s="106">
        <f>SUMIF($AS:$AS,$AT1725,AD:AD)</f>
        <v>4514.7418400000124</v>
      </c>
      <c r="AE1725" s="106">
        <f>SUMIF($AS:$AS,$AT1725,AE:AE)</f>
        <v>4542.3742200000115</v>
      </c>
      <c r="AF1725" s="106">
        <f>SUMIF($AS:$AS,$AT1725,AF:AF)</f>
        <v>4570.0065900000127</v>
      </c>
      <c r="AG1725" s="106">
        <f>SUMIF($AS:$AS,$AT1725,AG:AG)</f>
        <v>4597.6392900000146</v>
      </c>
      <c r="AH1725" s="106">
        <f>SUMIF($AS:$AS,$AT1725,AH:AH)</f>
        <v>4625.271660000014</v>
      </c>
      <c r="AI1725" s="106">
        <f>SUMIF($AS:$AS,$AT1725,AI:AI)</f>
        <v>4652.9040200000136</v>
      </c>
      <c r="AJ1725" s="106">
        <f>SUMIF($AS:$AS,$AT1725,AJ:AJ)</f>
        <v>4680.5364000000145</v>
      </c>
      <c r="AK1725" s="106">
        <f>SUMIF($AS:$AS,$AT1725,AK:AK)</f>
        <v>4708.1687700000175</v>
      </c>
      <c r="AL1725" s="106">
        <f>SUMIF($AS:$AS,$AT1725,AL:AL)</f>
        <v>4735.8011400000187</v>
      </c>
      <c r="AM1725" s="106">
        <f>SUMIF($AS:$AS,$AT1725,AM:AM)</f>
        <v>4763.4335200000178</v>
      </c>
      <c r="AN1725" s="106">
        <f>SUMIF($AS:$AS,$AT1725,AN:AN)</f>
        <v>4833.9887900000167</v>
      </c>
      <c r="AO1725" s="106">
        <f>SUMIF($AS:$AS,$AT1725,AO:AO)</f>
        <v>4861.62115000002</v>
      </c>
      <c r="AP1725" s="264"/>
      <c r="AQ1725" s="264"/>
      <c r="AR1725" s="264"/>
      <c r="AS1725" s="125" t="str">
        <f>CONCATENATE(L1725,H1725)</f>
        <v/>
      </c>
      <c r="AT1725" s="248" t="str">
        <f t="shared" si="648"/>
        <v>R11Gain / Loss on Reacquired Debt</v>
      </c>
    </row>
    <row r="1726" spans="1:46">
      <c r="A1726" s="283"/>
      <c r="B1726" s="283"/>
      <c r="C1726" s="285" t="s">
        <v>1167</v>
      </c>
      <c r="D1726" s="277"/>
      <c r="E1726" s="278"/>
      <c r="F1726" s="278"/>
      <c r="G1726" s="264"/>
      <c r="H1726" s="279"/>
      <c r="I1726" s="280"/>
      <c r="J1726" s="280"/>
      <c r="K1726" s="279"/>
      <c r="L1726" s="215"/>
      <c r="M1726" s="279"/>
      <c r="N1726" s="281"/>
      <c r="O1726" s="281"/>
      <c r="P1726" s="278"/>
      <c r="Q1726" s="282"/>
      <c r="R1726" s="279"/>
      <c r="S1726" s="279"/>
      <c r="T1726" s="279"/>
      <c r="U1726" s="106">
        <f>SUMIF($AS:$AS,$AT1726,U:U)</f>
        <v>-622.96953368290337</v>
      </c>
      <c r="V1726" s="106">
        <f>SUMIF($AS:$AS,$AT1726,V:V)</f>
        <v>600.19640868290344</v>
      </c>
      <c r="W1726" s="106">
        <f>SUMIF($AS:$AS,$AT1726,W:W)</f>
        <v>0</v>
      </c>
      <c r="X1726" s="106">
        <f>SUMIF($AS:$AS,$AT1726,X:X)</f>
        <v>-22.773124999999766</v>
      </c>
      <c r="Y1726" s="106">
        <f>SUMIF($AS:$AS,$AT1726,Y:Y)</f>
        <v>-622.96495738551039</v>
      </c>
      <c r="Z1726" s="106">
        <f>SUMIF($AS:$AS,$AT1726,Z:Z)</f>
        <v>600.20695738551058</v>
      </c>
      <c r="AA1726" s="106">
        <f>SUMIF($AS:$AS,$AT1726,AA:AA)</f>
        <v>0</v>
      </c>
      <c r="AB1726" s="106">
        <f>SUMIF($AS:$AS,$AT1726,AB:AB)</f>
        <v>-22.757999999999754</v>
      </c>
      <c r="AC1726" s="106">
        <f>SUMIF($AS:$AS,$AT1726,AC:AC)</f>
        <v>-22.770999999999788</v>
      </c>
      <c r="AD1726" s="106">
        <f>SUMIF($AS:$AS,$AT1726,AD:AD)</f>
        <v>-22.784999999999798</v>
      </c>
      <c r="AE1726" s="106">
        <f>SUMIF($AS:$AS,$AT1726,AE:AE)</f>
        <v>-22.770999999999788</v>
      </c>
      <c r="AF1726" s="106">
        <f>SUMIF($AS:$AS,$AT1726,AF:AF)</f>
        <v>-22.756999999999778</v>
      </c>
      <c r="AG1726" s="106">
        <f>SUMIF($AS:$AS,$AT1726,AG:AG)</f>
        <v>-22.756999999999778</v>
      </c>
      <c r="AH1726" s="106">
        <f>SUMIF($AS:$AS,$AT1726,AH:AH)</f>
        <v>-22.754999999999825</v>
      </c>
      <c r="AI1726" s="106">
        <f>SUMIF($AS:$AS,$AT1726,AI:AI)</f>
        <v>-22.785999999999888</v>
      </c>
      <c r="AJ1726" s="106">
        <f>SUMIF($AS:$AS,$AT1726,AJ:AJ)</f>
        <v>-22.80199999999985</v>
      </c>
      <c r="AK1726" s="106">
        <f>SUMIF($AS:$AS,$AT1726,AK:AK)</f>
        <v>-22.799999999999898</v>
      </c>
      <c r="AL1726" s="106">
        <f>SUMIF($AS:$AS,$AT1726,AL:AL)</f>
        <v>-22.775999999999783</v>
      </c>
      <c r="AM1726" s="106">
        <f>SUMIF($AS:$AS,$AT1726,AM:AM)</f>
        <v>-22.765999999999792</v>
      </c>
      <c r="AN1726" s="106">
        <f>SUMIF($AS:$AS,$AT1726,AN:AN)</f>
        <v>-22.757999999999754</v>
      </c>
      <c r="AO1726" s="106">
        <f>SUMIF($AS:$AS,$AT1726,AO:AO)</f>
        <v>-22.757999999999754</v>
      </c>
      <c r="AP1726" s="264"/>
      <c r="AQ1726" s="264"/>
      <c r="AR1726" s="264"/>
      <c r="AS1726" s="125" t="str">
        <f>CONCATENATE(L1726,H1726)</f>
        <v/>
      </c>
      <c r="AT1726" s="248" t="str">
        <f>+CONCATENATE(D$1758,C1726)</f>
        <v>R11Hung Deferred Taxes</v>
      </c>
    </row>
    <row r="1727" spans="1:46">
      <c r="A1727" s="283"/>
      <c r="B1727" s="283"/>
      <c r="C1727" s="285" t="s">
        <v>539</v>
      </c>
      <c r="D1727" s="277"/>
      <c r="E1727" s="278"/>
      <c r="F1727" s="278"/>
      <c r="G1727" s="264"/>
      <c r="H1727" s="279"/>
      <c r="I1727" s="280"/>
      <c r="J1727" s="280"/>
      <c r="K1727" s="279"/>
      <c r="L1727" s="215"/>
      <c r="M1727" s="279"/>
      <c r="N1727" s="281"/>
      <c r="O1727" s="281"/>
      <c r="P1727" s="278"/>
      <c r="Q1727" s="282"/>
      <c r="R1727" s="279"/>
      <c r="S1727" s="279"/>
      <c r="T1727" s="279"/>
      <c r="U1727" s="106">
        <f>SUMIF($AS:$AS,$AT1727,U:U)</f>
        <v>1951.0783599999991</v>
      </c>
      <c r="V1727" s="106">
        <f>SUMIF($AS:$AS,$AT1727,V:V)</f>
        <v>0</v>
      </c>
      <c r="W1727" s="106">
        <f>SUMIF($AS:$AS,$AT1727,W:W)</f>
        <v>0</v>
      </c>
      <c r="X1727" s="106">
        <f>SUMIF($AS:$AS,$AT1727,X:X)</f>
        <v>1951.0783599999991</v>
      </c>
      <c r="Y1727" s="106">
        <f>SUMIF($AS:$AS,$AT1727,Y:Y)</f>
        <v>1951.0783599999991</v>
      </c>
      <c r="Z1727" s="106">
        <f>SUMIF($AS:$AS,$AT1727,Z:Z)</f>
        <v>0</v>
      </c>
      <c r="AA1727" s="106">
        <f>SUMIF($AS:$AS,$AT1727,AA:AA)</f>
        <v>0</v>
      </c>
      <c r="AB1727" s="106">
        <f>SUMIF($AS:$AS,$AT1727,AB:AB)</f>
        <v>1951.0783599999995</v>
      </c>
      <c r="AC1727" s="106">
        <f>SUMIF($AS:$AS,$AT1727,AC:AC)</f>
        <v>1951.0783599999995</v>
      </c>
      <c r="AD1727" s="106">
        <f>SUMIF($AS:$AS,$AT1727,AD:AD)</f>
        <v>1951.0783599999995</v>
      </c>
      <c r="AE1727" s="106">
        <f>SUMIF($AS:$AS,$AT1727,AE:AE)</f>
        <v>1951.0783599999995</v>
      </c>
      <c r="AF1727" s="106">
        <f>SUMIF($AS:$AS,$AT1727,AF:AF)</f>
        <v>1951.0783599999995</v>
      </c>
      <c r="AG1727" s="106">
        <f>SUMIF($AS:$AS,$AT1727,AG:AG)</f>
        <v>1951.0783599999995</v>
      </c>
      <c r="AH1727" s="106">
        <f>SUMIF($AS:$AS,$AT1727,AH:AH)</f>
        <v>1951.0783599999995</v>
      </c>
      <c r="AI1727" s="106">
        <f>SUMIF($AS:$AS,$AT1727,AI:AI)</f>
        <v>1951.0783599999995</v>
      </c>
      <c r="AJ1727" s="106">
        <f>SUMIF($AS:$AS,$AT1727,AJ:AJ)</f>
        <v>1951.0783599999995</v>
      </c>
      <c r="AK1727" s="106">
        <f>SUMIF($AS:$AS,$AT1727,AK:AK)</f>
        <v>1951.0783599999995</v>
      </c>
      <c r="AL1727" s="106">
        <f>SUMIF($AS:$AS,$AT1727,AL:AL)</f>
        <v>1951.0783599999995</v>
      </c>
      <c r="AM1727" s="106">
        <f>SUMIF($AS:$AS,$AT1727,AM:AM)</f>
        <v>1951.0783599999995</v>
      </c>
      <c r="AN1727" s="106">
        <f>SUMIF($AS:$AS,$AT1727,AN:AN)</f>
        <v>1951.0783599999995</v>
      </c>
      <c r="AO1727" s="106">
        <f>SUMIF($AS:$AS,$AT1727,AO:AO)</f>
        <v>1951.0783599999995</v>
      </c>
      <c r="AP1727" s="264"/>
      <c r="AQ1727" s="264"/>
      <c r="AR1727" s="264"/>
      <c r="AS1727" s="125" t="str">
        <f>CONCATENATE(L1727,H1727)</f>
        <v/>
      </c>
      <c r="AT1727" s="248" t="str">
        <f t="shared" si="648"/>
        <v>R11Inc Tax on Lower Book Depr Exp vs. Amt in Rates</v>
      </c>
    </row>
    <row r="1728" spans="1:46">
      <c r="A1728" s="283"/>
      <c r="B1728" s="283"/>
      <c r="C1728" s="285" t="s">
        <v>1154</v>
      </c>
      <c r="D1728" s="277"/>
      <c r="E1728" s="278"/>
      <c r="F1728" s="278"/>
      <c r="G1728" s="264"/>
      <c r="H1728" s="279"/>
      <c r="I1728" s="280"/>
      <c r="J1728" s="280"/>
      <c r="K1728" s="279"/>
      <c r="L1728" s="215"/>
      <c r="M1728" s="279"/>
      <c r="N1728" s="281"/>
      <c r="O1728" s="281"/>
      <c r="P1728" s="278"/>
      <c r="Q1728" s="282"/>
      <c r="R1728" s="279"/>
      <c r="S1728" s="279"/>
      <c r="T1728" s="279"/>
      <c r="U1728" s="106">
        <f>SUMIF($AS:$AS,$AT1728,U:U)</f>
        <v>2.7164999999999999</v>
      </c>
      <c r="V1728" s="106">
        <f>SUMIF($AS:$AS,$AT1728,V:V)</f>
        <v>0</v>
      </c>
      <c r="W1728" s="106">
        <f>SUMIF($AS:$AS,$AT1728,W:W)</f>
        <v>0</v>
      </c>
      <c r="X1728" s="106">
        <f>SUMIF($AS:$AS,$AT1728,X:X)</f>
        <v>2.7164999999999999</v>
      </c>
      <c r="Y1728" s="106">
        <f>SUMIF($AS:$AS,$AT1728,Y:Y)</f>
        <v>-13.887</v>
      </c>
      <c r="Z1728" s="106">
        <f>SUMIF($AS:$AS,$AT1728,Z:Z)</f>
        <v>0</v>
      </c>
      <c r="AA1728" s="106">
        <f>SUMIF($AS:$AS,$AT1728,AA:AA)</f>
        <v>0</v>
      </c>
      <c r="AB1728" s="106">
        <f>SUMIF($AS:$AS,$AT1728,AB:AB)</f>
        <v>-13.887</v>
      </c>
      <c r="AC1728" s="106">
        <f>SUMIF($AS:$AS,$AT1728,AC:AC)</f>
        <v>19.32</v>
      </c>
      <c r="AD1728" s="106">
        <f>SUMIF($AS:$AS,$AT1728,AD:AD)</f>
        <v>16.55275</v>
      </c>
      <c r="AE1728" s="106">
        <f>SUMIF($AS:$AS,$AT1728,AE:AE)</f>
        <v>13.785500000000001</v>
      </c>
      <c r="AF1728" s="106">
        <f>SUMIF($AS:$AS,$AT1728,AF:AF)</f>
        <v>11.01825</v>
      </c>
      <c r="AG1728" s="106">
        <f>SUMIF($AS:$AS,$AT1728,AG:AG)</f>
        <v>8.2509999999999994</v>
      </c>
      <c r="AH1728" s="106">
        <f>SUMIF($AS:$AS,$AT1728,AH:AH)</f>
        <v>5.4837499999999997</v>
      </c>
      <c r="AI1728" s="106">
        <f>SUMIF($AS:$AS,$AT1728,AI:AI)</f>
        <v>2.7164999999999999</v>
      </c>
      <c r="AJ1728" s="106">
        <f>SUMIF($AS:$AS,$AT1728,AJ:AJ)</f>
        <v>-5.0750000000000003E-2</v>
      </c>
      <c r="AK1728" s="106">
        <f>SUMIF($AS:$AS,$AT1728,AK:AK)</f>
        <v>-2.8180000000000001</v>
      </c>
      <c r="AL1728" s="106">
        <f>SUMIF($AS:$AS,$AT1728,AL:AL)</f>
        <v>-5.5852500000000003</v>
      </c>
      <c r="AM1728" s="106">
        <f>SUMIF($AS:$AS,$AT1728,AM:AM)</f>
        <v>-8.3524999999999991</v>
      </c>
      <c r="AN1728" s="106">
        <f>SUMIF($AS:$AS,$AT1728,AN:AN)</f>
        <v>-11.11975</v>
      </c>
      <c r="AO1728" s="106">
        <f>SUMIF($AS:$AS,$AT1728,AO:AO)</f>
        <v>-13.887</v>
      </c>
      <c r="AP1728" s="264"/>
      <c r="AQ1728" s="264"/>
      <c r="AR1728" s="264"/>
      <c r="AS1728" s="125" t="str">
        <f>CONCATENATE(L1728,H1728)</f>
        <v/>
      </c>
      <c r="AT1728" s="248" t="str">
        <f t="shared" si="648"/>
        <v>R11Interest on Pollution Control Notes</v>
      </c>
    </row>
    <row r="1729" spans="1:46">
      <c r="A1729" s="283"/>
      <c r="B1729" s="283"/>
      <c r="C1729" s="285" t="s">
        <v>713</v>
      </c>
      <c r="D1729" s="277"/>
      <c r="E1729" s="278"/>
      <c r="F1729" s="278"/>
      <c r="G1729" s="264"/>
      <c r="H1729" s="279"/>
      <c r="I1729" s="280"/>
      <c r="J1729" s="280"/>
      <c r="K1729" s="279"/>
      <c r="L1729" s="215"/>
      <c r="M1729" s="279"/>
      <c r="N1729" s="281"/>
      <c r="O1729" s="281"/>
      <c r="P1729" s="278"/>
      <c r="Q1729" s="282"/>
      <c r="R1729" s="279"/>
      <c r="S1729" s="279"/>
      <c r="T1729" s="279"/>
      <c r="U1729" s="106">
        <f>SUMIF($AS:$AS,$AT1729,U:U)</f>
        <v>4113.3398225000092</v>
      </c>
      <c r="V1729" s="106">
        <f>SUMIF($AS:$AS,$AT1729,V:V)</f>
        <v>0</v>
      </c>
      <c r="W1729" s="106">
        <f>SUMIF($AS:$AS,$AT1729,W:W)</f>
        <v>0</v>
      </c>
      <c r="X1729" s="106">
        <f>SUMIF($AS:$AS,$AT1729,X:X)</f>
        <v>4113.3398225000092</v>
      </c>
      <c r="Y1729" s="106">
        <f>SUMIF($AS:$AS,$AT1729,Y:Y)</f>
        <v>4043.4040800000103</v>
      </c>
      <c r="Z1729" s="106">
        <f>SUMIF($AS:$AS,$AT1729,Z:Z)</f>
        <v>0</v>
      </c>
      <c r="AA1729" s="106">
        <f>SUMIF($AS:$AS,$AT1729,AA:AA)</f>
        <v>0</v>
      </c>
      <c r="AB1729" s="106">
        <f>SUMIF($AS:$AS,$AT1729,AB:AB)</f>
        <v>4043.4040800000062</v>
      </c>
      <c r="AC1729" s="106">
        <f>SUMIF($AS:$AS,$AT1729,AC:AC)</f>
        <v>4195.991160000005</v>
      </c>
      <c r="AD1729" s="106">
        <f>SUMIF($AS:$AS,$AT1729,AD:AD)</f>
        <v>4182.1196100000052</v>
      </c>
      <c r="AE1729" s="106">
        <f>SUMIF($AS:$AS,$AT1729,AE:AE)</f>
        <v>4168.2480500000056</v>
      </c>
      <c r="AF1729" s="106">
        <f>SUMIF($AS:$AS,$AT1729,AF:AF)</f>
        <v>4154.3765000000058</v>
      </c>
      <c r="AG1729" s="106">
        <f>SUMIF($AS:$AS,$AT1729,AG:AG)</f>
        <v>4140.5049500000059</v>
      </c>
      <c r="AH1729" s="106">
        <f>SUMIF($AS:$AS,$AT1729,AH:AH)</f>
        <v>4126.6333900000054</v>
      </c>
      <c r="AI1729" s="106">
        <f>SUMIF($AS:$AS,$AT1729,AI:AI)</f>
        <v>4112.7618400000065</v>
      </c>
      <c r="AJ1729" s="106">
        <f>SUMIF($AS:$AS,$AT1729,AJ:AJ)</f>
        <v>4098.8902900000057</v>
      </c>
      <c r="AK1729" s="106">
        <f>SUMIF($AS:$AS,$AT1729,AK:AK)</f>
        <v>4085.0187300000061</v>
      </c>
      <c r="AL1729" s="106">
        <f>SUMIF($AS:$AS,$AT1729,AL:AL)</f>
        <v>4071.1471800000063</v>
      </c>
      <c r="AM1729" s="106">
        <f>SUMIF($AS:$AS,$AT1729,AM:AM)</f>
        <v>4057.275630000006</v>
      </c>
      <c r="AN1729" s="106">
        <f>SUMIF($AS:$AS,$AT1729,AN:AN)</f>
        <v>4043.4040800000062</v>
      </c>
      <c r="AO1729" s="106">
        <f>SUMIF($AS:$AS,$AT1729,AO:AO)</f>
        <v>4043.4040800000062</v>
      </c>
      <c r="AP1729" s="264"/>
      <c r="AQ1729" s="264"/>
      <c r="AR1729" s="264"/>
      <c r="AS1729" s="125" t="str">
        <f>CONCATENATE(L1729,H1729)</f>
        <v/>
      </c>
      <c r="AT1729" s="248" t="str">
        <f t="shared" si="648"/>
        <v>R11Marcy South</v>
      </c>
    </row>
    <row r="1730" spans="1:46">
      <c r="A1730" s="283"/>
      <c r="B1730" s="283"/>
      <c r="C1730" s="285" t="s">
        <v>914</v>
      </c>
      <c r="D1730" s="277"/>
      <c r="E1730" s="278"/>
      <c r="F1730" s="278"/>
      <c r="G1730" s="264"/>
      <c r="H1730" s="279"/>
      <c r="I1730" s="280"/>
      <c r="J1730" s="280"/>
      <c r="K1730" s="279"/>
      <c r="L1730" s="215"/>
      <c r="M1730" s="279"/>
      <c r="N1730" s="281"/>
      <c r="O1730" s="281"/>
      <c r="P1730" s="278"/>
      <c r="Q1730" s="282"/>
      <c r="R1730" s="279"/>
      <c r="S1730" s="279"/>
      <c r="T1730" s="279"/>
      <c r="U1730" s="106">
        <f>SUMIF($AS:$AS,$AT1730,U:U)</f>
        <v>-1203.1379072212483</v>
      </c>
      <c r="V1730" s="106">
        <f>SUMIF($AS:$AS,$AT1730,V:V)</f>
        <v>-265.89494652874964</v>
      </c>
      <c r="W1730" s="106">
        <f>SUMIF($AS:$AS,$AT1730,W:W)</f>
        <v>0</v>
      </c>
      <c r="X1730" s="106">
        <f>SUMIF($AS:$AS,$AT1730,X:X)</f>
        <v>-1469.0328537499981</v>
      </c>
      <c r="Y1730" s="106">
        <f>SUMIF($AS:$AS,$AT1730,Y:Y)</f>
        <v>-1107.2299820399978</v>
      </c>
      <c r="Z1730" s="106">
        <f>SUMIF($AS:$AS,$AT1730,Z:Z)</f>
        <v>-244.69917795999947</v>
      </c>
      <c r="AA1730" s="106">
        <f>SUMIF($AS:$AS,$AT1730,AA:AA)</f>
        <v>0</v>
      </c>
      <c r="AB1730" s="106">
        <f>SUMIF($AS:$AS,$AT1730,AB:AB)</f>
        <v>-1351.9291599999974</v>
      </c>
      <c r="AC1730" s="106">
        <f>SUMIF($AS:$AS,$AT1730,AC:AC)</f>
        <v>-1914.026889999999</v>
      </c>
      <c r="AD1730" s="106">
        <f>SUMIF($AS:$AS,$AT1730,AD:AD)</f>
        <v>-1914.026889999999</v>
      </c>
      <c r="AE1730" s="106">
        <f>SUMIF($AS:$AS,$AT1730,AE:AE)</f>
        <v>-1914.026889999999</v>
      </c>
      <c r="AF1730" s="106">
        <f>SUMIF($AS:$AS,$AT1730,AF:AF)</f>
        <v>-1351.9291600000001</v>
      </c>
      <c r="AG1730" s="106">
        <f>SUMIF($AS:$AS,$AT1730,AG:AG)</f>
        <v>-1351.9291600000001</v>
      </c>
      <c r="AH1730" s="106">
        <f>SUMIF($AS:$AS,$AT1730,AH:AH)</f>
        <v>-1351.9291599999974</v>
      </c>
      <c r="AI1730" s="106">
        <f>SUMIF($AS:$AS,$AT1730,AI:AI)</f>
        <v>-1351.9291599999974</v>
      </c>
      <c r="AJ1730" s="106">
        <f>SUMIF($AS:$AS,$AT1730,AJ:AJ)</f>
        <v>-1351.9291599999974</v>
      </c>
      <c r="AK1730" s="106">
        <f>SUMIF($AS:$AS,$AT1730,AK:AK)</f>
        <v>-1351.9291599999974</v>
      </c>
      <c r="AL1730" s="106">
        <f>SUMIF($AS:$AS,$AT1730,AL:AL)</f>
        <v>-1351.9291599999974</v>
      </c>
      <c r="AM1730" s="106">
        <f>SUMIF($AS:$AS,$AT1730,AM:AM)</f>
        <v>-1351.9291599999974</v>
      </c>
      <c r="AN1730" s="106">
        <f>SUMIF($AS:$AS,$AT1730,AN:AN)</f>
        <v>-1351.9291599999974</v>
      </c>
      <c r="AO1730" s="106">
        <f>SUMIF($AS:$AS,$AT1730,AO:AO)</f>
        <v>-1351.9291599999974</v>
      </c>
      <c r="AP1730" s="264"/>
      <c r="AQ1730" s="264"/>
      <c r="AR1730" s="264"/>
      <c r="AS1730" s="125"/>
      <c r="AT1730" s="248" t="str">
        <f t="shared" si="648"/>
        <v>R11Medicare Subsidy</v>
      </c>
    </row>
    <row r="1731" spans="1:46">
      <c r="A1731" s="283"/>
      <c r="B1731" s="283"/>
      <c r="C1731" s="285" t="s">
        <v>2675</v>
      </c>
      <c r="D1731" s="277"/>
      <c r="E1731" s="278"/>
      <c r="F1731" s="278"/>
      <c r="G1731" s="264"/>
      <c r="H1731" s="279"/>
      <c r="I1731" s="280"/>
      <c r="J1731" s="280"/>
      <c r="K1731" s="279"/>
      <c r="L1731" s="215"/>
      <c r="M1731" s="279"/>
      <c r="N1731" s="281"/>
      <c r="O1731" s="281"/>
      <c r="P1731" s="278"/>
      <c r="Q1731" s="282"/>
      <c r="R1731" s="279"/>
      <c r="S1731" s="279"/>
      <c r="T1731" s="279"/>
      <c r="U1731" s="106">
        <f>SUMIF($AS:$AS,$AT1731,U:U)</f>
        <v>0</v>
      </c>
      <c r="V1731" s="106">
        <f>SUMIF($AS:$AS,$AT1731,V:V)</f>
        <v>0</v>
      </c>
      <c r="W1731" s="106">
        <f>SUMIF($AS:$AS,$AT1731,W:W)</f>
        <v>0</v>
      </c>
      <c r="X1731" s="106">
        <f>SUMIF($AS:$AS,$AT1731,X:X)</f>
        <v>0</v>
      </c>
      <c r="Y1731" s="106">
        <f>SUMIF($AS:$AS,$AT1731,Y:Y)</f>
        <v>0</v>
      </c>
      <c r="Z1731" s="106">
        <f>SUMIF($AS:$AS,$AT1731,Z:Z)</f>
        <v>0</v>
      </c>
      <c r="AA1731" s="106">
        <f>SUMIF($AS:$AS,$AT1731,AA:AA)</f>
        <v>0</v>
      </c>
      <c r="AB1731" s="106">
        <f>SUMIF($AS:$AS,$AT1731,AB:AB)</f>
        <v>0</v>
      </c>
      <c r="AC1731" s="106">
        <f>SUMIF($AS:$AS,$AT1731,AC:AC)</f>
        <v>0</v>
      </c>
      <c r="AD1731" s="106">
        <f>SUMIF($AS:$AS,$AT1731,AD:AD)</f>
        <v>0</v>
      </c>
      <c r="AE1731" s="106">
        <f>SUMIF($AS:$AS,$AT1731,AE:AE)</f>
        <v>0</v>
      </c>
      <c r="AF1731" s="106">
        <f>SUMIF($AS:$AS,$AT1731,AF:AF)</f>
        <v>0</v>
      </c>
      <c r="AG1731" s="106">
        <f>SUMIF($AS:$AS,$AT1731,AG:AG)</f>
        <v>0</v>
      </c>
      <c r="AH1731" s="106">
        <f>SUMIF($AS:$AS,$AT1731,AH:AH)</f>
        <v>0</v>
      </c>
      <c r="AI1731" s="106">
        <f>SUMIF($AS:$AS,$AT1731,AI:AI)</f>
        <v>0</v>
      </c>
      <c r="AJ1731" s="106">
        <f>SUMIF($AS:$AS,$AT1731,AJ:AJ)</f>
        <v>0</v>
      </c>
      <c r="AK1731" s="106">
        <f>SUMIF($AS:$AS,$AT1731,AK:AK)</f>
        <v>0</v>
      </c>
      <c r="AL1731" s="106">
        <f>SUMIF($AS:$AS,$AT1731,AL:AL)</f>
        <v>0</v>
      </c>
      <c r="AM1731" s="106">
        <f>SUMIF($AS:$AS,$AT1731,AM:AM)</f>
        <v>0</v>
      </c>
      <c r="AN1731" s="106">
        <f>SUMIF($AS:$AS,$AT1731,AN:AN)</f>
        <v>0</v>
      </c>
      <c r="AO1731" s="106">
        <f>SUMIF($AS:$AS,$AT1731,AO:AO)</f>
        <v>0</v>
      </c>
      <c r="AP1731" s="264"/>
      <c r="AQ1731" s="264"/>
      <c r="AR1731" s="264"/>
      <c r="AS1731" s="125"/>
      <c r="AT1731" s="248" t="str">
        <f t="shared" si="648"/>
        <v>R11Mixed Use 263(a)</v>
      </c>
    </row>
    <row r="1732" spans="1:46">
      <c r="A1732" s="283"/>
      <c r="B1732" s="283"/>
      <c r="C1732" s="285" t="s">
        <v>2674</v>
      </c>
      <c r="D1732" s="277"/>
      <c r="E1732" s="278"/>
      <c r="F1732" s="278"/>
      <c r="G1732" s="264"/>
      <c r="H1732" s="279"/>
      <c r="I1732" s="280"/>
      <c r="J1732" s="280"/>
      <c r="K1732" s="279"/>
      <c r="L1732" s="215"/>
      <c r="M1732" s="279"/>
      <c r="N1732" s="281"/>
      <c r="O1732" s="281"/>
      <c r="P1732" s="278"/>
      <c r="Q1732" s="282"/>
      <c r="R1732" s="279"/>
      <c r="S1732" s="279"/>
      <c r="T1732" s="279"/>
      <c r="U1732" s="106">
        <f>SUMIF($AS:$AS,$AT1732,U:U)</f>
        <v>0</v>
      </c>
      <c r="V1732" s="106">
        <f>SUMIF($AS:$AS,$AT1732,V:V)</f>
        <v>0</v>
      </c>
      <c r="W1732" s="106">
        <f>SUMIF($AS:$AS,$AT1732,W:W)</f>
        <v>0</v>
      </c>
      <c r="X1732" s="106">
        <f>SUMIF($AS:$AS,$AT1732,X:X)</f>
        <v>0</v>
      </c>
      <c r="Y1732" s="106">
        <f>SUMIF($AS:$AS,$AT1732,Y:Y)</f>
        <v>0</v>
      </c>
      <c r="Z1732" s="106">
        <f>SUMIF($AS:$AS,$AT1732,Z:Z)</f>
        <v>0</v>
      </c>
      <c r="AA1732" s="106">
        <f>SUMIF($AS:$AS,$AT1732,AA:AA)</f>
        <v>0</v>
      </c>
      <c r="AB1732" s="106">
        <f>SUMIF($AS:$AS,$AT1732,AB:AB)</f>
        <v>0</v>
      </c>
      <c r="AC1732" s="106">
        <f>SUMIF($AS:$AS,$AT1732,AC:AC)</f>
        <v>0</v>
      </c>
      <c r="AD1732" s="106">
        <f>SUMIF($AS:$AS,$AT1732,AD:AD)</f>
        <v>0</v>
      </c>
      <c r="AE1732" s="106">
        <f>SUMIF($AS:$AS,$AT1732,AE:AE)</f>
        <v>0</v>
      </c>
      <c r="AF1732" s="106">
        <f>SUMIF($AS:$AS,$AT1732,AF:AF)</f>
        <v>0</v>
      </c>
      <c r="AG1732" s="106">
        <f>SUMIF($AS:$AS,$AT1732,AG:AG)</f>
        <v>0</v>
      </c>
      <c r="AH1732" s="106">
        <f>SUMIF($AS:$AS,$AT1732,AH:AH)</f>
        <v>0</v>
      </c>
      <c r="AI1732" s="106">
        <f>SUMIF($AS:$AS,$AT1732,AI:AI)</f>
        <v>0</v>
      </c>
      <c r="AJ1732" s="106">
        <f>SUMIF($AS:$AS,$AT1732,AJ:AJ)</f>
        <v>0</v>
      </c>
      <c r="AK1732" s="106">
        <f>SUMIF($AS:$AS,$AT1732,AK:AK)</f>
        <v>0</v>
      </c>
      <c r="AL1732" s="106">
        <f>SUMIF($AS:$AS,$AT1732,AL:AL)</f>
        <v>0</v>
      </c>
      <c r="AM1732" s="106">
        <f>SUMIF($AS:$AS,$AT1732,AM:AM)</f>
        <v>0</v>
      </c>
      <c r="AN1732" s="106">
        <f>SUMIF($AS:$AS,$AT1732,AN:AN)</f>
        <v>0</v>
      </c>
      <c r="AO1732" s="106">
        <f>SUMIF($AS:$AS,$AT1732,AO:AO)</f>
        <v>0</v>
      </c>
      <c r="AP1732" s="264"/>
      <c r="AQ1732" s="264"/>
      <c r="AR1732" s="264"/>
      <c r="AS1732" s="125"/>
      <c r="AT1732" s="248" t="str">
        <f t="shared" si="648"/>
        <v>R11NOL Def Tax Asset</v>
      </c>
    </row>
    <row r="1733" spans="1:46">
      <c r="A1733" s="283"/>
      <c r="B1733" s="283"/>
      <c r="C1733" s="285" t="s">
        <v>1484</v>
      </c>
      <c r="D1733" s="277"/>
      <c r="E1733" s="278"/>
      <c r="F1733" s="278"/>
      <c r="G1733" s="264"/>
      <c r="H1733" s="279"/>
      <c r="I1733" s="280"/>
      <c r="J1733" s="280"/>
      <c r="K1733" s="279"/>
      <c r="L1733" s="215"/>
      <c r="M1733" s="279"/>
      <c r="N1733" s="281"/>
      <c r="O1733" s="281"/>
      <c r="P1733" s="278"/>
      <c r="Q1733" s="282"/>
      <c r="R1733" s="279"/>
      <c r="S1733" s="279"/>
      <c r="T1733" s="279"/>
      <c r="U1733" s="106">
        <f>SUMIF($AS:$AS,$AT1733,U:U)</f>
        <v>-1270.5378741666671</v>
      </c>
      <c r="V1733" s="106">
        <f>SUMIF($AS:$AS,$AT1733,V:V)</f>
        <v>56.360002499999972</v>
      </c>
      <c r="W1733" s="106">
        <f>SUMIF($AS:$AS,$AT1733,W:W)</f>
        <v>0</v>
      </c>
      <c r="X1733" s="106">
        <f>SUMIF($AS:$AS,$AT1733,X:X)</f>
        <v>-1214.177871666667</v>
      </c>
      <c r="Y1733" s="106">
        <f>SUMIF($AS:$AS,$AT1733,Y:Y)</f>
        <v>-1306.4492300000002</v>
      </c>
      <c r="Z1733" s="106">
        <f>SUMIF($AS:$AS,$AT1733,Z:Z)</f>
        <v>53.819160000000004</v>
      </c>
      <c r="AA1733" s="106">
        <f>SUMIF($AS:$AS,$AT1733,AA:AA)</f>
        <v>0</v>
      </c>
      <c r="AB1733" s="106">
        <f>SUMIF($AS:$AS,$AT1733,AB:AB)</f>
        <v>-1252.6300699999995</v>
      </c>
      <c r="AC1733" s="106">
        <f>SUMIF($AS:$AS,$AT1733,AC:AC)</f>
        <v>-1216.8688699999998</v>
      </c>
      <c r="AD1733" s="106">
        <f>SUMIF($AS:$AS,$AT1733,AD:AD)</f>
        <v>-1223.2725699999994</v>
      </c>
      <c r="AE1733" s="106">
        <f>SUMIF($AS:$AS,$AT1733,AE:AE)</f>
        <v>-1236.5596499999997</v>
      </c>
      <c r="AF1733" s="106">
        <f>SUMIF($AS:$AS,$AT1733,AF:AF)</f>
        <v>-1220.4961499999999</v>
      </c>
      <c r="AG1733" s="106">
        <f>SUMIF($AS:$AS,$AT1733,AG:AG)</f>
        <v>-1216.3524400000001</v>
      </c>
      <c r="AH1733" s="106">
        <f>SUMIF($AS:$AS,$AT1733,AH:AH)</f>
        <v>-1220.8668799999998</v>
      </c>
      <c r="AI1733" s="106">
        <f>SUMIF($AS:$AS,$AT1733,AI:AI)</f>
        <v>-1239.5775899999999</v>
      </c>
      <c r="AJ1733" s="106">
        <f>SUMIF($AS:$AS,$AT1733,AJ:AJ)</f>
        <v>-1195.2020400000001</v>
      </c>
      <c r="AK1733" s="106">
        <f>SUMIF($AS:$AS,$AT1733,AK:AK)</f>
        <v>-1194.0183399999999</v>
      </c>
      <c r="AL1733" s="106">
        <f>SUMIF($AS:$AS,$AT1733,AL:AL)</f>
        <v>-1130.1595999999997</v>
      </c>
      <c r="AM1733" s="106">
        <f>SUMIF($AS:$AS,$AT1733,AM:AM)</f>
        <v>-1206.08926</v>
      </c>
      <c r="AN1733" s="106">
        <f>SUMIF($AS:$AS,$AT1733,AN:AN)</f>
        <v>-1252.7904699999997</v>
      </c>
      <c r="AO1733" s="106">
        <f>SUMIF($AS:$AS,$AT1733,AO:AO)</f>
        <v>-1252.6300699999995</v>
      </c>
      <c r="AP1733" s="264"/>
      <c r="AQ1733" s="264"/>
      <c r="AR1733" s="264"/>
      <c r="AS1733" s="125" t="str">
        <f>CONCATENATE(L1733,H1733)</f>
        <v/>
      </c>
      <c r="AT1733" s="248" t="str">
        <f t="shared" si="648"/>
        <v>R11MTA Surcharge</v>
      </c>
    </row>
    <row r="1734" spans="1:46">
      <c r="A1734" s="283"/>
      <c r="B1734" s="283"/>
      <c r="C1734" s="285" t="s">
        <v>635</v>
      </c>
      <c r="D1734" s="277"/>
      <c r="E1734" s="278"/>
      <c r="F1734" s="278"/>
      <c r="G1734" s="264"/>
      <c r="H1734" s="279"/>
      <c r="I1734" s="280"/>
      <c r="J1734" s="280"/>
      <c r="K1734" s="279"/>
      <c r="L1734" s="215"/>
      <c r="M1734" s="279"/>
      <c r="N1734" s="281"/>
      <c r="O1734" s="281"/>
      <c r="P1734" s="278"/>
      <c r="Q1734" s="282"/>
      <c r="R1734" s="279"/>
      <c r="S1734" s="279"/>
      <c r="T1734" s="279"/>
      <c r="U1734" s="106">
        <f>SUMIF($AS:$AS,$AT1734,U:U)</f>
        <v>-5692.5830833333293</v>
      </c>
      <c r="V1734" s="106">
        <f>SUMIF($AS:$AS,$AT1734,V:V)</f>
        <v>0</v>
      </c>
      <c r="W1734" s="106">
        <f>SUMIF($AS:$AS,$AT1734,W:W)</f>
        <v>0</v>
      </c>
      <c r="X1734" s="106">
        <f>SUMIF($AS:$AS,$AT1734,X:X)</f>
        <v>-5692.5830833333393</v>
      </c>
      <c r="Y1734" s="106">
        <f>SUMIF($AS:$AS,$AT1734,Y:Y)</f>
        <v>-2226.73801</v>
      </c>
      <c r="Z1734" s="106">
        <f>SUMIF($AS:$AS,$AT1734,Z:Z)</f>
        <v>0</v>
      </c>
      <c r="AA1734" s="106">
        <f>SUMIF($AS:$AS,$AT1734,AA:AA)</f>
        <v>0</v>
      </c>
      <c r="AB1734" s="106">
        <f>SUMIF($AS:$AS,$AT1734,AB:AB)</f>
        <v>-2226.7380100000023</v>
      </c>
      <c r="AC1734" s="106">
        <f>SUMIF($AS:$AS,$AT1734,AC:AC)</f>
        <v>-1556.1406500000023</v>
      </c>
      <c r="AD1734" s="106">
        <f>SUMIF($AS:$AS,$AT1734,AD:AD)</f>
        <v>-9637.9948000000022</v>
      </c>
      <c r="AE1734" s="106">
        <f>SUMIF($AS:$AS,$AT1734,AE:AE)</f>
        <v>-9193.3563800000011</v>
      </c>
      <c r="AF1734" s="106">
        <f>SUMIF($AS:$AS,$AT1734,AF:AF)</f>
        <v>-7156.2407000000012</v>
      </c>
      <c r="AG1734" s="106">
        <f>SUMIF($AS:$AS,$AT1734,AG:AG)</f>
        <v>-6332.8714400000008</v>
      </c>
      <c r="AH1734" s="106">
        <f>SUMIF($AS:$AS,$AT1734,AH:AH)</f>
        <v>-4686.7827200000011</v>
      </c>
      <c r="AI1734" s="106">
        <f>SUMIF($AS:$AS,$AT1734,AI:AI)</f>
        <v>-3190.5469000000016</v>
      </c>
      <c r="AJ1734" s="106">
        <f>SUMIF($AS:$AS,$AT1734,AJ:AJ)</f>
        <v>-6917.9599800000024</v>
      </c>
      <c r="AK1734" s="106">
        <f>SUMIF($AS:$AS,$AT1734,AK:AK)</f>
        <v>-7077.5319400000017</v>
      </c>
      <c r="AL1734" s="106">
        <f>SUMIF($AS:$AS,$AT1734,AL:AL)</f>
        <v>-4791.6433300000017</v>
      </c>
      <c r="AM1734" s="106">
        <f>SUMIF($AS:$AS,$AT1734,AM:AM)</f>
        <v>-4528.8727200000021</v>
      </c>
      <c r="AN1734" s="106">
        <f>SUMIF($AS:$AS,$AT1734,AN:AN)</f>
        <v>-2905.7567600000025</v>
      </c>
      <c r="AO1734" s="106">
        <f>SUMIF($AS:$AS,$AT1734,AO:AO)</f>
        <v>-2226.7380100000023</v>
      </c>
      <c r="AP1734" s="264"/>
      <c r="AQ1734" s="264"/>
      <c r="AR1734" s="264"/>
      <c r="AS1734" s="125"/>
      <c r="AT1734" s="248" t="str">
        <f t="shared" si="648"/>
        <v>R11NBWC True-up</v>
      </c>
    </row>
    <row r="1735" spans="1:46">
      <c r="A1735" s="283"/>
      <c r="B1735" s="283"/>
      <c r="C1735" s="285" t="s">
        <v>791</v>
      </c>
      <c r="D1735" s="277"/>
      <c r="E1735" s="278"/>
      <c r="F1735" s="278"/>
      <c r="G1735" s="264"/>
      <c r="H1735" s="279"/>
      <c r="I1735" s="280"/>
      <c r="J1735" s="280"/>
      <c r="K1735" s="279"/>
      <c r="L1735" s="215"/>
      <c r="M1735" s="279"/>
      <c r="N1735" s="281"/>
      <c r="O1735" s="281"/>
      <c r="P1735" s="278"/>
      <c r="Q1735" s="282"/>
      <c r="R1735" s="279"/>
      <c r="S1735" s="279"/>
      <c r="T1735" s="279"/>
      <c r="U1735" s="106">
        <f>SUMIF($AS:$AS,$AT1735,U:U)</f>
        <v>0</v>
      </c>
      <c r="V1735" s="106">
        <f>SUMIF($AS:$AS,$AT1735,V:V)</f>
        <v>0</v>
      </c>
      <c r="W1735" s="106">
        <f>SUMIF($AS:$AS,$AT1735,W:W)</f>
        <v>0</v>
      </c>
      <c r="X1735" s="106">
        <f>SUMIF($AS:$AS,$AT1735,X:X)</f>
        <v>0</v>
      </c>
      <c r="Y1735" s="106">
        <f>SUMIF($AS:$AS,$AT1735,Y:Y)</f>
        <v>0</v>
      </c>
      <c r="Z1735" s="106">
        <f>SUMIF($AS:$AS,$AT1735,Z:Z)</f>
        <v>0</v>
      </c>
      <c r="AA1735" s="106">
        <f>SUMIF($AS:$AS,$AT1735,AA:AA)</f>
        <v>0</v>
      </c>
      <c r="AB1735" s="106">
        <f>SUMIF($AS:$AS,$AT1735,AB:AB)</f>
        <v>0</v>
      </c>
      <c r="AC1735" s="106">
        <f>SUMIF($AS:$AS,$AT1735,AC:AC)</f>
        <v>0</v>
      </c>
      <c r="AD1735" s="106">
        <f>SUMIF($AS:$AS,$AT1735,AD:AD)</f>
        <v>0</v>
      </c>
      <c r="AE1735" s="106">
        <f>SUMIF($AS:$AS,$AT1735,AE:AE)</f>
        <v>0</v>
      </c>
      <c r="AF1735" s="106">
        <f>SUMIF($AS:$AS,$AT1735,AF:AF)</f>
        <v>0</v>
      </c>
      <c r="AG1735" s="106">
        <f>SUMIF($AS:$AS,$AT1735,AG:AG)</f>
        <v>0</v>
      </c>
      <c r="AH1735" s="106">
        <f>SUMIF($AS:$AS,$AT1735,AH:AH)</f>
        <v>0</v>
      </c>
      <c r="AI1735" s="106">
        <f>SUMIF($AS:$AS,$AT1735,AI:AI)</f>
        <v>0</v>
      </c>
      <c r="AJ1735" s="106">
        <f>SUMIF($AS:$AS,$AT1735,AJ:AJ)</f>
        <v>0</v>
      </c>
      <c r="AK1735" s="106">
        <f>SUMIF($AS:$AS,$AT1735,AK:AK)</f>
        <v>0</v>
      </c>
      <c r="AL1735" s="106">
        <f>SUMIF($AS:$AS,$AT1735,AL:AL)</f>
        <v>0</v>
      </c>
      <c r="AM1735" s="106">
        <f>SUMIF($AS:$AS,$AT1735,AM:AM)</f>
        <v>0</v>
      </c>
      <c r="AN1735" s="106">
        <f>SUMIF($AS:$AS,$AT1735,AN:AN)</f>
        <v>0</v>
      </c>
      <c r="AO1735" s="106">
        <f>SUMIF($AS:$AS,$AT1735,AO:AO)</f>
        <v>0</v>
      </c>
      <c r="AP1735" s="264"/>
      <c r="AQ1735" s="264"/>
      <c r="AR1735" s="264"/>
      <c r="AS1735" s="125" t="str">
        <f>CONCATENATE(L1735,H1735)</f>
        <v/>
      </c>
      <c r="AT1735" s="248" t="str">
        <f t="shared" si="648"/>
        <v>R11Non-Qualified Retiree Trust (net of related liability)</v>
      </c>
    </row>
    <row r="1736" spans="1:46">
      <c r="A1736" s="283"/>
      <c r="B1736" s="283"/>
      <c r="C1736" s="285" t="s">
        <v>1665</v>
      </c>
      <c r="D1736" s="277"/>
      <c r="E1736" s="278"/>
      <c r="F1736" s="278"/>
      <c r="G1736" s="264"/>
      <c r="H1736" s="279"/>
      <c r="I1736" s="280"/>
      <c r="J1736" s="280"/>
      <c r="K1736" s="279"/>
      <c r="L1736" s="215"/>
      <c r="M1736" s="279"/>
      <c r="N1736" s="281"/>
      <c r="O1736" s="281"/>
      <c r="P1736" s="278"/>
      <c r="Q1736" s="282"/>
      <c r="R1736" s="279"/>
      <c r="S1736" s="279"/>
      <c r="T1736" s="279"/>
      <c r="U1736" s="106">
        <f>SUMIF($AS:$AS,$AT1736,U:U)</f>
        <v>13.522460000000024</v>
      </c>
      <c r="V1736" s="106">
        <f>SUMIF($AS:$AS,$AT1736,V:V)</f>
        <v>0</v>
      </c>
      <c r="W1736" s="106">
        <f>SUMIF($AS:$AS,$AT1736,W:W)</f>
        <v>0</v>
      </c>
      <c r="X1736" s="106">
        <f>SUMIF($AS:$AS,$AT1736,X:X)</f>
        <v>13.522460000000024</v>
      </c>
      <c r="Y1736" s="106">
        <f>SUMIF($AS:$AS,$AT1736,Y:Y)</f>
        <v>13.522460000000024</v>
      </c>
      <c r="Z1736" s="106">
        <f>SUMIF($AS:$AS,$AT1736,Z:Z)</f>
        <v>0</v>
      </c>
      <c r="AA1736" s="106">
        <f>SUMIF($AS:$AS,$AT1736,AA:AA)</f>
        <v>0</v>
      </c>
      <c r="AB1736" s="106">
        <f>SUMIF($AS:$AS,$AT1736,AB:AB)</f>
        <v>13.522460000000022</v>
      </c>
      <c r="AC1736" s="106">
        <f>SUMIF($AS:$AS,$AT1736,AC:AC)</f>
        <v>13.522460000000022</v>
      </c>
      <c r="AD1736" s="106">
        <f>SUMIF($AS:$AS,$AT1736,AD:AD)</f>
        <v>13.522460000000022</v>
      </c>
      <c r="AE1736" s="106">
        <f>SUMIF($AS:$AS,$AT1736,AE:AE)</f>
        <v>13.522460000000022</v>
      </c>
      <c r="AF1736" s="106">
        <f>SUMIF($AS:$AS,$AT1736,AF:AF)</f>
        <v>13.522460000000022</v>
      </c>
      <c r="AG1736" s="106">
        <f>SUMIF($AS:$AS,$AT1736,AG:AG)</f>
        <v>13.522460000000022</v>
      </c>
      <c r="AH1736" s="106">
        <f>SUMIF($AS:$AS,$AT1736,AH:AH)</f>
        <v>13.522460000000022</v>
      </c>
      <c r="AI1736" s="106">
        <f>SUMIF($AS:$AS,$AT1736,AI:AI)</f>
        <v>13.522460000000022</v>
      </c>
      <c r="AJ1736" s="106">
        <f>SUMIF($AS:$AS,$AT1736,AJ:AJ)</f>
        <v>13.522460000000022</v>
      </c>
      <c r="AK1736" s="106">
        <f>SUMIF($AS:$AS,$AT1736,AK:AK)</f>
        <v>13.522460000000022</v>
      </c>
      <c r="AL1736" s="106">
        <f>SUMIF($AS:$AS,$AT1736,AL:AL)</f>
        <v>13.522460000000022</v>
      </c>
      <c r="AM1736" s="106">
        <f>SUMIF($AS:$AS,$AT1736,AM:AM)</f>
        <v>13.522460000000022</v>
      </c>
      <c r="AN1736" s="106">
        <f>SUMIF($AS:$AS,$AT1736,AN:AN)</f>
        <v>13.522460000000022</v>
      </c>
      <c r="AO1736" s="106">
        <f>SUMIF($AS:$AS,$AT1736,AO:AO)</f>
        <v>13.522460000000022</v>
      </c>
      <c r="AP1736" s="264"/>
      <c r="AQ1736" s="264"/>
      <c r="AR1736" s="264"/>
      <c r="AS1736" s="125"/>
      <c r="AT1736" s="248" t="str">
        <f>+CONCATENATE(D$1758,C1736)</f>
        <v>R11NYPA Ancillaries</v>
      </c>
    </row>
    <row r="1737" spans="1:46">
      <c r="A1737" s="283"/>
      <c r="B1737" s="283"/>
      <c r="C1737" s="285" t="s">
        <v>170</v>
      </c>
      <c r="D1737" s="277"/>
      <c r="E1737" s="278"/>
      <c r="F1737" s="278"/>
      <c r="G1737" s="264"/>
      <c r="H1737" s="279"/>
      <c r="I1737" s="280"/>
      <c r="J1737" s="280"/>
      <c r="K1737" s="279"/>
      <c r="L1737" s="215"/>
      <c r="M1737" s="279"/>
      <c r="N1737" s="281"/>
      <c r="O1737" s="281"/>
      <c r="P1737" s="278"/>
      <c r="Q1737" s="282"/>
      <c r="R1737" s="279"/>
      <c r="S1737" s="279"/>
      <c r="T1737" s="279"/>
      <c r="U1737" s="106">
        <f>SUMIF($AS:$AS,$AT1737,U:U)</f>
        <v>27994.31019635249</v>
      </c>
      <c r="V1737" s="106">
        <f>SUMIF($AS:$AS,$AT1737,V:V)</f>
        <v>6186.7767344808344</v>
      </c>
      <c r="W1737" s="106">
        <f>SUMIF($AS:$AS,$AT1737,W:W)</f>
        <v>0</v>
      </c>
      <c r="X1737" s="106">
        <f>SUMIF($AS:$AS,$AT1737,X:X)</f>
        <v>34181.086930833335</v>
      </c>
      <c r="Y1737" s="106">
        <f>SUMIF($AS:$AS,$AT1737,Y:Y)</f>
        <v>23794.199727479998</v>
      </c>
      <c r="Z1737" s="106">
        <f>SUMIF($AS:$AS,$AT1737,Z:Z)</f>
        <v>5258.5471925200027</v>
      </c>
      <c r="AA1737" s="106">
        <f>SUMIF($AS:$AS,$AT1737,AA:AA)</f>
        <v>0</v>
      </c>
      <c r="AB1737" s="106">
        <f>SUMIF($AS:$AS,$AT1737,AB:AB)</f>
        <v>29052.746920000005</v>
      </c>
      <c r="AC1737" s="106">
        <f>SUMIF($AS:$AS,$AT1737,AC:AC)</f>
        <v>38154.726719999984</v>
      </c>
      <c r="AD1737" s="106">
        <f>SUMIF($AS:$AS,$AT1737,AD:AD)</f>
        <v>37861.912989999983</v>
      </c>
      <c r="AE1737" s="106">
        <f>SUMIF($AS:$AS,$AT1737,AE:AE)</f>
        <v>37386.95858999998</v>
      </c>
      <c r="AF1737" s="106">
        <f>SUMIF($AS:$AS,$AT1737,AF:AF)</f>
        <v>36762.222679999984</v>
      </c>
      <c r="AG1737" s="106">
        <f>SUMIF($AS:$AS,$AT1737,AG:AG)</f>
        <v>36379.402849999977</v>
      </c>
      <c r="AH1737" s="106">
        <f>SUMIF($AS:$AS,$AT1737,AH:AH)</f>
        <v>35707.79602999999</v>
      </c>
      <c r="AI1737" s="106">
        <f>SUMIF($AS:$AS,$AT1737,AI:AI)</f>
        <v>34892.544839999988</v>
      </c>
      <c r="AJ1737" s="106">
        <f>SUMIF($AS:$AS,$AT1737,AJ:AJ)</f>
        <v>33123.192529999993</v>
      </c>
      <c r="AK1737" s="106">
        <f>SUMIF($AS:$AS,$AT1737,AK:AK)</f>
        <v>32450.350889999983</v>
      </c>
      <c r="AL1737" s="106">
        <f>SUMIF($AS:$AS,$AT1737,AL:AL)</f>
        <v>31581.747019999992</v>
      </c>
      <c r="AM1737" s="106">
        <f>SUMIF($AS:$AS,$AT1737,AM:AM)</f>
        <v>30967.279289999984</v>
      </c>
      <c r="AN1737" s="106">
        <f>SUMIF($AS:$AS,$AT1737,AN:AN)</f>
        <v>29455.898639999989</v>
      </c>
      <c r="AO1737" s="106">
        <f>SUMIF($AS:$AS,$AT1737,AO:AO)</f>
        <v>29052.746920000005</v>
      </c>
      <c r="AP1737" s="264"/>
      <c r="AQ1737" s="264"/>
      <c r="AR1737" s="264"/>
      <c r="AS1737" s="125"/>
      <c r="AT1737" s="248" t="str">
        <f t="shared" ref="AT1737:AT1753" si="649">+CONCATENATE(D$1758,C1737)</f>
        <v>R11OPEBs</v>
      </c>
    </row>
    <row r="1738" spans="1:46">
      <c r="A1738" s="283"/>
      <c r="B1738" s="283"/>
      <c r="C1738" s="285" t="s">
        <v>763</v>
      </c>
      <c r="D1738" s="277"/>
      <c r="E1738" s="278"/>
      <c r="F1738" s="278"/>
      <c r="G1738" s="264"/>
      <c r="H1738" s="279"/>
      <c r="I1738" s="280"/>
      <c r="J1738" s="280"/>
      <c r="K1738" s="279"/>
      <c r="L1738" s="215"/>
      <c r="M1738" s="279"/>
      <c r="N1738" s="281"/>
      <c r="O1738" s="281"/>
      <c r="P1738" s="278"/>
      <c r="Q1738" s="282"/>
      <c r="R1738" s="279"/>
      <c r="S1738" s="279"/>
      <c r="T1738" s="279"/>
      <c r="U1738" s="106">
        <f>SUMIF($AS:$AS,$AT1738,U:U)</f>
        <v>5409.2522299999737</v>
      </c>
      <c r="V1738" s="106">
        <f>SUMIF($AS:$AS,$AT1738,V:V)</f>
        <v>-91.703990000003387</v>
      </c>
      <c r="W1738" s="106">
        <f>SUMIF($AS:$AS,$AT1738,W:W)</f>
        <v>0</v>
      </c>
      <c r="X1738" s="106">
        <f>SUMIF($AS:$AS,$AT1738,X:X)</f>
        <v>5317.548239999971</v>
      </c>
      <c r="Y1738" s="106">
        <f>SUMIF($AS:$AS,$AT1738,Y:Y)</f>
        <v>5409.2522299999837</v>
      </c>
      <c r="Z1738" s="106">
        <f>SUMIF($AS:$AS,$AT1738,Z:Z)</f>
        <v>-91.703990000003387</v>
      </c>
      <c r="AA1738" s="106">
        <f>SUMIF($AS:$AS,$AT1738,AA:AA)</f>
        <v>0</v>
      </c>
      <c r="AB1738" s="106">
        <f>SUMIF($AS:$AS,$AT1738,AB:AB)</f>
        <v>5317.5482399999764</v>
      </c>
      <c r="AC1738" s="106">
        <f>SUMIF($AS:$AS,$AT1738,AC:AC)</f>
        <v>5317.5482399999764</v>
      </c>
      <c r="AD1738" s="106">
        <f>SUMIF($AS:$AS,$AT1738,AD:AD)</f>
        <v>5317.5482399999764</v>
      </c>
      <c r="AE1738" s="106">
        <f>SUMIF($AS:$AS,$AT1738,AE:AE)</f>
        <v>5317.5482399999764</v>
      </c>
      <c r="AF1738" s="106">
        <f>SUMIF($AS:$AS,$AT1738,AF:AF)</f>
        <v>5317.5482399999764</v>
      </c>
      <c r="AG1738" s="106">
        <f>SUMIF($AS:$AS,$AT1738,AG:AG)</f>
        <v>5317.5482399999764</v>
      </c>
      <c r="AH1738" s="106">
        <f>SUMIF($AS:$AS,$AT1738,AH:AH)</f>
        <v>5317.5482399999764</v>
      </c>
      <c r="AI1738" s="106">
        <f>SUMIF($AS:$AS,$AT1738,AI:AI)</f>
        <v>5317.5482399999764</v>
      </c>
      <c r="AJ1738" s="106">
        <f>SUMIF($AS:$AS,$AT1738,AJ:AJ)</f>
        <v>5317.5482399999764</v>
      </c>
      <c r="AK1738" s="106">
        <f>SUMIF($AS:$AS,$AT1738,AK:AK)</f>
        <v>5317.5482399999764</v>
      </c>
      <c r="AL1738" s="106">
        <f>SUMIF($AS:$AS,$AT1738,AL:AL)</f>
        <v>5317.5482399999764</v>
      </c>
      <c r="AM1738" s="106">
        <f>SUMIF($AS:$AS,$AT1738,AM:AM)</f>
        <v>5317.5482399999764</v>
      </c>
      <c r="AN1738" s="106">
        <f>SUMIF($AS:$AS,$AT1738,AN:AN)</f>
        <v>5317.5482399999764</v>
      </c>
      <c r="AO1738" s="106">
        <f>SUMIF($AS:$AS,$AT1738,AO:AO)</f>
        <v>5317.5482399999764</v>
      </c>
      <c r="AP1738" s="264"/>
      <c r="AQ1738" s="264"/>
      <c r="AR1738" s="264"/>
      <c r="AS1738" s="125"/>
      <c r="AT1738" s="248" t="str">
        <f t="shared" si="649"/>
        <v>R11Positive Benefit Adjustment</v>
      </c>
    </row>
    <row r="1739" spans="1:46">
      <c r="A1739" s="283"/>
      <c r="B1739" s="283"/>
      <c r="C1739" s="285" t="s">
        <v>815</v>
      </c>
      <c r="D1739" s="277"/>
      <c r="E1739" s="278"/>
      <c r="F1739" s="278"/>
      <c r="G1739" s="264"/>
      <c r="H1739" s="279"/>
      <c r="I1739" s="280"/>
      <c r="J1739" s="280"/>
      <c r="K1739" s="279"/>
      <c r="L1739" s="215"/>
      <c r="M1739" s="279"/>
      <c r="N1739" s="281"/>
      <c r="O1739" s="281"/>
      <c r="P1739" s="278"/>
      <c r="Q1739" s="282"/>
      <c r="R1739" s="279"/>
      <c r="S1739" s="279"/>
      <c r="T1739" s="279"/>
      <c r="U1739" s="106">
        <f>SUMIF($AS:$AS,$AT1739,U:U)</f>
        <v>0</v>
      </c>
      <c r="V1739" s="106">
        <f>SUMIF($AS:$AS,$AT1739,V:V)</f>
        <v>-8.0708458333333404</v>
      </c>
      <c r="W1739" s="106">
        <f>SUMIF($AS:$AS,$AT1739,W:W)</f>
        <v>0</v>
      </c>
      <c r="X1739" s="106">
        <f>SUMIF($AS:$AS,$AT1739,X:X)</f>
        <v>-8.0708458333333404</v>
      </c>
      <c r="Y1739" s="106">
        <f>SUMIF($AS:$AS,$AT1739,Y:Y)</f>
        <v>0</v>
      </c>
      <c r="Z1739" s="106">
        <f>SUMIF($AS:$AS,$AT1739,Z:Z)</f>
        <v>2.0399999999940002E-3</v>
      </c>
      <c r="AA1739" s="106">
        <f>SUMIF($AS:$AS,$AT1739,AA:AA)</f>
        <v>0</v>
      </c>
      <c r="AB1739" s="106">
        <f>SUMIF($AS:$AS,$AT1739,AB:AB)</f>
        <v>2.0399999999945067E-3</v>
      </c>
      <c r="AC1739" s="106">
        <f>SUMIF($AS:$AS,$AT1739,AC:AC)</f>
        <v>-21.278340000000007</v>
      </c>
      <c r="AD1739" s="106">
        <f>SUMIF($AS:$AS,$AT1739,AD:AD)</f>
        <v>-21.389050000000008</v>
      </c>
      <c r="AE1739" s="106">
        <f>SUMIF($AS:$AS,$AT1739,AE:AE)</f>
        <v>-21.500350000000005</v>
      </c>
      <c r="AF1739" s="106">
        <f>SUMIF($AS:$AS,$AT1739,AF:AF)</f>
        <v>-21.612220000000004</v>
      </c>
      <c r="AG1739" s="106">
        <f>SUMIF($AS:$AS,$AT1739,AG:AG)</f>
        <v>-21.724660000000007</v>
      </c>
      <c r="AH1739" s="106">
        <f>SUMIF($AS:$AS,$AT1739,AH:AH)</f>
        <v>2.0399999999945067E-3</v>
      </c>
      <c r="AI1739" s="106">
        <f>SUMIF($AS:$AS,$AT1739,AI:AI)</f>
        <v>2.0399999999945067E-3</v>
      </c>
      <c r="AJ1739" s="106">
        <f>SUMIF($AS:$AS,$AT1739,AJ:AJ)</f>
        <v>2.0399999999945067E-3</v>
      </c>
      <c r="AK1739" s="106">
        <f>SUMIF($AS:$AS,$AT1739,AK:AK)</f>
        <v>2.0399999999945067E-3</v>
      </c>
      <c r="AL1739" s="106">
        <f>SUMIF($AS:$AS,$AT1739,AL:AL)</f>
        <v>2.0399999999945067E-3</v>
      </c>
      <c r="AM1739" s="106">
        <f>SUMIF($AS:$AS,$AT1739,AM:AM)</f>
        <v>2.0399999999945067E-3</v>
      </c>
      <c r="AN1739" s="106">
        <f>SUMIF($AS:$AS,$AT1739,AN:AN)</f>
        <v>2.0399999999945067E-3</v>
      </c>
      <c r="AO1739" s="106">
        <f>SUMIF($AS:$AS,$AT1739,AO:AO)</f>
        <v>2.0399999999945067E-3</v>
      </c>
      <c r="AP1739" s="264"/>
      <c r="AQ1739" s="264"/>
      <c r="AR1739" s="264"/>
      <c r="AS1739" s="125"/>
      <c r="AT1739" s="248" t="str">
        <f t="shared" si="649"/>
        <v>R11Property Tax Deferral</v>
      </c>
    </row>
    <row r="1740" spans="1:46">
      <c r="A1740" s="283"/>
      <c r="B1740" s="283"/>
      <c r="C1740" s="285" t="s">
        <v>678</v>
      </c>
      <c r="D1740" s="277"/>
      <c r="E1740" s="278"/>
      <c r="F1740" s="278"/>
      <c r="G1740" s="264"/>
      <c r="H1740" s="279"/>
      <c r="I1740" s="280"/>
      <c r="J1740" s="280"/>
      <c r="K1740" s="279"/>
      <c r="L1740" s="215"/>
      <c r="M1740" s="279"/>
      <c r="N1740" s="281"/>
      <c r="O1740" s="281"/>
      <c r="P1740" s="278"/>
      <c r="Q1740" s="282"/>
      <c r="R1740" s="279"/>
      <c r="S1740" s="279"/>
      <c r="T1740" s="279"/>
      <c r="U1740" s="106">
        <f>SUMIF($AS:$AS,$AT1740,U:U)</f>
        <v>321.1757566666663</v>
      </c>
      <c r="V1740" s="106">
        <f>SUMIF($AS:$AS,$AT1740,V:V)</f>
        <v>42.101477083333343</v>
      </c>
      <c r="W1740" s="106">
        <f>SUMIF($AS:$AS,$AT1740,W:W)</f>
        <v>0</v>
      </c>
      <c r="X1740" s="106">
        <f>SUMIF($AS:$AS,$AT1740,X:X)</f>
        <v>363.27723374999965</v>
      </c>
      <c r="Y1740" s="106">
        <f>SUMIF($AS:$AS,$AT1740,Y:Y)</f>
        <v>289.59057999999999</v>
      </c>
      <c r="Z1740" s="106">
        <f>SUMIF($AS:$AS,$AT1740,Z:Z)</f>
        <v>16.487770000000001</v>
      </c>
      <c r="AA1740" s="106">
        <f>SUMIF($AS:$AS,$AT1740,AA:AA)</f>
        <v>0</v>
      </c>
      <c r="AB1740" s="106">
        <f>SUMIF($AS:$AS,$AT1740,AB:AB)</f>
        <v>306.07835000000006</v>
      </c>
      <c r="AC1740" s="106">
        <f>SUMIF($AS:$AS,$AT1740,AC:AC)</f>
        <v>87.18562</v>
      </c>
      <c r="AD1740" s="106">
        <f>SUMIF($AS:$AS,$AT1740,AD:AD)</f>
        <v>171.08459999999999</v>
      </c>
      <c r="AE1740" s="106">
        <f>SUMIF($AS:$AS,$AT1740,AE:AE)</f>
        <v>261.68861999999996</v>
      </c>
      <c r="AF1740" s="106">
        <f>SUMIF($AS:$AS,$AT1740,AF:AF)</f>
        <v>379.34561000000008</v>
      </c>
      <c r="AG1740" s="106">
        <f>SUMIF($AS:$AS,$AT1740,AG:AG)</f>
        <v>410.48397000000006</v>
      </c>
      <c r="AH1740" s="106">
        <f>SUMIF($AS:$AS,$AT1740,AH:AH)</f>
        <v>429.09557000000001</v>
      </c>
      <c r="AI1740" s="106">
        <f>SUMIF($AS:$AS,$AT1740,AI:AI)</f>
        <v>438.88024000000007</v>
      </c>
      <c r="AJ1740" s="106">
        <f>SUMIF($AS:$AS,$AT1740,AJ:AJ)</f>
        <v>457.94491000000005</v>
      </c>
      <c r="AK1740" s="106">
        <f>SUMIF($AS:$AS,$AT1740,AK:AK)</f>
        <v>471.08751999999998</v>
      </c>
      <c r="AL1740" s="106">
        <f>SUMIF($AS:$AS,$AT1740,AL:AL)</f>
        <v>430.58424000000002</v>
      </c>
      <c r="AM1740" s="106">
        <f>SUMIF($AS:$AS,$AT1740,AM:AM)</f>
        <v>384.82578999999998</v>
      </c>
      <c r="AN1740" s="106">
        <f>SUMIF($AS:$AS,$AT1740,AN:AN)</f>
        <v>327.67374999999998</v>
      </c>
      <c r="AO1740" s="106">
        <f>SUMIF($AS:$AS,$AT1740,AO:AO)</f>
        <v>306.07835000000006</v>
      </c>
      <c r="AP1740" s="264"/>
      <c r="AQ1740" s="264"/>
      <c r="AR1740" s="264"/>
      <c r="AS1740" s="125"/>
      <c r="AT1740" s="248" t="str">
        <f t="shared" si="649"/>
        <v>R11Purchase of receivables</v>
      </c>
    </row>
    <row r="1741" spans="1:46">
      <c r="A1741" s="283"/>
      <c r="B1741" s="283"/>
      <c r="C1741" s="285" t="s">
        <v>341</v>
      </c>
      <c r="D1741" s="277"/>
      <c r="E1741" s="278"/>
      <c r="F1741" s="278"/>
      <c r="G1741" s="264"/>
      <c r="H1741" s="279"/>
      <c r="I1741" s="280"/>
      <c r="J1741" s="280"/>
      <c r="K1741" s="279"/>
      <c r="L1741" s="215"/>
      <c r="M1741" s="279"/>
      <c r="N1741" s="281"/>
      <c r="O1741" s="281"/>
      <c r="P1741" s="278"/>
      <c r="Q1741" s="282"/>
      <c r="R1741" s="279"/>
      <c r="S1741" s="279"/>
      <c r="T1741" s="279"/>
      <c r="U1741" s="106">
        <f>SUMIF($AS:$AS,$AT1741,U:U)</f>
        <v>2498.1191766666661</v>
      </c>
      <c r="V1741" s="106">
        <f>SUMIF($AS:$AS,$AT1741,V:V)</f>
        <v>987.15899999999999</v>
      </c>
      <c r="W1741" s="106">
        <f>SUMIF($AS:$AS,$AT1741,W:W)</f>
        <v>0</v>
      </c>
      <c r="X1741" s="106">
        <f>SUMIF($AS:$AS,$AT1741,X:X)</f>
        <v>3485.2781766666658</v>
      </c>
      <c r="Y1741" s="106">
        <f>SUMIF($AS:$AS,$AT1741,Y:Y)</f>
        <v>2623.7941399999991</v>
      </c>
      <c r="Z1741" s="106">
        <f>SUMIF($AS:$AS,$AT1741,Z:Z)</f>
        <v>987.15899999999999</v>
      </c>
      <c r="AA1741" s="106">
        <f>SUMIF($AS:$AS,$AT1741,AA:AA)</f>
        <v>0</v>
      </c>
      <c r="AB1741" s="106">
        <f>SUMIF($AS:$AS,$AT1741,AB:AB)</f>
        <v>3610.9531399999996</v>
      </c>
      <c r="AC1741" s="106">
        <f>SUMIF($AS:$AS,$AT1741,AC:AC)</f>
        <v>3359.6031399999997</v>
      </c>
      <c r="AD1741" s="106">
        <f>SUMIF($AS:$AS,$AT1741,AD:AD)</f>
        <v>3380.5489799999996</v>
      </c>
      <c r="AE1741" s="106">
        <f>SUMIF($AS:$AS,$AT1741,AE:AE)</f>
        <v>3401.4948199999999</v>
      </c>
      <c r="AF1741" s="106">
        <f>SUMIF($AS:$AS,$AT1741,AF:AF)</f>
        <v>3422.4406599999998</v>
      </c>
      <c r="AG1741" s="106">
        <f>SUMIF($AS:$AS,$AT1741,AG:AG)</f>
        <v>3443.3864999999996</v>
      </c>
      <c r="AH1741" s="106">
        <f>SUMIF($AS:$AS,$AT1741,AH:AH)</f>
        <v>3464.3323399999995</v>
      </c>
      <c r="AI1741" s="106">
        <f>SUMIF($AS:$AS,$AT1741,AI:AI)</f>
        <v>3485.2781799999993</v>
      </c>
      <c r="AJ1741" s="106">
        <f>SUMIF($AS:$AS,$AT1741,AJ:AJ)</f>
        <v>3506.2240199999997</v>
      </c>
      <c r="AK1741" s="106">
        <f>SUMIF($AS:$AS,$AT1741,AK:AK)</f>
        <v>3527.1698599999995</v>
      </c>
      <c r="AL1741" s="106">
        <f>SUMIF($AS:$AS,$AT1741,AL:AL)</f>
        <v>3548.1156999999994</v>
      </c>
      <c r="AM1741" s="106">
        <f>SUMIF($AS:$AS,$AT1741,AM:AM)</f>
        <v>3569.0615399999997</v>
      </c>
      <c r="AN1741" s="106">
        <f>SUMIF($AS:$AS,$AT1741,AN:AN)</f>
        <v>3590.0073799999991</v>
      </c>
      <c r="AO1741" s="106">
        <f>SUMIF($AS:$AS,$AT1741,AO:AO)</f>
        <v>3610.9531399999996</v>
      </c>
      <c r="AP1741" s="264"/>
      <c r="AQ1741" s="264"/>
      <c r="AR1741" s="264"/>
      <c r="AS1741" s="125"/>
      <c r="AT1741" s="248" t="str">
        <f t="shared" si="649"/>
        <v>R11R&amp;D Tax Credit</v>
      </c>
    </row>
    <row r="1742" spans="1:46">
      <c r="A1742" s="283"/>
      <c r="B1742" s="283"/>
      <c r="C1742" s="285" t="s">
        <v>970</v>
      </c>
      <c r="D1742" s="277"/>
      <c r="E1742" s="278"/>
      <c r="F1742" s="278"/>
      <c r="G1742" s="264"/>
      <c r="H1742" s="279"/>
      <c r="I1742" s="280"/>
      <c r="J1742" s="280"/>
      <c r="K1742" s="279"/>
      <c r="L1742" s="215"/>
      <c r="M1742" s="279"/>
      <c r="N1742" s="281"/>
      <c r="O1742" s="281"/>
      <c r="P1742" s="278"/>
      <c r="Q1742" s="282"/>
      <c r="R1742" s="279"/>
      <c r="S1742" s="279"/>
      <c r="T1742" s="279"/>
      <c r="U1742" s="106">
        <f>SUMIF($AS:$AS,$AT1742,U:U)</f>
        <v>-8262.3464566666698</v>
      </c>
      <c r="V1742" s="106">
        <f>SUMIF($AS:$AS,$AT1742,V:V)</f>
        <v>-468.50676999999996</v>
      </c>
      <c r="W1742" s="106">
        <f>SUMIF($AS:$AS,$AT1742,W:W)</f>
        <v>0</v>
      </c>
      <c r="X1742" s="106">
        <f>SUMIF($AS:$AS,$AT1742,X:X)</f>
        <v>-8730.8532266666698</v>
      </c>
      <c r="Y1742" s="106">
        <f>SUMIF($AS:$AS,$AT1742,Y:Y)</f>
        <v>-8096.2235199999996</v>
      </c>
      <c r="Z1742" s="106">
        <f>SUMIF($AS:$AS,$AT1742,Z:Z)</f>
        <v>-468.50676999999996</v>
      </c>
      <c r="AA1742" s="106">
        <f>SUMIF($AS:$AS,$AT1742,AA:AA)</f>
        <v>0</v>
      </c>
      <c r="AB1742" s="106">
        <f>SUMIF($AS:$AS,$AT1742,AB:AB)</f>
        <v>-8564.7302899999995</v>
      </c>
      <c r="AC1742" s="106">
        <f>SUMIF($AS:$AS,$AT1742,AC:AC)</f>
        <v>-8896.4802899999995</v>
      </c>
      <c r="AD1742" s="106">
        <f>SUMIF($AS:$AS,$AT1742,AD:AD)</f>
        <v>-8869.2302899999995</v>
      </c>
      <c r="AE1742" s="106">
        <f>SUMIF($AS:$AS,$AT1742,AE:AE)</f>
        <v>-8841.9802899999995</v>
      </c>
      <c r="AF1742" s="106">
        <f>SUMIF($AS:$AS,$AT1742,AF:AF)</f>
        <v>-8814.7302899999995</v>
      </c>
      <c r="AG1742" s="106">
        <f>SUMIF($AS:$AS,$AT1742,AG:AG)</f>
        <v>-8785.9636300000002</v>
      </c>
      <c r="AH1742" s="106">
        <f>SUMIF($AS:$AS,$AT1742,AH:AH)</f>
        <v>-8758.3344699999998</v>
      </c>
      <c r="AI1742" s="106">
        <f>SUMIF($AS:$AS,$AT1742,AI:AI)</f>
        <v>-8730.7053100000012</v>
      </c>
      <c r="AJ1742" s="106">
        <f>SUMIF($AS:$AS,$AT1742,AJ:AJ)</f>
        <v>-8703.076149999999</v>
      </c>
      <c r="AK1742" s="106">
        <f>SUMIF($AS:$AS,$AT1742,AK:AK)</f>
        <v>-8675.4469900000004</v>
      </c>
      <c r="AL1742" s="106">
        <f>SUMIF($AS:$AS,$AT1742,AL:AL)</f>
        <v>-8647.81783</v>
      </c>
      <c r="AM1742" s="106">
        <f>SUMIF($AS:$AS,$AT1742,AM:AM)</f>
        <v>-8619.9886699999988</v>
      </c>
      <c r="AN1742" s="106">
        <f>SUMIF($AS:$AS,$AT1742,AN:AN)</f>
        <v>-8592.3595100000002</v>
      </c>
      <c r="AO1742" s="106">
        <f>SUMIF($AS:$AS,$AT1742,AO:AO)</f>
        <v>-8564.7302899999995</v>
      </c>
      <c r="AP1742" s="264"/>
      <c r="AQ1742" s="264"/>
      <c r="AR1742" s="264"/>
      <c r="AS1742" s="125"/>
      <c r="AT1742" s="248" t="str">
        <f t="shared" si="649"/>
        <v>R11Repair Allowance</v>
      </c>
    </row>
    <row r="1743" spans="1:46">
      <c r="A1743" s="283"/>
      <c r="B1743" s="283"/>
      <c r="C1743" s="285" t="s">
        <v>1586</v>
      </c>
      <c r="D1743" s="277"/>
      <c r="E1743" s="278"/>
      <c r="F1743" s="278"/>
      <c r="G1743" s="264"/>
      <c r="H1743" s="279"/>
      <c r="I1743" s="280"/>
      <c r="J1743" s="280"/>
      <c r="K1743" s="279"/>
      <c r="L1743" s="215"/>
      <c r="M1743" s="279"/>
      <c r="N1743" s="281"/>
      <c r="O1743" s="281"/>
      <c r="P1743" s="278"/>
      <c r="Q1743" s="282"/>
      <c r="R1743" s="279"/>
      <c r="S1743" s="279"/>
      <c r="T1743" s="279"/>
      <c r="U1743" s="106">
        <f>SUMIF($AS:$AS,$AT1743,U:U)</f>
        <v>0</v>
      </c>
      <c r="V1743" s="106">
        <f>SUMIF($AS:$AS,$AT1743,V:V)</f>
        <v>0</v>
      </c>
      <c r="W1743" s="106">
        <f>SUMIF($AS:$AS,$AT1743,W:W)</f>
        <v>0</v>
      </c>
      <c r="X1743" s="106">
        <f>SUMIF($AS:$AS,$AT1743,X:X)</f>
        <v>0</v>
      </c>
      <c r="Y1743" s="106">
        <f>SUMIF($AS:$AS,$AT1743,Y:Y)</f>
        <v>0</v>
      </c>
      <c r="Z1743" s="106">
        <f>SUMIF($AS:$AS,$AT1743,Z:Z)</f>
        <v>0</v>
      </c>
      <c r="AA1743" s="106">
        <f>SUMIF($AS:$AS,$AT1743,AA:AA)</f>
        <v>0</v>
      </c>
      <c r="AB1743" s="106">
        <f>SUMIF($AS:$AS,$AT1743,AB:AB)</f>
        <v>0</v>
      </c>
      <c r="AC1743" s="106">
        <f>SUMIF($AS:$AS,$AT1743,AC:AC)</f>
        <v>0</v>
      </c>
      <c r="AD1743" s="106">
        <f>SUMIF($AS:$AS,$AT1743,AD:AD)</f>
        <v>2.9132252166164109E-16</v>
      </c>
      <c r="AE1743" s="106">
        <f>SUMIF($AS:$AS,$AT1743,AE:AE)</f>
        <v>8.7396756498492322E-16</v>
      </c>
      <c r="AF1743" s="106">
        <f>SUMIF($AS:$AS,$AT1743,AF:AF)</f>
        <v>2.9132252166164109E-16</v>
      </c>
      <c r="AG1743" s="106">
        <f>SUMIF($AS:$AS,$AT1743,AG:AG)</f>
        <v>2.9132252166164109E-16</v>
      </c>
      <c r="AH1743" s="106">
        <f>SUMIF($AS:$AS,$AT1743,AH:AH)</f>
        <v>2.9132252166164109E-16</v>
      </c>
      <c r="AI1743" s="106">
        <f>SUMIF($AS:$AS,$AT1743,AI:AI)</f>
        <v>5.8264504332328218E-16</v>
      </c>
      <c r="AJ1743" s="106">
        <f>SUMIF($AS:$AS,$AT1743,AJ:AJ)</f>
        <v>0</v>
      </c>
      <c r="AK1743" s="106">
        <f>SUMIF($AS:$AS,$AT1743,AK:AK)</f>
        <v>2.9132252166164109E-16</v>
      </c>
      <c r="AL1743" s="106">
        <f>SUMIF($AS:$AS,$AT1743,AL:AL)</f>
        <v>8.7396756498492322E-16</v>
      </c>
      <c r="AM1743" s="106">
        <f>SUMIF($AS:$AS,$AT1743,AM:AM)</f>
        <v>0</v>
      </c>
      <c r="AN1743" s="106">
        <f>SUMIF($AS:$AS,$AT1743,AN:AN)</f>
        <v>0</v>
      </c>
      <c r="AO1743" s="106">
        <f>SUMIF($AS:$AS,$AT1743,AO:AO)</f>
        <v>0</v>
      </c>
      <c r="AP1743" s="264"/>
      <c r="AQ1743" s="264"/>
      <c r="AR1743" s="264"/>
      <c r="AS1743" s="125" t="str">
        <f>CONCATENATE(L1743,H1743)</f>
        <v/>
      </c>
      <c r="AT1743" s="248" t="str">
        <f t="shared" si="649"/>
        <v>R11Restricted Stock</v>
      </c>
    </row>
    <row r="1744" spans="1:46">
      <c r="A1744" s="283"/>
      <c r="B1744" s="283"/>
      <c r="C1744" s="285" t="s">
        <v>1451</v>
      </c>
      <c r="D1744" s="277"/>
      <c r="E1744" s="278"/>
      <c r="F1744" s="278"/>
      <c r="G1744" s="264"/>
      <c r="H1744" s="279"/>
      <c r="I1744" s="280"/>
      <c r="J1744" s="280"/>
      <c r="K1744" s="279"/>
      <c r="L1744" s="215"/>
      <c r="M1744" s="279"/>
      <c r="N1744" s="281"/>
      <c r="O1744" s="281"/>
      <c r="P1744" s="278"/>
      <c r="Q1744" s="282"/>
      <c r="R1744" s="279"/>
      <c r="S1744" s="279"/>
      <c r="T1744" s="279"/>
      <c r="U1744" s="106">
        <f>SUMIF($AS:$AS,$AT1744,U:U)</f>
        <v>0</v>
      </c>
      <c r="V1744" s="106">
        <f>SUMIF($AS:$AS,$AT1744,V:V)</f>
        <v>0</v>
      </c>
      <c r="W1744" s="106">
        <f>SUMIF($AS:$AS,$AT1744,W:W)</f>
        <v>0</v>
      </c>
      <c r="X1744" s="106">
        <f>SUMIF($AS:$AS,$AT1744,X:X)</f>
        <v>0</v>
      </c>
      <c r="Y1744" s="106">
        <f>SUMIF($AS:$AS,$AT1744,Y:Y)</f>
        <v>0</v>
      </c>
      <c r="Z1744" s="106">
        <f>SUMIF($AS:$AS,$AT1744,Z:Z)</f>
        <v>0</v>
      </c>
      <c r="AA1744" s="106">
        <f>SUMIF($AS:$AS,$AT1744,AA:AA)</f>
        <v>0</v>
      </c>
      <c r="AB1744" s="106">
        <f>SUMIF($AS:$AS,$AT1744,AB:AB)</f>
        <v>0</v>
      </c>
      <c r="AC1744" s="106">
        <f>SUMIF($AS:$AS,$AT1744,AC:AC)</f>
        <v>0</v>
      </c>
      <c r="AD1744" s="106">
        <f>SUMIF($AS:$AS,$AT1744,AD:AD)</f>
        <v>1.4566126083082054E-16</v>
      </c>
      <c r="AE1744" s="106">
        <f>SUMIF($AS:$AS,$AT1744,AE:AE)</f>
        <v>4.3698378249246161E-16</v>
      </c>
      <c r="AF1744" s="106">
        <f>SUMIF($AS:$AS,$AT1744,AF:AF)</f>
        <v>1.4566126083082054E-16</v>
      </c>
      <c r="AG1744" s="106">
        <f>SUMIF($AS:$AS,$AT1744,AG:AG)</f>
        <v>1.4566126083082054E-16</v>
      </c>
      <c r="AH1744" s="106">
        <f>SUMIF($AS:$AS,$AT1744,AH:AH)</f>
        <v>1.4566126083082054E-16</v>
      </c>
      <c r="AI1744" s="106">
        <f>SUMIF($AS:$AS,$AT1744,AI:AI)</f>
        <v>2.9132252166164109E-16</v>
      </c>
      <c r="AJ1744" s="106">
        <f>SUMIF($AS:$AS,$AT1744,AJ:AJ)</f>
        <v>0</v>
      </c>
      <c r="AK1744" s="106">
        <f>SUMIF($AS:$AS,$AT1744,AK:AK)</f>
        <v>1.4566126083082054E-16</v>
      </c>
      <c r="AL1744" s="106">
        <f>SUMIF($AS:$AS,$AT1744,AL:AL)</f>
        <v>4.3698378249246161E-16</v>
      </c>
      <c r="AM1744" s="106">
        <f>SUMIF($AS:$AS,$AT1744,AM:AM)</f>
        <v>0</v>
      </c>
      <c r="AN1744" s="106">
        <f>SUMIF($AS:$AS,$AT1744,AN:AN)</f>
        <v>0</v>
      </c>
      <c r="AO1744" s="106">
        <f>SUMIF($AS:$AS,$AT1744,AO:AO)</f>
        <v>0</v>
      </c>
      <c r="AP1744" s="264"/>
      <c r="AQ1744" s="264"/>
      <c r="AR1744" s="264"/>
      <c r="AS1744" s="125" t="str">
        <f>CONCATENATE(L1744,H1744)</f>
        <v/>
      </c>
      <c r="AT1744" s="248" t="str">
        <f t="shared" si="649"/>
        <v>R11Restructuring Costs</v>
      </c>
    </row>
    <row r="1745" spans="1:46">
      <c r="A1745" s="283"/>
      <c r="B1745" s="283"/>
      <c r="C1745" s="285" t="s">
        <v>404</v>
      </c>
      <c r="D1745" s="277"/>
      <c r="E1745" s="278"/>
      <c r="F1745" s="278"/>
      <c r="G1745" s="264"/>
      <c r="H1745" s="279"/>
      <c r="I1745" s="280"/>
      <c r="J1745" s="280"/>
      <c r="K1745" s="279"/>
      <c r="L1745" s="215"/>
      <c r="M1745" s="279"/>
      <c r="N1745" s="281"/>
      <c r="O1745" s="281"/>
      <c r="P1745" s="278"/>
      <c r="Q1745" s="282"/>
      <c r="R1745" s="279"/>
      <c r="S1745" s="279"/>
      <c r="T1745" s="279"/>
      <c r="U1745" s="106">
        <f>SUMIF($AS:$AS,$AT1745,U:U)</f>
        <v>-138.75</v>
      </c>
      <c r="V1745" s="106">
        <f>SUMIF($AS:$AS,$AT1745,V:V)</f>
        <v>-35.075000000000003</v>
      </c>
      <c r="W1745" s="106">
        <f>SUMIF($AS:$AS,$AT1745,W:W)</f>
        <v>0</v>
      </c>
      <c r="X1745" s="106">
        <f>SUMIF($AS:$AS,$AT1745,X:X)</f>
        <v>-173.82500000000002</v>
      </c>
      <c r="Y1745" s="106">
        <f>SUMIF($AS:$AS,$AT1745,Y:Y)</f>
        <v>-138.75</v>
      </c>
      <c r="Z1745" s="106">
        <f>SUMIF($AS:$AS,$AT1745,Z:Z)</f>
        <v>-35.075000000000003</v>
      </c>
      <c r="AA1745" s="106">
        <f>SUMIF($AS:$AS,$AT1745,AA:AA)</f>
        <v>0</v>
      </c>
      <c r="AB1745" s="106">
        <f>SUMIF($AS:$AS,$AT1745,AB:AB)</f>
        <v>-173.82500000000002</v>
      </c>
      <c r="AC1745" s="106">
        <f>SUMIF($AS:$AS,$AT1745,AC:AC)</f>
        <v>-173.82500000000002</v>
      </c>
      <c r="AD1745" s="106">
        <f>SUMIF($AS:$AS,$AT1745,AD:AD)</f>
        <v>-173.82500000000002</v>
      </c>
      <c r="AE1745" s="106">
        <f>SUMIF($AS:$AS,$AT1745,AE:AE)</f>
        <v>-173.82500000000002</v>
      </c>
      <c r="AF1745" s="106">
        <f>SUMIF($AS:$AS,$AT1745,AF:AF)</f>
        <v>-173.82500000000002</v>
      </c>
      <c r="AG1745" s="106">
        <f>SUMIF($AS:$AS,$AT1745,AG:AG)</f>
        <v>-173.82500000000002</v>
      </c>
      <c r="AH1745" s="106">
        <f>SUMIF($AS:$AS,$AT1745,AH:AH)</f>
        <v>-173.82500000000002</v>
      </c>
      <c r="AI1745" s="106">
        <f>SUMIF($AS:$AS,$AT1745,AI:AI)</f>
        <v>-173.82500000000002</v>
      </c>
      <c r="AJ1745" s="106">
        <f>SUMIF($AS:$AS,$AT1745,AJ:AJ)</f>
        <v>-173.82500000000002</v>
      </c>
      <c r="AK1745" s="106">
        <f>SUMIF($AS:$AS,$AT1745,AK:AK)</f>
        <v>-173.82500000000002</v>
      </c>
      <c r="AL1745" s="106">
        <f>SUMIF($AS:$AS,$AT1745,AL:AL)</f>
        <v>-173.82500000000002</v>
      </c>
      <c r="AM1745" s="106">
        <f>SUMIF($AS:$AS,$AT1745,AM:AM)</f>
        <v>-173.82500000000002</v>
      </c>
      <c r="AN1745" s="106">
        <f>SUMIF($AS:$AS,$AT1745,AN:AN)</f>
        <v>-173.82500000000002</v>
      </c>
      <c r="AO1745" s="106">
        <f>SUMIF($AS:$AS,$AT1745,AO:AO)</f>
        <v>-173.82500000000002</v>
      </c>
      <c r="AP1745" s="264"/>
      <c r="AQ1745" s="264"/>
      <c r="AR1745" s="264"/>
      <c r="AS1745" s="125" t="str">
        <f>CONCATENATE(L1745,H1745)</f>
        <v/>
      </c>
      <c r="AT1745" s="248" t="str">
        <f t="shared" si="649"/>
        <v>R11Revolver Facility</v>
      </c>
    </row>
    <row r="1746" spans="1:46">
      <c r="A1746" s="283"/>
      <c r="B1746" s="283"/>
      <c r="C1746" s="285" t="s">
        <v>3032</v>
      </c>
      <c r="D1746" s="277"/>
      <c r="E1746" s="278"/>
      <c r="F1746" s="278"/>
      <c r="G1746" s="264"/>
      <c r="H1746" s="279"/>
      <c r="I1746" s="280"/>
      <c r="J1746" s="280"/>
      <c r="K1746" s="279"/>
      <c r="L1746" s="215"/>
      <c r="M1746" s="279"/>
      <c r="N1746" s="281"/>
      <c r="O1746" s="281"/>
      <c r="P1746" s="278"/>
      <c r="Q1746" s="282"/>
      <c r="R1746" s="279"/>
      <c r="S1746" s="279"/>
      <c r="T1746" s="279"/>
      <c r="U1746" s="106">
        <f>SUMIF($AS:$AS,$AT1746,U:U)</f>
        <v>0</v>
      </c>
      <c r="V1746" s="106">
        <f>SUMIF($AS:$AS,$AT1746,V:V)</f>
        <v>-72.245960000000096</v>
      </c>
      <c r="W1746" s="106">
        <f>SUMIF($AS:$AS,$AT1746,W:W)</f>
        <v>0</v>
      </c>
      <c r="X1746" s="106">
        <f>SUMIF($AS:$AS,$AT1746,X:X)</f>
        <v>-72.245960000000096</v>
      </c>
      <c r="Y1746" s="106">
        <f>SUMIF($AS:$AS,$AT1746,Y:Y)</f>
        <v>0</v>
      </c>
      <c r="Z1746" s="106">
        <f>SUMIF($AS:$AS,$AT1746,Z:Z)</f>
        <v>-72.245960000000096</v>
      </c>
      <c r="AA1746" s="106">
        <f>SUMIF($AS:$AS,$AT1746,AA:AA)</f>
        <v>0</v>
      </c>
      <c r="AB1746" s="106">
        <f>SUMIF($AS:$AS,$AT1746,AB:AB)</f>
        <v>-72.245960000000011</v>
      </c>
      <c r="AC1746" s="106">
        <f>SUMIF($AS:$AS,$AT1746,AC:AC)</f>
        <v>-72.245960000000011</v>
      </c>
      <c r="AD1746" s="106">
        <f>SUMIF($AS:$AS,$AT1746,AD:AD)</f>
        <v>-72.245960000000011</v>
      </c>
      <c r="AE1746" s="106">
        <f>SUMIF($AS:$AS,$AT1746,AE:AE)</f>
        <v>-72.245960000000011</v>
      </c>
      <c r="AF1746" s="106">
        <f>SUMIF($AS:$AS,$AT1746,AF:AF)</f>
        <v>-72.245960000000011</v>
      </c>
      <c r="AG1746" s="106">
        <f>SUMIF($AS:$AS,$AT1746,AG:AG)</f>
        <v>-72.245960000000011</v>
      </c>
      <c r="AH1746" s="106">
        <f>SUMIF($AS:$AS,$AT1746,AH:AH)</f>
        <v>-72.245960000000011</v>
      </c>
      <c r="AI1746" s="106">
        <f>SUMIF($AS:$AS,$AT1746,AI:AI)</f>
        <v>-72.245960000000011</v>
      </c>
      <c r="AJ1746" s="106">
        <f>SUMIF($AS:$AS,$AT1746,AJ:AJ)</f>
        <v>-72.245960000000011</v>
      </c>
      <c r="AK1746" s="106">
        <f>SUMIF($AS:$AS,$AT1746,AK:AK)</f>
        <v>-72.245960000000011</v>
      </c>
      <c r="AL1746" s="106">
        <f>SUMIF($AS:$AS,$AT1746,AL:AL)</f>
        <v>-72.245960000000011</v>
      </c>
      <c r="AM1746" s="106">
        <f>SUMIF($AS:$AS,$AT1746,AM:AM)</f>
        <v>-72.245960000000011</v>
      </c>
      <c r="AN1746" s="106">
        <f>SUMIF($AS:$AS,$AT1746,AN:AN)</f>
        <v>-72.245960000000011</v>
      </c>
      <c r="AO1746" s="106">
        <f>SUMIF($AS:$AS,$AT1746,AO:AO)</f>
        <v>-72.245960000000011</v>
      </c>
      <c r="AP1746" s="264"/>
      <c r="AQ1746" s="264"/>
      <c r="AR1746" s="264"/>
      <c r="AS1746" s="125"/>
      <c r="AT1746" s="248" t="str">
        <f t="shared" si="649"/>
        <v>R11Sarbanes-Oxley</v>
      </c>
    </row>
    <row r="1747" spans="1:46">
      <c r="A1747" s="283"/>
      <c r="B1747" s="283"/>
      <c r="C1747" s="285" t="s">
        <v>1722</v>
      </c>
      <c r="D1747" s="277"/>
      <c r="E1747" s="278"/>
      <c r="F1747" s="278"/>
      <c r="G1747" s="264"/>
      <c r="H1747" s="279"/>
      <c r="I1747" s="280"/>
      <c r="J1747" s="280"/>
      <c r="K1747" s="279"/>
      <c r="L1747" s="215"/>
      <c r="M1747" s="279"/>
      <c r="N1747" s="281"/>
      <c r="O1747" s="281"/>
      <c r="P1747" s="278"/>
      <c r="Q1747" s="282"/>
      <c r="R1747" s="279"/>
      <c r="S1747" s="279"/>
      <c r="T1747" s="279"/>
      <c r="U1747" s="106">
        <f>SUMIF($AS:$AS,$AT1747,U:U)</f>
        <v>0</v>
      </c>
      <c r="V1747" s="106">
        <f>SUMIF($AS:$AS,$AT1747,V:V)</f>
        <v>11558.51815</v>
      </c>
      <c r="W1747" s="106">
        <f>SUMIF($AS:$AS,$AT1747,W:W)</f>
        <v>0</v>
      </c>
      <c r="X1747" s="106">
        <f>SUMIF($AS:$AS,$AT1747,X:X)</f>
        <v>11558.51815</v>
      </c>
      <c r="Y1747" s="106">
        <f>SUMIF($AS:$AS,$AT1747,Y:Y)</f>
        <v>0</v>
      </c>
      <c r="Z1747" s="106">
        <f>SUMIF($AS:$AS,$AT1747,Z:Z)</f>
        <v>11558.51815</v>
      </c>
      <c r="AA1747" s="106">
        <f>SUMIF($AS:$AS,$AT1747,AA:AA)</f>
        <v>0</v>
      </c>
      <c r="AB1747" s="106">
        <f>SUMIF($AS:$AS,$AT1747,AB:AB)</f>
        <v>11558.51815</v>
      </c>
      <c r="AC1747" s="106">
        <f>SUMIF($AS:$AS,$AT1747,AC:AC)</f>
        <v>11558.51815</v>
      </c>
      <c r="AD1747" s="106">
        <f>SUMIF($AS:$AS,$AT1747,AD:AD)</f>
        <v>11558.51815</v>
      </c>
      <c r="AE1747" s="106">
        <f>SUMIF($AS:$AS,$AT1747,AE:AE)</f>
        <v>11558.51815</v>
      </c>
      <c r="AF1747" s="106">
        <f>SUMIF($AS:$AS,$AT1747,AF:AF)</f>
        <v>11558.51815</v>
      </c>
      <c r="AG1747" s="106">
        <f>SUMIF($AS:$AS,$AT1747,AG:AG)</f>
        <v>11558.51815</v>
      </c>
      <c r="AH1747" s="106">
        <f>SUMIF($AS:$AS,$AT1747,AH:AH)</f>
        <v>11558.51815</v>
      </c>
      <c r="AI1747" s="106">
        <f>SUMIF($AS:$AS,$AT1747,AI:AI)</f>
        <v>11558.51815</v>
      </c>
      <c r="AJ1747" s="106">
        <f>SUMIF($AS:$AS,$AT1747,AJ:AJ)</f>
        <v>11558.51815</v>
      </c>
      <c r="AK1747" s="106">
        <f>SUMIF($AS:$AS,$AT1747,AK:AK)</f>
        <v>11558.51815</v>
      </c>
      <c r="AL1747" s="106">
        <f>SUMIF($AS:$AS,$AT1747,AL:AL)</f>
        <v>11558.51815</v>
      </c>
      <c r="AM1747" s="106">
        <f>SUMIF($AS:$AS,$AT1747,AM:AM)</f>
        <v>11558.51815</v>
      </c>
      <c r="AN1747" s="106">
        <f>SUMIF($AS:$AS,$AT1747,AN:AN)</f>
        <v>11558.51815</v>
      </c>
      <c r="AO1747" s="106">
        <f>SUMIF($AS:$AS,$AT1747,AO:AO)</f>
        <v>11558.51815</v>
      </c>
      <c r="AP1747" s="264"/>
      <c r="AQ1747" s="264"/>
      <c r="AR1747" s="264"/>
      <c r="AS1747" s="125"/>
      <c r="AT1747" s="248" t="str">
        <f t="shared" si="649"/>
        <v>R11Seneca ADIT Offset</v>
      </c>
    </row>
    <row r="1748" spans="1:46">
      <c r="A1748" s="283"/>
      <c r="B1748" s="283"/>
      <c r="C1748" s="285" t="s">
        <v>2714</v>
      </c>
      <c r="D1748" s="277"/>
      <c r="E1748" s="278"/>
      <c r="F1748" s="278"/>
      <c r="G1748" s="264"/>
      <c r="H1748" s="279"/>
      <c r="I1748" s="280"/>
      <c r="J1748" s="280"/>
      <c r="K1748" s="279"/>
      <c r="L1748" s="215"/>
      <c r="M1748" s="279"/>
      <c r="N1748" s="281"/>
      <c r="O1748" s="281"/>
      <c r="P1748" s="278"/>
      <c r="Q1748" s="282"/>
      <c r="R1748" s="279"/>
      <c r="S1748" s="279"/>
      <c r="T1748" s="279"/>
      <c r="U1748" s="106">
        <f>SUMIF($AS:$AS,$AT1748,U:U)</f>
        <v>0</v>
      </c>
      <c r="V1748" s="106">
        <f>SUMIF($AS:$AS,$AT1748,V:V)</f>
        <v>-179.15998999999999</v>
      </c>
      <c r="W1748" s="106">
        <f>SUMIF($AS:$AS,$AT1748,W:W)</f>
        <v>0</v>
      </c>
      <c r="X1748" s="106">
        <f>SUMIF($AS:$AS,$AT1748,X:X)</f>
        <v>-179.15998999999999</v>
      </c>
      <c r="Y1748" s="106">
        <f>SUMIF($AS:$AS,$AT1748,Y:Y)</f>
        <v>0</v>
      </c>
      <c r="Z1748" s="106">
        <f>SUMIF($AS:$AS,$AT1748,Z:Z)</f>
        <v>-179.15998999999999</v>
      </c>
      <c r="AA1748" s="106">
        <f>SUMIF($AS:$AS,$AT1748,AA:AA)</f>
        <v>0</v>
      </c>
      <c r="AB1748" s="106">
        <f>SUMIF($AS:$AS,$AT1748,AB:AB)</f>
        <v>-179.15998999999996</v>
      </c>
      <c r="AC1748" s="106">
        <f>SUMIF($AS:$AS,$AT1748,AC:AC)</f>
        <v>-179.15998999999996</v>
      </c>
      <c r="AD1748" s="106">
        <f>SUMIF($AS:$AS,$AT1748,AD:AD)</f>
        <v>-179.15998999999996</v>
      </c>
      <c r="AE1748" s="106">
        <f>SUMIF($AS:$AS,$AT1748,AE:AE)</f>
        <v>-179.15998999999996</v>
      </c>
      <c r="AF1748" s="106">
        <f>SUMIF($AS:$AS,$AT1748,AF:AF)</f>
        <v>-179.15998999999996</v>
      </c>
      <c r="AG1748" s="106">
        <f>SUMIF($AS:$AS,$AT1748,AG:AG)</f>
        <v>-179.15998999999996</v>
      </c>
      <c r="AH1748" s="106">
        <f>SUMIF($AS:$AS,$AT1748,AH:AH)</f>
        <v>-179.15998999999996</v>
      </c>
      <c r="AI1748" s="106">
        <f>SUMIF($AS:$AS,$AT1748,AI:AI)</f>
        <v>-179.15998999999996</v>
      </c>
      <c r="AJ1748" s="106">
        <f>SUMIF($AS:$AS,$AT1748,AJ:AJ)</f>
        <v>-179.15998999999996</v>
      </c>
      <c r="AK1748" s="106">
        <f>SUMIF($AS:$AS,$AT1748,AK:AK)</f>
        <v>-179.15998999999996</v>
      </c>
      <c r="AL1748" s="106">
        <f>SUMIF($AS:$AS,$AT1748,AL:AL)</f>
        <v>-179.15998999999996</v>
      </c>
      <c r="AM1748" s="106">
        <f>SUMIF($AS:$AS,$AT1748,AM:AM)</f>
        <v>-179.15998999999996</v>
      </c>
      <c r="AN1748" s="106">
        <f>SUMIF($AS:$AS,$AT1748,AN:AN)</f>
        <v>-179.15998999999996</v>
      </c>
      <c r="AO1748" s="106">
        <f>SUMIF($AS:$AS,$AT1748,AO:AO)</f>
        <v>-179.15998999999996</v>
      </c>
      <c r="AP1748" s="264"/>
      <c r="AQ1748" s="264"/>
      <c r="AR1748" s="264"/>
      <c r="AS1748" s="125"/>
      <c r="AT1748" s="248" t="str">
        <f t="shared" si="649"/>
        <v>R11Seneca Storage</v>
      </c>
    </row>
    <row r="1749" spans="1:46">
      <c r="A1749" s="283"/>
      <c r="B1749" s="283"/>
      <c r="C1749" s="285" t="s">
        <v>1943</v>
      </c>
      <c r="D1749" s="277"/>
      <c r="E1749" s="278"/>
      <c r="F1749" s="278"/>
      <c r="G1749" s="264"/>
      <c r="H1749" s="279"/>
      <c r="I1749" s="280"/>
      <c r="J1749" s="280"/>
      <c r="K1749" s="279"/>
      <c r="L1749" s="215"/>
      <c r="M1749" s="279"/>
      <c r="N1749" s="281"/>
      <c r="O1749" s="281"/>
      <c r="P1749" s="278"/>
      <c r="Q1749" s="282"/>
      <c r="R1749" s="279"/>
      <c r="S1749" s="279"/>
      <c r="T1749" s="279"/>
      <c r="U1749" s="106">
        <f>SUMIF($AS:$AS,$AT1749,U:U)</f>
        <v>763.45</v>
      </c>
      <c r="V1749" s="106">
        <f>SUMIF($AS:$AS,$AT1749,V:V)</f>
        <v>-4.3999999991599999E-4</v>
      </c>
      <c r="W1749" s="106">
        <f>SUMIF($AS:$AS,$AT1749,W:W)</f>
        <v>0</v>
      </c>
      <c r="X1749" s="106">
        <f>SUMIF($AS:$AS,$AT1749,X:X)</f>
        <v>763.44956000000013</v>
      </c>
      <c r="Y1749" s="106">
        <f>SUMIF($AS:$AS,$AT1749,Y:Y)</f>
        <v>763.45</v>
      </c>
      <c r="Z1749" s="106">
        <f>SUMIF($AS:$AS,$AT1749,Z:Z)</f>
        <v>-4.3999999991599999E-4</v>
      </c>
      <c r="AA1749" s="106">
        <f>SUMIF($AS:$AS,$AT1749,AA:AA)</f>
        <v>0</v>
      </c>
      <c r="AB1749" s="106">
        <f>SUMIF($AS:$AS,$AT1749,AB:AB)</f>
        <v>763.44956000000013</v>
      </c>
      <c r="AC1749" s="106">
        <f>SUMIF($AS:$AS,$AT1749,AC:AC)</f>
        <v>763.44956000000013</v>
      </c>
      <c r="AD1749" s="106">
        <f>SUMIF($AS:$AS,$AT1749,AD:AD)</f>
        <v>763.44956000000013</v>
      </c>
      <c r="AE1749" s="106">
        <f>SUMIF($AS:$AS,$AT1749,AE:AE)</f>
        <v>763.44956000000013</v>
      </c>
      <c r="AF1749" s="106">
        <f>SUMIF($AS:$AS,$AT1749,AF:AF)</f>
        <v>763.44956000000013</v>
      </c>
      <c r="AG1749" s="106">
        <f>SUMIF($AS:$AS,$AT1749,AG:AG)</f>
        <v>763.44956000000013</v>
      </c>
      <c r="AH1749" s="106">
        <f>SUMIF($AS:$AS,$AT1749,AH:AH)</f>
        <v>763.44956000000013</v>
      </c>
      <c r="AI1749" s="106">
        <f>SUMIF($AS:$AS,$AT1749,AI:AI)</f>
        <v>763.44956000000013</v>
      </c>
      <c r="AJ1749" s="106">
        <f>SUMIF($AS:$AS,$AT1749,AJ:AJ)</f>
        <v>763.44956000000013</v>
      </c>
      <c r="AK1749" s="106">
        <f>SUMIF($AS:$AS,$AT1749,AK:AK)</f>
        <v>763.44956000000013</v>
      </c>
      <c r="AL1749" s="106">
        <f>SUMIF($AS:$AS,$AT1749,AL:AL)</f>
        <v>763.44956000000013</v>
      </c>
      <c r="AM1749" s="106">
        <f>SUMIF($AS:$AS,$AT1749,AM:AM)</f>
        <v>763.44956000000013</v>
      </c>
      <c r="AN1749" s="106">
        <f>SUMIF($AS:$AS,$AT1749,AN:AN)</f>
        <v>763.44956000000013</v>
      </c>
      <c r="AO1749" s="106">
        <f>SUMIF($AS:$AS,$AT1749,AO:AO)</f>
        <v>763.44956000000013</v>
      </c>
      <c r="AP1749" s="264"/>
      <c r="AQ1749" s="264"/>
      <c r="AR1749" s="264"/>
      <c r="AS1749" s="125"/>
      <c r="AT1749" s="248" t="str">
        <f t="shared" si="649"/>
        <v>R11Service Quality Performance Program</v>
      </c>
    </row>
    <row r="1750" spans="1:46">
      <c r="A1750" s="283"/>
      <c r="B1750" s="283"/>
      <c r="C1750" s="285" t="s">
        <v>2857</v>
      </c>
      <c r="D1750" s="277"/>
      <c r="E1750" s="278"/>
      <c r="F1750" s="278"/>
      <c r="G1750" s="264"/>
      <c r="H1750" s="279"/>
      <c r="I1750" s="280"/>
      <c r="J1750" s="280"/>
      <c r="K1750" s="279"/>
      <c r="L1750" s="215"/>
      <c r="M1750" s="279"/>
      <c r="N1750" s="281"/>
      <c r="O1750" s="281"/>
      <c r="P1750" s="278"/>
      <c r="Q1750" s="282"/>
      <c r="R1750" s="279"/>
      <c r="S1750" s="279"/>
      <c r="T1750" s="279"/>
      <c r="U1750" s="106">
        <f>SUMIF($AS:$AS,$AT1750,U:U)</f>
        <v>0</v>
      </c>
      <c r="V1750" s="106">
        <f>SUMIF($AS:$AS,$AT1750,V:V)</f>
        <v>0</v>
      </c>
      <c r="W1750" s="106">
        <f>SUMIF($AS:$AS,$AT1750,W:W)</f>
        <v>0</v>
      </c>
      <c r="X1750" s="106">
        <f>SUMIF($AS:$AS,$AT1750,X:X)</f>
        <v>0</v>
      </c>
      <c r="Y1750" s="106">
        <f>SUMIF($AS:$AS,$AT1750,Y:Y)</f>
        <v>0</v>
      </c>
      <c r="Z1750" s="106">
        <f>SUMIF($AS:$AS,$AT1750,Z:Z)</f>
        <v>0</v>
      </c>
      <c r="AA1750" s="106">
        <f>SUMIF($AS:$AS,$AT1750,AA:AA)</f>
        <v>0</v>
      </c>
      <c r="AB1750" s="106">
        <f>SUMIF($AS:$AS,$AT1750,AB:AB)</f>
        <v>0</v>
      </c>
      <c r="AC1750" s="106">
        <f>SUMIF($AS:$AS,$AT1750,AC:AC)</f>
        <v>0</v>
      </c>
      <c r="AD1750" s="106">
        <f>SUMIF($AS:$AS,$AT1750,AD:AD)</f>
        <v>0</v>
      </c>
      <c r="AE1750" s="106">
        <f>SUMIF($AS:$AS,$AT1750,AE:AE)</f>
        <v>0</v>
      </c>
      <c r="AF1750" s="106">
        <f>SUMIF($AS:$AS,$AT1750,AF:AF)</f>
        <v>0</v>
      </c>
      <c r="AG1750" s="106">
        <f>SUMIF($AS:$AS,$AT1750,AG:AG)</f>
        <v>0</v>
      </c>
      <c r="AH1750" s="106">
        <f>SUMIF($AS:$AS,$AT1750,AH:AH)</f>
        <v>0</v>
      </c>
      <c r="AI1750" s="106">
        <f>SUMIF($AS:$AS,$AT1750,AI:AI)</f>
        <v>0</v>
      </c>
      <c r="AJ1750" s="106">
        <f>SUMIF($AS:$AS,$AT1750,AJ:AJ)</f>
        <v>0</v>
      </c>
      <c r="AK1750" s="106">
        <f>SUMIF($AS:$AS,$AT1750,AK:AK)</f>
        <v>0</v>
      </c>
      <c r="AL1750" s="106">
        <f>SUMIF($AS:$AS,$AT1750,AL:AL)</f>
        <v>0</v>
      </c>
      <c r="AM1750" s="106">
        <f>SUMIF($AS:$AS,$AT1750,AM:AM)</f>
        <v>0</v>
      </c>
      <c r="AN1750" s="106">
        <f>SUMIF($AS:$AS,$AT1750,AN:AN)</f>
        <v>0</v>
      </c>
      <c r="AO1750" s="106">
        <f>SUMIF($AS:$AS,$AT1750,AO:AO)</f>
        <v>0</v>
      </c>
      <c r="AP1750" s="264"/>
      <c r="AQ1750" s="264"/>
      <c r="AR1750" s="264"/>
      <c r="AS1750" s="125"/>
      <c r="AT1750" s="248" t="str">
        <f t="shared" si="649"/>
        <v>R11Stray Voltage</v>
      </c>
    </row>
    <row r="1751" spans="1:46">
      <c r="A1751" s="283"/>
      <c r="B1751" s="283"/>
      <c r="C1751" s="285" t="s">
        <v>1436</v>
      </c>
      <c r="D1751" s="277"/>
      <c r="E1751" s="278"/>
      <c r="F1751" s="278"/>
      <c r="G1751" s="264"/>
      <c r="H1751" s="279"/>
      <c r="I1751" s="280"/>
      <c r="J1751" s="280"/>
      <c r="K1751" s="279"/>
      <c r="L1751" s="215"/>
      <c r="M1751" s="279"/>
      <c r="N1751" s="281"/>
      <c r="O1751" s="281"/>
      <c r="P1751" s="278"/>
      <c r="Q1751" s="282"/>
      <c r="R1751" s="279"/>
      <c r="S1751" s="279"/>
      <c r="T1751" s="279"/>
      <c r="U1751" s="106">
        <f>SUMIF($AS:$AS,$AT1751,U:U)</f>
        <v>-11232.93943875</v>
      </c>
      <c r="V1751" s="106">
        <f>SUMIF($AS:$AS,$AT1751,V:V)</f>
        <v>0</v>
      </c>
      <c r="W1751" s="106">
        <f>SUMIF($AS:$AS,$AT1751,W:W)</f>
        <v>0</v>
      </c>
      <c r="X1751" s="106">
        <f>SUMIF($AS:$AS,$AT1751,X:X)</f>
        <v>-11232.93943875</v>
      </c>
      <c r="Y1751" s="106">
        <f>SUMIF($AS:$AS,$AT1751,Y:Y)</f>
        <v>-12698.160669999999</v>
      </c>
      <c r="Z1751" s="106">
        <f>SUMIF($AS:$AS,$AT1751,Z:Z)</f>
        <v>0</v>
      </c>
      <c r="AA1751" s="106">
        <f>SUMIF($AS:$AS,$AT1751,AA:AA)</f>
        <v>0</v>
      </c>
      <c r="AB1751" s="106">
        <f>SUMIF($AS:$AS,$AT1751,AB:AB)</f>
        <v>-12698.160669999997</v>
      </c>
      <c r="AC1751" s="106">
        <f>SUMIF($AS:$AS,$AT1751,AC:AC)</f>
        <v>-9767.7825199999988</v>
      </c>
      <c r="AD1751" s="106">
        <f>SUMIF($AS:$AS,$AT1751,AD:AD)</f>
        <v>-10011.96783</v>
      </c>
      <c r="AE1751" s="106">
        <f>SUMIF($AS:$AS,$AT1751,AE:AE)</f>
        <v>-10256.153159999998</v>
      </c>
      <c r="AF1751" s="106">
        <f>SUMIF($AS:$AS,$AT1751,AF:AF)</f>
        <v>-10500.338469999997</v>
      </c>
      <c r="AG1751" s="106">
        <f>SUMIF($AS:$AS,$AT1751,AG:AG)</f>
        <v>-10744.52378</v>
      </c>
      <c r="AH1751" s="106">
        <f>SUMIF($AS:$AS,$AT1751,AH:AH)</f>
        <v>-10988.709110000002</v>
      </c>
      <c r="AI1751" s="106">
        <f>SUMIF($AS:$AS,$AT1751,AI:AI)</f>
        <v>-11232.894419999999</v>
      </c>
      <c r="AJ1751" s="106">
        <f>SUMIF($AS:$AS,$AT1751,AJ:AJ)</f>
        <v>-11477.079729999999</v>
      </c>
      <c r="AK1751" s="106">
        <f>SUMIF($AS:$AS,$AT1751,AK:AK)</f>
        <v>-11721.265059999998</v>
      </c>
      <c r="AL1751" s="106">
        <f>SUMIF($AS:$AS,$AT1751,AL:AL)</f>
        <v>-11965.604719999998</v>
      </c>
      <c r="AM1751" s="106">
        <f>SUMIF($AS:$AS,$AT1751,AM:AM)</f>
        <v>-12209.790029999996</v>
      </c>
      <c r="AN1751" s="106">
        <f>SUMIF($AS:$AS,$AT1751,AN:AN)</f>
        <v>-12453.975359999997</v>
      </c>
      <c r="AO1751" s="106">
        <f>SUMIF($AS:$AS,$AT1751,AO:AO)</f>
        <v>-12698.160669999997</v>
      </c>
      <c r="AP1751" s="264"/>
      <c r="AQ1751" s="264"/>
      <c r="AR1751" s="264"/>
      <c r="AS1751" s="125"/>
      <c r="AT1751" s="248" t="str">
        <f t="shared" si="649"/>
        <v>R11Theoretical Reserve</v>
      </c>
    </row>
    <row r="1752" spans="1:46">
      <c r="A1752" s="283"/>
      <c r="B1752" s="283"/>
      <c r="C1752" s="285" t="s">
        <v>1726</v>
      </c>
      <c r="D1752" s="277"/>
      <c r="E1752" s="278"/>
      <c r="F1752" s="278"/>
      <c r="G1752" s="264"/>
      <c r="H1752" s="279"/>
      <c r="I1752" s="280"/>
      <c r="J1752" s="280"/>
      <c r="K1752" s="279"/>
      <c r="L1752" s="215"/>
      <c r="M1752" s="279"/>
      <c r="N1752" s="281"/>
      <c r="O1752" s="281"/>
      <c r="P1752" s="278"/>
      <c r="Q1752" s="282"/>
      <c r="R1752" s="279"/>
      <c r="S1752" s="279"/>
      <c r="T1752" s="279"/>
      <c r="U1752" s="106">
        <f>SUMIF($AS:$AS,$AT1752,U:U)</f>
        <v>-271.50599999999997</v>
      </c>
      <c r="V1752" s="106">
        <f>SUMIF($AS:$AS,$AT1752,V:V)</f>
        <v>0</v>
      </c>
      <c r="W1752" s="106">
        <f>SUMIF($AS:$AS,$AT1752,W:W)</f>
        <v>0</v>
      </c>
      <c r="X1752" s="106">
        <f>SUMIF($AS:$AS,$AT1752,X:X)</f>
        <v>-271.50599999999997</v>
      </c>
      <c r="Y1752" s="106">
        <f>SUMIF($AS:$AS,$AT1752,Y:Y)</f>
        <v>-260.06099999999998</v>
      </c>
      <c r="Z1752" s="106">
        <f>SUMIF($AS:$AS,$AT1752,Z:Z)</f>
        <v>0</v>
      </c>
      <c r="AA1752" s="106">
        <f>SUMIF($AS:$AS,$AT1752,AA:AA)</f>
        <v>0</v>
      </c>
      <c r="AB1752" s="106">
        <f>SUMIF($AS:$AS,$AT1752,AB:AB)</f>
        <v>-260.06099999999998</v>
      </c>
      <c r="AC1752" s="106">
        <f>SUMIF($AS:$AS,$AT1752,AC:AC)</f>
        <v>-282.95100000000002</v>
      </c>
      <c r="AD1752" s="106">
        <f>SUMIF($AS:$AS,$AT1752,AD:AD)</f>
        <v>-281.04349999999999</v>
      </c>
      <c r="AE1752" s="106">
        <f>SUMIF($AS:$AS,$AT1752,AE:AE)</f>
        <v>-279.13600000000002</v>
      </c>
      <c r="AF1752" s="106">
        <f>SUMIF($AS:$AS,$AT1752,AF:AF)</f>
        <v>-277.2285</v>
      </c>
      <c r="AG1752" s="106">
        <f>SUMIF($AS:$AS,$AT1752,AG:AG)</f>
        <v>-275.32100000000003</v>
      </c>
      <c r="AH1752" s="106">
        <f>SUMIF($AS:$AS,$AT1752,AH:AH)</f>
        <v>-273.4135</v>
      </c>
      <c r="AI1752" s="106">
        <f>SUMIF($AS:$AS,$AT1752,AI:AI)</f>
        <v>-271.50599999999997</v>
      </c>
      <c r="AJ1752" s="106">
        <f>SUMIF($AS:$AS,$AT1752,AJ:AJ)</f>
        <v>-269.5985</v>
      </c>
      <c r="AK1752" s="106">
        <f>SUMIF($AS:$AS,$AT1752,AK:AK)</f>
        <v>-267.69099999999997</v>
      </c>
      <c r="AL1752" s="106">
        <f>SUMIF($AS:$AS,$AT1752,AL:AL)</f>
        <v>-265.7835</v>
      </c>
      <c r="AM1752" s="106">
        <f>SUMIF($AS:$AS,$AT1752,AM:AM)</f>
        <v>-263.87599999999998</v>
      </c>
      <c r="AN1752" s="106">
        <f>SUMIF($AS:$AS,$AT1752,AN:AN)</f>
        <v>-261.96850000000001</v>
      </c>
      <c r="AO1752" s="106">
        <f>SUMIF($AS:$AS,$AT1752,AO:AO)</f>
        <v>-260.06099999999998</v>
      </c>
      <c r="AP1752" s="264"/>
      <c r="AQ1752" s="264"/>
      <c r="AR1752" s="264"/>
      <c r="AS1752" s="125" t="str">
        <f>CONCATENATE(L1752,H1752)</f>
        <v/>
      </c>
      <c r="AT1752" s="248" t="str">
        <f t="shared" si="649"/>
        <v>R11Tree Trimming</v>
      </c>
    </row>
    <row r="1753" spans="1:46">
      <c r="A1753" s="283"/>
      <c r="B1753" s="283"/>
      <c r="C1753" s="285" t="s">
        <v>649</v>
      </c>
      <c r="D1753" s="277"/>
      <c r="E1753" s="278"/>
      <c r="F1753" s="278"/>
      <c r="G1753" s="264"/>
      <c r="H1753" s="279"/>
      <c r="I1753" s="280"/>
      <c r="J1753" s="280"/>
      <c r="K1753" s="279"/>
      <c r="L1753" s="215"/>
      <c r="M1753" s="279"/>
      <c r="N1753" s="281"/>
      <c r="O1753" s="281"/>
      <c r="P1753" s="278"/>
      <c r="Q1753" s="282"/>
      <c r="R1753" s="279"/>
      <c r="S1753" s="279"/>
      <c r="T1753" s="279"/>
      <c r="U1753" s="106">
        <f>SUMIF($AS:$AS,$AT1753,U:U)</f>
        <v>-41860.406230833345</v>
      </c>
      <c r="V1753" s="106">
        <f>SUMIF($AS:$AS,$AT1753,V:V)</f>
        <v>-20730.55027</v>
      </c>
      <c r="W1753" s="106">
        <f>SUMIF($AS:$AS,$AT1753,W:W)</f>
        <v>0</v>
      </c>
      <c r="X1753" s="106">
        <f>SUMIF($AS:$AS,$AT1753,X:X)</f>
        <v>-62590.956500833352</v>
      </c>
      <c r="Y1753" s="106">
        <f>SUMIF($AS:$AS,$AT1753,Y:Y)</f>
        <v>-44745.818290000003</v>
      </c>
      <c r="Z1753" s="106">
        <f>SUMIF($AS:$AS,$AT1753,Z:Z)</f>
        <v>-20453.035110000001</v>
      </c>
      <c r="AA1753" s="106">
        <f>SUMIF($AS:$AS,$AT1753,AA:AA)</f>
        <v>0</v>
      </c>
      <c r="AB1753" s="106">
        <f>SUMIF($AS:$AS,$AT1753,AB:AB)</f>
        <v>-65198.8534</v>
      </c>
      <c r="AC1753" s="106">
        <f>SUMIF($AS:$AS,$AT1753,AC:AC)</f>
        <v>-63976.262960000007</v>
      </c>
      <c r="AD1753" s="106">
        <f>SUMIF($AS:$AS,$AT1753,AD:AD)</f>
        <v>-63599.167960000006</v>
      </c>
      <c r="AE1753" s="106">
        <f>SUMIF($AS:$AS,$AT1753,AE:AE)</f>
        <v>-63222.072959999998</v>
      </c>
      <c r="AF1753" s="106">
        <f>SUMIF($AS:$AS,$AT1753,AF:AF)</f>
        <v>-62844.977960000004</v>
      </c>
      <c r="AG1753" s="106">
        <f>SUMIF($AS:$AS,$AT1753,AG:AG)</f>
        <v>-62467.88296000001</v>
      </c>
      <c r="AH1753" s="106">
        <f>SUMIF($AS:$AS,$AT1753,AH:AH)</f>
        <v>-62090.787960000001</v>
      </c>
      <c r="AI1753" s="106">
        <f>SUMIF($AS:$AS,$AT1753,AI:AI)</f>
        <v>-61713.69296</v>
      </c>
      <c r="AJ1753" s="106">
        <f>SUMIF($AS:$AS,$AT1753,AJ:AJ)</f>
        <v>-61336.597959999999</v>
      </c>
      <c r="AK1753" s="106">
        <f>SUMIF($AS:$AS,$AT1753,AK:AK)</f>
        <v>-63016.802960000001</v>
      </c>
      <c r="AL1753" s="106">
        <f>SUMIF($AS:$AS,$AT1753,AL:AL)</f>
        <v>-57475.275649999996</v>
      </c>
      <c r="AM1753" s="106">
        <f>SUMIF($AS:$AS,$AT1753,AM:AM)</f>
        <v>-64091.48921</v>
      </c>
      <c r="AN1753" s="106">
        <f>SUMIF($AS:$AS,$AT1753,AN:AN)</f>
        <v>-64645.171289999998</v>
      </c>
      <c r="AO1753" s="106">
        <f>SUMIF($AS:$AS,$AT1753,AO:AO)</f>
        <v>-65198.8534</v>
      </c>
      <c r="AP1753" s="264"/>
      <c r="AQ1753" s="264"/>
      <c r="AR1753" s="264"/>
      <c r="AS1753" s="125"/>
      <c r="AT1753" s="248" t="str">
        <f t="shared" si="649"/>
        <v>R11Unit of Property</v>
      </c>
    </row>
    <row r="1754" spans="1:46">
      <c r="A1754" s="283"/>
      <c r="B1754" s="283"/>
      <c r="C1754" s="285" t="s">
        <v>1217</v>
      </c>
      <c r="D1754" s="277"/>
      <c r="E1754" s="278"/>
      <c r="F1754" s="278"/>
      <c r="G1754" s="264"/>
      <c r="H1754" s="279"/>
      <c r="I1754" s="280"/>
      <c r="J1754" s="280"/>
      <c r="K1754" s="279"/>
      <c r="L1754" s="215"/>
      <c r="M1754" s="279"/>
      <c r="N1754" s="281"/>
      <c r="O1754" s="281"/>
      <c r="P1754" s="278"/>
      <c r="Q1754" s="282"/>
      <c r="R1754" s="279"/>
      <c r="S1754" s="279"/>
      <c r="T1754" s="279"/>
      <c r="U1754" s="106">
        <f>SUMIF($AS:$AS,$AT1754,U:U)</f>
        <v>1929.8657414297127</v>
      </c>
      <c r="V1754" s="106">
        <f>SUMIF($AS:$AS,$AT1754,V:V)</f>
        <v>607.02823857028761</v>
      </c>
      <c r="W1754" s="106">
        <f>SUMIF($AS:$AS,$AT1754,W:W)</f>
        <v>0</v>
      </c>
      <c r="X1754" s="106">
        <f>SUMIF($AS:$AS,$AT1754,X:X)</f>
        <v>2536.8939799999998</v>
      </c>
      <c r="Y1754" s="106">
        <f>SUMIF($AS:$AS,$AT1754,Y:Y)</f>
        <v>1929.8657414297127</v>
      </c>
      <c r="Z1754" s="106">
        <f>SUMIF($AS:$AS,$AT1754,Z:Z)</f>
        <v>607.02823857028761</v>
      </c>
      <c r="AA1754" s="106">
        <f>SUMIF($AS:$AS,$AT1754,AA:AA)</f>
        <v>0</v>
      </c>
      <c r="AB1754" s="106">
        <f>SUMIF($AS:$AS,$AT1754,AB:AB)</f>
        <v>2536.8939799999998</v>
      </c>
      <c r="AC1754" s="106">
        <f>SUMIF($AS:$AS,$AT1754,AC:AC)</f>
        <v>2536.8939799999998</v>
      </c>
      <c r="AD1754" s="106">
        <f>SUMIF($AS:$AS,$AT1754,AD:AD)</f>
        <v>2536.8939799999998</v>
      </c>
      <c r="AE1754" s="106">
        <f>SUMIF($AS:$AS,$AT1754,AE:AE)</f>
        <v>2536.8939799999998</v>
      </c>
      <c r="AF1754" s="106">
        <f>SUMIF($AS:$AS,$AT1754,AF:AF)</f>
        <v>2536.8939799999998</v>
      </c>
      <c r="AG1754" s="106">
        <f>SUMIF($AS:$AS,$AT1754,AG:AG)</f>
        <v>2536.8939799999998</v>
      </c>
      <c r="AH1754" s="106">
        <f>SUMIF($AS:$AS,$AT1754,AH:AH)</f>
        <v>2536.8939799999998</v>
      </c>
      <c r="AI1754" s="106">
        <f>SUMIF($AS:$AS,$AT1754,AI:AI)</f>
        <v>2536.8939799999998</v>
      </c>
      <c r="AJ1754" s="106">
        <f>SUMIF($AS:$AS,$AT1754,AJ:AJ)</f>
        <v>2536.8939799999998</v>
      </c>
      <c r="AK1754" s="106">
        <f>SUMIF($AS:$AS,$AT1754,AK:AK)</f>
        <v>2536.8939799999998</v>
      </c>
      <c r="AL1754" s="106">
        <f>SUMIF($AS:$AS,$AT1754,AL:AL)</f>
        <v>2536.8939799999998</v>
      </c>
      <c r="AM1754" s="106">
        <f>SUMIF($AS:$AS,$AT1754,AM:AM)</f>
        <v>2536.8939799999998</v>
      </c>
      <c r="AN1754" s="106">
        <f>SUMIF($AS:$AS,$AT1754,AN:AN)</f>
        <v>2536.8939799999998</v>
      </c>
      <c r="AO1754" s="106">
        <f>SUMIF($AS:$AS,$AT1754,AO:AO)</f>
        <v>2536.8939799999998</v>
      </c>
      <c r="AP1754" s="264"/>
      <c r="AQ1754" s="264"/>
      <c r="AR1754" s="264"/>
      <c r="AS1754" s="125"/>
      <c r="AT1754" s="248" t="str">
        <f>+CONCATENATE(D$1758,C1754)</f>
        <v>R11Workman's Comp Reserve</v>
      </c>
    </row>
    <row r="1755" spans="1:46">
      <c r="A1755" s="283"/>
      <c r="B1755" s="283"/>
      <c r="C1755" s="256"/>
      <c r="D1755" s="277"/>
      <c r="E1755" s="278"/>
      <c r="F1755" s="278"/>
      <c r="G1755" s="264"/>
      <c r="H1755" s="279"/>
      <c r="I1755" s="280"/>
      <c r="J1755" s="280"/>
      <c r="K1755" s="279"/>
      <c r="L1755" s="278"/>
      <c r="M1755" s="279"/>
      <c r="N1755" s="281"/>
      <c r="O1755" s="281"/>
      <c r="P1755" s="278"/>
      <c r="Q1755" s="282"/>
      <c r="R1755" s="279"/>
      <c r="S1755" s="279"/>
      <c r="T1755" s="279"/>
      <c r="U1755" s="106"/>
      <c r="V1755" s="106"/>
      <c r="W1755" s="106"/>
      <c r="X1755" s="106"/>
      <c r="Y1755" s="106"/>
      <c r="Z1755" s="106"/>
      <c r="AA1755" s="106"/>
      <c r="AB1755" s="106"/>
      <c r="AC1755" s="106"/>
      <c r="AD1755" s="106"/>
      <c r="AE1755" s="106"/>
      <c r="AF1755" s="106"/>
      <c r="AG1755" s="106"/>
      <c r="AH1755" s="106"/>
      <c r="AI1755" s="106"/>
      <c r="AJ1755" s="106"/>
      <c r="AK1755" s="106"/>
      <c r="AL1755" s="106"/>
      <c r="AM1755" s="106"/>
      <c r="AN1755" s="106"/>
      <c r="AO1755" s="106"/>
      <c r="AP1755" s="264"/>
      <c r="AQ1755" s="264"/>
      <c r="AR1755" s="264"/>
      <c r="AS1755" s="125" t="str">
        <f>CONCATENATE(L1755,H1755)</f>
        <v/>
      </c>
      <c r="AT1755" s="248" t="str">
        <f>+CONCATENATE(D$3131,C1755)</f>
        <v/>
      </c>
    </row>
    <row r="1756" spans="1:46" ht="14.25">
      <c r="A1756" s="283"/>
      <c r="B1756" s="283"/>
      <c r="C1756" s="256" t="s">
        <v>365</v>
      </c>
      <c r="D1756" s="277"/>
      <c r="E1756" s="278"/>
      <c r="F1756" s="278"/>
      <c r="G1756" s="264"/>
      <c r="H1756" s="279"/>
      <c r="I1756" s="280"/>
      <c r="J1756" s="280"/>
      <c r="K1756" s="279"/>
      <c r="L1756" s="278"/>
      <c r="M1756" s="279"/>
      <c r="N1756" s="281"/>
      <c r="O1756" s="281"/>
      <c r="P1756" s="278"/>
      <c r="Q1756" s="282"/>
      <c r="R1756" s="279"/>
      <c r="S1756" s="279"/>
      <c r="T1756" s="279"/>
      <c r="U1756" s="274">
        <f t="shared" ref="U1756:AB1756" si="650">+U1758-SUM(U1703:U1755)</f>
        <v>189.03200014994945</v>
      </c>
      <c r="V1756" s="274">
        <f t="shared" si="650"/>
        <v>22.826519433438079</v>
      </c>
      <c r="W1756" s="274">
        <f t="shared" si="650"/>
        <v>0</v>
      </c>
      <c r="X1756" s="274">
        <f t="shared" si="650"/>
        <v>211.85851958300918</v>
      </c>
      <c r="Y1756" s="274">
        <f t="shared" si="650"/>
        <v>20.519017294980586</v>
      </c>
      <c r="Z1756" s="274">
        <f t="shared" si="650"/>
        <v>-58.545867295062635</v>
      </c>
      <c r="AA1756" s="274">
        <f t="shared" si="650"/>
        <v>0</v>
      </c>
      <c r="AB1756" s="274">
        <f t="shared" si="650"/>
        <v>-38.026850000838749</v>
      </c>
      <c r="AC1756" s="274">
        <f t="shared" ref="AC1756:AO1756" si="651">+AC1758-SUM(AC1703:AC1755)</f>
        <v>424.15881999908015</v>
      </c>
      <c r="AD1756" s="274">
        <f t="shared" si="651"/>
        <v>537.62087999971118</v>
      </c>
      <c r="AE1756" s="274">
        <f t="shared" si="651"/>
        <v>598.28071999934036</v>
      </c>
      <c r="AF1756" s="274">
        <f t="shared" si="651"/>
        <v>746.50696999998763</v>
      </c>
      <c r="AG1756" s="274">
        <f t="shared" si="651"/>
        <v>554.07933999958914</v>
      </c>
      <c r="AH1756" s="274">
        <f t="shared" si="651"/>
        <v>701.0024499995634</v>
      </c>
      <c r="AI1756" s="274">
        <f t="shared" si="651"/>
        <v>655.23447999882046</v>
      </c>
      <c r="AJ1756" s="274">
        <f t="shared" si="651"/>
        <v>50.912549999542534</v>
      </c>
      <c r="AK1756" s="274">
        <f t="shared" si="651"/>
        <v>-304.83356000087224</v>
      </c>
      <c r="AL1756" s="274">
        <f t="shared" si="651"/>
        <v>-379.34906000096817</v>
      </c>
      <c r="AM1756" s="274">
        <f t="shared" si="651"/>
        <v>-387.22333000076469</v>
      </c>
      <c r="AN1756" s="274">
        <f t="shared" si="651"/>
        <v>-422.99519000051077</v>
      </c>
      <c r="AO1756" s="274">
        <f t="shared" si="651"/>
        <v>-38.026850000838749</v>
      </c>
      <c r="AP1756" s="264"/>
      <c r="AQ1756" s="264"/>
      <c r="AR1756" s="264"/>
      <c r="AS1756" s="125" t="str">
        <f>CONCATENATE(L1756,H1756)</f>
        <v/>
      </c>
      <c r="AT1756" s="264"/>
    </row>
    <row r="1757" spans="1:46">
      <c r="A1757" s="283"/>
      <c r="B1757" s="283"/>
      <c r="C1757" s="256"/>
      <c r="D1757" s="277"/>
      <c r="E1757" s="278"/>
      <c r="F1757" s="278"/>
      <c r="G1757" s="264"/>
      <c r="H1757" s="279"/>
      <c r="I1757" s="280"/>
      <c r="J1757" s="280"/>
      <c r="K1757" s="279"/>
      <c r="L1757" s="278"/>
      <c r="M1757" s="279"/>
      <c r="N1757" s="281"/>
      <c r="O1757" s="281"/>
      <c r="P1757" s="278"/>
      <c r="Q1757" s="282"/>
      <c r="R1757" s="279"/>
      <c r="S1757" s="279"/>
      <c r="T1757" s="279"/>
      <c r="U1757" s="263"/>
      <c r="V1757" s="263"/>
      <c r="W1757" s="263"/>
      <c r="X1757" s="263"/>
      <c r="Y1757" s="263"/>
      <c r="Z1757" s="263"/>
      <c r="AA1757" s="263"/>
      <c r="AB1757" s="263"/>
      <c r="AC1757" s="263"/>
      <c r="AD1757" s="263"/>
      <c r="AE1757" s="263"/>
      <c r="AF1757" s="263"/>
      <c r="AG1757" s="263"/>
      <c r="AH1757" s="263"/>
      <c r="AI1757" s="263"/>
      <c r="AJ1757" s="263"/>
      <c r="AK1757" s="263"/>
      <c r="AL1757" s="263"/>
      <c r="AM1757" s="263"/>
      <c r="AN1757" s="263"/>
      <c r="AO1757" s="263"/>
      <c r="AP1757" s="264"/>
      <c r="AQ1757" s="264"/>
      <c r="AR1757" s="264"/>
      <c r="AS1757" s="125" t="str">
        <f>CONCATENATE(L1757,H1757)</f>
        <v/>
      </c>
      <c r="AT1757" s="264"/>
    </row>
    <row r="1758" spans="1:46">
      <c r="A1758" s="246"/>
      <c r="B1758" s="246"/>
      <c r="C1758" s="256" t="s">
        <v>1179</v>
      </c>
      <c r="D1758" s="256" t="s">
        <v>1895</v>
      </c>
      <c r="E1758" s="247"/>
      <c r="F1758" s="247"/>
      <c r="G1758" s="248"/>
      <c r="H1758" s="249"/>
      <c r="I1758" s="253"/>
      <c r="J1758" s="253"/>
      <c r="K1758" s="249"/>
      <c r="L1758" s="215"/>
      <c r="M1758" s="249"/>
      <c r="N1758" s="254"/>
      <c r="O1758" s="254"/>
      <c r="P1758" s="215"/>
      <c r="Q1758" s="247"/>
      <c r="R1758" s="249"/>
      <c r="S1758" s="249"/>
      <c r="T1758" s="249"/>
      <c r="U1758" s="106">
        <f>SUMIF($L:$L,$D1758,U:U)</f>
        <v>-533292.43936275435</v>
      </c>
      <c r="V1758" s="106">
        <f>SUMIF($L:$L,$D1758,V:V)</f>
        <v>-194516.17532057897</v>
      </c>
      <c r="W1758" s="106">
        <f>SUMIF($L:$L,$D1758,W:W)</f>
        <v>0</v>
      </c>
      <c r="X1758" s="106">
        <f>SUMIF($L:$L,$D1758,X:X)</f>
        <v>-727808.61468333344</v>
      </c>
      <c r="Y1758" s="106">
        <f>SUMIF($L:$L,$D1758,Y:Y)</f>
        <v>-542750.66414484533</v>
      </c>
      <c r="Z1758" s="106">
        <f>SUMIF($L:$L,$D1758,Z:Z)</f>
        <v>-191391.89750515448</v>
      </c>
      <c r="AA1758" s="106">
        <f>SUMIF($L:$L,$D1758,AA:AA)</f>
        <v>0</v>
      </c>
      <c r="AB1758" s="106">
        <f>SUMIF($L:$L,$D1758,AB:AB)</f>
        <v>-734142.56165000051</v>
      </c>
      <c r="AC1758" s="106">
        <f>SUMIF($L:$L,$D1758,AC:AC)</f>
        <v>-730035.90341000026</v>
      </c>
      <c r="AD1758" s="106">
        <f>SUMIF($L:$L,$D1758,AD:AD)</f>
        <v>-738116.67563999991</v>
      </c>
      <c r="AE1758" s="106">
        <f>SUMIF($L:$L,$D1758,AE:AE)</f>
        <v>-738263.0155900002</v>
      </c>
      <c r="AF1758" s="106">
        <f>SUMIF($L:$L,$D1758,AF:AF)</f>
        <v>-736069.60609999986</v>
      </c>
      <c r="AG1758" s="106">
        <f>SUMIF($L:$L,$D1758,AG:AG)</f>
        <v>-730115.19332000031</v>
      </c>
      <c r="AH1758" s="106">
        <f>SUMIF($L:$L,$D1758,AH:AH)</f>
        <v>-727553.74678000028</v>
      </c>
      <c r="AI1758" s="106">
        <f>SUMIF($L:$L,$D1758,AI:AI)</f>
        <v>-711431.74975000077</v>
      </c>
      <c r="AJ1758" s="106">
        <f>SUMIF($L:$L,$D1758,AJ:AJ)</f>
        <v>-716103.48695000028</v>
      </c>
      <c r="AK1758" s="106">
        <f>SUMIF($L:$L,$D1758,AK:AK)</f>
        <v>-718033.15307000012</v>
      </c>
      <c r="AL1758" s="106">
        <f>SUMIF($L:$L,$D1758,AL:AL)</f>
        <v>-718341.50439000025</v>
      </c>
      <c r="AM1758" s="106">
        <f>SUMIF($L:$L,$D1758,AM:AM)</f>
        <v>-733925.53366000042</v>
      </c>
      <c r="AN1758" s="106">
        <f>SUMIF($L:$L,$D1758,AN:AN)</f>
        <v>-733660.47841999994</v>
      </c>
      <c r="AO1758" s="106">
        <f>SUMIF($L:$L,$D1758,AO:AO)</f>
        <v>-734142.56165000051</v>
      </c>
      <c r="AP1758" s="248"/>
      <c r="AQ1758" s="248"/>
      <c r="AR1758" s="248"/>
      <c r="AS1758" s="125" t="str">
        <f>CONCATENATE(L1758,H1758)</f>
        <v/>
      </c>
      <c r="AT1758" s="264"/>
    </row>
    <row r="1759" spans="1:46" s="295" customFormat="1">
      <c r="A1759" s="283"/>
      <c r="B1759" s="283"/>
      <c r="C1759" s="256"/>
      <c r="D1759" s="277"/>
      <c r="E1759" s="278"/>
      <c r="F1759" s="278"/>
      <c r="G1759" s="264"/>
      <c r="H1759" s="258"/>
      <c r="I1759" s="284"/>
      <c r="J1759" s="284"/>
      <c r="K1759" s="258"/>
      <c r="L1759" s="257"/>
      <c r="M1759" s="258"/>
      <c r="N1759" s="259"/>
      <c r="O1759" s="259"/>
      <c r="P1759" s="257"/>
      <c r="Q1759" s="284"/>
      <c r="R1759" s="258"/>
      <c r="S1759" s="258"/>
      <c r="T1759" s="258"/>
      <c r="U1759" s="261"/>
      <c r="V1759" s="261"/>
      <c r="W1759" s="261"/>
      <c r="X1759" s="261"/>
      <c r="Y1759" s="261"/>
      <c r="Z1759" s="261"/>
      <c r="AA1759" s="261"/>
      <c r="AB1759" s="261"/>
      <c r="AC1759" s="261"/>
      <c r="AD1759" s="261"/>
      <c r="AE1759" s="261"/>
      <c r="AF1759" s="261"/>
      <c r="AG1759" s="261"/>
      <c r="AH1759" s="261"/>
      <c r="AI1759" s="261"/>
      <c r="AJ1759" s="261"/>
      <c r="AK1759" s="261"/>
      <c r="AL1759" s="261"/>
      <c r="AM1759" s="261"/>
      <c r="AN1759" s="261"/>
      <c r="AO1759" s="261"/>
      <c r="AP1759" s="262"/>
      <c r="AQ1759" s="262"/>
      <c r="AR1759" s="262"/>
      <c r="AS1759" s="262"/>
      <c r="AT1759" s="262"/>
    </row>
    <row r="1760" spans="1:46">
      <c r="A1760" s="283"/>
      <c r="B1760" s="283"/>
      <c r="C1760" s="256"/>
      <c r="D1760" s="277"/>
      <c r="E1760" s="278"/>
      <c r="F1760" s="278"/>
      <c r="G1760" s="264"/>
      <c r="H1760" s="279"/>
      <c r="I1760" s="280"/>
      <c r="J1760" s="280"/>
      <c r="K1760" s="279"/>
      <c r="L1760" s="278"/>
      <c r="M1760" s="279"/>
      <c r="N1760" s="281"/>
      <c r="O1760" s="281"/>
      <c r="P1760" s="278"/>
      <c r="Q1760" s="282"/>
      <c r="R1760" s="279"/>
      <c r="S1760" s="279"/>
      <c r="T1760" s="279"/>
      <c r="U1760" s="263"/>
      <c r="V1760" s="263"/>
      <c r="W1760" s="263"/>
      <c r="X1760" s="263"/>
      <c r="Y1760" s="263"/>
      <c r="Z1760" s="263"/>
      <c r="AA1760" s="263"/>
      <c r="AB1760" s="263"/>
      <c r="AC1760" s="263"/>
      <c r="AD1760" s="263"/>
      <c r="AE1760" s="263"/>
      <c r="AF1760" s="263"/>
      <c r="AG1760" s="263"/>
      <c r="AH1760" s="263"/>
      <c r="AI1760" s="263"/>
      <c r="AJ1760" s="263"/>
      <c r="AK1760" s="263"/>
      <c r="AL1760" s="263"/>
      <c r="AM1760" s="263"/>
      <c r="AN1760" s="263"/>
      <c r="AO1760" s="263"/>
      <c r="AP1760" s="264"/>
      <c r="AQ1760" s="264"/>
      <c r="AR1760" s="264"/>
      <c r="AS1760" s="248"/>
      <c r="AT1760" s="264"/>
    </row>
    <row r="1761" spans="1:46">
      <c r="A1761" s="283"/>
      <c r="B1761" s="283"/>
      <c r="C1761" s="256"/>
      <c r="D1761" s="277"/>
      <c r="E1761" s="278"/>
      <c r="F1761" s="278"/>
      <c r="G1761" s="264"/>
      <c r="H1761" s="279"/>
      <c r="I1761" s="280"/>
      <c r="J1761" s="280"/>
      <c r="K1761" s="279"/>
      <c r="L1761" s="278"/>
      <c r="M1761" s="279"/>
      <c r="N1761" s="281"/>
      <c r="O1761" s="281"/>
      <c r="P1761" s="278"/>
      <c r="Q1761" s="282"/>
      <c r="R1761" s="279"/>
      <c r="S1761" s="279"/>
      <c r="T1761" s="279"/>
      <c r="U1761" s="263"/>
      <c r="V1761" s="263"/>
      <c r="W1761" s="263"/>
      <c r="X1761" s="263"/>
      <c r="Y1761" s="263"/>
      <c r="Z1761" s="263"/>
      <c r="AA1761" s="263"/>
      <c r="AB1761" s="263"/>
      <c r="AC1761" s="263"/>
      <c r="AD1761" s="263"/>
      <c r="AE1761" s="263"/>
      <c r="AF1761" s="263"/>
      <c r="AG1761" s="263"/>
      <c r="AH1761" s="263"/>
      <c r="AI1761" s="263"/>
      <c r="AJ1761" s="263"/>
      <c r="AK1761" s="263"/>
      <c r="AL1761" s="263"/>
      <c r="AM1761" s="263"/>
      <c r="AN1761" s="263"/>
      <c r="AO1761" s="263"/>
      <c r="AP1761" s="264"/>
      <c r="AQ1761" s="264"/>
      <c r="AR1761" s="264"/>
      <c r="AS1761" s="248"/>
      <c r="AT1761" s="264"/>
    </row>
    <row r="1762" spans="1:46">
      <c r="A1762" s="283"/>
      <c r="B1762" s="283"/>
      <c r="C1762" s="256"/>
      <c r="D1762" s="277"/>
      <c r="E1762" s="278"/>
      <c r="F1762" s="278"/>
      <c r="G1762" s="264"/>
      <c r="H1762" s="279"/>
      <c r="I1762" s="280"/>
      <c r="J1762" s="280"/>
      <c r="K1762" s="279"/>
      <c r="L1762" s="278"/>
      <c r="M1762" s="279"/>
      <c r="N1762" s="281"/>
      <c r="O1762" s="281"/>
      <c r="P1762" s="278"/>
      <c r="Q1762" s="282"/>
      <c r="R1762" s="279"/>
      <c r="S1762" s="279"/>
      <c r="T1762" s="279"/>
      <c r="U1762" s="263"/>
      <c r="V1762" s="263"/>
      <c r="W1762" s="263"/>
      <c r="X1762" s="263"/>
      <c r="Y1762" s="263"/>
      <c r="Z1762" s="263"/>
      <c r="AA1762" s="263"/>
      <c r="AB1762" s="263"/>
      <c r="AC1762" s="263"/>
      <c r="AD1762" s="263"/>
      <c r="AE1762" s="263"/>
      <c r="AF1762" s="263"/>
      <c r="AG1762" s="263"/>
      <c r="AH1762" s="263"/>
      <c r="AI1762" s="263"/>
      <c r="AJ1762" s="263"/>
      <c r="AK1762" s="263"/>
      <c r="AL1762" s="263"/>
      <c r="AM1762" s="263"/>
      <c r="AN1762" s="263"/>
      <c r="AO1762" s="263"/>
      <c r="AP1762" s="264"/>
      <c r="AQ1762" s="264"/>
      <c r="AR1762" s="264"/>
      <c r="AS1762" s="248"/>
      <c r="AT1762" s="264"/>
    </row>
    <row r="1763" spans="1:46">
      <c r="A1763" s="252"/>
      <c r="B1763" s="252" t="s">
        <v>2927</v>
      </c>
      <c r="C1763" s="256"/>
      <c r="D1763" s="214"/>
      <c r="E1763" s="215"/>
      <c r="F1763" s="215"/>
      <c r="G1763" s="248"/>
      <c r="H1763" s="249"/>
      <c r="I1763" s="253"/>
      <c r="J1763" s="253"/>
      <c r="K1763" s="249"/>
      <c r="L1763" s="215"/>
      <c r="M1763" s="249"/>
      <c r="N1763" s="254"/>
      <c r="O1763" s="254"/>
      <c r="P1763" s="215"/>
      <c r="Q1763" s="247"/>
      <c r="R1763" s="249"/>
      <c r="S1763" s="249"/>
      <c r="T1763" s="249"/>
      <c r="U1763" s="106"/>
      <c r="V1763" s="106"/>
      <c r="W1763" s="106"/>
      <c r="X1763" s="106"/>
      <c r="Y1763" s="106"/>
      <c r="Z1763" s="106"/>
      <c r="AA1763" s="106"/>
      <c r="AB1763" s="106"/>
      <c r="AC1763" s="106"/>
      <c r="AD1763" s="106"/>
      <c r="AE1763" s="106"/>
      <c r="AF1763" s="106"/>
      <c r="AG1763" s="106"/>
      <c r="AH1763" s="106"/>
      <c r="AI1763" s="106"/>
      <c r="AJ1763" s="106"/>
      <c r="AK1763" s="106"/>
      <c r="AL1763" s="106"/>
      <c r="AM1763" s="106"/>
      <c r="AN1763" s="106"/>
      <c r="AO1763" s="106"/>
      <c r="AP1763" s="248"/>
      <c r="AQ1763" s="248"/>
      <c r="AR1763" s="248"/>
      <c r="AS1763" s="248"/>
      <c r="AT1763" s="248"/>
    </row>
    <row r="1764" spans="1:46">
      <c r="A1764" s="246"/>
      <c r="B1764" s="246"/>
      <c r="C1764" s="256" t="s">
        <v>1996</v>
      </c>
      <c r="D1764" s="214"/>
      <c r="E1764" s="215"/>
      <c r="F1764" s="215"/>
      <c r="G1764" s="248"/>
      <c r="H1764" s="249"/>
      <c r="I1764" s="253"/>
      <c r="J1764" s="253"/>
      <c r="K1764" s="249"/>
      <c r="L1764" s="215"/>
      <c r="M1764" s="249"/>
      <c r="N1764" s="254"/>
      <c r="O1764" s="254"/>
      <c r="P1764" s="215"/>
      <c r="Q1764" s="247"/>
      <c r="R1764" s="249"/>
      <c r="S1764" s="249"/>
      <c r="T1764" s="249"/>
      <c r="U1764" s="106">
        <f>SUMIF($A:$A,$C1764,U:U)</f>
        <v>-537493.80990360607</v>
      </c>
      <c r="V1764" s="106">
        <f>SUMIF($A:$A,$C1764,V:V)</f>
        <v>-192208.47471431058</v>
      </c>
      <c r="W1764" s="106">
        <f>SUMIF($A:$A,$C1764,W:W)</f>
        <v>-141339.07033358273</v>
      </c>
      <c r="X1764" s="106">
        <f>SUMIF($A:$A,$C1764,X:X)</f>
        <v>-871041.35495150019</v>
      </c>
      <c r="Y1764" s="106">
        <f>SUMIF($A:$A,$C1764,Y:Y)</f>
        <v>-548290.87144914863</v>
      </c>
      <c r="Z1764" s="106">
        <f>SUMIF($A:$A,$C1764,Z:Z)</f>
        <v>-189474.24605085133</v>
      </c>
      <c r="AA1764" s="106">
        <f>SUMIF($A:$A,$C1764,AA:AA)</f>
        <v>-148610.24487900006</v>
      </c>
      <c r="AB1764" s="106">
        <f>SUMIF($A:$A,$C1764,AB:AB)</f>
        <v>-886375.36237900076</v>
      </c>
      <c r="AC1764" s="106">
        <f>SUMIF($A:$A,$C1764,AC:AC)</f>
        <v>-886977.08777900005</v>
      </c>
      <c r="AD1764" s="106">
        <f>SUMIF($A:$A,$C1764,AD:AD)</f>
        <v>-888284.89382900111</v>
      </c>
      <c r="AE1764" s="106">
        <f>SUMIF($A:$A,$C1764,AE:AE)</f>
        <v>-882452.3750189991</v>
      </c>
      <c r="AF1764" s="106">
        <f>SUMIF($A:$A,$C1764,AF:AF)</f>
        <v>-872560.70351899962</v>
      </c>
      <c r="AG1764" s="106">
        <f>SUMIF($A:$A,$C1764,AG:AG)</f>
        <v>-867500.24524900177</v>
      </c>
      <c r="AH1764" s="106">
        <f>SUMIF($A:$A,$C1764,AH:AH)</f>
        <v>-865009.07440900174</v>
      </c>
      <c r="AI1764" s="106">
        <f>SUMIF($A:$A,$C1764,AI:AI)</f>
        <v>-850421.51492900052</v>
      </c>
      <c r="AJ1764" s="106">
        <f>SUMIF($A:$A,$C1764,AJ:AJ)</f>
        <v>-862218.88915900176</v>
      </c>
      <c r="AK1764" s="106">
        <f>SUMIF($A:$A,$C1764,AK:AK)</f>
        <v>-852061.89426900109</v>
      </c>
      <c r="AL1764" s="106">
        <f>SUMIF($A:$A,$C1764,AL:AL)</f>
        <v>-860183.66091900039</v>
      </c>
      <c r="AM1764" s="106">
        <f>SUMIF($A:$A,$C1764,AM:AM)</f>
        <v>-885512.23347900086</v>
      </c>
      <c r="AN1764" s="106">
        <f>SUMIF($A:$A,$C1764,AN:AN)</f>
        <v>-879614.54955900158</v>
      </c>
      <c r="AO1764" s="106">
        <f>SUMIF($A:$A,$C1764,AO:AO)</f>
        <v>-886375.36237900076</v>
      </c>
      <c r="AP1764" s="248"/>
      <c r="AQ1764" s="248"/>
      <c r="AR1764" s="248"/>
      <c r="AS1764" s="248"/>
      <c r="AT1764" s="248"/>
    </row>
    <row r="1765" spans="1:46">
      <c r="A1765" s="246"/>
      <c r="B1765" s="246"/>
      <c r="C1765" s="256" t="s">
        <v>1174</v>
      </c>
      <c r="D1765" s="214"/>
      <c r="E1765" s="215"/>
      <c r="F1765" s="215"/>
      <c r="G1765" s="248"/>
      <c r="H1765" s="249"/>
      <c r="I1765" s="253"/>
      <c r="J1765" s="253"/>
      <c r="K1765" s="249"/>
      <c r="L1765" s="257"/>
      <c r="M1765" s="258"/>
      <c r="N1765" s="259"/>
      <c r="O1765" s="259"/>
      <c r="P1765" s="257"/>
      <c r="Q1765" s="284"/>
      <c r="R1765" s="258"/>
      <c r="S1765" s="258"/>
      <c r="T1765" s="258"/>
      <c r="U1765" s="261"/>
      <c r="V1765" s="261"/>
      <c r="W1765" s="261"/>
      <c r="X1765" s="261">
        <f>SUMIF($M:$M,$C1765,X:X)</f>
        <v>-871041.61749666638</v>
      </c>
      <c r="Y1765" s="261"/>
      <c r="Z1765" s="261"/>
      <c r="AA1765" s="261"/>
      <c r="AB1765" s="261">
        <f>SUMIF($M:$M,$C1765,AB:AB)</f>
        <v>-886375.26580999931</v>
      </c>
      <c r="AC1765" s="261">
        <f>SUMIF($M:$M,$C1765,AC:AC)</f>
        <v>-886977.08601000009</v>
      </c>
      <c r="AD1765" s="261">
        <f>SUMIF($M:$M,$C1765,AD:AD)</f>
        <v>-888285.88730000029</v>
      </c>
      <c r="AE1765" s="261">
        <f>SUMIF($M:$M,$C1765,AE:AE)</f>
        <v>-882452.37300000014</v>
      </c>
      <c r="AF1765" s="261">
        <f>SUMIF($M:$M,$C1765,AF:AF)</f>
        <v>-872560.71699999971</v>
      </c>
      <c r="AG1765" s="261">
        <f>SUMIF($M:$M,$C1765,AG:AG)</f>
        <v>-867500.28756000008</v>
      </c>
      <c r="AH1765" s="261">
        <f>SUMIF($M:$M,$C1765,AH:AH)</f>
        <v>-865009.18961</v>
      </c>
      <c r="AI1765" s="261">
        <f>SUMIF($M:$M,$C1765,AI:AI)</f>
        <v>-850421.87638999987</v>
      </c>
      <c r="AJ1765" s="261">
        <f>SUMIF($M:$M,$C1765,AJ:AJ)</f>
        <v>-862219.25630000024</v>
      </c>
      <c r="AK1765" s="261">
        <f>SUMIF($M:$M,$C1765,AK:AK)</f>
        <v>-852062.36516000028</v>
      </c>
      <c r="AL1765" s="261">
        <f>SUMIF($M:$M,$C1765,AL:AL)</f>
        <v>-860184.10788999998</v>
      </c>
      <c r="AM1765" s="261">
        <f>SUMIF($M:$M,$C1765,AM:AM)</f>
        <v>-885512.72160999977</v>
      </c>
      <c r="AN1765" s="261">
        <f>SUMIF($M:$M,$C1765,AN:AN)</f>
        <v>-879614.4522300004</v>
      </c>
      <c r="AO1765" s="261">
        <f>SUMIF($M:$M,$C1765,AO:AO)</f>
        <v>-886375.26580999931</v>
      </c>
      <c r="AP1765" s="262"/>
      <c r="AQ1765" s="262"/>
      <c r="AR1765" s="262"/>
      <c r="AS1765" s="248"/>
      <c r="AT1765" s="262"/>
    </row>
    <row r="1766" spans="1:46">
      <c r="A1766" s="246"/>
      <c r="B1766" s="246"/>
      <c r="C1766" s="214"/>
      <c r="D1766" s="214"/>
      <c r="E1766" s="215"/>
      <c r="F1766" s="215"/>
      <c r="G1766" s="248"/>
      <c r="H1766" s="249"/>
      <c r="I1766" s="253"/>
      <c r="J1766" s="253"/>
      <c r="K1766" s="249"/>
      <c r="L1766" s="215"/>
      <c r="M1766" s="249"/>
      <c r="N1766" s="254"/>
      <c r="O1766" s="254"/>
      <c r="P1766" s="215"/>
      <c r="Q1766" s="247"/>
      <c r="R1766" s="249"/>
      <c r="S1766" s="249"/>
      <c r="T1766" s="249"/>
      <c r="U1766" s="106"/>
      <c r="V1766" s="106"/>
      <c r="W1766" s="106"/>
      <c r="X1766" s="106"/>
      <c r="Y1766" s="106"/>
      <c r="Z1766" s="106"/>
      <c r="AA1766" s="106"/>
      <c r="AB1766" s="106"/>
      <c r="AC1766" s="106"/>
      <c r="AD1766" s="106"/>
      <c r="AE1766" s="106"/>
      <c r="AF1766" s="106"/>
      <c r="AG1766" s="106"/>
      <c r="AH1766" s="106"/>
      <c r="AI1766" s="106"/>
      <c r="AJ1766" s="106"/>
      <c r="AK1766" s="106"/>
      <c r="AL1766" s="106"/>
      <c r="AM1766" s="106"/>
      <c r="AN1766" s="106"/>
      <c r="AO1766" s="106"/>
      <c r="AP1766" s="248"/>
      <c r="AQ1766" s="248"/>
      <c r="AR1766" s="248"/>
      <c r="AS1766" s="248"/>
      <c r="AT1766" s="248"/>
    </row>
    <row r="1767" spans="1:46">
      <c r="A1767" s="283"/>
      <c r="B1767" s="283"/>
      <c r="C1767" s="256" t="s">
        <v>2505</v>
      </c>
      <c r="D1767" s="277"/>
      <c r="E1767" s="278"/>
      <c r="F1767" s="278"/>
      <c r="G1767" s="264"/>
      <c r="H1767" s="279"/>
      <c r="I1767" s="280"/>
      <c r="J1767" s="280"/>
      <c r="K1767" s="279"/>
      <c r="L1767" s="278"/>
      <c r="M1767" s="279"/>
      <c r="N1767" s="281"/>
      <c r="O1767" s="281"/>
      <c r="P1767" s="278"/>
      <c r="Q1767" s="282"/>
      <c r="R1767" s="279"/>
      <c r="S1767" s="279"/>
      <c r="T1767" s="279"/>
      <c r="U1767" s="263"/>
      <c r="V1767" s="263"/>
      <c r="W1767" s="263"/>
      <c r="X1767" s="263">
        <f>+X1764-X1765</f>
        <v>0.26254516618791968</v>
      </c>
      <c r="Y1767" s="263"/>
      <c r="Z1767" s="263"/>
      <c r="AA1767" s="263"/>
      <c r="AB1767" s="263">
        <f>+AB1764-AB1765</f>
        <v>-9.6569001441821456E-2</v>
      </c>
      <c r="AC1767" s="263">
        <f t="shared" ref="AC1767:AO1767" si="652">+AC1764-AC1765</f>
        <v>-1.7689999658614397E-3</v>
      </c>
      <c r="AD1767" s="263">
        <f t="shared" si="652"/>
        <v>0.99347099917940795</v>
      </c>
      <c r="AE1767" s="263">
        <f t="shared" si="652"/>
        <v>-2.0189989591017365E-3</v>
      </c>
      <c r="AF1767" s="263">
        <f t="shared" si="652"/>
        <v>1.3481000089086592E-2</v>
      </c>
      <c r="AG1767" s="263">
        <f t="shared" si="652"/>
        <v>4.2310998309403658E-2</v>
      </c>
      <c r="AH1767" s="263">
        <f t="shared" si="652"/>
        <v>0.11520099826157093</v>
      </c>
      <c r="AI1767" s="263">
        <f t="shared" si="652"/>
        <v>0.36146099935285747</v>
      </c>
      <c r="AJ1767" s="263">
        <f t="shared" si="652"/>
        <v>0.36714099848177284</v>
      </c>
      <c r="AK1767" s="263">
        <f t="shared" si="652"/>
        <v>0.470890999189578</v>
      </c>
      <c r="AL1767" s="263">
        <f t="shared" si="652"/>
        <v>0.44697099959012121</v>
      </c>
      <c r="AM1767" s="263">
        <f t="shared" si="652"/>
        <v>0.48813099891413003</v>
      </c>
      <c r="AN1767" s="263">
        <f t="shared" si="652"/>
        <v>-9.7329001175239682E-2</v>
      </c>
      <c r="AO1767" s="263">
        <f t="shared" si="652"/>
        <v>-9.6569001441821456E-2</v>
      </c>
      <c r="AP1767" s="264"/>
      <c r="AQ1767" s="264"/>
      <c r="AR1767" s="264"/>
      <c r="AS1767" s="248"/>
      <c r="AT1767" s="264"/>
    </row>
    <row r="1768" spans="1:46">
      <c r="A1768" s="283"/>
      <c r="B1768" s="283"/>
      <c r="C1768" s="256"/>
      <c r="D1768" s="277"/>
      <c r="E1768" s="278"/>
      <c r="F1768" s="278"/>
      <c r="G1768" s="264"/>
      <c r="H1768" s="279"/>
      <c r="I1768" s="280"/>
      <c r="J1768" s="280"/>
      <c r="K1768" s="279"/>
      <c r="L1768" s="278"/>
      <c r="M1768" s="279"/>
      <c r="N1768" s="281"/>
      <c r="O1768" s="281"/>
      <c r="P1768" s="278"/>
      <c r="Q1768" s="282"/>
      <c r="R1768" s="279"/>
      <c r="S1768" s="279"/>
      <c r="T1768" s="279"/>
      <c r="U1768" s="263"/>
      <c r="V1768" s="263"/>
      <c r="W1768" s="263"/>
      <c r="X1768" s="263"/>
      <c r="Y1768" s="263"/>
      <c r="Z1768" s="263"/>
      <c r="AA1768" s="263"/>
      <c r="AB1768" s="263"/>
      <c r="AC1768" s="263"/>
      <c r="AD1768" s="263"/>
      <c r="AE1768" s="263"/>
      <c r="AF1768" s="263"/>
      <c r="AG1768" s="263"/>
      <c r="AH1768" s="263"/>
      <c r="AI1768" s="263"/>
      <c r="AJ1768" s="263"/>
      <c r="AK1768" s="263"/>
      <c r="AL1768" s="263"/>
      <c r="AM1768" s="263"/>
      <c r="AN1768" s="263"/>
      <c r="AO1768" s="263"/>
      <c r="AP1768" s="264"/>
      <c r="AQ1768" s="264"/>
      <c r="AR1768" s="264"/>
      <c r="AS1768" s="248"/>
      <c r="AT1768" s="264"/>
    </row>
    <row r="1769" spans="1:46">
      <c r="A1769" s="283"/>
      <c r="B1769" s="283"/>
      <c r="C1769" s="256"/>
      <c r="D1769" s="277"/>
      <c r="E1769" s="278"/>
      <c r="F1769" s="278"/>
      <c r="G1769" s="264"/>
      <c r="H1769" s="279"/>
      <c r="I1769" s="280"/>
      <c r="J1769" s="280"/>
      <c r="K1769" s="279"/>
      <c r="L1769" s="278"/>
      <c r="M1769" s="279"/>
      <c r="N1769" s="281"/>
      <c r="O1769" s="281"/>
      <c r="P1769" s="278"/>
      <c r="Q1769" s="282"/>
      <c r="R1769" s="279"/>
      <c r="S1769" s="279"/>
      <c r="T1769" s="279"/>
      <c r="U1769" s="263"/>
      <c r="V1769" s="263"/>
      <c r="W1769" s="263"/>
      <c r="X1769" s="263"/>
      <c r="Y1769" s="263"/>
      <c r="Z1769" s="263"/>
      <c r="AA1769" s="263"/>
      <c r="AB1769" s="263"/>
      <c r="AC1769" s="263"/>
      <c r="AD1769" s="263"/>
      <c r="AE1769" s="263"/>
      <c r="AF1769" s="263"/>
      <c r="AG1769" s="263"/>
      <c r="AH1769" s="263"/>
      <c r="AI1769" s="263"/>
      <c r="AJ1769" s="263"/>
      <c r="AK1769" s="263"/>
      <c r="AL1769" s="263"/>
      <c r="AM1769" s="263"/>
      <c r="AN1769" s="263"/>
      <c r="AO1769" s="263"/>
      <c r="AP1769" s="264"/>
      <c r="AQ1769" s="264"/>
      <c r="AR1769" s="264"/>
      <c r="AS1769" s="248"/>
      <c r="AT1769" s="264"/>
    </row>
    <row r="1770" spans="1:46">
      <c r="A1770" s="246"/>
      <c r="B1770" s="246"/>
      <c r="C1770" s="214"/>
      <c r="D1770" s="246"/>
      <c r="E1770" s="266"/>
      <c r="F1770" s="266"/>
      <c r="G1770" s="267"/>
      <c r="H1770" s="249"/>
      <c r="I1770" s="273"/>
      <c r="J1770" s="273"/>
      <c r="K1770" s="249"/>
      <c r="L1770" s="215"/>
      <c r="M1770" s="249"/>
      <c r="N1770" s="254"/>
      <c r="O1770" s="254"/>
      <c r="P1770" s="215"/>
      <c r="Q1770" s="247"/>
      <c r="R1770" s="249"/>
      <c r="S1770" s="249"/>
      <c r="T1770" s="249"/>
      <c r="U1770" s="106"/>
      <c r="V1770" s="106"/>
      <c r="W1770" s="106"/>
      <c r="X1770" s="106"/>
      <c r="Y1770" s="106"/>
      <c r="Z1770" s="106"/>
      <c r="AA1770" s="106"/>
      <c r="AB1770" s="106"/>
      <c r="AC1770" s="106"/>
      <c r="AD1770" s="106"/>
      <c r="AE1770" s="106"/>
      <c r="AF1770" s="106"/>
      <c r="AG1770" s="106"/>
      <c r="AH1770" s="106"/>
      <c r="AI1770" s="106"/>
      <c r="AJ1770" s="106"/>
      <c r="AK1770" s="106"/>
      <c r="AL1770" s="106"/>
      <c r="AM1770" s="106"/>
      <c r="AN1770" s="106"/>
      <c r="AO1770" s="106"/>
      <c r="AP1770" s="248"/>
      <c r="AQ1770" s="248"/>
      <c r="AR1770" s="248"/>
      <c r="AS1770" s="248"/>
      <c r="AT1770" s="248"/>
    </row>
    <row r="1771" spans="1:46">
      <c r="A1771" s="252"/>
      <c r="B1771" s="252" t="s">
        <v>2928</v>
      </c>
      <c r="C1771" s="214"/>
      <c r="D1771" s="214"/>
      <c r="E1771" s="215"/>
      <c r="F1771" s="215"/>
      <c r="G1771" s="248"/>
      <c r="H1771" s="249"/>
      <c r="I1771" s="253"/>
      <c r="J1771" s="253"/>
      <c r="K1771" s="249"/>
      <c r="L1771" s="215"/>
      <c r="M1771" s="249"/>
      <c r="N1771" s="254"/>
      <c r="O1771" s="254"/>
      <c r="P1771" s="215"/>
      <c r="Q1771" s="247"/>
      <c r="R1771" s="249"/>
      <c r="S1771" s="249"/>
      <c r="T1771" s="249"/>
      <c r="U1771" s="106"/>
      <c r="V1771" s="106"/>
      <c r="W1771" s="106"/>
      <c r="X1771" s="106"/>
      <c r="Y1771" s="106"/>
      <c r="Z1771" s="106"/>
      <c r="AA1771" s="106"/>
      <c r="AB1771" s="106"/>
      <c r="AC1771" s="106"/>
      <c r="AD1771" s="106"/>
      <c r="AE1771" s="106"/>
      <c r="AF1771" s="106"/>
      <c r="AG1771" s="106"/>
      <c r="AH1771" s="106"/>
      <c r="AI1771" s="106"/>
      <c r="AJ1771" s="106"/>
      <c r="AK1771" s="106"/>
      <c r="AL1771" s="106"/>
      <c r="AM1771" s="106"/>
      <c r="AN1771" s="106"/>
      <c r="AO1771" s="106"/>
      <c r="AP1771" s="248"/>
      <c r="AQ1771" s="248"/>
      <c r="AR1771" s="248"/>
      <c r="AS1771" s="248"/>
      <c r="AT1771" s="248"/>
    </row>
    <row r="1772" spans="1:46">
      <c r="A1772" s="283"/>
      <c r="B1772" s="283"/>
      <c r="C1772" s="285"/>
      <c r="D1772" s="277"/>
      <c r="E1772" s="278"/>
      <c r="F1772" s="278"/>
      <c r="G1772" s="264"/>
      <c r="H1772" s="279"/>
      <c r="I1772" s="280"/>
      <c r="J1772" s="280"/>
      <c r="K1772" s="279"/>
      <c r="L1772" s="278"/>
      <c r="M1772" s="279"/>
      <c r="N1772" s="281"/>
      <c r="O1772" s="281"/>
      <c r="P1772" s="278"/>
      <c r="Q1772" s="282"/>
      <c r="R1772" s="279"/>
      <c r="S1772" s="279"/>
      <c r="T1772" s="279"/>
      <c r="U1772" s="106"/>
      <c r="V1772" s="106"/>
      <c r="W1772" s="106"/>
      <c r="X1772" s="106"/>
      <c r="Y1772" s="106"/>
      <c r="Z1772" s="106"/>
      <c r="AA1772" s="106"/>
      <c r="AB1772" s="106"/>
      <c r="AC1772" s="106"/>
      <c r="AD1772" s="106"/>
      <c r="AE1772" s="106"/>
      <c r="AF1772" s="106"/>
      <c r="AG1772" s="106"/>
      <c r="AH1772" s="106"/>
      <c r="AI1772" s="106"/>
      <c r="AJ1772" s="106"/>
      <c r="AK1772" s="106"/>
      <c r="AL1772" s="106"/>
      <c r="AM1772" s="106"/>
      <c r="AN1772" s="106"/>
      <c r="AO1772" s="106"/>
      <c r="AP1772" s="264"/>
      <c r="AQ1772" s="264"/>
      <c r="AR1772" s="264"/>
      <c r="AS1772" s="248"/>
      <c r="AT1772" s="264"/>
    </row>
    <row r="1773" spans="1:46">
      <c r="A1773" s="283"/>
      <c r="B1773" s="283"/>
      <c r="C1773" s="285" t="s">
        <v>3015</v>
      </c>
      <c r="D1773" s="277"/>
      <c r="E1773" s="278"/>
      <c r="F1773" s="278"/>
      <c r="G1773" s="264"/>
      <c r="H1773" s="279"/>
      <c r="I1773" s="280"/>
      <c r="J1773" s="280"/>
      <c r="K1773" s="279"/>
      <c r="L1773" s="278"/>
      <c r="M1773" s="279"/>
      <c r="N1773" s="281"/>
      <c r="O1773" s="281"/>
      <c r="P1773" s="278"/>
      <c r="Q1773" s="282"/>
      <c r="R1773" s="279"/>
      <c r="S1773" s="279"/>
      <c r="T1773" s="279"/>
      <c r="U1773" s="106"/>
      <c r="V1773" s="106"/>
      <c r="W1773" s="106"/>
      <c r="X1773" s="106">
        <f>SUMIF($AS:$AS,$AT1773,X:X)</f>
        <v>0</v>
      </c>
      <c r="Y1773" s="106"/>
      <c r="Z1773" s="106"/>
      <c r="AA1773" s="106"/>
      <c r="AB1773" s="106">
        <f>SUMIF($AS:$AS,$AT1773,AB:AB)</f>
        <v>0</v>
      </c>
      <c r="AC1773" s="106">
        <f>SUMIF($AS:$AS,$AT1773,AC:AC)</f>
        <v>0</v>
      </c>
      <c r="AD1773" s="106">
        <f>SUMIF($AS:$AS,$AT1773,AD:AD)</f>
        <v>0</v>
      </c>
      <c r="AE1773" s="106">
        <f>SUMIF($AS:$AS,$AT1773,AE:AE)</f>
        <v>0</v>
      </c>
      <c r="AF1773" s="106">
        <f>SUMIF($AS:$AS,$AT1773,AF:AF)</f>
        <v>0</v>
      </c>
      <c r="AG1773" s="106">
        <f>SUMIF($AS:$AS,$AT1773,AG:AG)</f>
        <v>0</v>
      </c>
      <c r="AH1773" s="106">
        <f>SUMIF($AS:$AS,$AT1773,AH:AH)</f>
        <v>0</v>
      </c>
      <c r="AI1773" s="106">
        <f>SUMIF($AS:$AS,$AT1773,AI:AI)</f>
        <v>0</v>
      </c>
      <c r="AJ1773" s="106">
        <f>SUMIF($AS:$AS,$AT1773,AJ:AJ)</f>
        <v>0</v>
      </c>
      <c r="AK1773" s="106">
        <f>SUMIF($AS:$AS,$AT1773,AK:AK)</f>
        <v>0</v>
      </c>
      <c r="AL1773" s="106">
        <f>SUMIF($AS:$AS,$AT1773,AL:AL)</f>
        <v>0</v>
      </c>
      <c r="AM1773" s="106">
        <f>SUMIF($AS:$AS,$AT1773,AM:AM)</f>
        <v>0</v>
      </c>
      <c r="AN1773" s="106">
        <f>SUMIF($AS:$AS,$AT1773,AN:AN)</f>
        <v>0</v>
      </c>
      <c r="AO1773" s="106">
        <f>SUMIF($AS:$AS,$AT1773,AO:AO)</f>
        <v>0</v>
      </c>
      <c r="AP1773" s="264"/>
      <c r="AQ1773" s="264"/>
      <c r="AR1773" s="264"/>
      <c r="AS1773" s="248"/>
      <c r="AT1773" s="248" t="str">
        <f>CONCATENATE("A2",C1773)</f>
        <v>A2Non Qualified Pension</v>
      </c>
    </row>
    <row r="1774" spans="1:46">
      <c r="A1774" s="283"/>
      <c r="B1774" s="283"/>
      <c r="C1774" s="285" t="s">
        <v>2739</v>
      </c>
      <c r="D1774" s="277"/>
      <c r="E1774" s="278"/>
      <c r="F1774" s="278"/>
      <c r="G1774" s="264"/>
      <c r="H1774" s="279"/>
      <c r="I1774" s="280"/>
      <c r="J1774" s="280"/>
      <c r="K1774" s="279"/>
      <c r="L1774" s="278"/>
      <c r="M1774" s="279"/>
      <c r="N1774" s="281"/>
      <c r="O1774" s="281"/>
      <c r="P1774" s="278"/>
      <c r="Q1774" s="282"/>
      <c r="R1774" s="279"/>
      <c r="S1774" s="279"/>
      <c r="T1774" s="279"/>
      <c r="U1774" s="106"/>
      <c r="V1774" s="106"/>
      <c r="W1774" s="106"/>
      <c r="X1774" s="106">
        <f>SUMIF($AS:$AS,$AT1774,X:X)</f>
        <v>2060.1983466666697</v>
      </c>
      <c r="Y1774" s="106"/>
      <c r="Z1774" s="106"/>
      <c r="AA1774" s="106"/>
      <c r="AB1774" s="106">
        <f>SUMIF($AS:$AS,$AT1774,AB:AB)</f>
        <v>1932.3910699999997</v>
      </c>
      <c r="AC1774" s="106">
        <f>SUMIF($AS:$AS,$AT1774,AC:AC)</f>
        <v>870.50103000000036</v>
      </c>
      <c r="AD1774" s="106">
        <f>SUMIF($AS:$AS,$AT1774,AD:AD)</f>
        <v>12.089590000000499</v>
      </c>
      <c r="AE1774" s="106">
        <f>SUMIF($AS:$AS,$AT1774,AE:AE)</f>
        <v>4459.7142199999998</v>
      </c>
      <c r="AF1774" s="106">
        <f>SUMIF($AS:$AS,$AT1774,AF:AF)</f>
        <v>13993.371119999996</v>
      </c>
      <c r="AG1774" s="106">
        <f>SUMIF($AS:$AS,$AT1774,AG:AG)</f>
        <v>5417.8875599999992</v>
      </c>
      <c r="AH1774" s="106">
        <f>SUMIF($AS:$AS,$AT1774,AH:AH)</f>
        <v>8527.766520000001</v>
      </c>
      <c r="AI1774" s="106">
        <f>SUMIF($AS:$AS,$AT1774,AI:AI)</f>
        <v>7722.1510400000016</v>
      </c>
      <c r="AJ1774" s="106">
        <f>SUMIF($AS:$AS,$AT1774,AJ:AJ)</f>
        <v>8446.0564099999992</v>
      </c>
      <c r="AK1774" s="106">
        <f>SUMIF($AS:$AS,$AT1774,AK:AK)</f>
        <v>-4725.0713899999964</v>
      </c>
      <c r="AL1774" s="106">
        <f>SUMIF($AS:$AS,$AT1774,AL:AL)</f>
        <v>-36443.343860000001</v>
      </c>
      <c r="AM1774" s="106">
        <f>SUMIF($AS:$AS,$AT1774,AM:AM)</f>
        <v>8229.4572700000062</v>
      </c>
      <c r="AN1774" s="106">
        <f>SUMIF($AS:$AS,$AT1774,AN:AN)</f>
        <v>7680.8556300000009</v>
      </c>
      <c r="AO1774" s="106">
        <f>SUMIF($AS:$AS,$AT1774,AO:AO)</f>
        <v>1932.3910699999997</v>
      </c>
      <c r="AP1774" s="264"/>
      <c r="AQ1774" s="264"/>
      <c r="AR1774" s="264"/>
      <c r="AS1774" s="248"/>
      <c r="AT1774" s="248" t="str">
        <f t="shared" ref="AT1774:AT1787" si="653">CONCATENATE("A2",C1774)</f>
        <v>A2Special Deposits</v>
      </c>
    </row>
    <row r="1775" spans="1:46">
      <c r="A1775" s="283"/>
      <c r="B1775" s="283"/>
      <c r="C1775" s="285" t="s">
        <v>1524</v>
      </c>
      <c r="D1775" s="277"/>
      <c r="E1775" s="278"/>
      <c r="F1775" s="278"/>
      <c r="G1775" s="264"/>
      <c r="H1775" s="279"/>
      <c r="I1775" s="280"/>
      <c r="J1775" s="280"/>
      <c r="K1775" s="279"/>
      <c r="L1775" s="278"/>
      <c r="M1775" s="279"/>
      <c r="N1775" s="281"/>
      <c r="O1775" s="281"/>
      <c r="P1775" s="278"/>
      <c r="Q1775" s="282"/>
      <c r="R1775" s="279"/>
      <c r="S1775" s="279"/>
      <c r="T1775" s="279"/>
      <c r="U1775" s="106"/>
      <c r="V1775" s="106"/>
      <c r="W1775" s="106"/>
      <c r="X1775" s="106">
        <f>SUMIF($AS:$AS,$AT1775,X:X)</f>
        <v>678.4767812499997</v>
      </c>
      <c r="Y1775" s="106"/>
      <c r="Z1775" s="106"/>
      <c r="AA1775" s="106"/>
      <c r="AB1775" s="106">
        <f>SUMIF($AS:$AS,$AT1775,AB:AB)</f>
        <v>678.52286000000004</v>
      </c>
      <c r="AC1775" s="106">
        <f>SUMIF($AS:$AS,$AT1775,AC:AC)</f>
        <v>610.12522999999999</v>
      </c>
      <c r="AD1775" s="106">
        <f>SUMIF($AS:$AS,$AT1775,AD:AD)</f>
        <v>681.53682000000003</v>
      </c>
      <c r="AE1775" s="106">
        <f>SUMIF($AS:$AS,$AT1775,AE:AE)</f>
        <v>681.56774000000007</v>
      </c>
      <c r="AF1775" s="106">
        <f>SUMIF($AS:$AS,$AT1775,AF:AF)</f>
        <v>681.59866000000011</v>
      </c>
      <c r="AG1775" s="106">
        <f>SUMIF($AS:$AS,$AT1775,AG:AG)</f>
        <v>681.60872000000006</v>
      </c>
      <c r="AH1775" s="106">
        <f>SUMIF($AS:$AS,$AT1775,AH:AH)</f>
        <v>681.62432000000001</v>
      </c>
      <c r="AI1775" s="106">
        <f>SUMIF($AS:$AS,$AT1775,AI:AI)</f>
        <v>681.64010000000007</v>
      </c>
      <c r="AJ1775" s="106">
        <f>SUMIF($AS:$AS,$AT1775,AJ:AJ)</f>
        <v>681.65563000000009</v>
      </c>
      <c r="AK1775" s="106">
        <f>SUMIF($AS:$AS,$AT1775,AK:AK)</f>
        <v>681.67088000000001</v>
      </c>
      <c r="AL1775" s="106">
        <f>SUMIF($AS:$AS,$AT1775,AL:AL)</f>
        <v>681.48500999999999</v>
      </c>
      <c r="AM1775" s="106">
        <f>SUMIF($AS:$AS,$AT1775,AM:AM)</f>
        <v>681.49897999999996</v>
      </c>
      <c r="AN1775" s="106">
        <f>SUMIF($AS:$AS,$AT1775,AN:AN)</f>
        <v>681.51046999999994</v>
      </c>
      <c r="AO1775" s="106">
        <f>SUMIF($AS:$AS,$AT1775,AO:AO)</f>
        <v>678.52286000000004</v>
      </c>
      <c r="AP1775" s="264"/>
      <c r="AQ1775" s="264"/>
      <c r="AR1775" s="264"/>
      <c r="AS1775" s="248"/>
      <c r="AT1775" s="248" t="str">
        <f t="shared" si="653"/>
        <v>A2Working Funds</v>
      </c>
    </row>
    <row r="1776" spans="1:46">
      <c r="A1776" s="283"/>
      <c r="B1776" s="283"/>
      <c r="C1776" s="285" t="s">
        <v>2420</v>
      </c>
      <c r="D1776" s="277"/>
      <c r="E1776" s="278"/>
      <c r="F1776" s="278"/>
      <c r="G1776" s="264"/>
      <c r="H1776" s="279"/>
      <c r="I1776" s="280"/>
      <c r="J1776" s="280"/>
      <c r="K1776" s="279"/>
      <c r="L1776" s="278"/>
      <c r="M1776" s="279"/>
      <c r="N1776" s="281"/>
      <c r="O1776" s="281"/>
      <c r="P1776" s="278"/>
      <c r="Q1776" s="282"/>
      <c r="R1776" s="279"/>
      <c r="S1776" s="279"/>
      <c r="T1776" s="279"/>
      <c r="U1776" s="106"/>
      <c r="V1776" s="106"/>
      <c r="W1776" s="106"/>
      <c r="X1776" s="106">
        <f>SUMIF($AS:$AS,$AT1776,X:X)</f>
        <v>0</v>
      </c>
      <c r="Y1776" s="106"/>
      <c r="Z1776" s="106"/>
      <c r="AA1776" s="106"/>
      <c r="AB1776" s="106">
        <f>SUMIF($AS:$AS,$AT1776,AB:AB)</f>
        <v>0</v>
      </c>
      <c r="AC1776" s="106">
        <f>SUMIF($AS:$AS,$AT1776,AC:AC)</f>
        <v>0</v>
      </c>
      <c r="AD1776" s="106">
        <f>SUMIF($AS:$AS,$AT1776,AD:AD)</f>
        <v>0</v>
      </c>
      <c r="AE1776" s="106">
        <f>SUMIF($AS:$AS,$AT1776,AE:AE)</f>
        <v>0</v>
      </c>
      <c r="AF1776" s="106">
        <f>SUMIF($AS:$AS,$AT1776,AF:AF)</f>
        <v>0</v>
      </c>
      <c r="AG1776" s="106">
        <f>SUMIF($AS:$AS,$AT1776,AG:AG)</f>
        <v>0</v>
      </c>
      <c r="AH1776" s="106">
        <f>SUMIF($AS:$AS,$AT1776,AH:AH)</f>
        <v>0</v>
      </c>
      <c r="AI1776" s="106">
        <f>SUMIF($AS:$AS,$AT1776,AI:AI)</f>
        <v>0</v>
      </c>
      <c r="AJ1776" s="106">
        <f>SUMIF($AS:$AS,$AT1776,AJ:AJ)</f>
        <v>0</v>
      </c>
      <c r="AK1776" s="106">
        <f>SUMIF($AS:$AS,$AT1776,AK:AK)</f>
        <v>0</v>
      </c>
      <c r="AL1776" s="106">
        <f>SUMIF($AS:$AS,$AT1776,AL:AL)</f>
        <v>0</v>
      </c>
      <c r="AM1776" s="106">
        <f>SUMIF($AS:$AS,$AT1776,AM:AM)</f>
        <v>0</v>
      </c>
      <c r="AN1776" s="106">
        <f>SUMIF($AS:$AS,$AT1776,AN:AN)</f>
        <v>0</v>
      </c>
      <c r="AO1776" s="106">
        <f>SUMIF($AS:$AS,$AT1776,AO:AO)</f>
        <v>0</v>
      </c>
      <c r="AP1776" s="264"/>
      <c r="AQ1776" s="264"/>
      <c r="AR1776" s="264"/>
      <c r="AS1776" s="248"/>
      <c r="AT1776" s="248" t="str">
        <f t="shared" si="653"/>
        <v>A2Temporary Cash Investments</v>
      </c>
    </row>
    <row r="1777" spans="1:46">
      <c r="A1777" s="283"/>
      <c r="B1777" s="283"/>
      <c r="C1777" s="285" t="s">
        <v>2421</v>
      </c>
      <c r="D1777" s="277"/>
      <c r="E1777" s="278"/>
      <c r="F1777" s="278"/>
      <c r="G1777" s="264"/>
      <c r="H1777" s="279"/>
      <c r="I1777" s="280"/>
      <c r="J1777" s="280"/>
      <c r="K1777" s="279"/>
      <c r="L1777" s="278"/>
      <c r="M1777" s="279"/>
      <c r="N1777" s="281"/>
      <c r="O1777" s="281"/>
      <c r="P1777" s="278"/>
      <c r="Q1777" s="282"/>
      <c r="R1777" s="279"/>
      <c r="S1777" s="279"/>
      <c r="T1777" s="279"/>
      <c r="U1777" s="106"/>
      <c r="V1777" s="106"/>
      <c r="W1777" s="106"/>
      <c r="X1777" s="106">
        <f>SUMIF($AS:$AS,$AT1777,X:X)</f>
        <v>230908.34402291698</v>
      </c>
      <c r="Y1777" s="106"/>
      <c r="Z1777" s="106"/>
      <c r="AA1777" s="106"/>
      <c r="AB1777" s="106">
        <f>SUMIF($AS:$AS,$AT1777,AB:AB)</f>
        <v>201690.23562999998</v>
      </c>
      <c r="AC1777" s="106">
        <f>SUMIF($AS:$AS,$AT1777,AC:AC)</f>
        <v>191142.48681999996</v>
      </c>
      <c r="AD1777" s="106">
        <f>SUMIF($AS:$AS,$AT1777,AD:AD)</f>
        <v>322775.74176000006</v>
      </c>
      <c r="AE1777" s="106">
        <f>SUMIF($AS:$AS,$AT1777,AE:AE)</f>
        <v>275736.54961000005</v>
      </c>
      <c r="AF1777" s="106">
        <f>SUMIF($AS:$AS,$AT1777,AF:AF)</f>
        <v>270297.75209000002</v>
      </c>
      <c r="AG1777" s="106">
        <f>SUMIF($AS:$AS,$AT1777,AG:AG)</f>
        <v>240280.01575000002</v>
      </c>
      <c r="AH1777" s="106">
        <f>SUMIF($AS:$AS,$AT1777,AH:AH)</f>
        <v>225216.54206999994</v>
      </c>
      <c r="AI1777" s="106">
        <f>SUMIF($AS:$AS,$AT1777,AI:AI)</f>
        <v>216755.22187999997</v>
      </c>
      <c r="AJ1777" s="106">
        <f>SUMIF($AS:$AS,$AT1777,AJ:AJ)</f>
        <v>209314.39225000006</v>
      </c>
      <c r="AK1777" s="106">
        <f>SUMIF($AS:$AS,$AT1777,AK:AK)</f>
        <v>210818.47536999997</v>
      </c>
      <c r="AL1777" s="106">
        <f>SUMIF($AS:$AS,$AT1777,AL:AL)</f>
        <v>197089.91132000001</v>
      </c>
      <c r="AM1777" s="106">
        <f>SUMIF($AS:$AS,$AT1777,AM:AM)</f>
        <v>176130.11660000004</v>
      </c>
      <c r="AN1777" s="106">
        <f>SUMIF($AS:$AS,$AT1777,AN:AN)</f>
        <v>230069.04835000006</v>
      </c>
      <c r="AO1777" s="106">
        <f>SUMIF($AS:$AS,$AT1777,AO:AO)</f>
        <v>201690.23562999998</v>
      </c>
      <c r="AP1777" s="264"/>
      <c r="AQ1777" s="264"/>
      <c r="AR1777" s="264"/>
      <c r="AS1777" s="248"/>
      <c r="AT1777" s="248" t="str">
        <f t="shared" si="653"/>
        <v>A2Accounts Receivable</v>
      </c>
    </row>
    <row r="1778" spans="1:46">
      <c r="A1778" s="283"/>
      <c r="B1778" s="283"/>
      <c r="C1778" s="285" t="s">
        <v>451</v>
      </c>
      <c r="D1778" s="277"/>
      <c r="E1778" s="278"/>
      <c r="F1778" s="278"/>
      <c r="G1778" s="264"/>
      <c r="H1778" s="279"/>
      <c r="I1778" s="280"/>
      <c r="J1778" s="280"/>
      <c r="K1778" s="279"/>
      <c r="L1778" s="278"/>
      <c r="M1778" s="279"/>
      <c r="N1778" s="281"/>
      <c r="O1778" s="281"/>
      <c r="P1778" s="278"/>
      <c r="Q1778" s="282"/>
      <c r="R1778" s="279"/>
      <c r="S1778" s="279"/>
      <c r="T1778" s="279"/>
      <c r="U1778" s="106"/>
      <c r="V1778" s="106"/>
      <c r="W1778" s="106"/>
      <c r="X1778" s="106">
        <f>SUMIF($AS:$AS,$AT1778,X:X)</f>
        <v>57505.821178333303</v>
      </c>
      <c r="Y1778" s="106"/>
      <c r="Z1778" s="106"/>
      <c r="AA1778" s="106"/>
      <c r="AB1778" s="106">
        <f>SUMIF($AS:$AS,$AT1778,AB:AB)</f>
        <v>68582.983410000001</v>
      </c>
      <c r="AC1778" s="106">
        <f>SUMIF($AS:$AS,$AT1778,AC:AC)</f>
        <v>65461.910810000001</v>
      </c>
      <c r="AD1778" s="106">
        <f>SUMIF($AS:$AS,$AT1778,AD:AD)</f>
        <v>80766.954989999998</v>
      </c>
      <c r="AE1778" s="106">
        <f>SUMIF($AS:$AS,$AT1778,AE:AE)</f>
        <v>71252.308010000008</v>
      </c>
      <c r="AF1778" s="106">
        <f>SUMIF($AS:$AS,$AT1778,AF:AF)</f>
        <v>75410.580820000003</v>
      </c>
      <c r="AG1778" s="106">
        <f>SUMIF($AS:$AS,$AT1778,AG:AG)</f>
        <v>59866.080570000006</v>
      </c>
      <c r="AH1778" s="106">
        <f>SUMIF($AS:$AS,$AT1778,AH:AH)</f>
        <v>46382.309819999995</v>
      </c>
      <c r="AI1778" s="106">
        <f>SUMIF($AS:$AS,$AT1778,AI:AI)</f>
        <v>42700.726210000001</v>
      </c>
      <c r="AJ1778" s="106">
        <f>SUMIF($AS:$AS,$AT1778,AJ:AJ)</f>
        <v>43266.903770000004</v>
      </c>
      <c r="AK1778" s="106">
        <f>SUMIF($AS:$AS,$AT1778,AK:AK)</f>
        <v>49904.348879999998</v>
      </c>
      <c r="AL1778" s="106">
        <f>SUMIF($AS:$AS,$AT1778,AL:AL)</f>
        <v>48178.534510000005</v>
      </c>
      <c r="AM1778" s="106">
        <f>SUMIF($AS:$AS,$AT1778,AM:AM)</f>
        <v>49796.528769999997</v>
      </c>
      <c r="AN1778" s="106">
        <f>SUMIF($AS:$AS,$AT1778,AN:AN)</f>
        <v>55522.130679999995</v>
      </c>
      <c r="AO1778" s="106">
        <f>SUMIF($AS:$AS,$AT1778,AO:AO)</f>
        <v>68582.983410000001</v>
      </c>
      <c r="AP1778" s="264"/>
      <c r="AQ1778" s="264"/>
      <c r="AR1778" s="264"/>
      <c r="AS1778" s="248"/>
      <c r="AT1778" s="248" t="str">
        <f t="shared" si="653"/>
        <v>A2Unbilled Revenue</v>
      </c>
    </row>
    <row r="1779" spans="1:46">
      <c r="A1779" s="283"/>
      <c r="B1779" s="283"/>
      <c r="C1779" s="285" t="s">
        <v>976</v>
      </c>
      <c r="D1779" s="277"/>
      <c r="E1779" s="278"/>
      <c r="F1779" s="278"/>
      <c r="G1779" s="264"/>
      <c r="H1779" s="279"/>
      <c r="I1779" s="280"/>
      <c r="J1779" s="280"/>
      <c r="K1779" s="279"/>
      <c r="L1779" s="278"/>
      <c r="M1779" s="279"/>
      <c r="N1779" s="281"/>
      <c r="O1779" s="281"/>
      <c r="P1779" s="278"/>
      <c r="Q1779" s="282"/>
      <c r="R1779" s="279"/>
      <c r="S1779" s="279"/>
      <c r="T1779" s="279"/>
      <c r="U1779" s="106"/>
      <c r="V1779" s="106"/>
      <c r="W1779" s="106"/>
      <c r="X1779" s="106">
        <f>SUMIF($AS:$AS,$AT1779,X:X)</f>
        <v>-144244.66208041666</v>
      </c>
      <c r="Y1779" s="106"/>
      <c r="Z1779" s="106"/>
      <c r="AA1779" s="106"/>
      <c r="AB1779" s="106">
        <f>SUMIF($AS:$AS,$AT1779,AB:AB)</f>
        <v>-142240.76897000006</v>
      </c>
      <c r="AC1779" s="106">
        <f>SUMIF($AS:$AS,$AT1779,AC:AC)</f>
        <v>-158952.30496000007</v>
      </c>
      <c r="AD1779" s="106">
        <f>SUMIF($AS:$AS,$AT1779,AD:AD)</f>
        <v>-226823.01806</v>
      </c>
      <c r="AE1779" s="106">
        <f>SUMIF($AS:$AS,$AT1779,AE:AE)</f>
        <v>-183521.44311000002</v>
      </c>
      <c r="AF1779" s="106">
        <f>SUMIF($AS:$AS,$AT1779,AF:AF)</f>
        <v>-162686.39805999995</v>
      </c>
      <c r="AG1779" s="106">
        <f>SUMIF($AS:$AS,$AT1779,AG:AG)</f>
        <v>-141973.96825999994</v>
      </c>
      <c r="AH1779" s="106">
        <f>SUMIF($AS:$AS,$AT1779,AH:AH)</f>
        <v>-120170.15349</v>
      </c>
      <c r="AI1779" s="106">
        <f>SUMIF($AS:$AS,$AT1779,AI:AI)</f>
        <v>-136634.06193999999</v>
      </c>
      <c r="AJ1779" s="106">
        <f>SUMIF($AS:$AS,$AT1779,AJ:AJ)</f>
        <v>-140334.92841999998</v>
      </c>
      <c r="AK1779" s="106">
        <f>SUMIF($AS:$AS,$AT1779,AK:AK)</f>
        <v>-159109.94104000001</v>
      </c>
      <c r="AL1779" s="106">
        <f>SUMIF($AS:$AS,$AT1779,AL:AL)</f>
        <v>-95845.207389999981</v>
      </c>
      <c r="AM1779" s="106">
        <f>SUMIF($AS:$AS,$AT1779,AM:AM)</f>
        <v>-89618.163530000034</v>
      </c>
      <c r="AN1779" s="106">
        <f>SUMIF($AS:$AS,$AT1779,AN:AN)</f>
        <v>-123622.12470000003</v>
      </c>
      <c r="AO1779" s="106">
        <f>SUMIF($AS:$AS,$AT1779,AO:AO)</f>
        <v>-142240.76897000006</v>
      </c>
      <c r="AP1779" s="264"/>
      <c r="AQ1779" s="264"/>
      <c r="AR1779" s="264"/>
      <c r="AS1779" s="248"/>
      <c r="AT1779" s="248" t="str">
        <f t="shared" si="653"/>
        <v>A2Accounts Payable</v>
      </c>
    </row>
    <row r="1780" spans="1:46">
      <c r="A1780" s="283"/>
      <c r="B1780" s="283"/>
      <c r="C1780" s="285" t="s">
        <v>2860</v>
      </c>
      <c r="D1780" s="277"/>
      <c r="E1780" s="278"/>
      <c r="F1780" s="278"/>
      <c r="G1780" s="264"/>
      <c r="H1780" s="279"/>
      <c r="I1780" s="280"/>
      <c r="J1780" s="280"/>
      <c r="K1780" s="279"/>
      <c r="L1780" s="278"/>
      <c r="M1780" s="279"/>
      <c r="N1780" s="281"/>
      <c r="O1780" s="281"/>
      <c r="P1780" s="278"/>
      <c r="Q1780" s="282"/>
      <c r="R1780" s="279"/>
      <c r="S1780" s="279"/>
      <c r="T1780" s="279"/>
      <c r="U1780" s="106"/>
      <c r="V1780" s="106"/>
      <c r="W1780" s="106"/>
      <c r="X1780" s="106">
        <f>SUMIF($AS:$AS,$AT1780,X:X)</f>
        <v>0</v>
      </c>
      <c r="Y1780" s="106"/>
      <c r="Z1780" s="106"/>
      <c r="AA1780" s="106"/>
      <c r="AB1780" s="106">
        <f>SUMIF($AS:$AS,$AT1780,AB:AB)</f>
        <v>0</v>
      </c>
      <c r="AC1780" s="106">
        <f>SUMIF($AS:$AS,$AT1780,AC:AC)</f>
        <v>0</v>
      </c>
      <c r="AD1780" s="106">
        <f>SUMIF($AS:$AS,$AT1780,AD:AD)</f>
        <v>0</v>
      </c>
      <c r="AE1780" s="106">
        <f>SUMIF($AS:$AS,$AT1780,AE:AE)</f>
        <v>0</v>
      </c>
      <c r="AF1780" s="106">
        <f>SUMIF($AS:$AS,$AT1780,AF:AF)</f>
        <v>0</v>
      </c>
      <c r="AG1780" s="106">
        <f>SUMIF($AS:$AS,$AT1780,AG:AG)</f>
        <v>0</v>
      </c>
      <c r="AH1780" s="106">
        <f>SUMIF($AS:$AS,$AT1780,AH:AH)</f>
        <v>0</v>
      </c>
      <c r="AI1780" s="106">
        <f>SUMIF($AS:$AS,$AT1780,AI:AI)</f>
        <v>0</v>
      </c>
      <c r="AJ1780" s="106">
        <f>SUMIF($AS:$AS,$AT1780,AJ:AJ)</f>
        <v>0</v>
      </c>
      <c r="AK1780" s="106">
        <f>SUMIF($AS:$AS,$AT1780,AK:AK)</f>
        <v>0</v>
      </c>
      <c r="AL1780" s="106">
        <f>SUMIF($AS:$AS,$AT1780,AL:AL)</f>
        <v>0</v>
      </c>
      <c r="AM1780" s="106">
        <f>SUMIF($AS:$AS,$AT1780,AM:AM)</f>
        <v>0</v>
      </c>
      <c r="AN1780" s="106">
        <f>SUMIF($AS:$AS,$AT1780,AN:AN)</f>
        <v>0</v>
      </c>
      <c r="AO1780" s="106">
        <f>SUMIF($AS:$AS,$AT1780,AO:AO)</f>
        <v>0</v>
      </c>
      <c r="AP1780" s="264"/>
      <c r="AQ1780" s="264"/>
      <c r="AR1780" s="264"/>
      <c r="AS1780" s="248"/>
      <c r="AT1780" s="248" t="str">
        <f>CONCATENATE("A2",C1780)</f>
        <v>A2Hedges &amp; OCI</v>
      </c>
    </row>
    <row r="1781" spans="1:46">
      <c r="A1781" s="283"/>
      <c r="B1781" s="283"/>
      <c r="C1781" s="285" t="s">
        <v>2221</v>
      </c>
      <c r="D1781" s="277"/>
      <c r="E1781" s="278"/>
      <c r="F1781" s="278"/>
      <c r="G1781" s="264"/>
      <c r="H1781" s="279"/>
      <c r="I1781" s="280"/>
      <c r="J1781" s="280"/>
      <c r="K1781" s="279"/>
      <c r="L1781" s="278"/>
      <c r="M1781" s="279"/>
      <c r="N1781" s="281"/>
      <c r="O1781" s="281"/>
      <c r="P1781" s="278"/>
      <c r="Q1781" s="282"/>
      <c r="R1781" s="279"/>
      <c r="S1781" s="279"/>
      <c r="T1781" s="279"/>
      <c r="U1781" s="106"/>
      <c r="V1781" s="106"/>
      <c r="W1781" s="106"/>
      <c r="X1781" s="106">
        <f>SUMIF($AS:$AS,$AT1781,X:X)</f>
        <v>-20042.980004583296</v>
      </c>
      <c r="Y1781" s="106"/>
      <c r="Z1781" s="106"/>
      <c r="AA1781" s="106"/>
      <c r="AB1781" s="106">
        <f>SUMIF($AS:$AS,$AT1781,AB:AB)</f>
        <v>-17000.506939999999</v>
      </c>
      <c r="AC1781" s="106">
        <f>SUMIF($AS:$AS,$AT1781,AC:AC)</f>
        <v>-16964.879790000003</v>
      </c>
      <c r="AD1781" s="106">
        <f>SUMIF($AS:$AS,$AT1781,AD:AD)</f>
        <v>-18200.356889999999</v>
      </c>
      <c r="AE1781" s="106">
        <f>SUMIF($AS:$AS,$AT1781,AE:AE)</f>
        <v>-19139.343639999999</v>
      </c>
      <c r="AF1781" s="106">
        <f>SUMIF($AS:$AS,$AT1781,AF:AF)</f>
        <v>-19885.098390000003</v>
      </c>
      <c r="AG1781" s="106">
        <f>SUMIF($AS:$AS,$AT1781,AG:AG)</f>
        <v>-21329.507590000001</v>
      </c>
      <c r="AH1781" s="106">
        <f>SUMIF($AS:$AS,$AT1781,AH:AH)</f>
        <v>-21417.669689999999</v>
      </c>
      <c r="AI1781" s="106">
        <f>SUMIF($AS:$AS,$AT1781,AI:AI)</f>
        <v>-21310.184390000002</v>
      </c>
      <c r="AJ1781" s="106">
        <f>SUMIF($AS:$AS,$AT1781,AJ:AJ)</f>
        <v>-21118.160090000001</v>
      </c>
      <c r="AK1781" s="106">
        <f>SUMIF($AS:$AS,$AT1781,AK:AK)</f>
        <v>-20653.195589999999</v>
      </c>
      <c r="AL1781" s="106">
        <f>SUMIF($AS:$AS,$AT1781,AL:AL)</f>
        <v>-20123.619140000003</v>
      </c>
      <c r="AM1781" s="106">
        <f>SUMIF($AS:$AS,$AT1781,AM:AM)</f>
        <v>-20162.26554</v>
      </c>
      <c r="AN1781" s="106">
        <f>SUMIF($AS:$AS,$AT1781,AN:AN)</f>
        <v>-20193.66574</v>
      </c>
      <c r="AO1781" s="106">
        <f>SUMIF($AS:$AS,$AT1781,AO:AO)</f>
        <v>-17000.506939999999</v>
      </c>
      <c r="AP1781" s="264"/>
      <c r="AQ1781" s="264"/>
      <c r="AR1781" s="264"/>
      <c r="AS1781" s="248"/>
      <c r="AT1781" s="248" t="str">
        <f t="shared" si="653"/>
        <v>A2Bad Debts</v>
      </c>
    </row>
    <row r="1782" spans="1:46">
      <c r="A1782" s="283"/>
      <c r="B1782" s="283"/>
      <c r="C1782" s="285" t="s">
        <v>1405</v>
      </c>
      <c r="D1782" s="277"/>
      <c r="E1782" s="278"/>
      <c r="F1782" s="278"/>
      <c r="G1782" s="264"/>
      <c r="H1782" s="279"/>
      <c r="I1782" s="280"/>
      <c r="J1782" s="280"/>
      <c r="K1782" s="279"/>
      <c r="L1782" s="278"/>
      <c r="M1782" s="279"/>
      <c r="N1782" s="281"/>
      <c r="O1782" s="281"/>
      <c r="P1782" s="278"/>
      <c r="Q1782" s="282"/>
      <c r="R1782" s="279"/>
      <c r="S1782" s="279"/>
      <c r="T1782" s="279"/>
      <c r="U1782" s="106"/>
      <c r="V1782" s="106"/>
      <c r="W1782" s="106"/>
      <c r="X1782" s="106">
        <f>SUMIF($AS:$AS,$AT1782,X:X)</f>
        <v>0</v>
      </c>
      <c r="Y1782" s="106"/>
      <c r="Z1782" s="106"/>
      <c r="AA1782" s="106"/>
      <c r="AB1782" s="106">
        <f>SUMIF($AS:$AS,$AT1782,AB:AB)</f>
        <v>0</v>
      </c>
      <c r="AC1782" s="106">
        <f>SUMIF($AS:$AS,$AT1782,AC:AC)</f>
        <v>0</v>
      </c>
      <c r="AD1782" s="106">
        <f>SUMIF($AS:$AS,$AT1782,AD:AD)</f>
        <v>0</v>
      </c>
      <c r="AE1782" s="106">
        <f>SUMIF($AS:$AS,$AT1782,AE:AE)</f>
        <v>0</v>
      </c>
      <c r="AF1782" s="106">
        <f>SUMIF($AS:$AS,$AT1782,AF:AF)</f>
        <v>0</v>
      </c>
      <c r="AG1782" s="106">
        <f>SUMIF($AS:$AS,$AT1782,AG:AG)</f>
        <v>0</v>
      </c>
      <c r="AH1782" s="106">
        <f>SUMIF($AS:$AS,$AT1782,AH:AH)</f>
        <v>0</v>
      </c>
      <c r="AI1782" s="106">
        <f>SUMIF($AS:$AS,$AT1782,AI:AI)</f>
        <v>0</v>
      </c>
      <c r="AJ1782" s="106">
        <f>SUMIF($AS:$AS,$AT1782,AJ:AJ)</f>
        <v>0</v>
      </c>
      <c r="AK1782" s="106">
        <f>SUMIF($AS:$AS,$AT1782,AK:AK)</f>
        <v>0</v>
      </c>
      <c r="AL1782" s="106">
        <f>SUMIF($AS:$AS,$AT1782,AL:AL)</f>
        <v>0</v>
      </c>
      <c r="AM1782" s="106">
        <f>SUMIF($AS:$AS,$AT1782,AM:AM)</f>
        <v>0</v>
      </c>
      <c r="AN1782" s="106">
        <f>SUMIF($AS:$AS,$AT1782,AN:AN)</f>
        <v>0</v>
      </c>
      <c r="AO1782" s="106">
        <f>SUMIF($AS:$AS,$AT1782,AO:AO)</f>
        <v>0</v>
      </c>
      <c r="AP1782" s="264"/>
      <c r="AQ1782" s="264"/>
      <c r="AR1782" s="264"/>
      <c r="AS1782" s="248"/>
      <c r="AT1782" s="248" t="str">
        <f t="shared" si="653"/>
        <v>A2A&amp;S CHIP</v>
      </c>
    </row>
    <row r="1783" spans="1:46">
      <c r="A1783" s="283"/>
      <c r="B1783" s="283"/>
      <c r="C1783" s="285" t="s">
        <v>1217</v>
      </c>
      <c r="D1783" s="277"/>
      <c r="E1783" s="278"/>
      <c r="F1783" s="278"/>
      <c r="G1783" s="264"/>
      <c r="H1783" s="279"/>
      <c r="I1783" s="280"/>
      <c r="J1783" s="280"/>
      <c r="K1783" s="279"/>
      <c r="L1783" s="278"/>
      <c r="M1783" s="279"/>
      <c r="N1783" s="281"/>
      <c r="O1783" s="281"/>
      <c r="P1783" s="278"/>
      <c r="Q1783" s="282"/>
      <c r="R1783" s="279"/>
      <c r="S1783" s="279"/>
      <c r="T1783" s="279"/>
      <c r="U1783" s="106"/>
      <c r="V1783" s="106"/>
      <c r="W1783" s="106"/>
      <c r="X1783" s="106">
        <f>SUMIF($AS:$AS,$AT1783,X:X)</f>
        <v>0</v>
      </c>
      <c r="Y1783" s="106"/>
      <c r="Z1783" s="106"/>
      <c r="AA1783" s="106"/>
      <c r="AB1783" s="106">
        <f>SUMIF($AS:$AS,$AT1783,AB:AB)</f>
        <v>0</v>
      </c>
      <c r="AC1783" s="106">
        <f>SUMIF($AS:$AS,$AT1783,AC:AC)</f>
        <v>0</v>
      </c>
      <c r="AD1783" s="106">
        <f>SUMIF($AS:$AS,$AT1783,AD:AD)</f>
        <v>0</v>
      </c>
      <c r="AE1783" s="106">
        <f>SUMIF($AS:$AS,$AT1783,AE:AE)</f>
        <v>0</v>
      </c>
      <c r="AF1783" s="106">
        <f>SUMIF($AS:$AS,$AT1783,AF:AF)</f>
        <v>0</v>
      </c>
      <c r="AG1783" s="106">
        <f>SUMIF($AS:$AS,$AT1783,AG:AG)</f>
        <v>0</v>
      </c>
      <c r="AH1783" s="106">
        <f>SUMIF($AS:$AS,$AT1783,AH:AH)</f>
        <v>0</v>
      </c>
      <c r="AI1783" s="106">
        <f>SUMIF($AS:$AS,$AT1783,AI:AI)</f>
        <v>0</v>
      </c>
      <c r="AJ1783" s="106">
        <f>SUMIF($AS:$AS,$AT1783,AJ:AJ)</f>
        <v>0</v>
      </c>
      <c r="AK1783" s="106">
        <f>SUMIF($AS:$AS,$AT1783,AK:AK)</f>
        <v>0</v>
      </c>
      <c r="AL1783" s="106">
        <f>SUMIF($AS:$AS,$AT1783,AL:AL)</f>
        <v>0</v>
      </c>
      <c r="AM1783" s="106">
        <f>SUMIF($AS:$AS,$AT1783,AM:AM)</f>
        <v>0</v>
      </c>
      <c r="AN1783" s="106">
        <f>SUMIF($AS:$AS,$AT1783,AN:AN)</f>
        <v>0</v>
      </c>
      <c r="AO1783" s="106">
        <f>SUMIF($AS:$AS,$AT1783,AO:AO)</f>
        <v>0</v>
      </c>
      <c r="AP1783" s="264"/>
      <c r="AQ1783" s="264"/>
      <c r="AR1783" s="264"/>
      <c r="AS1783" s="248"/>
      <c r="AT1783" s="248" t="str">
        <f t="shared" si="653"/>
        <v>A2Workman's Comp Reserve</v>
      </c>
    </row>
    <row r="1784" spans="1:46">
      <c r="A1784" s="283"/>
      <c r="B1784" s="283"/>
      <c r="C1784" s="285" t="s">
        <v>1718</v>
      </c>
      <c r="D1784" s="277"/>
      <c r="E1784" s="278"/>
      <c r="F1784" s="278"/>
      <c r="G1784" s="264"/>
      <c r="H1784" s="279"/>
      <c r="I1784" s="280"/>
      <c r="J1784" s="280"/>
      <c r="K1784" s="279"/>
      <c r="L1784" s="278"/>
      <c r="M1784" s="279"/>
      <c r="N1784" s="281"/>
      <c r="O1784" s="281"/>
      <c r="P1784" s="278"/>
      <c r="Q1784" s="282"/>
      <c r="R1784" s="279"/>
      <c r="S1784" s="279"/>
      <c r="T1784" s="279"/>
      <c r="U1784" s="106"/>
      <c r="V1784" s="106"/>
      <c r="W1784" s="106"/>
      <c r="X1784" s="106">
        <f>SUMIF($AS:$AS,$AT1784,X:X)</f>
        <v>-13153.763348750033</v>
      </c>
      <c r="Y1784" s="106"/>
      <c r="Z1784" s="106"/>
      <c r="AA1784" s="106"/>
      <c r="AB1784" s="106">
        <f>SUMIF($AS:$AS,$AT1784,AB:AB)</f>
        <v>-116.28975999999999</v>
      </c>
      <c r="AC1784" s="106">
        <f>SUMIF($AS:$AS,$AT1784,AC:AC)</f>
        <v>-19667.748769999998</v>
      </c>
      <c r="AD1784" s="106">
        <f>SUMIF($AS:$AS,$AT1784,AD:AD)</f>
        <v>-20894.529689999999</v>
      </c>
      <c r="AE1784" s="106">
        <f>SUMIF($AS:$AS,$AT1784,AE:AE)</f>
        <v>-25079.15252</v>
      </c>
      <c r="AF1784" s="106">
        <f>SUMIF($AS:$AS,$AT1784,AF:AF)</f>
        <v>-16540.02491</v>
      </c>
      <c r="AG1784" s="106">
        <f>SUMIF($AS:$AS,$AT1784,AG:AG)</f>
        <v>-18455.567300000002</v>
      </c>
      <c r="AH1784" s="106">
        <f>SUMIF($AS:$AS,$AT1784,AH:AH)</f>
        <v>-20642.232590000003</v>
      </c>
      <c r="AI1784" s="106">
        <f>SUMIF($AS:$AS,$AT1784,AI:AI)</f>
        <v>-15170.142820000001</v>
      </c>
      <c r="AJ1784" s="106">
        <f>SUMIF($AS:$AS,$AT1784,AJ:AJ)</f>
        <v>-17592.772349999999</v>
      </c>
      <c r="AK1784" s="106">
        <f>SUMIF($AS:$AS,$AT1784,AK:AK)</f>
        <v>-5386.7120299999997</v>
      </c>
      <c r="AL1784" s="106">
        <f>SUMIF($AS:$AS,$AT1784,AL:AL)</f>
        <v>-116.33095000000002</v>
      </c>
      <c r="AM1784" s="106">
        <f>SUMIF($AS:$AS,$AT1784,AM:AM)</f>
        <v>-2689.0049199999999</v>
      </c>
      <c r="AN1784" s="106">
        <f>SUMIF($AS:$AS,$AT1784,AN:AN)</f>
        <v>-5386.6708399999998</v>
      </c>
      <c r="AO1784" s="106">
        <f>SUMIF($AS:$AS,$AT1784,AO:AO)</f>
        <v>-116.28975999999999</v>
      </c>
      <c r="AP1784" s="264"/>
      <c r="AQ1784" s="264"/>
      <c r="AR1784" s="264"/>
      <c r="AS1784" s="248"/>
      <c r="AT1784" s="248" t="str">
        <f t="shared" si="653"/>
        <v>A2Energy Efficiency Portfolio Standard</v>
      </c>
    </row>
    <row r="1785" spans="1:46">
      <c r="A1785" s="283"/>
      <c r="B1785" s="283"/>
      <c r="C1785" s="285" t="s">
        <v>2862</v>
      </c>
      <c r="D1785" s="277"/>
      <c r="E1785" s="278"/>
      <c r="F1785" s="278"/>
      <c r="G1785" s="264"/>
      <c r="H1785" s="279"/>
      <c r="I1785" s="280"/>
      <c r="J1785" s="280"/>
      <c r="K1785" s="279"/>
      <c r="L1785" s="278"/>
      <c r="M1785" s="279"/>
      <c r="N1785" s="281"/>
      <c r="O1785" s="281"/>
      <c r="P1785" s="278"/>
      <c r="Q1785" s="282"/>
      <c r="R1785" s="279"/>
      <c r="S1785" s="279"/>
      <c r="T1785" s="279"/>
      <c r="U1785" s="106"/>
      <c r="V1785" s="106"/>
      <c r="W1785" s="106"/>
      <c r="X1785" s="106">
        <f>SUMIF($AS:$AS,$AT1785,X:X)</f>
        <v>-6341.5675704166697</v>
      </c>
      <c r="Y1785" s="106"/>
      <c r="Z1785" s="106"/>
      <c r="AA1785" s="106"/>
      <c r="AB1785" s="106">
        <f>SUMIF($AS:$AS,$AT1785,AB:AB)</f>
        <v>-9729.9465</v>
      </c>
      <c r="AC1785" s="106">
        <f>SUMIF($AS:$AS,$AT1785,AC:AC)</f>
        <v>-9095.9650500000007</v>
      </c>
      <c r="AD1785" s="106">
        <f>SUMIF($AS:$AS,$AT1785,AD:AD)</f>
        <v>-3873.1928599999997</v>
      </c>
      <c r="AE1785" s="106">
        <f>SUMIF($AS:$AS,$AT1785,AE:AE)</f>
        <v>-6808.5817699999998</v>
      </c>
      <c r="AF1785" s="106">
        <f>SUMIF($AS:$AS,$AT1785,AF:AF)</f>
        <v>-9815.6276600000001</v>
      </c>
      <c r="AG1785" s="106">
        <f>SUMIF($AS:$AS,$AT1785,AG:AG)</f>
        <v>-3813.51377</v>
      </c>
      <c r="AH1785" s="106">
        <f>SUMIF($AS:$AS,$AT1785,AH:AH)</f>
        <v>-6198.9910999999993</v>
      </c>
      <c r="AI1785" s="106">
        <f>SUMIF($AS:$AS,$AT1785,AI:AI)</f>
        <v>-8929.9653400000007</v>
      </c>
      <c r="AJ1785" s="106">
        <f>SUMIF($AS:$AS,$AT1785,AJ:AJ)</f>
        <v>-3299.7010699999996</v>
      </c>
      <c r="AK1785" s="106">
        <f>SUMIF($AS:$AS,$AT1785,AK:AK)</f>
        <v>-5686.5339999999997</v>
      </c>
      <c r="AL1785" s="106">
        <f>SUMIF($AS:$AS,$AT1785,AL:AL)</f>
        <v>-8529.8009999999995</v>
      </c>
      <c r="AM1785" s="106">
        <f>SUMIF($AS:$AS,$AT1785,AM:AM)</f>
        <v>-3243.3155000000002</v>
      </c>
      <c r="AN1785" s="106">
        <f>SUMIF($AS:$AS,$AT1785,AN:AN)</f>
        <v>-6486.6310000000003</v>
      </c>
      <c r="AO1785" s="106">
        <f>SUMIF($AS:$AS,$AT1785,AO:AO)</f>
        <v>-9729.9465</v>
      </c>
      <c r="AP1785" s="264"/>
      <c r="AQ1785" s="264"/>
      <c r="AR1785" s="264"/>
      <c r="AS1785" s="248"/>
      <c r="AT1785" s="248" t="str">
        <f t="shared" si="653"/>
        <v>A2Renewable Portfolio Standard</v>
      </c>
    </row>
    <row r="1786" spans="1:46">
      <c r="A1786" s="283"/>
      <c r="B1786" s="283"/>
      <c r="C1786" s="285" t="s">
        <v>2496</v>
      </c>
      <c r="D1786" s="277"/>
      <c r="E1786" s="278"/>
      <c r="F1786" s="278"/>
      <c r="G1786" s="264"/>
      <c r="H1786" s="279"/>
      <c r="I1786" s="280"/>
      <c r="J1786" s="280"/>
      <c r="K1786" s="279"/>
      <c r="L1786" s="278"/>
      <c r="M1786" s="279"/>
      <c r="N1786" s="281"/>
      <c r="O1786" s="281"/>
      <c r="P1786" s="278"/>
      <c r="Q1786" s="282"/>
      <c r="R1786" s="279"/>
      <c r="S1786" s="279"/>
      <c r="T1786" s="279"/>
      <c r="U1786" s="106"/>
      <c r="V1786" s="106"/>
      <c r="W1786" s="106"/>
      <c r="X1786" s="106">
        <f>SUMIF($AS:$AS,$AT1786,X:X)</f>
        <v>4.8330000000000002</v>
      </c>
      <c r="Y1786" s="106"/>
      <c r="Z1786" s="106"/>
      <c r="AA1786" s="106"/>
      <c r="AB1786" s="106">
        <f>SUMIF($AS:$AS,$AT1786,AB:AB)</f>
        <v>4.8330000000000002</v>
      </c>
      <c r="AC1786" s="106">
        <f>SUMIF($AS:$AS,$AT1786,AC:AC)</f>
        <v>4.8330000000000002</v>
      </c>
      <c r="AD1786" s="106">
        <f>SUMIF($AS:$AS,$AT1786,AD:AD)</f>
        <v>4.8330000000000002</v>
      </c>
      <c r="AE1786" s="106">
        <f>SUMIF($AS:$AS,$AT1786,AE:AE)</f>
        <v>4.8330000000000002</v>
      </c>
      <c r="AF1786" s="106">
        <f>SUMIF($AS:$AS,$AT1786,AF:AF)</f>
        <v>4.8330000000000002</v>
      </c>
      <c r="AG1786" s="106">
        <f>SUMIF($AS:$AS,$AT1786,AG:AG)</f>
        <v>4.8330000000000002</v>
      </c>
      <c r="AH1786" s="106">
        <f>SUMIF($AS:$AS,$AT1786,AH:AH)</f>
        <v>4.8330000000000002</v>
      </c>
      <c r="AI1786" s="106">
        <f>SUMIF($AS:$AS,$AT1786,AI:AI)</f>
        <v>4.8330000000000002</v>
      </c>
      <c r="AJ1786" s="106">
        <f>SUMIF($AS:$AS,$AT1786,AJ:AJ)</f>
        <v>4.8330000000000002</v>
      </c>
      <c r="AK1786" s="106">
        <f>SUMIF($AS:$AS,$AT1786,AK:AK)</f>
        <v>4.8330000000000002</v>
      </c>
      <c r="AL1786" s="106">
        <f>SUMIF($AS:$AS,$AT1786,AL:AL)</f>
        <v>4.8330000000000002</v>
      </c>
      <c r="AM1786" s="106">
        <f>SUMIF($AS:$AS,$AT1786,AM:AM)</f>
        <v>4.8330000000000002</v>
      </c>
      <c r="AN1786" s="106">
        <f>SUMIF($AS:$AS,$AT1786,AN:AN)</f>
        <v>4.8330000000000002</v>
      </c>
      <c r="AO1786" s="106">
        <f>SUMIF($AS:$AS,$AT1786,AO:AO)</f>
        <v>4.8330000000000002</v>
      </c>
      <c r="AP1786" s="264"/>
      <c r="AQ1786" s="264"/>
      <c r="AR1786" s="264"/>
      <c r="AS1786" s="248"/>
      <c r="AT1786" s="248" t="str">
        <f t="shared" si="653"/>
        <v>A2System Benefits Charge</v>
      </c>
    </row>
    <row r="1787" spans="1:46">
      <c r="A1787" s="283"/>
      <c r="B1787" s="283"/>
      <c r="C1787" s="285" t="s">
        <v>1811</v>
      </c>
      <c r="D1787" s="277"/>
      <c r="E1787" s="278"/>
      <c r="F1787" s="278"/>
      <c r="G1787" s="264"/>
      <c r="H1787" s="279"/>
      <c r="I1787" s="280"/>
      <c r="J1787" s="280"/>
      <c r="K1787" s="279"/>
      <c r="L1787" s="278"/>
      <c r="M1787" s="279"/>
      <c r="N1787" s="281"/>
      <c r="O1787" s="281"/>
      <c r="P1787" s="278"/>
      <c r="Q1787" s="282"/>
      <c r="R1787" s="279"/>
      <c r="S1787" s="279"/>
      <c r="T1787" s="279"/>
      <c r="U1787" s="106"/>
      <c r="V1787" s="106"/>
      <c r="W1787" s="106"/>
      <c r="X1787" s="106">
        <f>SUMIF($AS:$AS,$AT1787,X:X)</f>
        <v>0</v>
      </c>
      <c r="Y1787" s="106"/>
      <c r="Z1787" s="106"/>
      <c r="AA1787" s="106"/>
      <c r="AB1787" s="106">
        <f>SUMIF($AS:$AS,$AT1787,AB:AB)</f>
        <v>0</v>
      </c>
      <c r="AC1787" s="106">
        <f>SUMIF($AS:$AS,$AT1787,AC:AC)</f>
        <v>0</v>
      </c>
      <c r="AD1787" s="106">
        <f>SUMIF($AS:$AS,$AT1787,AD:AD)</f>
        <v>0</v>
      </c>
      <c r="AE1787" s="106">
        <f>SUMIF($AS:$AS,$AT1787,AE:AE)</f>
        <v>0</v>
      </c>
      <c r="AF1787" s="106">
        <f>SUMIF($AS:$AS,$AT1787,AF:AF)</f>
        <v>0</v>
      </c>
      <c r="AG1787" s="106">
        <f>SUMIF($AS:$AS,$AT1787,AG:AG)</f>
        <v>0</v>
      </c>
      <c r="AH1787" s="106">
        <f>SUMIF($AS:$AS,$AT1787,AH:AH)</f>
        <v>0</v>
      </c>
      <c r="AI1787" s="106">
        <f>SUMIF($AS:$AS,$AT1787,AI:AI)</f>
        <v>0</v>
      </c>
      <c r="AJ1787" s="106">
        <f>SUMIF($AS:$AS,$AT1787,AJ:AJ)</f>
        <v>0</v>
      </c>
      <c r="AK1787" s="106">
        <f>SUMIF($AS:$AS,$AT1787,AK:AK)</f>
        <v>0</v>
      </c>
      <c r="AL1787" s="106">
        <f>SUMIF($AS:$AS,$AT1787,AL:AL)</f>
        <v>0</v>
      </c>
      <c r="AM1787" s="106">
        <f>SUMIF($AS:$AS,$AT1787,AM:AM)</f>
        <v>0</v>
      </c>
      <c r="AN1787" s="106">
        <f>SUMIF($AS:$AS,$AT1787,AN:AN)</f>
        <v>0</v>
      </c>
      <c r="AO1787" s="106">
        <f>SUMIF($AS:$AS,$AT1787,AO:AO)</f>
        <v>0</v>
      </c>
      <c r="AP1787" s="264"/>
      <c r="AQ1787" s="264"/>
      <c r="AR1787" s="264"/>
      <c r="AS1787" s="248"/>
      <c r="AT1787" s="248" t="str">
        <f t="shared" si="653"/>
        <v>A2Preliminary Engineering</v>
      </c>
    </row>
    <row r="1788" spans="1:46">
      <c r="A1788" s="283"/>
      <c r="B1788" s="283"/>
      <c r="C1788" s="256"/>
      <c r="D1788" s="277"/>
      <c r="E1788" s="278"/>
      <c r="F1788" s="278"/>
      <c r="G1788" s="264"/>
      <c r="H1788" s="279"/>
      <c r="I1788" s="280"/>
      <c r="J1788" s="280"/>
      <c r="K1788" s="279"/>
      <c r="L1788" s="278"/>
      <c r="M1788" s="279"/>
      <c r="N1788" s="281"/>
      <c r="O1788" s="281"/>
      <c r="P1788" s="278"/>
      <c r="Q1788" s="282"/>
      <c r="R1788" s="279"/>
      <c r="S1788" s="279"/>
      <c r="T1788" s="279"/>
      <c r="U1788" s="106"/>
      <c r="V1788" s="106"/>
      <c r="W1788" s="106"/>
      <c r="X1788" s="106"/>
      <c r="Y1788" s="106"/>
      <c r="Z1788" s="106"/>
      <c r="AA1788" s="106"/>
      <c r="AB1788" s="106"/>
      <c r="AC1788" s="106"/>
      <c r="AD1788" s="106"/>
      <c r="AE1788" s="106"/>
      <c r="AF1788" s="106"/>
      <c r="AG1788" s="106"/>
      <c r="AH1788" s="106"/>
      <c r="AI1788" s="106"/>
      <c r="AJ1788" s="106"/>
      <c r="AK1788" s="106"/>
      <c r="AL1788" s="106"/>
      <c r="AM1788" s="106"/>
      <c r="AN1788" s="106"/>
      <c r="AO1788" s="106"/>
      <c r="AP1788" s="264"/>
      <c r="AQ1788" s="264"/>
      <c r="AR1788" s="264"/>
      <c r="AS1788" s="248"/>
      <c r="AT1788" s="264"/>
    </row>
    <row r="1789" spans="1:46" ht="14.25">
      <c r="A1789" s="283"/>
      <c r="B1789" s="283"/>
      <c r="C1789" s="256" t="s">
        <v>365</v>
      </c>
      <c r="D1789" s="277"/>
      <c r="E1789" s="278"/>
      <c r="F1789" s="278"/>
      <c r="G1789" s="264"/>
      <c r="H1789" s="279"/>
      <c r="I1789" s="280"/>
      <c r="J1789" s="280"/>
      <c r="K1789" s="279"/>
      <c r="L1789" s="278"/>
      <c r="M1789" s="279"/>
      <c r="N1789" s="281"/>
      <c r="O1789" s="281"/>
      <c r="P1789" s="278"/>
      <c r="Q1789" s="282"/>
      <c r="R1789" s="279"/>
      <c r="S1789" s="279"/>
      <c r="T1789" s="279"/>
      <c r="U1789" s="274"/>
      <c r="V1789" s="274"/>
      <c r="W1789" s="274"/>
      <c r="X1789" s="274">
        <f>+X1791-SUM(X1771:X1788)</f>
        <v>-37963.181061249823</v>
      </c>
      <c r="Y1789" s="274"/>
      <c r="Z1789" s="274"/>
      <c r="AA1789" s="274"/>
      <c r="AB1789" s="274">
        <f>+AB1791-SUM(AB1771:AB1788)</f>
        <v>-34907.305279999884</v>
      </c>
      <c r="AC1789" s="274">
        <f t="shared" ref="AC1789:AO1789" si="654">+AC1791-SUM(AC1771:AC1788)</f>
        <v>-49908.701449999935</v>
      </c>
      <c r="AD1789" s="274">
        <f t="shared" si="654"/>
        <v>-35257.29625000013</v>
      </c>
      <c r="AE1789" s="274">
        <f t="shared" si="654"/>
        <v>-37291.893870000029</v>
      </c>
      <c r="AF1789" s="274">
        <f t="shared" si="654"/>
        <v>-40070.32055000012</v>
      </c>
      <c r="AG1789" s="274">
        <f t="shared" si="654"/>
        <v>-61389.841520000024</v>
      </c>
      <c r="AH1789" s="274">
        <f t="shared" si="654"/>
        <v>-50332.448229999834</v>
      </c>
      <c r="AI1789" s="274">
        <f t="shared" si="654"/>
        <v>-34860.720079999985</v>
      </c>
      <c r="AJ1789" s="274">
        <f t="shared" si="654"/>
        <v>-29708.946560000062</v>
      </c>
      <c r="AK1789" s="274">
        <f t="shared" si="654"/>
        <v>-25253.636259999963</v>
      </c>
      <c r="AL1789" s="274">
        <f t="shared" si="654"/>
        <v>-31898.920499999993</v>
      </c>
      <c r="AM1789" s="274">
        <f t="shared" si="654"/>
        <v>-25402.211859999938</v>
      </c>
      <c r="AN1789" s="274">
        <f t="shared" si="654"/>
        <v>-41683.933690000034</v>
      </c>
      <c r="AO1789" s="274">
        <f t="shared" si="654"/>
        <v>-34907.305279999884</v>
      </c>
      <c r="AP1789" s="264"/>
      <c r="AQ1789" s="264"/>
      <c r="AR1789" s="264"/>
      <c r="AS1789" s="248"/>
      <c r="AT1789" s="264"/>
    </row>
    <row r="1790" spans="1:46">
      <c r="A1790" s="283"/>
      <c r="B1790" s="283"/>
      <c r="C1790" s="256"/>
      <c r="D1790" s="277"/>
      <c r="E1790" s="278"/>
      <c r="F1790" s="278"/>
      <c r="G1790" s="264"/>
      <c r="H1790" s="279"/>
      <c r="I1790" s="280"/>
      <c r="J1790" s="280"/>
      <c r="K1790" s="279"/>
      <c r="L1790" s="278"/>
      <c r="M1790" s="279"/>
      <c r="N1790" s="281"/>
      <c r="O1790" s="281"/>
      <c r="P1790" s="278"/>
      <c r="Q1790" s="282"/>
      <c r="R1790" s="279"/>
      <c r="S1790" s="279"/>
      <c r="T1790" s="279"/>
      <c r="U1790" s="263"/>
      <c r="V1790" s="263"/>
      <c r="W1790" s="263"/>
      <c r="X1790" s="263"/>
      <c r="Y1790" s="263"/>
      <c r="Z1790" s="263"/>
      <c r="AA1790" s="263"/>
      <c r="AB1790" s="263"/>
      <c r="AC1790" s="263"/>
      <c r="AD1790" s="263"/>
      <c r="AE1790" s="263"/>
      <c r="AF1790" s="263"/>
      <c r="AG1790" s="263"/>
      <c r="AH1790" s="263"/>
      <c r="AI1790" s="263"/>
      <c r="AJ1790" s="263"/>
      <c r="AK1790" s="263"/>
      <c r="AL1790" s="263"/>
      <c r="AM1790" s="263"/>
      <c r="AN1790" s="263"/>
      <c r="AO1790" s="263"/>
      <c r="AP1790" s="264"/>
      <c r="AQ1790" s="264"/>
      <c r="AR1790" s="264"/>
      <c r="AS1790" s="248"/>
      <c r="AT1790" s="264"/>
    </row>
    <row r="1791" spans="1:46">
      <c r="A1791" s="246"/>
      <c r="B1791" s="246"/>
      <c r="C1791" s="256" t="s">
        <v>1179</v>
      </c>
      <c r="D1791" s="214" t="s">
        <v>1419</v>
      </c>
      <c r="E1791" s="215"/>
      <c r="F1791" s="215"/>
      <c r="G1791" s="248"/>
      <c r="H1791" s="249"/>
      <c r="I1791" s="253"/>
      <c r="J1791" s="253"/>
      <c r="K1791" s="249"/>
      <c r="L1791" s="215"/>
      <c r="M1791" s="249"/>
      <c r="N1791" s="254"/>
      <c r="O1791" s="254"/>
      <c r="P1791" s="215"/>
      <c r="Q1791" s="247"/>
      <c r="R1791" s="249"/>
      <c r="S1791" s="249"/>
      <c r="T1791" s="249"/>
      <c r="U1791" s="106"/>
      <c r="V1791" s="106"/>
      <c r="W1791" s="106"/>
      <c r="X1791" s="106">
        <f>SUMIF($L:$L,$D1791,X:X)</f>
        <v>69411.519263750495</v>
      </c>
      <c r="Y1791" s="106"/>
      <c r="Z1791" s="106"/>
      <c r="AA1791" s="106"/>
      <c r="AB1791" s="106">
        <f>SUMIF($L:$L,$D1791,AB:AB)</f>
        <v>68894.148520000032</v>
      </c>
      <c r="AC1791" s="106">
        <f>SUMIF($L:$L,$D1791,AC:AC)</f>
        <v>3500.2568699999479</v>
      </c>
      <c r="AD1791" s="106">
        <f>SUMIF($L:$L,$D1791,AD:AD)</f>
        <v>99192.762409999967</v>
      </c>
      <c r="AE1791" s="106">
        <f>SUMIF($L:$L,$D1791,AE:AE)</f>
        <v>80294.557670000009</v>
      </c>
      <c r="AF1791" s="106">
        <f>SUMIF($L:$L,$D1791,AF:AF)</f>
        <v>111390.66611999998</v>
      </c>
      <c r="AG1791" s="106">
        <f>SUMIF($L:$L,$D1791,AG:AG)</f>
        <v>59288.027160000078</v>
      </c>
      <c r="AH1791" s="106">
        <f>SUMIF($L:$L,$D1791,AH:AH)</f>
        <v>62051.580630000099</v>
      </c>
      <c r="AI1791" s="106">
        <f>SUMIF($L:$L,$D1791,AI:AI)</f>
        <v>50959.497659999965</v>
      </c>
      <c r="AJ1791" s="106">
        <f>SUMIF($L:$L,$D1791,AJ:AJ)</f>
        <v>49659.332570000006</v>
      </c>
      <c r="AK1791" s="106">
        <f>SUMIF($L:$L,$D1791,AK:AK)</f>
        <v>40594.237820000002</v>
      </c>
      <c r="AL1791" s="106">
        <f>SUMIF($L:$L,$D1791,AL:AL)</f>
        <v>52997.540999999997</v>
      </c>
      <c r="AM1791" s="106">
        <f>SUMIF($L:$L,$D1791,AM:AM)</f>
        <v>93727.473270000075</v>
      </c>
      <c r="AN1791" s="106">
        <f>SUMIF($L:$L,$D1791,AN:AN)</f>
        <v>96585.35215999998</v>
      </c>
      <c r="AO1791" s="106">
        <f>SUMIF($L:$L,$D1791,AO:AO)</f>
        <v>68894.148520000032</v>
      </c>
      <c r="AP1791" s="248"/>
      <c r="AQ1791" s="248"/>
      <c r="AR1791" s="248"/>
      <c r="AS1791" s="248"/>
      <c r="AT1791" s="248"/>
    </row>
    <row r="1792" spans="1:46" s="248" customFormat="1" ht="12.75" customHeight="1">
      <c r="A1792" s="252"/>
      <c r="B1792" s="246"/>
      <c r="C1792" s="256"/>
      <c r="D1792" s="214"/>
      <c r="E1792" s="215"/>
      <c r="F1792" s="215"/>
      <c r="H1792" s="249"/>
      <c r="I1792" s="253"/>
      <c r="J1792" s="253"/>
      <c r="K1792" s="249"/>
      <c r="L1792" s="215"/>
      <c r="M1792" s="249"/>
      <c r="N1792" s="254"/>
      <c r="O1792" s="254"/>
      <c r="P1792" s="215"/>
      <c r="Q1792" s="247"/>
      <c r="R1792" s="249"/>
      <c r="S1792" s="249"/>
      <c r="T1792" s="249"/>
      <c r="U1792" s="274"/>
      <c r="V1792" s="274"/>
      <c r="W1792" s="274"/>
      <c r="X1792" s="274"/>
      <c r="Y1792" s="274"/>
      <c r="Z1792" s="274"/>
      <c r="AA1792" s="274"/>
      <c r="AB1792" s="274"/>
      <c r="AC1792" s="274"/>
      <c r="AD1792" s="274"/>
      <c r="AE1792" s="274"/>
      <c r="AF1792" s="274"/>
      <c r="AG1792" s="274"/>
      <c r="AH1792" s="274"/>
      <c r="AI1792" s="274"/>
      <c r="AJ1792" s="274"/>
      <c r="AK1792" s="274"/>
      <c r="AL1792" s="274"/>
      <c r="AM1792" s="274"/>
      <c r="AN1792" s="274"/>
      <c r="AO1792" s="274"/>
      <c r="AP1792" s="291"/>
      <c r="AQ1792" s="291"/>
      <c r="AR1792" s="291"/>
    </row>
    <row r="1793" spans="1:46">
      <c r="A1793" s="246"/>
      <c r="B1793" s="246"/>
      <c r="C1793" s="256"/>
      <c r="D1793" s="214"/>
      <c r="E1793" s="215"/>
      <c r="F1793" s="215"/>
      <c r="G1793" s="248"/>
      <c r="H1793" s="249"/>
      <c r="I1793" s="253"/>
      <c r="J1793" s="253"/>
      <c r="K1793" s="249"/>
      <c r="L1793" s="215"/>
      <c r="M1793" s="249"/>
      <c r="N1793" s="254"/>
      <c r="O1793" s="254"/>
      <c r="P1793" s="215"/>
      <c r="Q1793" s="247"/>
      <c r="R1793" s="249"/>
      <c r="S1793" s="249"/>
      <c r="T1793" s="249"/>
      <c r="U1793" s="106"/>
      <c r="V1793" s="106"/>
      <c r="W1793" s="106"/>
      <c r="X1793" s="106"/>
      <c r="Y1793" s="106"/>
      <c r="Z1793" s="106"/>
      <c r="AA1793" s="106"/>
      <c r="AB1793" s="106"/>
      <c r="AC1793" s="106"/>
      <c r="AD1793" s="106"/>
      <c r="AE1793" s="106"/>
      <c r="AF1793" s="106"/>
      <c r="AG1793" s="106"/>
      <c r="AH1793" s="106"/>
      <c r="AI1793" s="106"/>
      <c r="AJ1793" s="106"/>
      <c r="AK1793" s="106"/>
      <c r="AL1793" s="106"/>
      <c r="AM1793" s="106"/>
      <c r="AN1793" s="106"/>
      <c r="AO1793" s="106"/>
      <c r="AP1793" s="248"/>
      <c r="AQ1793" s="248"/>
      <c r="AR1793" s="248"/>
      <c r="AS1793" s="248"/>
      <c r="AT1793" s="248"/>
    </row>
    <row r="1794" spans="1:46">
      <c r="A1794" s="246"/>
      <c r="B1794" s="246"/>
      <c r="C1794" s="256"/>
      <c r="D1794" s="214"/>
      <c r="E1794" s="215"/>
      <c r="F1794" s="215"/>
      <c r="G1794" s="248"/>
      <c r="H1794" s="249"/>
      <c r="I1794" s="253"/>
      <c r="J1794" s="253"/>
      <c r="K1794" s="249"/>
      <c r="L1794" s="215"/>
      <c r="M1794" s="249"/>
      <c r="N1794" s="254"/>
      <c r="O1794" s="254"/>
      <c r="P1794" s="215"/>
      <c r="Q1794" s="247"/>
      <c r="R1794" s="249"/>
      <c r="S1794" s="249"/>
      <c r="T1794" s="249"/>
      <c r="U1794" s="263"/>
      <c r="V1794" s="263"/>
      <c r="W1794" s="263"/>
      <c r="X1794" s="263"/>
      <c r="Y1794" s="263"/>
      <c r="Z1794" s="263"/>
      <c r="AA1794" s="263"/>
      <c r="AB1794" s="263"/>
      <c r="AC1794" s="263"/>
      <c r="AD1794" s="263"/>
      <c r="AE1794" s="263"/>
      <c r="AF1794" s="263"/>
      <c r="AG1794" s="263"/>
      <c r="AH1794" s="263"/>
      <c r="AI1794" s="263"/>
      <c r="AJ1794" s="263"/>
      <c r="AK1794" s="263"/>
      <c r="AL1794" s="263"/>
      <c r="AM1794" s="263"/>
      <c r="AN1794" s="263"/>
      <c r="AO1794" s="263"/>
      <c r="AP1794" s="264"/>
      <c r="AQ1794" s="264"/>
      <c r="AR1794" s="264"/>
      <c r="AS1794" s="248"/>
      <c r="AT1794" s="248"/>
    </row>
    <row r="1795" spans="1:46">
      <c r="A1795" s="246"/>
      <c r="B1795" s="246"/>
      <c r="C1795" s="214"/>
      <c r="D1795" s="246"/>
      <c r="E1795" s="266"/>
      <c r="F1795" s="266"/>
      <c r="G1795" s="267"/>
      <c r="H1795" s="249"/>
      <c r="I1795" s="273"/>
      <c r="J1795" s="273"/>
      <c r="K1795" s="249"/>
      <c r="L1795" s="215"/>
      <c r="M1795" s="249"/>
      <c r="N1795" s="254"/>
      <c r="O1795" s="254"/>
      <c r="P1795" s="215"/>
      <c r="Q1795" s="247"/>
      <c r="R1795" s="249"/>
      <c r="S1795" s="249"/>
      <c r="T1795" s="249"/>
      <c r="U1795" s="106"/>
      <c r="V1795" s="106"/>
      <c r="W1795" s="106"/>
      <c r="X1795" s="106"/>
      <c r="Y1795" s="106"/>
      <c r="Z1795" s="106"/>
      <c r="AA1795" s="106"/>
      <c r="AB1795" s="106"/>
      <c r="AC1795" s="106"/>
      <c r="AD1795" s="106"/>
      <c r="AE1795" s="106"/>
      <c r="AF1795" s="106"/>
      <c r="AG1795" s="106"/>
      <c r="AH1795" s="106"/>
      <c r="AI1795" s="106"/>
      <c r="AJ1795" s="106"/>
      <c r="AK1795" s="106"/>
      <c r="AL1795" s="106"/>
      <c r="AM1795" s="106"/>
      <c r="AN1795" s="106"/>
      <c r="AO1795" s="106"/>
      <c r="AP1795" s="248"/>
      <c r="AQ1795" s="248"/>
      <c r="AR1795" s="248"/>
      <c r="AS1795" s="248"/>
      <c r="AT1795" s="248"/>
    </row>
    <row r="1796" spans="1:46">
      <c r="A1796" s="246"/>
      <c r="B1796" s="246"/>
      <c r="C1796" s="214"/>
      <c r="D1796" s="246"/>
      <c r="E1796" s="266"/>
      <c r="F1796" s="266"/>
      <c r="G1796" s="267"/>
      <c r="H1796" s="249"/>
      <c r="I1796" s="273"/>
      <c r="J1796" s="273"/>
      <c r="K1796" s="249"/>
      <c r="L1796" s="215"/>
      <c r="M1796" s="249"/>
      <c r="N1796" s="254"/>
      <c r="O1796" s="254"/>
      <c r="P1796" s="215"/>
      <c r="Q1796" s="247"/>
      <c r="R1796" s="249"/>
      <c r="S1796" s="249"/>
      <c r="T1796" s="249"/>
      <c r="U1796" s="106"/>
      <c r="V1796" s="106"/>
      <c r="W1796" s="106"/>
      <c r="X1796" s="106"/>
      <c r="Y1796" s="106"/>
      <c r="Z1796" s="106"/>
      <c r="AA1796" s="106"/>
      <c r="AB1796" s="106"/>
      <c r="AC1796" s="106"/>
      <c r="AD1796" s="106"/>
      <c r="AE1796" s="106"/>
      <c r="AF1796" s="106"/>
      <c r="AG1796" s="106"/>
      <c r="AH1796" s="106"/>
      <c r="AI1796" s="106"/>
      <c r="AJ1796" s="106"/>
      <c r="AK1796" s="106"/>
      <c r="AL1796" s="106"/>
      <c r="AM1796" s="106"/>
      <c r="AN1796" s="106"/>
      <c r="AO1796" s="106"/>
      <c r="AP1796" s="248"/>
      <c r="AQ1796" s="248"/>
      <c r="AR1796" s="248"/>
      <c r="AS1796" s="248"/>
      <c r="AT1796" s="248"/>
    </row>
    <row r="1797" spans="1:46">
      <c r="A1797" s="246"/>
      <c r="B1797" s="246"/>
      <c r="C1797" s="214"/>
      <c r="D1797" s="246"/>
      <c r="E1797" s="266"/>
      <c r="F1797" s="266"/>
      <c r="G1797" s="267"/>
      <c r="H1797" s="249"/>
      <c r="I1797" s="273"/>
      <c r="J1797" s="273"/>
      <c r="K1797" s="249"/>
      <c r="L1797" s="215"/>
      <c r="M1797" s="249"/>
      <c r="N1797" s="254"/>
      <c r="O1797" s="254"/>
      <c r="P1797" s="215"/>
      <c r="Q1797" s="247"/>
      <c r="R1797" s="249"/>
      <c r="S1797" s="249"/>
      <c r="T1797" s="249"/>
      <c r="U1797" s="106"/>
      <c r="V1797" s="106"/>
      <c r="W1797" s="106"/>
      <c r="X1797" s="106"/>
      <c r="Y1797" s="106"/>
      <c r="Z1797" s="106"/>
      <c r="AA1797" s="106"/>
      <c r="AB1797" s="106"/>
      <c r="AC1797" s="106"/>
      <c r="AD1797" s="106"/>
      <c r="AE1797" s="106"/>
      <c r="AF1797" s="106"/>
      <c r="AG1797" s="106"/>
      <c r="AH1797" s="106"/>
      <c r="AI1797" s="106"/>
      <c r="AJ1797" s="106"/>
      <c r="AK1797" s="106"/>
      <c r="AL1797" s="106"/>
      <c r="AM1797" s="106"/>
      <c r="AN1797" s="106"/>
      <c r="AO1797" s="106"/>
      <c r="AP1797" s="248"/>
      <c r="AQ1797" s="248"/>
      <c r="AR1797" s="248"/>
      <c r="AS1797" s="248"/>
      <c r="AT1797" s="248"/>
    </row>
    <row r="1798" spans="1:46">
      <c r="A1798" s="252"/>
      <c r="B1798" s="252" t="s">
        <v>575</v>
      </c>
      <c r="C1798" s="214"/>
      <c r="D1798" s="246"/>
      <c r="E1798" s="266"/>
      <c r="F1798" s="266"/>
      <c r="G1798" s="267"/>
      <c r="H1798" s="249"/>
      <c r="I1798" s="273"/>
      <c r="J1798" s="273"/>
      <c r="K1798" s="249"/>
      <c r="L1798" s="215"/>
      <c r="M1798" s="249"/>
      <c r="N1798" s="254"/>
      <c r="O1798" s="254"/>
      <c r="P1798" s="215"/>
      <c r="Q1798" s="247"/>
      <c r="R1798" s="249"/>
      <c r="S1798" s="249"/>
      <c r="T1798" s="249"/>
      <c r="U1798" s="106"/>
      <c r="V1798" s="106"/>
      <c r="W1798" s="106"/>
      <c r="X1798" s="106"/>
      <c r="Y1798" s="106"/>
      <c r="Z1798" s="106"/>
      <c r="AA1798" s="106"/>
      <c r="AB1798" s="106"/>
      <c r="AC1798" s="106"/>
      <c r="AD1798" s="106"/>
      <c r="AE1798" s="106"/>
      <c r="AF1798" s="106"/>
      <c r="AG1798" s="106"/>
      <c r="AH1798" s="106"/>
      <c r="AI1798" s="106"/>
      <c r="AJ1798" s="106"/>
      <c r="AK1798" s="106"/>
      <c r="AL1798" s="106"/>
      <c r="AM1798" s="106"/>
      <c r="AN1798" s="106"/>
      <c r="AO1798" s="106"/>
      <c r="AP1798" s="248"/>
      <c r="AQ1798" s="248"/>
      <c r="AR1798" s="248"/>
      <c r="AS1798" s="248"/>
      <c r="AT1798" s="248"/>
    </row>
    <row r="1799" spans="1:46">
      <c r="A1799" s="246"/>
      <c r="B1799" s="246"/>
      <c r="C1799" s="296" t="s">
        <v>1416</v>
      </c>
      <c r="D1799" s="246" t="s">
        <v>1417</v>
      </c>
      <c r="E1799" s="266"/>
      <c r="F1799" s="266"/>
      <c r="G1799" s="267" t="s">
        <v>927</v>
      </c>
      <c r="H1799" s="249"/>
      <c r="I1799" s="273"/>
      <c r="J1799" s="273"/>
      <c r="K1799" s="249"/>
      <c r="L1799" s="269"/>
      <c r="M1799" s="270"/>
      <c r="N1799" s="271"/>
      <c r="O1799" s="271"/>
      <c r="P1799" s="269"/>
      <c r="Q1799" s="276"/>
      <c r="R1799" s="270"/>
      <c r="S1799" s="270"/>
      <c r="T1799" s="270"/>
      <c r="U1799" s="106">
        <f>SUMIF($L:$L,$C1799,U:U)</f>
        <v>0</v>
      </c>
      <c r="V1799" s="106">
        <f>SUMIF($L:$L,$C1799,V:V)</f>
        <v>0</v>
      </c>
      <c r="W1799" s="106">
        <f>SUMIF($L:$L,$C1799,W:W)</f>
        <v>0</v>
      </c>
      <c r="X1799" s="106">
        <f>SUMIF($L:$L,$C1799,X:X)</f>
        <v>0</v>
      </c>
      <c r="Y1799" s="106">
        <f>SUMIF($L:$L,$C1799,Y:Y)</f>
        <v>0</v>
      </c>
      <c r="Z1799" s="106">
        <f>SUMIF($L:$L,$C1799,Z:Z)</f>
        <v>0</v>
      </c>
      <c r="AA1799" s="106">
        <f>SUMIF($L:$L,$C1799,AA:AA)</f>
        <v>0</v>
      </c>
      <c r="AB1799" s="106">
        <f>SUMIF($L:$L,$C1799,AB:AB)</f>
        <v>0</v>
      </c>
      <c r="AC1799" s="106">
        <f>SUMIF($L:$L,$C1799,AC:AC)</f>
        <v>0</v>
      </c>
      <c r="AD1799" s="106">
        <f>SUMIF($L:$L,$C1799,AD:AD)</f>
        <v>0</v>
      </c>
      <c r="AE1799" s="106">
        <f>SUMIF($L:$L,$C1799,AE:AE)</f>
        <v>0</v>
      </c>
      <c r="AF1799" s="106">
        <f>SUMIF($L:$L,$C1799,AF:AF)</f>
        <v>0</v>
      </c>
      <c r="AG1799" s="106">
        <f>SUMIF($L:$L,$C1799,AG:AG)</f>
        <v>0</v>
      </c>
      <c r="AH1799" s="106">
        <f>SUMIF($L:$L,$C1799,AH:AH)</f>
        <v>0</v>
      </c>
      <c r="AI1799" s="106">
        <f>SUMIF($L:$L,$C1799,AI:AI)</f>
        <v>0</v>
      </c>
      <c r="AJ1799" s="106">
        <f>SUMIF($L:$L,$C1799,AJ:AJ)</f>
        <v>0</v>
      </c>
      <c r="AK1799" s="106">
        <f>SUMIF($L:$L,$C1799,AK:AK)</f>
        <v>0</v>
      </c>
      <c r="AL1799" s="106">
        <f>SUMIF($L:$L,$C1799,AL:AL)</f>
        <v>0</v>
      </c>
      <c r="AM1799" s="106">
        <f>SUMIF($L:$L,$C1799,AM:AM)</f>
        <v>0</v>
      </c>
      <c r="AN1799" s="106">
        <f>SUMIF($L:$L,$C1799,AN:AN)</f>
        <v>0</v>
      </c>
      <c r="AO1799" s="106">
        <f>SUMIF($L:$L,$C1799,AO:AO)</f>
        <v>0</v>
      </c>
      <c r="AP1799" s="106"/>
      <c r="AQ1799" s="106"/>
      <c r="AR1799" s="106"/>
      <c r="AS1799" s="106"/>
      <c r="AT1799" s="106"/>
    </row>
    <row r="1800" spans="1:46">
      <c r="A1800" s="246"/>
      <c r="B1800" s="246"/>
      <c r="C1800" s="296" t="s">
        <v>928</v>
      </c>
      <c r="D1800" s="246" t="s">
        <v>1417</v>
      </c>
      <c r="E1800" s="266"/>
      <c r="F1800" s="266"/>
      <c r="G1800" s="267" t="s">
        <v>929</v>
      </c>
      <c r="H1800" s="249"/>
      <c r="I1800" s="273"/>
      <c r="J1800" s="273"/>
      <c r="K1800" s="249"/>
      <c r="L1800" s="269"/>
      <c r="M1800" s="270"/>
      <c r="N1800" s="271"/>
      <c r="O1800" s="271"/>
      <c r="P1800" s="269"/>
      <c r="Q1800" s="276"/>
      <c r="R1800" s="270"/>
      <c r="S1800" s="270"/>
      <c r="T1800" s="270"/>
      <c r="U1800" s="106">
        <f>SUMIF($L:$L,$C1800,U:U)</f>
        <v>0</v>
      </c>
      <c r="V1800" s="106">
        <f>SUMIF($L:$L,$C1800,V:V)</f>
        <v>0</v>
      </c>
      <c r="W1800" s="106">
        <f>SUMIF($L:$L,$C1800,W:W)</f>
        <v>6834.1051370003788</v>
      </c>
      <c r="X1800" s="106">
        <f>SUMIF($L:$L,$C1800,X:X)</f>
        <v>6834.1051370003788</v>
      </c>
      <c r="Y1800" s="106">
        <f>SUMIF($L:$L,$C1800,Y:Y)</f>
        <v>0</v>
      </c>
      <c r="Z1800" s="106">
        <f>SUMIF($L:$L,$C1800,Z:Z)</f>
        <v>0</v>
      </c>
      <c r="AA1800" s="106">
        <f>SUMIF($L:$L,$C1800,AA:AA)</f>
        <v>6142.1928969998417</v>
      </c>
      <c r="AB1800" s="106">
        <f>SUMIF($L:$L,$C1800,AB:AB)</f>
        <v>6142.1928970000026</v>
      </c>
      <c r="AC1800" s="106">
        <f>SUMIF($L:$L,$C1800,AC:AC)</f>
        <v>1049.1119769999823</v>
      </c>
      <c r="AD1800" s="106">
        <f>SUMIF($L:$L,$C1800,AD:AD)</f>
        <v>1831.9346069999592</v>
      </c>
      <c r="AE1800" s="106">
        <f>SUMIF($L:$L,$C1800,AE:AE)</f>
        <v>3434.7909469999609</v>
      </c>
      <c r="AF1800" s="106">
        <f>SUMIF($L:$L,$C1800,AF:AF)</f>
        <v>4973.1912569999622</v>
      </c>
      <c r="AG1800" s="106">
        <f>SUMIF($L:$L,$C1800,AG:AG)</f>
        <v>4975.1580370000047</v>
      </c>
      <c r="AH1800" s="106">
        <f>SUMIF($L:$L,$C1800,AH:AH)</f>
        <v>5690.7472670000061</v>
      </c>
      <c r="AI1800" s="106">
        <f>SUMIF($L:$L,$C1800,AI:AI)</f>
        <v>8053.1766569999454</v>
      </c>
      <c r="AJ1800" s="106">
        <f>SUMIF($L:$L,$C1800,AJ:AJ)</f>
        <v>9290.7355769999867</v>
      </c>
      <c r="AK1800" s="106">
        <f>SUMIF($L:$L,$C1800,AK:AK)</f>
        <v>9214.1789569999655</v>
      </c>
      <c r="AL1800" s="106">
        <f>SUMIF($L:$L,$C1800,AL:AL)</f>
        <v>10228.619626999985</v>
      </c>
      <c r="AM1800" s="106">
        <f>SUMIF($L:$L,$C1800,AM:AM)</f>
        <v>11204.386206999918</v>
      </c>
      <c r="AN1800" s="106">
        <f>SUMIF($L:$L,$C1800,AN:AN)</f>
        <v>9516.6900669999595</v>
      </c>
      <c r="AO1800" s="106">
        <f>SUMIF($L:$L,$C1800,AO:AO)</f>
        <v>6142.1928970000026</v>
      </c>
      <c r="AP1800" s="106"/>
      <c r="AQ1800" s="106"/>
      <c r="AR1800" s="106"/>
      <c r="AS1800" s="106"/>
      <c r="AT1800" s="106"/>
    </row>
    <row r="1801" spans="1:46">
      <c r="A1801" s="246"/>
      <c r="B1801" s="246"/>
      <c r="C1801" s="296" t="s">
        <v>930</v>
      </c>
      <c r="D1801" s="246" t="s">
        <v>1417</v>
      </c>
      <c r="E1801" s="266"/>
      <c r="F1801" s="266"/>
      <c r="G1801" s="267" t="s">
        <v>2808</v>
      </c>
      <c r="H1801" s="249"/>
      <c r="I1801" s="273"/>
      <c r="J1801" s="273"/>
      <c r="K1801" s="249"/>
      <c r="L1801" s="269"/>
      <c r="M1801" s="270"/>
      <c r="N1801" s="271"/>
      <c r="O1801" s="271"/>
      <c r="P1801" s="269"/>
      <c r="Q1801" s="276"/>
      <c r="R1801" s="270"/>
      <c r="S1801" s="270"/>
      <c r="T1801" s="270"/>
      <c r="U1801" s="106">
        <f>SUMIF($L:$L,$C1801,U:U)</f>
        <v>0</v>
      </c>
      <c r="V1801" s="106">
        <f>SUMIF($L:$L,$C1801,V:V)</f>
        <v>0</v>
      </c>
      <c r="W1801" s="106">
        <f>SUMIF($L:$L,$C1801,W:W)</f>
        <v>-0.23409833238565625</v>
      </c>
      <c r="X1801" s="106">
        <f>SUMIF($L:$L,$C1801,X:X)</f>
        <v>-0.23409833226924093</v>
      </c>
      <c r="Y1801" s="106">
        <f>SUMIF($L:$L,$C1801,Y:Y)</f>
        <v>0</v>
      </c>
      <c r="Z1801" s="106">
        <f>SUMIF($L:$L,$C1801,Z:Z)</f>
        <v>0</v>
      </c>
      <c r="AA1801" s="106">
        <f>SUMIF($L:$L,$C1801,AA:AA)</f>
        <v>-0.17461999998431565</v>
      </c>
      <c r="AB1801" s="106">
        <f>SUMIF($L:$L,$C1801,AB:AB)</f>
        <v>-0.17461999992610799</v>
      </c>
      <c r="AC1801" s="106">
        <f>SUMIF($L:$L,$C1801,AC:AC)</f>
        <v>-0.33391999981358822</v>
      </c>
      <c r="AD1801" s="106">
        <f>SUMIF($L:$L,$C1801,AD:AD)</f>
        <v>-0.32491999983722053</v>
      </c>
      <c r="AE1801" s="106">
        <f>SUMIF($L:$L,$C1801,AE:AE)</f>
        <v>-0.33390999989205739</v>
      </c>
      <c r="AF1801" s="106">
        <f>SUMIF($L:$L,$C1801,AF:AF)</f>
        <v>-0.17460999989498305</v>
      </c>
      <c r="AG1801" s="106">
        <f>SUMIF($L:$L,$C1801,AG:AG)</f>
        <v>-0.17460999983313741</v>
      </c>
      <c r="AH1801" s="106">
        <f>SUMIF($L:$L,$C1801,AH:AH)</f>
        <v>-0.33690999991858916</v>
      </c>
      <c r="AI1801" s="106">
        <f>SUMIF($L:$L,$C1801,AI:AI)</f>
        <v>-0.17460999986360548</v>
      </c>
      <c r="AJ1801" s="106">
        <f>SUMIF($L:$L,$C1801,AJ:AJ)</f>
        <v>-0.17460999983450165</v>
      </c>
      <c r="AK1801" s="106">
        <f>SUMIF($L:$L,$C1801,AK:AK)</f>
        <v>-0.17459999982747831</v>
      </c>
      <c r="AL1801" s="106">
        <f>SUMIF($L:$L,$C1801,AL:AL)</f>
        <v>-0.1746099997822057</v>
      </c>
      <c r="AM1801" s="106">
        <f>SUMIF($L:$L,$C1801,AM:AM)</f>
        <v>-0.33691999985467191</v>
      </c>
      <c r="AN1801" s="106">
        <f>SUMIF($L:$L,$C1801,AN:AN)</f>
        <v>-0.17459999989114294</v>
      </c>
      <c r="AO1801" s="106">
        <f>SUMIF($L:$L,$C1801,AO:AO)</f>
        <v>-0.17461999992610799</v>
      </c>
      <c r="AP1801" s="106"/>
      <c r="AQ1801" s="106"/>
      <c r="AR1801" s="106"/>
      <c r="AS1801" s="106"/>
      <c r="AT1801" s="106"/>
    </row>
    <row r="1802" spans="1:46">
      <c r="A1802" s="246"/>
      <c r="B1802" s="246"/>
      <c r="C1802" s="296" t="s">
        <v>2809</v>
      </c>
      <c r="D1802" s="246" t="s">
        <v>1417</v>
      </c>
      <c r="E1802" s="266"/>
      <c r="F1802" s="266"/>
      <c r="G1802" s="267" t="s">
        <v>2810</v>
      </c>
      <c r="H1802" s="249"/>
      <c r="I1802" s="273"/>
      <c r="J1802" s="273"/>
      <c r="K1802" s="249"/>
      <c r="L1802" s="269"/>
      <c r="M1802" s="270"/>
      <c r="N1802" s="271"/>
      <c r="O1802" s="271"/>
      <c r="P1802" s="269"/>
      <c r="Q1802" s="276"/>
      <c r="R1802" s="270"/>
      <c r="S1802" s="270"/>
      <c r="T1802" s="270"/>
      <c r="U1802" s="106">
        <f>SUMIF($L:$L,$C1802,U:U)</f>
        <v>0</v>
      </c>
      <c r="V1802" s="106">
        <f>SUMIF($L:$L,$C1802,V:V)</f>
        <v>0</v>
      </c>
      <c r="W1802" s="106">
        <f>SUMIF($L:$L,$C1802,W:W)</f>
        <v>0.22945624999988468</v>
      </c>
      <c r="X1802" s="106">
        <f>SUMIF($L:$L,$C1802,X:X)</f>
        <v>0.22945624999988468</v>
      </c>
      <c r="Y1802" s="106">
        <f>SUMIF($L:$L,$C1802,Y:Y)</f>
        <v>0</v>
      </c>
      <c r="Z1802" s="106">
        <f>SUMIF($L:$L,$C1802,Z:Z)</f>
        <v>0</v>
      </c>
      <c r="AA1802" s="106">
        <f>SUMIF($L:$L,$C1802,AA:AA)</f>
        <v>0</v>
      </c>
      <c r="AB1802" s="106">
        <f>SUMIF($L:$L,$C1802,AB:AB)</f>
        <v>0</v>
      </c>
      <c r="AC1802" s="106">
        <f>SUMIF($L:$L,$C1802,AC:AC)</f>
        <v>-9.8999999994475729E-4</v>
      </c>
      <c r="AD1802" s="106">
        <f>SUMIF($L:$L,$C1802,AD:AD)</f>
        <v>-9.9000000017213097E-4</v>
      </c>
      <c r="AE1802" s="106">
        <f>SUMIF($L:$L,$C1802,AE:AE)</f>
        <v>-9.8999999983107045E-4</v>
      </c>
      <c r="AF1802" s="106">
        <f>SUMIF($L:$L,$C1802,AF:AF)</f>
        <v>-9.8999999994475729E-4</v>
      </c>
      <c r="AG1802" s="106">
        <f>SUMIF($L:$L,$C1802,AG:AG)</f>
        <v>-9.9000000017213097E-4</v>
      </c>
      <c r="AH1802" s="106">
        <f>SUMIF($L:$L,$C1802,AH:AH)</f>
        <v>-9.8999999994475729E-4</v>
      </c>
      <c r="AI1802" s="106">
        <f>SUMIF($L:$L,$C1802,AI:AI)</f>
        <v>-9.9000000017213097E-4</v>
      </c>
      <c r="AJ1802" s="106">
        <f>SUMIF($L:$L,$C1802,AJ:AJ)</f>
        <v>-9.8999999994475729E-4</v>
      </c>
      <c r="AK1802" s="106">
        <f>SUMIF($L:$L,$C1802,AK:AK)</f>
        <v>1.1368683772161603E-13</v>
      </c>
      <c r="AL1802" s="106">
        <f>SUMIF($L:$L,$C1802,AL:AL)</f>
        <v>0</v>
      </c>
      <c r="AM1802" s="106">
        <f>SUMIF($L:$L,$C1802,AM:AM)</f>
        <v>1.1368683772161603E-13</v>
      </c>
      <c r="AN1802" s="106">
        <f>SUMIF($L:$L,$C1802,AN:AN)</f>
        <v>2.7609000000000492</v>
      </c>
      <c r="AO1802" s="106">
        <f>SUMIF($L:$L,$C1802,AO:AO)</f>
        <v>0</v>
      </c>
      <c r="AP1802" s="106"/>
      <c r="AQ1802" s="106"/>
      <c r="AR1802" s="106"/>
      <c r="AS1802" s="106"/>
      <c r="AT1802" s="106"/>
    </row>
    <row r="1803" spans="1:46">
      <c r="A1803" s="246"/>
      <c r="B1803" s="246"/>
      <c r="C1803" s="296" t="s">
        <v>2811</v>
      </c>
      <c r="D1803" s="246" t="s">
        <v>1417</v>
      </c>
      <c r="E1803" s="266"/>
      <c r="F1803" s="266"/>
      <c r="G1803" s="267" t="s">
        <v>2812</v>
      </c>
      <c r="H1803" s="249"/>
      <c r="I1803" s="273"/>
      <c r="J1803" s="273"/>
      <c r="K1803" s="249"/>
      <c r="L1803" s="269"/>
      <c r="M1803" s="270"/>
      <c r="N1803" s="271"/>
      <c r="O1803" s="271"/>
      <c r="P1803" s="269"/>
      <c r="Q1803" s="276"/>
      <c r="R1803" s="270"/>
      <c r="S1803" s="270"/>
      <c r="T1803" s="270"/>
      <c r="U1803" s="106">
        <f>SUMIF($L:$L,$C1803,U:U)</f>
        <v>0</v>
      </c>
      <c r="V1803" s="106">
        <f>SUMIF($L:$L,$C1803,V:V)</f>
        <v>0</v>
      </c>
      <c r="W1803" s="106">
        <f>SUMIF($L:$L,$C1803,W:W)</f>
        <v>2258.5977898332776</v>
      </c>
      <c r="X1803" s="106">
        <f>SUMIF($L:$L,$C1803,X:X)</f>
        <v>2258.5977898332776</v>
      </c>
      <c r="Y1803" s="106">
        <f>SUMIF($L:$L,$C1803,Y:Y)</f>
        <v>0</v>
      </c>
      <c r="Z1803" s="106">
        <f>SUMIF($L:$L,$C1803,Z:Z)</f>
        <v>0</v>
      </c>
      <c r="AA1803" s="106">
        <f>SUMIF($L:$L,$C1803,AA:AA)</f>
        <v>3196.6903939999993</v>
      </c>
      <c r="AB1803" s="106">
        <f>SUMIF($L:$L,$C1803,AB:AB)</f>
        <v>3196.6903939999984</v>
      </c>
      <c r="AC1803" s="106">
        <f>SUMIF($L:$L,$C1803,AC:AC)</f>
        <v>2252.6639939999955</v>
      </c>
      <c r="AD1803" s="106">
        <f>SUMIF($L:$L,$C1803,AD:AD)</f>
        <v>2431.3239140000023</v>
      </c>
      <c r="AE1803" s="106">
        <f>SUMIF($L:$L,$C1803,AE:AE)</f>
        <v>2400.315233999992</v>
      </c>
      <c r="AF1803" s="106">
        <f>SUMIF($L:$L,$C1803,AF:AF)</f>
        <v>2354.6948039999984</v>
      </c>
      <c r="AG1803" s="106">
        <f>SUMIF($L:$L,$C1803,AG:AG)</f>
        <v>2313.3246339999796</v>
      </c>
      <c r="AH1803" s="106">
        <f>SUMIF($L:$L,$C1803,AH:AH)</f>
        <v>2271.4064640000038</v>
      </c>
      <c r="AI1803" s="106">
        <f>SUMIF($L:$L,$C1803,AI:AI)</f>
        <v>2239.0920039999928</v>
      </c>
      <c r="AJ1803" s="106">
        <f>SUMIF($L:$L,$C1803,AJ:AJ)</f>
        <v>2184.2818639999946</v>
      </c>
      <c r="AK1803" s="106">
        <f>SUMIF($L:$L,$C1803,AK:AK)</f>
        <v>2138.942653999994</v>
      </c>
      <c r="AL1803" s="106">
        <f>SUMIF($L:$L,$C1803,AL:AL)</f>
        <v>2079.3164939999965</v>
      </c>
      <c r="AM1803" s="106">
        <f>SUMIF($L:$L,$C1803,AM:AM)</f>
        <v>2019.4631239999935</v>
      </c>
      <c r="AN1803" s="106">
        <f>SUMIF($L:$L,$C1803,AN:AN)</f>
        <v>1946.335094</v>
      </c>
      <c r="AO1803" s="106">
        <f>SUMIF($L:$L,$C1803,AO:AO)</f>
        <v>3196.6903939999984</v>
      </c>
      <c r="AP1803" s="106"/>
      <c r="AQ1803" s="106"/>
      <c r="AR1803" s="106"/>
      <c r="AS1803" s="106"/>
      <c r="AT1803" s="106"/>
    </row>
    <row r="1804" spans="1:46">
      <c r="A1804" s="246"/>
      <c r="B1804" s="246"/>
      <c r="C1804" s="296" t="s">
        <v>2813</v>
      </c>
      <c r="D1804" s="246" t="s">
        <v>1417</v>
      </c>
      <c r="E1804" s="266"/>
      <c r="F1804" s="266"/>
      <c r="G1804" s="267" t="s">
        <v>2814</v>
      </c>
      <c r="H1804" s="249"/>
      <c r="I1804" s="273"/>
      <c r="J1804" s="273"/>
      <c r="K1804" s="249"/>
      <c r="L1804" s="269"/>
      <c r="M1804" s="270"/>
      <c r="N1804" s="271"/>
      <c r="O1804" s="271"/>
      <c r="P1804" s="269"/>
      <c r="Q1804" s="276"/>
      <c r="R1804" s="270"/>
      <c r="S1804" s="270"/>
      <c r="T1804" s="270"/>
      <c r="U1804" s="106">
        <f>SUMIF($L:$L,$C1804,U:U)</f>
        <v>0</v>
      </c>
      <c r="V1804" s="106">
        <f>SUMIF($L:$L,$C1804,V:V)</f>
        <v>0</v>
      </c>
      <c r="W1804" s="106">
        <f>SUMIF($L:$L,$C1804,W:W)</f>
        <v>0</v>
      </c>
      <c r="X1804" s="106">
        <f>SUMIF($L:$L,$C1804,X:X)</f>
        <v>0</v>
      </c>
      <c r="Y1804" s="106">
        <f>SUMIF($L:$L,$C1804,Y:Y)</f>
        <v>0</v>
      </c>
      <c r="Z1804" s="106">
        <f>SUMIF($L:$L,$C1804,Z:Z)</f>
        <v>0</v>
      </c>
      <c r="AA1804" s="106">
        <f>SUMIF($L:$L,$C1804,AA:AA)</f>
        <v>0</v>
      </c>
      <c r="AB1804" s="106">
        <f>SUMIF($L:$L,$C1804,AB:AB)</f>
        <v>0</v>
      </c>
      <c r="AC1804" s="106">
        <f>SUMIF($L:$L,$C1804,AC:AC)</f>
        <v>0</v>
      </c>
      <c r="AD1804" s="106">
        <f>SUMIF($L:$L,$C1804,AD:AD)</f>
        <v>0</v>
      </c>
      <c r="AE1804" s="106">
        <f>SUMIF($L:$L,$C1804,AE:AE)</f>
        <v>0</v>
      </c>
      <c r="AF1804" s="106">
        <f>SUMIF($L:$L,$C1804,AF:AF)</f>
        <v>0</v>
      </c>
      <c r="AG1804" s="106">
        <f>SUMIF($L:$L,$C1804,AG:AG)</f>
        <v>0</v>
      </c>
      <c r="AH1804" s="106">
        <f>SUMIF($L:$L,$C1804,AH:AH)</f>
        <v>0</v>
      </c>
      <c r="AI1804" s="106">
        <f>SUMIF($L:$L,$C1804,AI:AI)</f>
        <v>0</v>
      </c>
      <c r="AJ1804" s="106">
        <f>SUMIF($L:$L,$C1804,AJ:AJ)</f>
        <v>0</v>
      </c>
      <c r="AK1804" s="106">
        <f>SUMIF($L:$L,$C1804,AK:AK)</f>
        <v>0</v>
      </c>
      <c r="AL1804" s="106">
        <f>SUMIF($L:$L,$C1804,AL:AL)</f>
        <v>0</v>
      </c>
      <c r="AM1804" s="106">
        <f>SUMIF($L:$L,$C1804,AM:AM)</f>
        <v>0</v>
      </c>
      <c r="AN1804" s="106">
        <f>SUMIF($L:$L,$C1804,AN:AN)</f>
        <v>0</v>
      </c>
      <c r="AO1804" s="106">
        <f>SUMIF($L:$L,$C1804,AO:AO)</f>
        <v>0</v>
      </c>
      <c r="AP1804" s="106"/>
      <c r="AQ1804" s="106"/>
      <c r="AR1804" s="106"/>
      <c r="AS1804" s="106"/>
      <c r="AT1804" s="106"/>
    </row>
    <row r="1805" spans="1:46">
      <c r="A1805" s="246"/>
      <c r="B1805" s="246"/>
      <c r="C1805" s="296" t="s">
        <v>2815</v>
      </c>
      <c r="D1805" s="246" t="s">
        <v>1417</v>
      </c>
      <c r="E1805" s="266"/>
      <c r="F1805" s="266"/>
      <c r="G1805" s="267" t="s">
        <v>2816</v>
      </c>
      <c r="H1805" s="249"/>
      <c r="I1805" s="273"/>
      <c r="J1805" s="273"/>
      <c r="K1805" s="249"/>
      <c r="L1805" s="269"/>
      <c r="M1805" s="270"/>
      <c r="N1805" s="271"/>
      <c r="O1805" s="271"/>
      <c r="P1805" s="269"/>
      <c r="Q1805" s="276"/>
      <c r="R1805" s="270"/>
      <c r="S1805" s="270"/>
      <c r="T1805" s="270"/>
      <c r="U1805" s="106">
        <f>SUMIF($L:$L,$C1805,U:U)</f>
        <v>0</v>
      </c>
      <c r="V1805" s="106">
        <f>SUMIF($L:$L,$C1805,V:V)</f>
        <v>0</v>
      </c>
      <c r="W1805" s="106">
        <f>SUMIF($L:$L,$C1805,W:W)</f>
        <v>0</v>
      </c>
      <c r="X1805" s="106">
        <f>SUMIF($L:$L,$C1805,X:X)</f>
        <v>0</v>
      </c>
      <c r="Y1805" s="106">
        <f>SUMIF($L:$L,$C1805,Y:Y)</f>
        <v>0</v>
      </c>
      <c r="Z1805" s="106">
        <f>SUMIF($L:$L,$C1805,Z:Z)</f>
        <v>0</v>
      </c>
      <c r="AA1805" s="106">
        <f>SUMIF($L:$L,$C1805,AA:AA)</f>
        <v>0</v>
      </c>
      <c r="AB1805" s="106">
        <f>SUMIF($L:$L,$C1805,AB:AB)</f>
        <v>0</v>
      </c>
      <c r="AC1805" s="106">
        <f>SUMIF($L:$L,$C1805,AC:AC)</f>
        <v>0</v>
      </c>
      <c r="AD1805" s="106">
        <f>SUMIF($L:$L,$C1805,AD:AD)</f>
        <v>0</v>
      </c>
      <c r="AE1805" s="106">
        <f>SUMIF($L:$L,$C1805,AE:AE)</f>
        <v>0</v>
      </c>
      <c r="AF1805" s="106">
        <f>SUMIF($L:$L,$C1805,AF:AF)</f>
        <v>0</v>
      </c>
      <c r="AG1805" s="106">
        <f>SUMIF($L:$L,$C1805,AG:AG)</f>
        <v>0</v>
      </c>
      <c r="AH1805" s="106">
        <f>SUMIF($L:$L,$C1805,AH:AH)</f>
        <v>0</v>
      </c>
      <c r="AI1805" s="106">
        <f>SUMIF($L:$L,$C1805,AI:AI)</f>
        <v>0</v>
      </c>
      <c r="AJ1805" s="106">
        <f>SUMIF($L:$L,$C1805,AJ:AJ)</f>
        <v>0</v>
      </c>
      <c r="AK1805" s="106">
        <f>SUMIF($L:$L,$C1805,AK:AK)</f>
        <v>0</v>
      </c>
      <c r="AL1805" s="106">
        <f>SUMIF($L:$L,$C1805,AL:AL)</f>
        <v>0</v>
      </c>
      <c r="AM1805" s="106">
        <f>SUMIF($L:$L,$C1805,AM:AM)</f>
        <v>0</v>
      </c>
      <c r="AN1805" s="106">
        <f>SUMIF($L:$L,$C1805,AN:AN)</f>
        <v>0</v>
      </c>
      <c r="AO1805" s="106">
        <f>SUMIF($L:$L,$C1805,AO:AO)</f>
        <v>0</v>
      </c>
      <c r="AP1805" s="106"/>
      <c r="AQ1805" s="106"/>
      <c r="AR1805" s="106"/>
      <c r="AS1805" s="106"/>
      <c r="AT1805" s="106"/>
    </row>
    <row r="1806" spans="1:46">
      <c r="A1806" s="246"/>
      <c r="B1806" s="246"/>
      <c r="C1806" s="296" t="s">
        <v>2817</v>
      </c>
      <c r="D1806" s="246" t="s">
        <v>1417</v>
      </c>
      <c r="E1806" s="266"/>
      <c r="F1806" s="266"/>
      <c r="G1806" s="267" t="s">
        <v>2818</v>
      </c>
      <c r="H1806" s="249"/>
      <c r="I1806" s="273"/>
      <c r="J1806" s="273"/>
      <c r="K1806" s="249"/>
      <c r="L1806" s="269"/>
      <c r="M1806" s="270"/>
      <c r="N1806" s="271"/>
      <c r="O1806" s="271"/>
      <c r="P1806" s="269"/>
      <c r="Q1806" s="276"/>
      <c r="R1806" s="270"/>
      <c r="S1806" s="270"/>
      <c r="T1806" s="270"/>
      <c r="U1806" s="106">
        <f>SUMIF($L:$L,$C1806,U:U)</f>
        <v>0</v>
      </c>
      <c r="V1806" s="106">
        <f>SUMIF($L:$L,$C1806,V:V)</f>
        <v>0</v>
      </c>
      <c r="W1806" s="106">
        <f>SUMIF($L:$L,$C1806,W:W)</f>
        <v>-17415.084669166648</v>
      </c>
      <c r="X1806" s="106">
        <f>SUMIF($L:$L,$C1806,X:X)</f>
        <v>-17415.084669166648</v>
      </c>
      <c r="Y1806" s="106">
        <f>SUMIF($L:$L,$C1806,Y:Y)</f>
        <v>0</v>
      </c>
      <c r="Z1806" s="106">
        <f>SUMIF($L:$L,$C1806,Z:Z)</f>
        <v>0</v>
      </c>
      <c r="AA1806" s="106">
        <f>SUMIF($L:$L,$C1806,AA:AA)</f>
        <v>-17036.87614000004</v>
      </c>
      <c r="AB1806" s="106">
        <f>SUMIF($L:$L,$C1806,AB:AB)</f>
        <v>-17036.876140000033</v>
      </c>
      <c r="AC1806" s="106">
        <f>SUMIF($L:$L,$C1806,AC:AC)</f>
        <v>-17676.148440000015</v>
      </c>
      <c r="AD1806" s="106">
        <f>SUMIF($L:$L,$C1806,AD:AD)</f>
        <v>-17674.196920000013</v>
      </c>
      <c r="AE1806" s="106">
        <f>SUMIF($L:$L,$C1806,AE:AE)</f>
        <v>-17672.235250000031</v>
      </c>
      <c r="AF1806" s="106">
        <f>SUMIF($L:$L,$C1806,AF:AF)</f>
        <v>-17670.263370000004</v>
      </c>
      <c r="AG1806" s="106">
        <f>SUMIF($L:$L,$C1806,AG:AG)</f>
        <v>-17738.37987000003</v>
      </c>
      <c r="AH1806" s="106">
        <f>SUMIF($L:$L,$C1806,AH:AH)</f>
        <v>-17736.752110000041</v>
      </c>
      <c r="AI1806" s="106">
        <f>SUMIF($L:$L,$C1806,AI:AI)</f>
        <v>-17735.11590000003</v>
      </c>
      <c r="AJ1806" s="106">
        <f>SUMIF($L:$L,$C1806,AJ:AJ)</f>
        <v>-17139.246150000024</v>
      </c>
      <c r="AK1806" s="106">
        <f>SUMIF($L:$L,$C1806,AK:AK)</f>
        <v>-17137.592870000011</v>
      </c>
      <c r="AL1806" s="106">
        <f>SUMIF($L:$L,$C1806,AL:AL)</f>
        <v>-17041.913870000015</v>
      </c>
      <c r="AM1806" s="106">
        <f>SUMIF($L:$L,$C1806,AM:AM)</f>
        <v>-17040.243330000023</v>
      </c>
      <c r="AN1806" s="106">
        <f>SUMIF($L:$L,$C1806,AN:AN)</f>
        <v>-17038.564100000014</v>
      </c>
      <c r="AO1806" s="106">
        <f>SUMIF($L:$L,$C1806,AO:AO)</f>
        <v>-17036.876140000033</v>
      </c>
      <c r="AP1806" s="106"/>
      <c r="AQ1806" s="106"/>
      <c r="AR1806" s="106"/>
      <c r="AS1806" s="106"/>
      <c r="AT1806" s="106"/>
    </row>
    <row r="1807" spans="1:46">
      <c r="A1807" s="246"/>
      <c r="B1807" s="246"/>
      <c r="C1807" s="296" t="s">
        <v>2819</v>
      </c>
      <c r="D1807" s="246" t="s">
        <v>1417</v>
      </c>
      <c r="E1807" s="266"/>
      <c r="F1807" s="266"/>
      <c r="G1807" s="267" t="s">
        <v>2820</v>
      </c>
      <c r="H1807" s="249"/>
      <c r="I1807" s="273"/>
      <c r="J1807" s="273"/>
      <c r="K1807" s="249"/>
      <c r="L1807" s="269"/>
      <c r="M1807" s="270"/>
      <c r="N1807" s="271"/>
      <c r="O1807" s="271"/>
      <c r="P1807" s="269"/>
      <c r="Q1807" s="276"/>
      <c r="R1807" s="270"/>
      <c r="S1807" s="270"/>
      <c r="T1807" s="270"/>
      <c r="U1807" s="106">
        <f>SUMIF($L:$L,$C1807,U:U)</f>
        <v>0</v>
      </c>
      <c r="V1807" s="106">
        <f>SUMIF($L:$L,$C1807,V:V)</f>
        <v>0</v>
      </c>
      <c r="W1807" s="106">
        <f>SUMIF($L:$L,$C1807,W:W)</f>
        <v>2675.4909999999995</v>
      </c>
      <c r="X1807" s="106">
        <f>SUMIF($L:$L,$C1807,X:X)</f>
        <v>2675.4909999999995</v>
      </c>
      <c r="Y1807" s="106">
        <f>SUMIF($L:$L,$C1807,Y:Y)</f>
        <v>0</v>
      </c>
      <c r="Z1807" s="106">
        <f>SUMIF($L:$L,$C1807,Z:Z)</f>
        <v>0</v>
      </c>
      <c r="AA1807" s="106">
        <f>SUMIF($L:$L,$C1807,AA:AA)</f>
        <v>2675.4909999999995</v>
      </c>
      <c r="AB1807" s="106">
        <f>SUMIF($L:$L,$C1807,AB:AB)</f>
        <v>2675.4909999999995</v>
      </c>
      <c r="AC1807" s="106">
        <f>SUMIF($L:$L,$C1807,AC:AC)</f>
        <v>2675.4909999999995</v>
      </c>
      <c r="AD1807" s="106">
        <f>SUMIF($L:$L,$C1807,AD:AD)</f>
        <v>2675.4909999999995</v>
      </c>
      <c r="AE1807" s="106">
        <f>SUMIF($L:$L,$C1807,AE:AE)</f>
        <v>2675.4909999999995</v>
      </c>
      <c r="AF1807" s="106">
        <f>SUMIF($L:$L,$C1807,AF:AF)</f>
        <v>2675.4909999999995</v>
      </c>
      <c r="AG1807" s="106">
        <f>SUMIF($L:$L,$C1807,AG:AG)</f>
        <v>2675.4909999999995</v>
      </c>
      <c r="AH1807" s="106">
        <f>SUMIF($L:$L,$C1807,AH:AH)</f>
        <v>2675.4909999999995</v>
      </c>
      <c r="AI1807" s="106">
        <f>SUMIF($L:$L,$C1807,AI:AI)</f>
        <v>2675.4909999999995</v>
      </c>
      <c r="AJ1807" s="106">
        <f>SUMIF($L:$L,$C1807,AJ:AJ)</f>
        <v>2675.4909999999995</v>
      </c>
      <c r="AK1807" s="106">
        <f>SUMIF($L:$L,$C1807,AK:AK)</f>
        <v>2675.4909999999995</v>
      </c>
      <c r="AL1807" s="106">
        <f>SUMIF($L:$L,$C1807,AL:AL)</f>
        <v>2675.4909999999995</v>
      </c>
      <c r="AM1807" s="106">
        <f>SUMIF($L:$L,$C1807,AM:AM)</f>
        <v>2675.4909999999995</v>
      </c>
      <c r="AN1807" s="106">
        <f>SUMIF($L:$L,$C1807,AN:AN)</f>
        <v>2675.4909999999995</v>
      </c>
      <c r="AO1807" s="106">
        <f>SUMIF($L:$L,$C1807,AO:AO)</f>
        <v>2675.4909999999995</v>
      </c>
      <c r="AP1807" s="106"/>
      <c r="AQ1807" s="106"/>
      <c r="AR1807" s="106"/>
      <c r="AS1807" s="106"/>
      <c r="AT1807" s="106"/>
    </row>
    <row r="1808" spans="1:46">
      <c r="A1808" s="246"/>
      <c r="B1808" s="246"/>
      <c r="C1808" s="296" t="s">
        <v>2821</v>
      </c>
      <c r="D1808" s="246" t="s">
        <v>1417</v>
      </c>
      <c r="E1808" s="266"/>
      <c r="F1808" s="266"/>
      <c r="G1808" s="267" t="s">
        <v>1889</v>
      </c>
      <c r="H1808" s="249"/>
      <c r="I1808" s="273"/>
      <c r="J1808" s="273"/>
      <c r="K1808" s="249"/>
      <c r="L1808" s="269"/>
      <c r="M1808" s="270"/>
      <c r="N1808" s="271"/>
      <c r="O1808" s="271"/>
      <c r="P1808" s="269"/>
      <c r="Q1808" s="276"/>
      <c r="R1808" s="270"/>
      <c r="S1808" s="270"/>
      <c r="T1808" s="270"/>
      <c r="U1808" s="106">
        <f>SUMIF($L:$L,$C1808,U:U)</f>
        <v>0</v>
      </c>
      <c r="V1808" s="106">
        <f>SUMIF($L:$L,$C1808,V:V)</f>
        <v>0</v>
      </c>
      <c r="W1808" s="106">
        <f>SUMIF($L:$L,$C1808,W:W)</f>
        <v>11382.337656666637</v>
      </c>
      <c r="X1808" s="106">
        <f>SUMIF($L:$L,$C1808,X:X)</f>
        <v>11382.337656666637</v>
      </c>
      <c r="Y1808" s="106">
        <f>SUMIF($L:$L,$C1808,Y:Y)</f>
        <v>0</v>
      </c>
      <c r="Z1808" s="106">
        <f>SUMIF($L:$L,$C1808,Z:Z)</f>
        <v>0</v>
      </c>
      <c r="AA1808" s="106">
        <f>SUMIF($L:$L,$C1808,AA:AA)</f>
        <v>-1704.3196400003274</v>
      </c>
      <c r="AB1808" s="106">
        <f>SUMIF($L:$L,$C1808,AB:AB)</f>
        <v>-1704.3196400003128</v>
      </c>
      <c r="AC1808" s="106">
        <f>SUMIF($L:$L,$C1808,AC:AC)</f>
        <v>25542.082699999912</v>
      </c>
      <c r="AD1808" s="106">
        <f>SUMIF($L:$L,$C1808,AD:AD)</f>
        <v>23036.831969999785</v>
      </c>
      <c r="AE1808" s="106">
        <f>SUMIF($L:$L,$C1808,AE:AE)</f>
        <v>19134.957299999864</v>
      </c>
      <c r="AF1808" s="106">
        <f>SUMIF($L:$L,$C1808,AF:AF)</f>
        <v>18952.287179999727</v>
      </c>
      <c r="AG1808" s="106">
        <f>SUMIF($L:$L,$C1808,AG:AG)</f>
        <v>21667.074039999919</v>
      </c>
      <c r="AH1808" s="106">
        <f>SUMIF($L:$L,$C1808,AH:AH)</f>
        <v>19879.975059999742</v>
      </c>
      <c r="AI1808" s="106">
        <f>SUMIF($L:$L,$C1808,AI:AI)</f>
        <v>22252.388429999704</v>
      </c>
      <c r="AJ1808" s="106">
        <f>SUMIF($L:$L,$C1808,AJ:AJ)</f>
        <v>20153.777489999866</v>
      </c>
      <c r="AK1808" s="106">
        <f>SUMIF($L:$L,$C1808,AK:AK)</f>
        <v>2736.4112299998237</v>
      </c>
      <c r="AL1808" s="106">
        <f>SUMIF($L:$L,$C1808,AL:AL)</f>
        <v>-3606.8793899998941</v>
      </c>
      <c r="AM1808" s="106">
        <f>SUMIF($L:$L,$C1808,AM:AM)</f>
        <v>-12373.979030000095</v>
      </c>
      <c r="AN1808" s="106">
        <f>SUMIF($L:$L,$C1808,AN:AN)</f>
        <v>-7163.6739300002018</v>
      </c>
      <c r="AO1808" s="106">
        <f>SUMIF($L:$L,$C1808,AO:AO)</f>
        <v>-1704.3196400003128</v>
      </c>
      <c r="AP1808" s="106"/>
      <c r="AQ1808" s="106"/>
      <c r="AR1808" s="106"/>
      <c r="AS1808" s="106"/>
      <c r="AT1808" s="106"/>
    </row>
    <row r="1809" spans="1:46" ht="5.25" customHeight="1">
      <c r="A1809" s="246"/>
      <c r="B1809" s="246"/>
      <c r="C1809" s="265"/>
      <c r="D1809" s="246"/>
      <c r="E1809" s="266"/>
      <c r="F1809" s="266"/>
      <c r="G1809" s="267"/>
      <c r="H1809" s="249"/>
      <c r="I1809" s="273"/>
      <c r="J1809" s="273"/>
      <c r="K1809" s="249"/>
      <c r="L1809" s="269"/>
      <c r="M1809" s="270"/>
      <c r="N1809" s="271"/>
      <c r="O1809" s="271"/>
      <c r="P1809" s="269"/>
      <c r="Q1809" s="276"/>
      <c r="R1809" s="270"/>
      <c r="S1809" s="270"/>
      <c r="T1809" s="270"/>
      <c r="U1809" s="274">
        <v>0</v>
      </c>
      <c r="V1809" s="274">
        <v>0</v>
      </c>
      <c r="W1809" s="274">
        <v>0</v>
      </c>
      <c r="X1809" s="274">
        <v>0</v>
      </c>
      <c r="Y1809" s="274">
        <v>0</v>
      </c>
      <c r="Z1809" s="274">
        <v>0</v>
      </c>
      <c r="AA1809" s="274">
        <v>0</v>
      </c>
      <c r="AB1809" s="274">
        <v>0</v>
      </c>
      <c r="AC1809" s="274">
        <v>0</v>
      </c>
      <c r="AD1809" s="274">
        <v>0</v>
      </c>
      <c r="AE1809" s="274">
        <v>0</v>
      </c>
      <c r="AF1809" s="274">
        <v>0</v>
      </c>
      <c r="AG1809" s="274">
        <v>0</v>
      </c>
      <c r="AH1809" s="274">
        <v>0</v>
      </c>
      <c r="AI1809" s="274">
        <v>0</v>
      </c>
      <c r="AJ1809" s="274">
        <v>0</v>
      </c>
      <c r="AK1809" s="274">
        <v>0</v>
      </c>
      <c r="AL1809" s="274">
        <v>0</v>
      </c>
      <c r="AM1809" s="274">
        <v>0</v>
      </c>
      <c r="AN1809" s="274">
        <v>0</v>
      </c>
      <c r="AO1809" s="274">
        <v>0</v>
      </c>
      <c r="AP1809" s="106"/>
      <c r="AQ1809" s="106"/>
      <c r="AR1809" s="106"/>
      <c r="AS1809" s="106"/>
      <c r="AT1809" s="106"/>
    </row>
    <row r="1810" spans="1:46">
      <c r="A1810" s="246"/>
      <c r="B1810" s="246"/>
      <c r="C1810" s="214"/>
      <c r="D1810" s="246"/>
      <c r="E1810" s="266"/>
      <c r="F1810" s="266"/>
      <c r="G1810" s="267"/>
      <c r="H1810" s="249"/>
      <c r="I1810" s="273"/>
      <c r="J1810" s="273"/>
      <c r="K1810" s="249"/>
      <c r="L1810" s="215"/>
      <c r="M1810" s="249"/>
      <c r="N1810" s="254"/>
      <c r="O1810" s="254"/>
      <c r="P1810" s="215"/>
      <c r="Q1810" s="247"/>
      <c r="R1810" s="249"/>
      <c r="S1810" s="249"/>
      <c r="T1810" s="249"/>
      <c r="U1810" s="106"/>
      <c r="V1810" s="106"/>
      <c r="W1810" s="106"/>
      <c r="X1810" s="106"/>
      <c r="Y1810" s="106"/>
      <c r="Z1810" s="106"/>
      <c r="AA1810" s="106"/>
      <c r="AB1810" s="106"/>
      <c r="AC1810" s="106"/>
      <c r="AD1810" s="106"/>
      <c r="AE1810" s="106"/>
      <c r="AF1810" s="106"/>
      <c r="AG1810" s="106"/>
      <c r="AH1810" s="106"/>
      <c r="AI1810" s="106"/>
      <c r="AJ1810" s="106"/>
      <c r="AK1810" s="106"/>
      <c r="AL1810" s="106"/>
      <c r="AM1810" s="106"/>
      <c r="AN1810" s="106"/>
      <c r="AO1810" s="106"/>
      <c r="AP1810" s="248"/>
      <c r="AQ1810" s="248"/>
      <c r="AR1810" s="248"/>
      <c r="AS1810" s="248"/>
      <c r="AT1810" s="248"/>
    </row>
    <row r="1811" spans="1:46">
      <c r="A1811" s="246"/>
      <c r="B1811" s="246"/>
      <c r="C1811" s="246" t="s">
        <v>1179</v>
      </c>
      <c r="D1811" s="246"/>
      <c r="E1811" s="266"/>
      <c r="F1811" s="266"/>
      <c r="G1811" s="267"/>
      <c r="H1811" s="249"/>
      <c r="I1811" s="273"/>
      <c r="J1811" s="273"/>
      <c r="K1811" s="249"/>
      <c r="L1811" s="215"/>
      <c r="M1811" s="249"/>
      <c r="N1811" s="254"/>
      <c r="O1811" s="254"/>
      <c r="P1811" s="215"/>
      <c r="Q1811" s="247"/>
      <c r="R1811" s="249"/>
      <c r="S1811" s="249"/>
      <c r="T1811" s="249"/>
      <c r="U1811" s="106">
        <f t="shared" ref="U1811:AB1811" si="655">SUM(U1798:U1810)</f>
        <v>0</v>
      </c>
      <c r="V1811" s="106">
        <f t="shared" si="655"/>
        <v>0</v>
      </c>
      <c r="W1811" s="106">
        <f t="shared" si="655"/>
        <v>5735.4422722512591</v>
      </c>
      <c r="X1811" s="106">
        <f t="shared" si="655"/>
        <v>5735.4422722513755</v>
      </c>
      <c r="Y1811" s="106">
        <f t="shared" si="655"/>
        <v>0</v>
      </c>
      <c r="Z1811" s="106">
        <f t="shared" si="655"/>
        <v>0</v>
      </c>
      <c r="AA1811" s="106">
        <f t="shared" si="655"/>
        <v>-6726.9961090005108</v>
      </c>
      <c r="AB1811" s="106">
        <f t="shared" si="655"/>
        <v>-6726.9961090002707</v>
      </c>
      <c r="AC1811" s="106">
        <f t="shared" ref="AC1811:AO1811" si="656">SUM(AC1798:AC1810)</f>
        <v>13842.866321000061</v>
      </c>
      <c r="AD1811" s="106">
        <f t="shared" si="656"/>
        <v>12301.058660999895</v>
      </c>
      <c r="AE1811" s="106">
        <f t="shared" si="656"/>
        <v>9972.9843309998942</v>
      </c>
      <c r="AF1811" s="106">
        <f t="shared" si="656"/>
        <v>11285.225270999788</v>
      </c>
      <c r="AG1811" s="106">
        <f t="shared" si="656"/>
        <v>13892.492241000042</v>
      </c>
      <c r="AH1811" s="106">
        <f t="shared" si="656"/>
        <v>12780.529780999794</v>
      </c>
      <c r="AI1811" s="106">
        <f t="shared" si="656"/>
        <v>17484.856590999749</v>
      </c>
      <c r="AJ1811" s="106">
        <f t="shared" si="656"/>
        <v>17164.864180999986</v>
      </c>
      <c r="AK1811" s="106">
        <f t="shared" si="656"/>
        <v>-372.7436290000569</v>
      </c>
      <c r="AL1811" s="106">
        <f t="shared" si="656"/>
        <v>-5665.5407489997087</v>
      </c>
      <c r="AM1811" s="106">
        <f t="shared" si="656"/>
        <v>-13515.21894900006</v>
      </c>
      <c r="AN1811" s="106">
        <f t="shared" si="656"/>
        <v>-10061.135569000149</v>
      </c>
      <c r="AO1811" s="106">
        <f t="shared" si="656"/>
        <v>-6726.9961090002707</v>
      </c>
      <c r="AP1811" s="248"/>
      <c r="AQ1811" s="248"/>
      <c r="AR1811" s="248"/>
      <c r="AS1811" s="248"/>
      <c r="AT1811" s="248"/>
    </row>
    <row r="1812" spans="1:46" s="248" customFormat="1" ht="12.75" customHeight="1">
      <c r="A1812" s="252"/>
      <c r="B1812" s="246"/>
      <c r="C1812" s="256"/>
      <c r="D1812" s="214"/>
      <c r="E1812" s="215"/>
      <c r="F1812" s="215"/>
      <c r="H1812" s="249"/>
      <c r="I1812" s="253"/>
      <c r="J1812" s="253"/>
      <c r="K1812" s="249"/>
      <c r="L1812" s="215"/>
      <c r="M1812" s="249"/>
      <c r="N1812" s="254"/>
      <c r="O1812" s="254"/>
      <c r="P1812" s="215"/>
      <c r="Q1812" s="247"/>
      <c r="R1812" s="249"/>
      <c r="S1812" s="249"/>
      <c r="T1812" s="249"/>
      <c r="U1812" s="274"/>
      <c r="V1812" s="274"/>
      <c r="W1812" s="274"/>
      <c r="X1812" s="274"/>
      <c r="Y1812" s="274"/>
      <c r="Z1812" s="274"/>
      <c r="AA1812" s="274"/>
      <c r="AB1812" s="274"/>
      <c r="AC1812" s="274"/>
      <c r="AD1812" s="274"/>
      <c r="AE1812" s="274"/>
      <c r="AF1812" s="274"/>
      <c r="AG1812" s="274"/>
      <c r="AH1812" s="274"/>
      <c r="AI1812" s="274"/>
      <c r="AJ1812" s="274"/>
      <c r="AK1812" s="274"/>
      <c r="AL1812" s="274"/>
      <c r="AM1812" s="274"/>
      <c r="AN1812" s="274"/>
      <c r="AO1812" s="274"/>
      <c r="AP1812" s="291"/>
      <c r="AQ1812" s="291"/>
      <c r="AR1812" s="291"/>
    </row>
    <row r="1813" spans="1:46">
      <c r="A1813" s="246"/>
      <c r="B1813" s="246"/>
      <c r="C1813" s="256"/>
      <c r="D1813" s="214"/>
      <c r="E1813" s="215"/>
      <c r="F1813" s="215"/>
      <c r="G1813" s="248"/>
      <c r="H1813" s="249"/>
      <c r="I1813" s="253"/>
      <c r="J1813" s="253"/>
      <c r="K1813" s="249"/>
      <c r="L1813" s="215"/>
      <c r="M1813" s="249"/>
      <c r="N1813" s="254"/>
      <c r="O1813" s="254"/>
      <c r="P1813" s="215"/>
      <c r="Q1813" s="247"/>
      <c r="R1813" s="249"/>
      <c r="S1813" s="249"/>
      <c r="T1813" s="249"/>
      <c r="U1813" s="106"/>
      <c r="V1813" s="106"/>
      <c r="W1813" s="106"/>
      <c r="X1813" s="106"/>
      <c r="Y1813" s="106"/>
      <c r="Z1813" s="106"/>
      <c r="AA1813" s="106"/>
      <c r="AB1813" s="106"/>
      <c r="AC1813" s="106"/>
      <c r="AD1813" s="106"/>
      <c r="AE1813" s="106"/>
      <c r="AF1813" s="106"/>
      <c r="AG1813" s="106"/>
      <c r="AH1813" s="106"/>
      <c r="AI1813" s="106"/>
      <c r="AJ1813" s="106"/>
      <c r="AK1813" s="106"/>
      <c r="AL1813" s="106"/>
      <c r="AM1813" s="106"/>
      <c r="AN1813" s="106"/>
      <c r="AO1813" s="106"/>
      <c r="AP1813" s="248"/>
      <c r="AQ1813" s="248"/>
      <c r="AR1813" s="248"/>
      <c r="AS1813" s="248"/>
      <c r="AT1813" s="248"/>
    </row>
    <row r="1814" spans="1:46">
      <c r="A1814" s="246"/>
      <c r="B1814" s="246"/>
      <c r="C1814" s="256"/>
      <c r="D1814" s="214"/>
      <c r="E1814" s="215"/>
      <c r="F1814" s="215"/>
      <c r="G1814" s="248"/>
      <c r="H1814" s="249"/>
      <c r="I1814" s="253"/>
      <c r="J1814" s="253"/>
      <c r="K1814" s="249"/>
      <c r="L1814" s="215"/>
      <c r="M1814" s="249"/>
      <c r="N1814" s="254"/>
      <c r="O1814" s="254"/>
      <c r="P1814" s="215"/>
      <c r="Q1814" s="247"/>
      <c r="R1814" s="249"/>
      <c r="S1814" s="249"/>
      <c r="T1814" s="249"/>
      <c r="U1814" s="263"/>
      <c r="V1814" s="263"/>
      <c r="W1814" s="263"/>
      <c r="X1814" s="263"/>
      <c r="Y1814" s="263"/>
      <c r="Z1814" s="263"/>
      <c r="AA1814" s="263"/>
      <c r="AB1814" s="263"/>
      <c r="AC1814" s="263"/>
      <c r="AD1814" s="263"/>
      <c r="AE1814" s="263"/>
      <c r="AF1814" s="263"/>
      <c r="AG1814" s="263"/>
      <c r="AH1814" s="263"/>
      <c r="AI1814" s="263"/>
      <c r="AJ1814" s="263"/>
      <c r="AK1814" s="263"/>
      <c r="AL1814" s="263"/>
      <c r="AM1814" s="263"/>
      <c r="AN1814" s="263"/>
      <c r="AO1814" s="263"/>
      <c r="AP1814" s="264"/>
      <c r="AQ1814" s="264"/>
      <c r="AR1814" s="264"/>
      <c r="AS1814" s="248"/>
      <c r="AT1814" s="248"/>
    </row>
    <row r="1815" spans="1:46">
      <c r="A1815" s="246"/>
      <c r="B1815" s="246"/>
      <c r="C1815" s="214"/>
      <c r="D1815" s="214"/>
      <c r="E1815" s="215"/>
      <c r="F1815" s="215"/>
      <c r="G1815" s="248"/>
      <c r="H1815" s="249"/>
      <c r="I1815" s="253"/>
      <c r="J1815" s="253"/>
      <c r="K1815" s="249"/>
      <c r="L1815" s="215"/>
      <c r="M1815" s="249"/>
      <c r="N1815" s="254"/>
      <c r="O1815" s="254"/>
      <c r="P1815" s="247"/>
      <c r="Q1815" s="247"/>
      <c r="R1815" s="249"/>
      <c r="S1815" s="249"/>
      <c r="T1815" s="249"/>
      <c r="U1815" s="106"/>
      <c r="V1815" s="106"/>
      <c r="W1815" s="106"/>
      <c r="X1815" s="106"/>
      <c r="Y1815" s="106"/>
      <c r="Z1815" s="106"/>
      <c r="AA1815" s="106"/>
      <c r="AB1815" s="106"/>
      <c r="AC1815" s="106"/>
      <c r="AD1815" s="106"/>
      <c r="AE1815" s="106"/>
      <c r="AF1815" s="106"/>
      <c r="AG1815" s="106"/>
      <c r="AH1815" s="106"/>
      <c r="AI1815" s="106"/>
      <c r="AJ1815" s="106"/>
      <c r="AK1815" s="106"/>
      <c r="AL1815" s="106"/>
      <c r="AM1815" s="106"/>
      <c r="AN1815" s="106"/>
      <c r="AO1815" s="106"/>
      <c r="AP1815" s="248"/>
      <c r="AQ1815" s="248"/>
      <c r="AR1815" s="248"/>
      <c r="AS1815" s="248"/>
      <c r="AT1815" s="248"/>
    </row>
    <row r="1816" spans="1:46">
      <c r="A1816" s="252"/>
      <c r="B1816" s="252" t="s">
        <v>576</v>
      </c>
      <c r="C1816" s="214"/>
      <c r="D1816" s="214"/>
      <c r="E1816" s="215"/>
      <c r="F1816" s="215"/>
      <c r="G1816" s="248"/>
      <c r="H1816" s="249"/>
      <c r="I1816" s="253"/>
      <c r="J1816" s="253"/>
      <c r="K1816" s="249"/>
      <c r="L1816" s="215"/>
      <c r="M1816" s="249"/>
      <c r="N1816" s="254"/>
      <c r="O1816" s="254"/>
      <c r="P1816" s="215"/>
      <c r="Q1816" s="247"/>
      <c r="R1816" s="249"/>
      <c r="S1816" s="249"/>
      <c r="T1816" s="249"/>
      <c r="U1816" s="106"/>
      <c r="V1816" s="106"/>
      <c r="W1816" s="106"/>
      <c r="X1816" s="106"/>
      <c r="Y1816" s="106"/>
      <c r="Z1816" s="106"/>
      <c r="AA1816" s="106"/>
      <c r="AB1816" s="106"/>
      <c r="AC1816" s="106"/>
      <c r="AD1816" s="106"/>
      <c r="AE1816" s="106"/>
      <c r="AF1816" s="106"/>
      <c r="AG1816" s="106"/>
      <c r="AH1816" s="106"/>
      <c r="AI1816" s="106"/>
      <c r="AJ1816" s="106"/>
      <c r="AK1816" s="106"/>
      <c r="AL1816" s="106"/>
      <c r="AM1816" s="106"/>
      <c r="AN1816" s="106"/>
      <c r="AO1816" s="106"/>
      <c r="AP1816" s="248"/>
      <c r="AQ1816" s="248"/>
      <c r="AR1816" s="248"/>
      <c r="AS1816" s="248"/>
      <c r="AT1816" s="248"/>
    </row>
    <row r="1817" spans="1:46">
      <c r="A1817" s="283"/>
      <c r="B1817" s="283"/>
      <c r="C1817" s="256" t="s">
        <v>102</v>
      </c>
      <c r="D1817" s="277"/>
      <c r="E1817" s="278"/>
      <c r="F1817" s="278"/>
      <c r="G1817" s="264"/>
      <c r="H1817" s="279"/>
      <c r="I1817" s="280"/>
      <c r="J1817" s="280"/>
      <c r="K1817" s="279"/>
      <c r="L1817" s="278"/>
      <c r="M1817" s="279"/>
      <c r="N1817" s="281"/>
      <c r="O1817" s="281"/>
      <c r="P1817" s="278"/>
      <c r="Q1817" s="282"/>
      <c r="R1817" s="279"/>
      <c r="S1817" s="279"/>
      <c r="T1817" s="279"/>
      <c r="U1817" s="106">
        <f>SUMIF($AS:$AS,$AT1817,U:U)</f>
        <v>0</v>
      </c>
      <c r="V1817" s="106">
        <f>SUMIF($AS:$AS,$AT1817,V:V)</f>
        <v>0</v>
      </c>
      <c r="W1817" s="106">
        <f>SUMIF($AS:$AS,$AT1817,W:W)</f>
        <v>463.95422291666506</v>
      </c>
      <c r="X1817" s="106">
        <f>SUMIF($AS:$AS,$AT1817,X:X)</f>
        <v>463.95422291666506</v>
      </c>
      <c r="Y1817" s="106">
        <f>SUMIF($AS:$AS,$AT1817,Y:Y)</f>
        <v>0</v>
      </c>
      <c r="Z1817" s="106">
        <f>SUMIF($AS:$AS,$AT1817,Z:Z)</f>
        <v>0</v>
      </c>
      <c r="AA1817" s="106">
        <f>SUMIF($AS:$AS,$AT1817,AA:AA)</f>
        <v>313.92343999999872</v>
      </c>
      <c r="AB1817" s="106">
        <f>SUMIF($AS:$AS,$AT1817,AB:AB)</f>
        <v>313.92343999999866</v>
      </c>
      <c r="AC1817" s="106">
        <f>SUMIF($AS:$AS,$AT1817,AC:AC)</f>
        <v>986.55210999999872</v>
      </c>
      <c r="AD1817" s="106">
        <f>SUMIF($AS:$AS,$AT1817,AD:AD)</f>
        <v>671.49389999999869</v>
      </c>
      <c r="AE1817" s="106">
        <f>SUMIF($AS:$AS,$AT1817,AE:AE)</f>
        <v>670.92089999999871</v>
      </c>
      <c r="AF1817" s="106">
        <f>SUMIF($AS:$AS,$AT1817,AF:AF)</f>
        <v>539.73889999999869</v>
      </c>
      <c r="AG1817" s="106">
        <f>SUMIF($AS:$AS,$AT1817,AG:AG)</f>
        <v>462.61089999999876</v>
      </c>
      <c r="AH1817" s="106">
        <f>SUMIF($AS:$AS,$AT1817,AH:AH)</f>
        <v>441.81389999999874</v>
      </c>
      <c r="AI1817" s="106">
        <f>SUMIF($AS:$AS,$AT1817,AI:AI)</f>
        <v>421.49789999999871</v>
      </c>
      <c r="AJ1817" s="106">
        <f>SUMIF($AS:$AS,$AT1817,AJ:AJ)</f>
        <v>410.92589999999871</v>
      </c>
      <c r="AK1817" s="106">
        <f>SUMIF($AS:$AS,$AT1817,AK:AK)</f>
        <v>384.41489999999874</v>
      </c>
      <c r="AL1817" s="106">
        <f>SUMIF($AS:$AS,$AT1817,AL:AL)</f>
        <v>364.45589999999873</v>
      </c>
      <c r="AM1817" s="106">
        <f>SUMIF($AS:$AS,$AT1817,AM:AM)</f>
        <v>325.23289999999872</v>
      </c>
      <c r="AN1817" s="106">
        <f>SUMIF($AS:$AS,$AT1817,AN:AN)</f>
        <v>224.10689999999875</v>
      </c>
      <c r="AO1817" s="106">
        <f>SUMIF($AS:$AS,$AT1817,AO:AO)</f>
        <v>313.92343999999866</v>
      </c>
      <c r="AP1817" s="264"/>
      <c r="AQ1817" s="264"/>
      <c r="AR1817" s="264"/>
      <c r="AS1817" s="286"/>
      <c r="AT1817" s="248" t="str">
        <f t="shared" ref="AT1817:AT1822" si="657">CONCATENATE("N10",C1817,"NCR")</f>
        <v>N10Deferred Gas CostsNCR</v>
      </c>
    </row>
    <row r="1818" spans="1:46">
      <c r="A1818" s="283"/>
      <c r="B1818" s="283"/>
      <c r="C1818" s="256" t="s">
        <v>1307</v>
      </c>
      <c r="D1818" s="277"/>
      <c r="E1818" s="278"/>
      <c r="F1818" s="278"/>
      <c r="G1818" s="264"/>
      <c r="H1818" s="279"/>
      <c r="I1818" s="280"/>
      <c r="J1818" s="280"/>
      <c r="K1818" s="279"/>
      <c r="L1818" s="278"/>
      <c r="M1818" s="279"/>
      <c r="N1818" s="281"/>
      <c r="O1818" s="281"/>
      <c r="P1818" s="278"/>
      <c r="Q1818" s="282"/>
      <c r="R1818" s="279"/>
      <c r="S1818" s="279"/>
      <c r="T1818" s="279"/>
      <c r="U1818" s="106">
        <f>SUMIF($AS:$AS,$AT1818,U:U)</f>
        <v>0</v>
      </c>
      <c r="V1818" s="106">
        <f>SUMIF($AS:$AS,$AT1818,V:V)</f>
        <v>0</v>
      </c>
      <c r="W1818" s="106">
        <f>SUMIF($AS:$AS,$AT1818,W:W)</f>
        <v>0</v>
      </c>
      <c r="X1818" s="106">
        <f>SUMIF($AS:$AS,$AT1818,X:X)</f>
        <v>0</v>
      </c>
      <c r="Y1818" s="106">
        <f>SUMIF($AS:$AS,$AT1818,Y:Y)</f>
        <v>0</v>
      </c>
      <c r="Z1818" s="106">
        <f>SUMIF($AS:$AS,$AT1818,Z:Z)</f>
        <v>0</v>
      </c>
      <c r="AA1818" s="106">
        <f>SUMIF($AS:$AS,$AT1818,AA:AA)</f>
        <v>0</v>
      </c>
      <c r="AB1818" s="106">
        <f>SUMIF($AS:$AS,$AT1818,AB:AB)</f>
        <v>0</v>
      </c>
      <c r="AC1818" s="106">
        <f>SUMIF($AS:$AS,$AT1818,AC:AC)</f>
        <v>0</v>
      </c>
      <c r="AD1818" s="106">
        <f>SUMIF($AS:$AS,$AT1818,AD:AD)</f>
        <v>0</v>
      </c>
      <c r="AE1818" s="106">
        <f>SUMIF($AS:$AS,$AT1818,AE:AE)</f>
        <v>0</v>
      </c>
      <c r="AF1818" s="106">
        <f>SUMIF($AS:$AS,$AT1818,AF:AF)</f>
        <v>0</v>
      </c>
      <c r="AG1818" s="106">
        <f>SUMIF($AS:$AS,$AT1818,AG:AG)</f>
        <v>0</v>
      </c>
      <c r="AH1818" s="106">
        <f>SUMIF($AS:$AS,$AT1818,AH:AH)</f>
        <v>0</v>
      </c>
      <c r="AI1818" s="106">
        <f>SUMIF($AS:$AS,$AT1818,AI:AI)</f>
        <v>0</v>
      </c>
      <c r="AJ1818" s="106">
        <f>SUMIF($AS:$AS,$AT1818,AJ:AJ)</f>
        <v>0</v>
      </c>
      <c r="AK1818" s="106">
        <f>SUMIF($AS:$AS,$AT1818,AK:AK)</f>
        <v>0</v>
      </c>
      <c r="AL1818" s="106">
        <f>SUMIF($AS:$AS,$AT1818,AL:AL)</f>
        <v>0</v>
      </c>
      <c r="AM1818" s="106">
        <f>SUMIF($AS:$AS,$AT1818,AM:AM)</f>
        <v>0</v>
      </c>
      <c r="AN1818" s="106">
        <f>SUMIF($AS:$AS,$AT1818,AN:AN)</f>
        <v>0</v>
      </c>
      <c r="AO1818" s="106">
        <f>SUMIF($AS:$AS,$AT1818,AO:AO)</f>
        <v>0</v>
      </c>
      <c r="AP1818" s="264"/>
      <c r="AQ1818" s="264"/>
      <c r="AR1818" s="264"/>
      <c r="AS1818" s="286"/>
      <c r="AT1818" s="248" t="str">
        <f t="shared" si="657"/>
        <v>N10AMIINCR</v>
      </c>
    </row>
    <row r="1819" spans="1:46">
      <c r="A1819" s="283"/>
      <c r="B1819" s="283"/>
      <c r="C1819" s="256" t="s">
        <v>891</v>
      </c>
      <c r="D1819" s="277"/>
      <c r="E1819" s="278"/>
      <c r="F1819" s="278"/>
      <c r="G1819" s="264"/>
      <c r="H1819" s="279"/>
      <c r="I1819" s="280"/>
      <c r="J1819" s="280"/>
      <c r="K1819" s="279"/>
      <c r="L1819" s="278"/>
      <c r="M1819" s="279"/>
      <c r="N1819" s="281"/>
      <c r="O1819" s="281"/>
      <c r="P1819" s="278"/>
      <c r="Q1819" s="282"/>
      <c r="R1819" s="279"/>
      <c r="S1819" s="279"/>
      <c r="T1819" s="279"/>
      <c r="U1819" s="106">
        <f>SUMIF($AS:$AS,$AT1819,U:U)</f>
        <v>0</v>
      </c>
      <c r="V1819" s="106">
        <f>SUMIF($AS:$AS,$AT1819,V:V)</f>
        <v>0</v>
      </c>
      <c r="W1819" s="106">
        <f>SUMIF($AS:$AS,$AT1819,W:W)</f>
        <v>-21897.573602083303</v>
      </c>
      <c r="X1819" s="106">
        <f>SUMIF($AS:$AS,$AT1819,X:X)</f>
        <v>-21897.573602083303</v>
      </c>
      <c r="Y1819" s="106">
        <f>SUMIF($AS:$AS,$AT1819,Y:Y)</f>
        <v>0</v>
      </c>
      <c r="Z1819" s="106">
        <f>SUMIF($AS:$AS,$AT1819,Z:Z)</f>
        <v>0</v>
      </c>
      <c r="AA1819" s="106">
        <f>SUMIF($AS:$AS,$AT1819,AA:AA)</f>
        <v>-25724.639499999997</v>
      </c>
      <c r="AB1819" s="106">
        <f>SUMIF($AS:$AS,$AT1819,AB:AB)</f>
        <v>-25724.639499999997</v>
      </c>
      <c r="AC1819" s="106">
        <f>SUMIF($AS:$AS,$AT1819,AC:AC)</f>
        <v>-17682.566190000009</v>
      </c>
      <c r="AD1819" s="106">
        <f>SUMIF($AS:$AS,$AT1819,AD:AD)</f>
        <v>-18432.001920000006</v>
      </c>
      <c r="AE1819" s="106">
        <f>SUMIF($AS:$AS,$AT1819,AE:AE)</f>
        <v>-19179.683390000002</v>
      </c>
      <c r="AF1819" s="106">
        <f>SUMIF($AS:$AS,$AT1819,AF:AF)</f>
        <v>-19925.601500000001</v>
      </c>
      <c r="AG1819" s="106">
        <f>SUMIF($AS:$AS,$AT1819,AG:AG)</f>
        <v>-20669.747049999998</v>
      </c>
      <c r="AH1819" s="106">
        <f>SUMIF($AS:$AS,$AT1819,AH:AH)</f>
        <v>-21412.110840000005</v>
      </c>
      <c r="AI1819" s="106">
        <f>SUMIF($AS:$AS,$AT1819,AI:AI)</f>
        <v>-22152.683569999994</v>
      </c>
      <c r="AJ1819" s="106">
        <f>SUMIF($AS:$AS,$AT1819,AJ:AJ)</f>
        <v>-22891.455960000003</v>
      </c>
      <c r="AK1819" s="106">
        <f>SUMIF($AS:$AS,$AT1819,AK:AK)</f>
        <v>-23628.418619999997</v>
      </c>
      <c r="AL1819" s="106">
        <f>SUMIF($AS:$AS,$AT1819,AL:AL)</f>
        <v>-23578.948670000002</v>
      </c>
      <c r="AM1819" s="106">
        <f>SUMIF($AS:$AS,$AT1819,AM:AM)</f>
        <v>-24259.167310000001</v>
      </c>
      <c r="AN1819" s="106">
        <f>SUMIF($AS:$AS,$AT1819,AN:AN)</f>
        <v>-24937.461550000007</v>
      </c>
      <c r="AO1819" s="106">
        <f>SUMIF($AS:$AS,$AT1819,AO:AO)</f>
        <v>-25724.639499999997</v>
      </c>
      <c r="AP1819" s="264"/>
      <c r="AQ1819" s="264"/>
      <c r="AR1819" s="264"/>
      <c r="AS1819" s="286"/>
      <c r="AT1819" s="248" t="str">
        <f t="shared" si="657"/>
        <v>N10Bonus DepreciationNCR</v>
      </c>
    </row>
    <row r="1820" spans="1:46">
      <c r="A1820" s="283"/>
      <c r="B1820" s="283"/>
      <c r="C1820" s="256" t="s">
        <v>1151</v>
      </c>
      <c r="D1820" s="277"/>
      <c r="E1820" s="278"/>
      <c r="F1820" s="278"/>
      <c r="G1820" s="264"/>
      <c r="H1820" s="279"/>
      <c r="I1820" s="280"/>
      <c r="J1820" s="280"/>
      <c r="K1820" s="279"/>
      <c r="L1820" s="278"/>
      <c r="M1820" s="279"/>
      <c r="N1820" s="281"/>
      <c r="O1820" s="281"/>
      <c r="P1820" s="278"/>
      <c r="Q1820" s="282"/>
      <c r="R1820" s="279"/>
      <c r="S1820" s="279"/>
      <c r="T1820" s="279"/>
      <c r="U1820" s="106">
        <f>SUMIF($AS:$AS,$AT1820,U:U)</f>
        <v>0</v>
      </c>
      <c r="V1820" s="106">
        <f>SUMIF($AS:$AS,$AT1820,V:V)</f>
        <v>0</v>
      </c>
      <c r="W1820" s="106">
        <f>SUMIF($AS:$AS,$AT1820,W:W)</f>
        <v>0</v>
      </c>
      <c r="X1820" s="106">
        <f>SUMIF($AS:$AS,$AT1820,X:X)</f>
        <v>0</v>
      </c>
      <c r="Y1820" s="106">
        <f>SUMIF($AS:$AS,$AT1820,Y:Y)</f>
        <v>0</v>
      </c>
      <c r="Z1820" s="106">
        <f>SUMIF($AS:$AS,$AT1820,Z:Z)</f>
        <v>0</v>
      </c>
      <c r="AA1820" s="106">
        <f>SUMIF($AS:$AS,$AT1820,AA:AA)</f>
        <v>0</v>
      </c>
      <c r="AB1820" s="106">
        <f>SUMIF($AS:$AS,$AT1820,AB:AB)</f>
        <v>0</v>
      </c>
      <c r="AC1820" s="106">
        <f>SUMIF($AS:$AS,$AT1820,AC:AC)</f>
        <v>0</v>
      </c>
      <c r="AD1820" s="106">
        <f>SUMIF($AS:$AS,$AT1820,AD:AD)</f>
        <v>0</v>
      </c>
      <c r="AE1820" s="106">
        <f>SUMIF($AS:$AS,$AT1820,AE:AE)</f>
        <v>0</v>
      </c>
      <c r="AF1820" s="106">
        <f>SUMIF($AS:$AS,$AT1820,AF:AF)</f>
        <v>0</v>
      </c>
      <c r="AG1820" s="106">
        <f>SUMIF($AS:$AS,$AT1820,AG:AG)</f>
        <v>0</v>
      </c>
      <c r="AH1820" s="106">
        <f>SUMIF($AS:$AS,$AT1820,AH:AH)</f>
        <v>0</v>
      </c>
      <c r="AI1820" s="106">
        <f>SUMIF($AS:$AS,$AT1820,AI:AI)</f>
        <v>0</v>
      </c>
      <c r="AJ1820" s="106">
        <f>SUMIF($AS:$AS,$AT1820,AJ:AJ)</f>
        <v>0</v>
      </c>
      <c r="AK1820" s="106">
        <f>SUMIF($AS:$AS,$AT1820,AK:AK)</f>
        <v>0</v>
      </c>
      <c r="AL1820" s="106">
        <f>SUMIF($AS:$AS,$AT1820,AL:AL)</f>
        <v>0</v>
      </c>
      <c r="AM1820" s="106">
        <f>SUMIF($AS:$AS,$AT1820,AM:AM)</f>
        <v>0</v>
      </c>
      <c r="AN1820" s="106">
        <f>SUMIF($AS:$AS,$AT1820,AN:AN)</f>
        <v>0</v>
      </c>
      <c r="AO1820" s="106">
        <f>SUMIF($AS:$AS,$AT1820,AO:AO)</f>
        <v>0</v>
      </c>
      <c r="AP1820" s="264"/>
      <c r="AQ1820" s="264"/>
      <c r="AR1820" s="264"/>
      <c r="AS1820" s="286"/>
      <c r="AT1820" s="248" t="str">
        <f t="shared" si="657"/>
        <v>N10CTA EfficiencyNCR</v>
      </c>
    </row>
    <row r="1821" spans="1:46">
      <c r="A1821" s="283"/>
      <c r="B1821" s="283"/>
      <c r="C1821" s="256" t="s">
        <v>310</v>
      </c>
      <c r="D1821" s="277"/>
      <c r="E1821" s="278"/>
      <c r="F1821" s="278"/>
      <c r="G1821" s="264"/>
      <c r="H1821" s="279"/>
      <c r="I1821" s="280"/>
      <c r="J1821" s="280"/>
      <c r="K1821" s="279"/>
      <c r="L1821" s="278"/>
      <c r="M1821" s="279"/>
      <c r="N1821" s="281"/>
      <c r="O1821" s="281"/>
      <c r="P1821" s="278"/>
      <c r="Q1821" s="282"/>
      <c r="R1821" s="279"/>
      <c r="S1821" s="279"/>
      <c r="T1821" s="279"/>
      <c r="U1821" s="106">
        <f>SUMIF($AS:$AS,$AT1821,U:U)</f>
        <v>0</v>
      </c>
      <c r="V1821" s="106">
        <f>SUMIF($AS:$AS,$AT1821,V:V)</f>
        <v>0</v>
      </c>
      <c r="W1821" s="106">
        <f>SUMIF($AS:$AS,$AT1821,W:W)</f>
        <v>3870.2509837499992</v>
      </c>
      <c r="X1821" s="106">
        <f>SUMIF($AS:$AS,$AT1821,X:X)</f>
        <v>3870.2509837499992</v>
      </c>
      <c r="Y1821" s="106">
        <f>SUMIF($AS:$AS,$AT1821,Y:Y)</f>
        <v>0</v>
      </c>
      <c r="Z1821" s="106">
        <f>SUMIF($AS:$AS,$AT1821,Z:Z)</f>
        <v>0</v>
      </c>
      <c r="AA1821" s="106">
        <f>SUMIF($AS:$AS,$AT1821,AA:AA)</f>
        <v>4401.0598999999993</v>
      </c>
      <c r="AB1821" s="106">
        <f>SUMIF($AS:$AS,$AT1821,AB:AB)</f>
        <v>4401.0598999999984</v>
      </c>
      <c r="AC1821" s="106">
        <f>SUMIF($AS:$AS,$AT1821,AC:AC)</f>
        <v>4866.2661299999963</v>
      </c>
      <c r="AD1821" s="106">
        <f>SUMIF($AS:$AS,$AT1821,AD:AD)</f>
        <v>4640.4458899999972</v>
      </c>
      <c r="AE1821" s="106">
        <f>SUMIF($AS:$AS,$AT1821,AE:AE)</f>
        <v>4073.2691399999976</v>
      </c>
      <c r="AF1821" s="106">
        <f>SUMIF($AS:$AS,$AT1821,AF:AF)</f>
        <v>3681.0199799999978</v>
      </c>
      <c r="AG1821" s="106">
        <f>SUMIF($AS:$AS,$AT1821,AG:AG)</f>
        <v>4752.1538799999989</v>
      </c>
      <c r="AH1821" s="106">
        <f>SUMIF($AS:$AS,$AT1821,AH:AH)</f>
        <v>4184.3409599999977</v>
      </c>
      <c r="AI1821" s="106">
        <f>SUMIF($AS:$AS,$AT1821,AI:AI)</f>
        <v>4322.5569099999984</v>
      </c>
      <c r="AJ1821" s="106">
        <f>SUMIF($AS:$AS,$AT1821,AJ:AJ)</f>
        <v>3851.3724099999986</v>
      </c>
      <c r="AK1821" s="106">
        <f>SUMIF($AS:$AS,$AT1821,AK:AK)</f>
        <v>3359.995939999998</v>
      </c>
      <c r="AL1821" s="106">
        <f>SUMIF($AS:$AS,$AT1821,AL:AL)</f>
        <v>2788.9612599999982</v>
      </c>
      <c r="AM1821" s="106">
        <f>SUMIF($AS:$AS,$AT1821,AM:AM)</f>
        <v>2364.8060399999981</v>
      </c>
      <c r="AN1821" s="106">
        <f>SUMIF($AS:$AS,$AT1821,AN:AN)</f>
        <v>3790.426379999999</v>
      </c>
      <c r="AO1821" s="106">
        <f>SUMIF($AS:$AS,$AT1821,AO:AO)</f>
        <v>4401.0598999999984</v>
      </c>
      <c r="AP1821" s="264"/>
      <c r="AQ1821" s="264"/>
      <c r="AR1821" s="264"/>
      <c r="AS1821" s="286"/>
      <c r="AT1821" s="248" t="str">
        <f t="shared" si="657"/>
        <v>N10Economic DevelopmentNCR</v>
      </c>
    </row>
    <row r="1822" spans="1:46">
      <c r="A1822" s="283"/>
      <c r="B1822" s="283"/>
      <c r="C1822" s="256" t="s">
        <v>593</v>
      </c>
      <c r="D1822" s="277"/>
      <c r="E1822" s="278"/>
      <c r="F1822" s="278"/>
      <c r="G1822" s="264"/>
      <c r="H1822" s="279"/>
      <c r="I1822" s="280"/>
      <c r="J1822" s="280"/>
      <c r="K1822" s="279"/>
      <c r="L1822" s="278"/>
      <c r="M1822" s="279"/>
      <c r="N1822" s="281"/>
      <c r="O1822" s="281"/>
      <c r="P1822" s="278"/>
      <c r="Q1822" s="282"/>
      <c r="R1822" s="279"/>
      <c r="S1822" s="279"/>
      <c r="T1822" s="279"/>
      <c r="U1822" s="106">
        <f>SUMIF($AS:$AS,$AT1822,U:U)</f>
        <v>0</v>
      </c>
      <c r="V1822" s="106">
        <f>SUMIF($AS:$AS,$AT1822,V:V)</f>
        <v>0</v>
      </c>
      <c r="W1822" s="106">
        <f>SUMIF($AS:$AS,$AT1822,W:W)</f>
        <v>0</v>
      </c>
      <c r="X1822" s="106">
        <f>SUMIF($AS:$AS,$AT1822,X:X)</f>
        <v>0</v>
      </c>
      <c r="Y1822" s="106">
        <f>SUMIF($AS:$AS,$AT1822,Y:Y)</f>
        <v>0</v>
      </c>
      <c r="Z1822" s="106">
        <f>SUMIF($AS:$AS,$AT1822,Z:Z)</f>
        <v>0</v>
      </c>
      <c r="AA1822" s="106">
        <f>SUMIF($AS:$AS,$AT1822,AA:AA)</f>
        <v>0</v>
      </c>
      <c r="AB1822" s="106">
        <f>SUMIF($AS:$AS,$AT1822,AB:AB)</f>
        <v>0</v>
      </c>
      <c r="AC1822" s="106">
        <f>SUMIF($AS:$AS,$AT1822,AC:AC)</f>
        <v>0</v>
      </c>
      <c r="AD1822" s="106">
        <f>SUMIF($AS:$AS,$AT1822,AD:AD)</f>
        <v>0</v>
      </c>
      <c r="AE1822" s="106">
        <f>SUMIF($AS:$AS,$AT1822,AE:AE)</f>
        <v>0</v>
      </c>
      <c r="AF1822" s="106">
        <f>SUMIF($AS:$AS,$AT1822,AF:AF)</f>
        <v>0</v>
      </c>
      <c r="AG1822" s="106">
        <f>SUMIF($AS:$AS,$AT1822,AG:AG)</f>
        <v>0</v>
      </c>
      <c r="AH1822" s="106">
        <f>SUMIF($AS:$AS,$AT1822,AH:AH)</f>
        <v>0</v>
      </c>
      <c r="AI1822" s="106">
        <f>SUMIF($AS:$AS,$AT1822,AI:AI)</f>
        <v>0</v>
      </c>
      <c r="AJ1822" s="106">
        <f>SUMIF($AS:$AS,$AT1822,AJ:AJ)</f>
        <v>0</v>
      </c>
      <c r="AK1822" s="106">
        <f>SUMIF($AS:$AS,$AT1822,AK:AK)</f>
        <v>0</v>
      </c>
      <c r="AL1822" s="106">
        <f>SUMIF($AS:$AS,$AT1822,AL:AL)</f>
        <v>0</v>
      </c>
      <c r="AM1822" s="106">
        <f>SUMIF($AS:$AS,$AT1822,AM:AM)</f>
        <v>0</v>
      </c>
      <c r="AN1822" s="106">
        <f>SUMIF($AS:$AS,$AT1822,AN:AN)</f>
        <v>0</v>
      </c>
      <c r="AO1822" s="106">
        <f>SUMIF($AS:$AS,$AT1822,AO:AO)</f>
        <v>0</v>
      </c>
      <c r="AP1822" s="264"/>
      <c r="AQ1822" s="264"/>
      <c r="AR1822" s="264"/>
      <c r="AS1822" s="286"/>
      <c r="AT1822" s="248" t="str">
        <f t="shared" si="657"/>
        <v>N10Energy EfficiencyNCR</v>
      </c>
    </row>
    <row r="1823" spans="1:46">
      <c r="A1823" s="283"/>
      <c r="B1823" s="283"/>
      <c r="C1823" s="256" t="s">
        <v>1718</v>
      </c>
      <c r="D1823" s="277"/>
      <c r="E1823" s="278"/>
      <c r="F1823" s="278"/>
      <c r="G1823" s="264"/>
      <c r="H1823" s="279"/>
      <c r="I1823" s="280"/>
      <c r="J1823" s="280"/>
      <c r="K1823" s="279"/>
      <c r="L1823" s="278"/>
      <c r="M1823" s="279"/>
      <c r="N1823" s="281"/>
      <c r="O1823" s="281"/>
      <c r="P1823" s="278"/>
      <c r="Q1823" s="282"/>
      <c r="R1823" s="279"/>
      <c r="S1823" s="279"/>
      <c r="T1823" s="279"/>
      <c r="U1823" s="106">
        <f>SUMIF($AS:$AS,$AT1823,U:U)</f>
        <v>0</v>
      </c>
      <c r="V1823" s="106">
        <f>SUMIF($AS:$AS,$AT1823,V:V)</f>
        <v>0</v>
      </c>
      <c r="W1823" s="106">
        <f>SUMIF($AS:$AS,$AT1823,W:W)</f>
        <v>-3447.0987874999973</v>
      </c>
      <c r="X1823" s="106">
        <f>SUMIF($AS:$AS,$AT1823,X:X)</f>
        <v>-3447.0987874999973</v>
      </c>
      <c r="Y1823" s="106">
        <f>SUMIF($AS:$AS,$AT1823,Y:Y)</f>
        <v>0</v>
      </c>
      <c r="Z1823" s="106">
        <f>SUMIF($AS:$AS,$AT1823,Z:Z)</f>
        <v>0</v>
      </c>
      <c r="AA1823" s="106">
        <f>SUMIF($AS:$AS,$AT1823,AA:AA)</f>
        <v>-9609.4330599999994</v>
      </c>
      <c r="AB1823" s="106">
        <f>SUMIF($AS:$AS,$AT1823,AB:AB)</f>
        <v>-9609.4330599999994</v>
      </c>
      <c r="AC1823" s="106">
        <f>SUMIF($AS:$AS,$AT1823,AC:AC)</f>
        <v>0</v>
      </c>
      <c r="AD1823" s="106">
        <f>SUMIF($AS:$AS,$AT1823,AD:AD)</f>
        <v>0</v>
      </c>
      <c r="AE1823" s="106">
        <f>SUMIF($AS:$AS,$AT1823,AE:AE)</f>
        <v>0</v>
      </c>
      <c r="AF1823" s="106">
        <f>SUMIF($AS:$AS,$AT1823,AF:AF)</f>
        <v>0</v>
      </c>
      <c r="AG1823" s="106">
        <f>SUMIF($AS:$AS,$AT1823,AG:AG)</f>
        <v>0</v>
      </c>
      <c r="AH1823" s="106">
        <f>SUMIF($AS:$AS,$AT1823,AH:AH)</f>
        <v>0</v>
      </c>
      <c r="AI1823" s="106">
        <f>SUMIF($AS:$AS,$AT1823,AI:AI)</f>
        <v>0</v>
      </c>
      <c r="AJ1823" s="106">
        <f>SUMIF($AS:$AS,$AT1823,AJ:AJ)</f>
        <v>0</v>
      </c>
      <c r="AK1823" s="106">
        <f>SUMIF($AS:$AS,$AT1823,AK:AK)</f>
        <v>-8632.2102299999988</v>
      </c>
      <c r="AL1823" s="106">
        <f>SUMIF($AS:$AS,$AT1823,AL:AL)</f>
        <v>-9021.3956499999986</v>
      </c>
      <c r="AM1823" s="106">
        <f>SUMIF($AS:$AS,$AT1823,AM:AM)</f>
        <v>-9322.2818100000022</v>
      </c>
      <c r="AN1823" s="106">
        <f>SUMIF($AS:$AS,$AT1823,AN:AN)</f>
        <v>-9584.5812300000034</v>
      </c>
      <c r="AO1823" s="106">
        <f>SUMIF($AS:$AS,$AT1823,AO:AO)</f>
        <v>-9609.4330599999994</v>
      </c>
      <c r="AP1823" s="264"/>
      <c r="AQ1823" s="264"/>
      <c r="AR1823" s="264"/>
      <c r="AS1823" s="286"/>
      <c r="AT1823" s="248" t="str">
        <f>CONCATENATE("N10",C1823,"NCR")</f>
        <v>N10Energy Efficiency Portfolio StandardNCR</v>
      </c>
    </row>
    <row r="1824" spans="1:46">
      <c r="A1824" s="283"/>
      <c r="B1824" s="283"/>
      <c r="C1824" s="256" t="s">
        <v>2369</v>
      </c>
      <c r="D1824" s="277"/>
      <c r="E1824" s="278"/>
      <c r="F1824" s="278"/>
      <c r="G1824" s="264"/>
      <c r="H1824" s="279"/>
      <c r="I1824" s="280"/>
      <c r="J1824" s="280"/>
      <c r="K1824" s="279"/>
      <c r="L1824" s="278"/>
      <c r="M1824" s="279"/>
      <c r="N1824" s="281"/>
      <c r="O1824" s="281"/>
      <c r="P1824" s="278"/>
      <c r="Q1824" s="282"/>
      <c r="R1824" s="279"/>
      <c r="S1824" s="279"/>
      <c r="T1824" s="279"/>
      <c r="U1824" s="106">
        <f>SUMIF($AS:$AS,$AT1824,U:U)</f>
        <v>0</v>
      </c>
      <c r="V1824" s="106">
        <f>SUMIF($AS:$AS,$AT1824,V:V)</f>
        <v>0</v>
      </c>
      <c r="W1824" s="106">
        <f>SUMIF($AS:$AS,$AT1824,W:W)</f>
        <v>-59865.719404999974</v>
      </c>
      <c r="X1824" s="106">
        <f>SUMIF($AS:$AS,$AT1824,X:X)</f>
        <v>-59865.719404999974</v>
      </c>
      <c r="Y1824" s="106">
        <f>SUMIF($AS:$AS,$AT1824,Y:Y)</f>
        <v>0</v>
      </c>
      <c r="Z1824" s="106">
        <f>SUMIF($AS:$AS,$AT1824,Z:Z)</f>
        <v>0</v>
      </c>
      <c r="AA1824" s="106">
        <f>SUMIF($AS:$AS,$AT1824,AA:AA)</f>
        <v>-56804.920140000002</v>
      </c>
      <c r="AB1824" s="106">
        <f>SUMIF($AS:$AS,$AT1824,AB:AB)</f>
        <v>-56804.920140000002</v>
      </c>
      <c r="AC1824" s="106">
        <f>SUMIF($AS:$AS,$AT1824,AC:AC)</f>
        <v>-56213.125260000001</v>
      </c>
      <c r="AD1824" s="106">
        <f>SUMIF($AS:$AS,$AT1824,AD:AD)</f>
        <v>-57161.025780000004</v>
      </c>
      <c r="AE1824" s="106">
        <f>SUMIF($AS:$AS,$AT1824,AE:AE)</f>
        <v>-59287.718680000005</v>
      </c>
      <c r="AF1824" s="106">
        <f>SUMIF($AS:$AS,$AT1824,AF:AF)</f>
        <v>-59804.355040000009</v>
      </c>
      <c r="AG1824" s="106">
        <f>SUMIF($AS:$AS,$AT1824,AG:AG)</f>
        <v>-60419.921710000002</v>
      </c>
      <c r="AH1824" s="106">
        <f>SUMIF($AS:$AS,$AT1824,AH:AH)</f>
        <v>-61228.726649999997</v>
      </c>
      <c r="AI1824" s="106">
        <f>SUMIF($AS:$AS,$AT1824,AI:AI)</f>
        <v>-61478.046669999996</v>
      </c>
      <c r="AJ1824" s="106">
        <f>SUMIF($AS:$AS,$AT1824,AJ:AJ)</f>
        <v>-61466.228180000006</v>
      </c>
      <c r="AK1824" s="106">
        <f>SUMIF($AS:$AS,$AT1824,AK:AK)</f>
        <v>-61729.969490000003</v>
      </c>
      <c r="AL1824" s="106">
        <f>SUMIF($AS:$AS,$AT1824,AL:AL)</f>
        <v>-61373.493009999998</v>
      </c>
      <c r="AM1824" s="106">
        <f>SUMIF($AS:$AS,$AT1824,AM:AM)</f>
        <v>-60789.841979999997</v>
      </c>
      <c r="AN1824" s="106">
        <f>SUMIF($AS:$AS,$AT1824,AN:AN)</f>
        <v>-57140.28297</v>
      </c>
      <c r="AO1824" s="106">
        <f>SUMIF($AS:$AS,$AT1824,AO:AO)</f>
        <v>-56804.920140000002</v>
      </c>
      <c r="AP1824" s="264"/>
      <c r="AQ1824" s="264"/>
      <c r="AR1824" s="264"/>
      <c r="AS1824" s="286"/>
      <c r="AT1824" s="248" t="str">
        <f>CONCATENATE("N10",C1824,"NCR")</f>
        <v>N10EnvironmentalNCR</v>
      </c>
    </row>
    <row r="1825" spans="1:46">
      <c r="A1825" s="283"/>
      <c r="B1825" s="283"/>
      <c r="C1825" s="256" t="s">
        <v>620</v>
      </c>
      <c r="D1825" s="277"/>
      <c r="E1825" s="278"/>
      <c r="F1825" s="278"/>
      <c r="G1825" s="264"/>
      <c r="H1825" s="279"/>
      <c r="I1825" s="280"/>
      <c r="J1825" s="280"/>
      <c r="K1825" s="279"/>
      <c r="L1825" s="278"/>
      <c r="M1825" s="279"/>
      <c r="N1825" s="281"/>
      <c r="O1825" s="281"/>
      <c r="P1825" s="278"/>
      <c r="Q1825" s="282"/>
      <c r="R1825" s="279"/>
      <c r="S1825" s="279"/>
      <c r="T1825" s="279"/>
      <c r="U1825" s="106">
        <f>SUMIF($AS:$AS,$AT1825,U:U)</f>
        <v>0</v>
      </c>
      <c r="V1825" s="106">
        <f>SUMIF($AS:$AS,$AT1825,V:V)</f>
        <v>0</v>
      </c>
      <c r="W1825" s="106">
        <f>SUMIF($AS:$AS,$AT1825,W:W)</f>
        <v>-1.5147704166630382</v>
      </c>
      <c r="X1825" s="106">
        <f>SUMIF($AS:$AS,$AT1825,X:X)</f>
        <v>-1.5147704166630382</v>
      </c>
      <c r="Y1825" s="106">
        <f>SUMIF($AS:$AS,$AT1825,Y:Y)</f>
        <v>0</v>
      </c>
      <c r="Z1825" s="106">
        <f>SUMIF($AS:$AS,$AT1825,Z:Z)</f>
        <v>0</v>
      </c>
      <c r="AA1825" s="106">
        <f>SUMIF($AS:$AS,$AT1825,AA:AA)</f>
        <v>-21.8935499999995</v>
      </c>
      <c r="AB1825" s="106">
        <f>SUMIF($AS:$AS,$AT1825,AB:AB)</f>
        <v>-21.893549999999497</v>
      </c>
      <c r="AC1825" s="106">
        <f>SUMIF($AS:$AS,$AT1825,AC:AC)</f>
        <v>161.34254000000092</v>
      </c>
      <c r="AD1825" s="106">
        <f>SUMIF($AS:$AS,$AT1825,AD:AD)</f>
        <v>86.921980000001128</v>
      </c>
      <c r="AE1825" s="106">
        <f>SUMIF($AS:$AS,$AT1825,AE:AE)</f>
        <v>21.210590000001016</v>
      </c>
      <c r="AF1825" s="106">
        <f>SUMIF($AS:$AS,$AT1825,AF:AF)</f>
        <v>-21.89415999999899</v>
      </c>
      <c r="AG1825" s="106">
        <f>SUMIF($AS:$AS,$AT1825,AG:AG)</f>
        <v>-21.893149999999039</v>
      </c>
      <c r="AH1825" s="106">
        <f>SUMIF($AS:$AS,$AT1825,AH:AH)</f>
        <v>-21.893549999999042</v>
      </c>
      <c r="AI1825" s="106">
        <f>SUMIF($AS:$AS,$AT1825,AI:AI)</f>
        <v>-21.893549999999042</v>
      </c>
      <c r="AJ1825" s="106">
        <f>SUMIF($AS:$AS,$AT1825,AJ:AJ)</f>
        <v>-20.88569999999908</v>
      </c>
      <c r="AK1825" s="106">
        <f>SUMIF($AS:$AS,$AT1825,AK:AK)</f>
        <v>-21.893549999999042</v>
      </c>
      <c r="AL1825" s="106">
        <f>SUMIF($AS:$AS,$AT1825,AL:AL)</f>
        <v>-21.893549999999497</v>
      </c>
      <c r="AM1825" s="106">
        <f>SUMIF($AS:$AS,$AT1825,AM:AM)</f>
        <v>-21.893549999999497</v>
      </c>
      <c r="AN1825" s="106">
        <f>SUMIF($AS:$AS,$AT1825,AN:AN)</f>
        <v>-21.893549999999497</v>
      </c>
      <c r="AO1825" s="106">
        <f>SUMIF($AS:$AS,$AT1825,AO:AO)</f>
        <v>-21.893549999999497</v>
      </c>
      <c r="AP1825" s="264"/>
      <c r="AQ1825" s="264"/>
      <c r="AR1825" s="264"/>
      <c r="AS1825" s="286"/>
      <c r="AT1825" s="248" t="str">
        <f>CONCATENATE("N10",C1825,"NCR")</f>
        <v>N10FloodNCR</v>
      </c>
    </row>
    <row r="1826" spans="1:46">
      <c r="A1826" s="283"/>
      <c r="B1826" s="283"/>
      <c r="C1826" s="256" t="s">
        <v>2768</v>
      </c>
      <c r="D1826" s="277"/>
      <c r="E1826" s="278"/>
      <c r="F1826" s="278"/>
      <c r="G1826" s="264"/>
      <c r="H1826" s="279"/>
      <c r="I1826" s="280"/>
      <c r="J1826" s="280"/>
      <c r="K1826" s="279"/>
      <c r="L1826" s="278"/>
      <c r="M1826" s="279"/>
      <c r="N1826" s="281"/>
      <c r="O1826" s="281"/>
      <c r="P1826" s="278"/>
      <c r="Q1826" s="282"/>
      <c r="R1826" s="279"/>
      <c r="S1826" s="279"/>
      <c r="T1826" s="279"/>
      <c r="U1826" s="106">
        <f>SUMIF($AS:$AS,$AT1826,U:U)</f>
        <v>0</v>
      </c>
      <c r="V1826" s="106">
        <f>SUMIF($AS:$AS,$AT1826,V:V)</f>
        <v>0</v>
      </c>
      <c r="W1826" s="106">
        <f>SUMIF($AS:$AS,$AT1826,W:W)</f>
        <v>0</v>
      </c>
      <c r="X1826" s="106">
        <f>SUMIF($AS:$AS,$AT1826,X:X)</f>
        <v>0</v>
      </c>
      <c r="Y1826" s="106">
        <f>SUMIF($AS:$AS,$AT1826,Y:Y)</f>
        <v>0</v>
      </c>
      <c r="Z1826" s="106">
        <f>SUMIF($AS:$AS,$AT1826,Z:Z)</f>
        <v>0</v>
      </c>
      <c r="AA1826" s="106">
        <f>SUMIF($AS:$AS,$AT1826,AA:AA)</f>
        <v>0</v>
      </c>
      <c r="AB1826" s="106">
        <f>SUMIF($AS:$AS,$AT1826,AB:AB)</f>
        <v>0</v>
      </c>
      <c r="AC1826" s="106">
        <f>SUMIF($AS:$AS,$AT1826,AC:AC)</f>
        <v>0</v>
      </c>
      <c r="AD1826" s="106">
        <f>SUMIF($AS:$AS,$AT1826,AD:AD)</f>
        <v>0</v>
      </c>
      <c r="AE1826" s="106">
        <f>SUMIF($AS:$AS,$AT1826,AE:AE)</f>
        <v>0</v>
      </c>
      <c r="AF1826" s="106">
        <f>SUMIF($AS:$AS,$AT1826,AF:AF)</f>
        <v>0</v>
      </c>
      <c r="AG1826" s="106">
        <f>SUMIF($AS:$AS,$AT1826,AG:AG)</f>
        <v>0</v>
      </c>
      <c r="AH1826" s="106">
        <f>SUMIF($AS:$AS,$AT1826,AH:AH)</f>
        <v>0</v>
      </c>
      <c r="AI1826" s="106">
        <f>SUMIF($AS:$AS,$AT1826,AI:AI)</f>
        <v>0</v>
      </c>
      <c r="AJ1826" s="106">
        <f>SUMIF($AS:$AS,$AT1826,AJ:AJ)</f>
        <v>0</v>
      </c>
      <c r="AK1826" s="106">
        <f>SUMIF($AS:$AS,$AT1826,AK:AK)</f>
        <v>0</v>
      </c>
      <c r="AL1826" s="106">
        <f>SUMIF($AS:$AS,$AT1826,AL:AL)</f>
        <v>0</v>
      </c>
      <c r="AM1826" s="106">
        <f>SUMIF($AS:$AS,$AT1826,AM:AM)</f>
        <v>0</v>
      </c>
      <c r="AN1826" s="106">
        <f>SUMIF($AS:$AS,$AT1826,AN:AN)</f>
        <v>0</v>
      </c>
      <c r="AO1826" s="106">
        <f>SUMIF($AS:$AS,$AT1826,AO:AO)</f>
        <v>0</v>
      </c>
      <c r="AP1826" s="264"/>
      <c r="AQ1826" s="264"/>
      <c r="AR1826" s="264"/>
      <c r="AS1826" s="286"/>
      <c r="AT1826" s="248" t="str">
        <f>CONCATENATE("N10",C1826,"NCR")</f>
        <v>N10Gas Bill MitigationNCR</v>
      </c>
    </row>
    <row r="1827" spans="1:46">
      <c r="A1827" s="283"/>
      <c r="B1827" s="283"/>
      <c r="C1827" s="256" t="s">
        <v>2522</v>
      </c>
      <c r="D1827" s="277"/>
      <c r="E1827" s="278"/>
      <c r="F1827" s="278"/>
      <c r="G1827" s="264"/>
      <c r="H1827" s="279"/>
      <c r="I1827" s="280"/>
      <c r="J1827" s="280"/>
      <c r="K1827" s="279"/>
      <c r="L1827" s="278"/>
      <c r="M1827" s="279"/>
      <c r="N1827" s="281"/>
      <c r="O1827" s="281"/>
      <c r="P1827" s="278"/>
      <c r="Q1827" s="282"/>
      <c r="R1827" s="279"/>
      <c r="S1827" s="279"/>
      <c r="T1827" s="279"/>
      <c r="U1827" s="106">
        <f>SUMIF($AS:$AS,$AT1827,U:U)</f>
        <v>0</v>
      </c>
      <c r="V1827" s="106">
        <f>SUMIF($AS:$AS,$AT1827,V:V)</f>
        <v>0</v>
      </c>
      <c r="W1827" s="106">
        <f>SUMIF($AS:$AS,$AT1827,W:W)</f>
        <v>-7.1817162499998446</v>
      </c>
      <c r="X1827" s="106">
        <f>SUMIF($AS:$AS,$AT1827,X:X)</f>
        <v>-7.1817162499998446</v>
      </c>
      <c r="Y1827" s="106">
        <f>SUMIF($AS:$AS,$AT1827,Y:Y)</f>
        <v>0</v>
      </c>
      <c r="Z1827" s="106">
        <f>SUMIF($AS:$AS,$AT1827,Z:Z)</f>
        <v>0</v>
      </c>
      <c r="AA1827" s="106">
        <f>SUMIF($AS:$AS,$AT1827,AA:AA)</f>
        <v>-48.347939999999952</v>
      </c>
      <c r="AB1827" s="106">
        <f>SUMIF($AS:$AS,$AT1827,AB:AB)</f>
        <v>-48.347939999999724</v>
      </c>
      <c r="AC1827" s="106">
        <f>SUMIF($AS:$AS,$AT1827,AC:AC)</f>
        <v>46.984690000000263</v>
      </c>
      <c r="AD1827" s="106">
        <f>SUMIF($AS:$AS,$AT1827,AD:AD)</f>
        <v>29.128160000000342</v>
      </c>
      <c r="AE1827" s="106">
        <f>SUMIF($AS:$AS,$AT1827,AE:AE)</f>
        <v>13.444760000000217</v>
      </c>
      <c r="AF1827" s="106">
        <f>SUMIF($AS:$AS,$AT1827,AF:AF)</f>
        <v>1.8984500000001869</v>
      </c>
      <c r="AG1827" s="106">
        <f>SUMIF($AS:$AS,$AT1827,AG:AG)</f>
        <v>-2.1473899999996564</v>
      </c>
      <c r="AH1827" s="106">
        <f>SUMIF($AS:$AS,$AT1827,AH:AH)</f>
        <v>-9.217369999999816</v>
      </c>
      <c r="AI1827" s="106">
        <f>SUMIF($AS:$AS,$AT1827,AI:AI)</f>
        <v>-11.420569999999829</v>
      </c>
      <c r="AJ1827" s="106">
        <f>SUMIF($AS:$AS,$AT1827,AJ:AJ)</f>
        <v>-14.231889999999806</v>
      </c>
      <c r="AK1827" s="106">
        <f>SUMIF($AS:$AS,$AT1827,AK:AK)</f>
        <v>-16.687039999999705</v>
      </c>
      <c r="AL1827" s="106">
        <f>SUMIF($AS:$AS,$AT1827,AL:AL)</f>
        <v>-19.567729999999802</v>
      </c>
      <c r="AM1827" s="106">
        <f>SUMIF($AS:$AS,$AT1827,AM:AM)</f>
        <v>-22.806779999999645</v>
      </c>
      <c r="AN1827" s="106">
        <f>SUMIF($AS:$AS,$AT1827,AN:AN)</f>
        <v>-33.891569999999682</v>
      </c>
      <c r="AO1827" s="106">
        <f>SUMIF($AS:$AS,$AT1827,AO:AO)</f>
        <v>-48.347939999999724</v>
      </c>
      <c r="AP1827" s="264"/>
      <c r="AQ1827" s="264"/>
      <c r="AR1827" s="264"/>
      <c r="AS1827" s="286"/>
      <c r="AT1827" s="248" t="str">
        <f>CONCATENATE("N10",C1827,"NCR")</f>
        <v>N10Gas Main IntegrityNCR</v>
      </c>
    </row>
    <row r="1828" spans="1:46">
      <c r="A1828" s="283"/>
      <c r="B1828" s="283"/>
      <c r="C1828" s="256" t="s">
        <v>539</v>
      </c>
      <c r="D1828" s="277"/>
      <c r="E1828" s="278"/>
      <c r="F1828" s="278"/>
      <c r="G1828" s="264"/>
      <c r="H1828" s="279"/>
      <c r="I1828" s="280"/>
      <c r="J1828" s="280"/>
      <c r="K1828" s="279"/>
      <c r="L1828" s="278"/>
      <c r="M1828" s="279"/>
      <c r="N1828" s="281"/>
      <c r="O1828" s="281"/>
      <c r="P1828" s="278"/>
      <c r="Q1828" s="282"/>
      <c r="R1828" s="279"/>
      <c r="S1828" s="279"/>
      <c r="T1828" s="279"/>
      <c r="U1828" s="106">
        <f>SUMIF($AS:$AS,$AT1828,U:U)</f>
        <v>0</v>
      </c>
      <c r="V1828" s="106">
        <f>SUMIF($AS:$AS,$AT1828,V:V)</f>
        <v>0</v>
      </c>
      <c r="W1828" s="106">
        <f>SUMIF($AS:$AS,$AT1828,W:W)</f>
        <v>0</v>
      </c>
      <c r="X1828" s="106">
        <f>SUMIF($AS:$AS,$AT1828,X:X)</f>
        <v>0</v>
      </c>
      <c r="Y1828" s="106">
        <f>SUMIF($AS:$AS,$AT1828,Y:Y)</f>
        <v>0</v>
      </c>
      <c r="Z1828" s="106">
        <f>SUMIF($AS:$AS,$AT1828,Z:Z)</f>
        <v>0</v>
      </c>
      <c r="AA1828" s="106">
        <f>SUMIF($AS:$AS,$AT1828,AA:AA)</f>
        <v>0</v>
      </c>
      <c r="AB1828" s="106">
        <f>SUMIF($AS:$AS,$AT1828,AB:AB)</f>
        <v>0</v>
      </c>
      <c r="AC1828" s="106">
        <f>SUMIF($AS:$AS,$AT1828,AC:AC)</f>
        <v>0</v>
      </c>
      <c r="AD1828" s="106">
        <f>SUMIF($AS:$AS,$AT1828,AD:AD)</f>
        <v>0</v>
      </c>
      <c r="AE1828" s="106">
        <f>SUMIF($AS:$AS,$AT1828,AE:AE)</f>
        <v>0</v>
      </c>
      <c r="AF1828" s="106">
        <f>SUMIF($AS:$AS,$AT1828,AF:AF)</f>
        <v>0</v>
      </c>
      <c r="AG1828" s="106">
        <f>SUMIF($AS:$AS,$AT1828,AG:AG)</f>
        <v>0</v>
      </c>
      <c r="AH1828" s="106">
        <f>SUMIF($AS:$AS,$AT1828,AH:AH)</f>
        <v>0</v>
      </c>
      <c r="AI1828" s="106">
        <f>SUMIF($AS:$AS,$AT1828,AI:AI)</f>
        <v>0</v>
      </c>
      <c r="AJ1828" s="106">
        <f>SUMIF($AS:$AS,$AT1828,AJ:AJ)</f>
        <v>0</v>
      </c>
      <c r="AK1828" s="106">
        <f>SUMIF($AS:$AS,$AT1828,AK:AK)</f>
        <v>0</v>
      </c>
      <c r="AL1828" s="106">
        <f>SUMIF($AS:$AS,$AT1828,AL:AL)</f>
        <v>0</v>
      </c>
      <c r="AM1828" s="106">
        <f>SUMIF($AS:$AS,$AT1828,AM:AM)</f>
        <v>0</v>
      </c>
      <c r="AN1828" s="106">
        <f>SUMIF($AS:$AS,$AT1828,AN:AN)</f>
        <v>0</v>
      </c>
      <c r="AO1828" s="106">
        <f>SUMIF($AS:$AS,$AT1828,AO:AO)</f>
        <v>0</v>
      </c>
      <c r="AP1828" s="264"/>
      <c r="AQ1828" s="264"/>
      <c r="AR1828" s="264"/>
      <c r="AS1828" s="286"/>
      <c r="AT1828" s="248" t="str">
        <f t="shared" ref="AT1828:AT1860" si="658">CONCATENATE("N10",C1828,"NCR")</f>
        <v>N10Inc Tax on Lower Book Depr Exp vs. Amt in RatesNCR</v>
      </c>
    </row>
    <row r="1829" spans="1:46">
      <c r="A1829" s="283"/>
      <c r="B1829" s="283"/>
      <c r="C1829" s="256" t="s">
        <v>1078</v>
      </c>
      <c r="D1829" s="277"/>
      <c r="E1829" s="278"/>
      <c r="F1829" s="278"/>
      <c r="G1829" s="264"/>
      <c r="H1829" s="279"/>
      <c r="I1829" s="280"/>
      <c r="J1829" s="280"/>
      <c r="K1829" s="279"/>
      <c r="L1829" s="278"/>
      <c r="M1829" s="279"/>
      <c r="N1829" s="281"/>
      <c r="O1829" s="281"/>
      <c r="P1829" s="278"/>
      <c r="Q1829" s="282"/>
      <c r="R1829" s="279"/>
      <c r="S1829" s="279"/>
      <c r="T1829" s="279"/>
      <c r="U1829" s="106">
        <f>SUMIF($AS:$AS,$AT1829,U:U)</f>
        <v>0</v>
      </c>
      <c r="V1829" s="106">
        <f>SUMIF($AS:$AS,$AT1829,V:V)</f>
        <v>0</v>
      </c>
      <c r="W1829" s="106">
        <f>SUMIF($AS:$AS,$AT1829,W:W)</f>
        <v>-256.16784749999971</v>
      </c>
      <c r="X1829" s="106">
        <f>SUMIF($AS:$AS,$AT1829,X:X)</f>
        <v>-256.16784749999971</v>
      </c>
      <c r="Y1829" s="106">
        <f>SUMIF($AS:$AS,$AT1829,Y:Y)</f>
        <v>0</v>
      </c>
      <c r="Z1829" s="106">
        <f>SUMIF($AS:$AS,$AT1829,Z:Z)</f>
        <v>0</v>
      </c>
      <c r="AA1829" s="106">
        <f>SUMIF($AS:$AS,$AT1829,AA:AA)</f>
        <v>-19.56531000000026</v>
      </c>
      <c r="AB1829" s="106">
        <f>SUMIF($AS:$AS,$AT1829,AB:AB)</f>
        <v>-19.565310000000203</v>
      </c>
      <c r="AC1829" s="106">
        <f>SUMIF($AS:$AS,$AT1829,AC:AC)</f>
        <v>-19.378090000000153</v>
      </c>
      <c r="AD1829" s="106">
        <f>SUMIF($AS:$AS,$AT1829,AD:AD)</f>
        <v>-228.13507000000021</v>
      </c>
      <c r="AE1829" s="106">
        <f>SUMIF($AS:$AS,$AT1829,AE:AE)</f>
        <v>-430.80546000000015</v>
      </c>
      <c r="AF1829" s="106">
        <f>SUMIF($AS:$AS,$AT1829,AF:AF)</f>
        <v>-532.38371000000029</v>
      </c>
      <c r="AG1829" s="106">
        <f>SUMIF($AS:$AS,$AT1829,AG:AG)</f>
        <v>-653.80631000000039</v>
      </c>
      <c r="AH1829" s="106">
        <f>SUMIF($AS:$AS,$AT1829,AH:AH)</f>
        <v>-252.98328000000029</v>
      </c>
      <c r="AI1829" s="106">
        <f>SUMIF($AS:$AS,$AT1829,AI:AI)</f>
        <v>-370.99047000000024</v>
      </c>
      <c r="AJ1829" s="106">
        <f>SUMIF($AS:$AS,$AT1829,AJ:AJ)</f>
        <v>-113.3315000000002</v>
      </c>
      <c r="AK1829" s="106">
        <f>SUMIF($AS:$AS,$AT1829,AK:AK)</f>
        <v>-145.25535000000025</v>
      </c>
      <c r="AL1829" s="106">
        <f>SUMIF($AS:$AS,$AT1829,AL:AL)</f>
        <v>-76.347900000000223</v>
      </c>
      <c r="AM1829" s="106">
        <f>SUMIF($AS:$AS,$AT1829,AM:AM)</f>
        <v>-111.50236000000024</v>
      </c>
      <c r="AN1829" s="106">
        <f>SUMIF($AS:$AS,$AT1829,AN:AN)</f>
        <v>-139.00106000000025</v>
      </c>
      <c r="AO1829" s="106">
        <f>SUMIF($AS:$AS,$AT1829,AO:AO)</f>
        <v>-19.565310000000203</v>
      </c>
      <c r="AP1829" s="264"/>
      <c r="AQ1829" s="264"/>
      <c r="AR1829" s="264"/>
      <c r="AS1829" s="286"/>
      <c r="AT1829" s="248" t="str">
        <f t="shared" si="658"/>
        <v>N10Incremental MaintenanceNCR</v>
      </c>
    </row>
    <row r="1830" spans="1:46">
      <c r="A1830" s="283"/>
      <c r="B1830" s="283"/>
      <c r="C1830" s="256" t="s">
        <v>594</v>
      </c>
      <c r="D1830" s="277"/>
      <c r="E1830" s="278"/>
      <c r="F1830" s="278"/>
      <c r="G1830" s="264"/>
      <c r="H1830" s="279"/>
      <c r="I1830" s="280"/>
      <c r="J1830" s="280"/>
      <c r="K1830" s="279"/>
      <c r="L1830" s="278"/>
      <c r="M1830" s="279"/>
      <c r="N1830" s="281"/>
      <c r="O1830" s="281"/>
      <c r="P1830" s="278"/>
      <c r="Q1830" s="282"/>
      <c r="R1830" s="279"/>
      <c r="S1830" s="279"/>
      <c r="T1830" s="279"/>
      <c r="U1830" s="106">
        <f>SUMIF($AS:$AS,$AT1830,U:U)</f>
        <v>0</v>
      </c>
      <c r="V1830" s="106">
        <f>SUMIF($AS:$AS,$AT1830,V:V)</f>
        <v>0</v>
      </c>
      <c r="W1830" s="106">
        <f>SUMIF($AS:$AS,$AT1830,W:W)</f>
        <v>44.391045833333337</v>
      </c>
      <c r="X1830" s="106">
        <f>SUMIF($AS:$AS,$AT1830,X:X)</f>
        <v>44.391045833333337</v>
      </c>
      <c r="Y1830" s="106">
        <f>SUMIF($AS:$AS,$AT1830,Y:Y)</f>
        <v>0</v>
      </c>
      <c r="Z1830" s="106">
        <f>SUMIF($AS:$AS,$AT1830,Z:Z)</f>
        <v>0</v>
      </c>
      <c r="AA1830" s="106">
        <f>SUMIF($AS:$AS,$AT1830,AA:AA)</f>
        <v>45.787399999999998</v>
      </c>
      <c r="AB1830" s="106">
        <f>SUMIF($AS:$AS,$AT1830,AB:AB)</f>
        <v>45.787400000000005</v>
      </c>
      <c r="AC1830" s="106">
        <f>SUMIF($AS:$AS,$AT1830,AC:AC)</f>
        <v>43.023180000000004</v>
      </c>
      <c r="AD1830" s="106">
        <f>SUMIF($AS:$AS,$AT1830,AD:AD)</f>
        <v>43.247010000000003</v>
      </c>
      <c r="AE1830" s="106">
        <f>SUMIF($AS:$AS,$AT1830,AE:AE)</f>
        <v>43.472010000000004</v>
      </c>
      <c r="AF1830" s="106">
        <f>SUMIF($AS:$AS,$AT1830,AF:AF)</f>
        <v>43.698180000000001</v>
      </c>
      <c r="AG1830" s="106">
        <f>SUMIF($AS:$AS,$AT1830,AG:AG)</f>
        <v>43.925530000000002</v>
      </c>
      <c r="AH1830" s="106">
        <f>SUMIF($AS:$AS,$AT1830,AH:AH)</f>
        <v>44.154060000000001</v>
      </c>
      <c r="AI1830" s="106">
        <f>SUMIF($AS:$AS,$AT1830,AI:AI)</f>
        <v>44.383780000000002</v>
      </c>
      <c r="AJ1830" s="106">
        <f>SUMIF($AS:$AS,$AT1830,AJ:AJ)</f>
        <v>44.614690000000003</v>
      </c>
      <c r="AK1830" s="106">
        <f>SUMIF($AS:$AS,$AT1830,AK:AK)</f>
        <v>44.846800000000002</v>
      </c>
      <c r="AL1830" s="106">
        <f>SUMIF($AS:$AS,$AT1830,AL:AL)</f>
        <v>45.080120000000001</v>
      </c>
      <c r="AM1830" s="106">
        <f>SUMIF($AS:$AS,$AT1830,AM:AM)</f>
        <v>45.314660000000003</v>
      </c>
      <c r="AN1830" s="106">
        <f>SUMIF($AS:$AS,$AT1830,AN:AN)</f>
        <v>45.550420000000003</v>
      </c>
      <c r="AO1830" s="106">
        <f>SUMIF($AS:$AS,$AT1830,AO:AO)</f>
        <v>45.787400000000005</v>
      </c>
      <c r="AP1830" s="264"/>
      <c r="AQ1830" s="264"/>
      <c r="AR1830" s="264"/>
      <c r="AS1830" s="286"/>
      <c r="AT1830" s="248" t="str">
        <f t="shared" si="658"/>
        <v>N10IRS AuditNCR</v>
      </c>
    </row>
    <row r="1831" spans="1:46">
      <c r="A1831" s="283"/>
      <c r="B1831" s="283"/>
      <c r="C1831" s="256" t="s">
        <v>2833</v>
      </c>
      <c r="D1831" s="277"/>
      <c r="E1831" s="278"/>
      <c r="F1831" s="278"/>
      <c r="G1831" s="264"/>
      <c r="H1831" s="279"/>
      <c r="I1831" s="280"/>
      <c r="J1831" s="280"/>
      <c r="K1831" s="279"/>
      <c r="L1831" s="278"/>
      <c r="M1831" s="279"/>
      <c r="N1831" s="281"/>
      <c r="O1831" s="281"/>
      <c r="P1831" s="278"/>
      <c r="Q1831" s="282"/>
      <c r="R1831" s="279"/>
      <c r="S1831" s="279"/>
      <c r="T1831" s="279"/>
      <c r="U1831" s="106">
        <f>SUMIF($AS:$AS,$AT1831,U:U)</f>
        <v>0</v>
      </c>
      <c r="V1831" s="106">
        <f>SUMIF($AS:$AS,$AT1831,V:V)</f>
        <v>0</v>
      </c>
      <c r="W1831" s="106">
        <f>SUMIF($AS:$AS,$AT1831,W:W)</f>
        <v>5013.4822408333675</v>
      </c>
      <c r="X1831" s="106">
        <f>SUMIF($AS:$AS,$AT1831,X:X)</f>
        <v>5013.4822408333675</v>
      </c>
      <c r="Y1831" s="106">
        <f>SUMIF($AS:$AS,$AT1831,Y:Y)</f>
        <v>0</v>
      </c>
      <c r="Z1831" s="106">
        <f>SUMIF($AS:$AS,$AT1831,Z:Z)</f>
        <v>0</v>
      </c>
      <c r="AA1831" s="106">
        <f>SUMIF($AS:$AS,$AT1831,AA:AA)</f>
        <v>6009.5087099999955</v>
      </c>
      <c r="AB1831" s="106">
        <f>SUMIF($AS:$AS,$AT1831,AB:AB)</f>
        <v>6009.5087099999973</v>
      </c>
      <c r="AC1831" s="106">
        <f>SUMIF($AS:$AS,$AT1831,AC:AC)</f>
        <v>3841.5203299999994</v>
      </c>
      <c r="AD1831" s="106">
        <f>SUMIF($AS:$AS,$AT1831,AD:AD)</f>
        <v>4026.3640499999997</v>
      </c>
      <c r="AE1831" s="106">
        <f>SUMIF($AS:$AS,$AT1831,AE:AE)</f>
        <v>4212.4734599999965</v>
      </c>
      <c r="AF1831" s="106">
        <f>SUMIF($AS:$AS,$AT1831,AF:AF)</f>
        <v>4431.3027200000015</v>
      </c>
      <c r="AG1831" s="106">
        <f>SUMIF($AS:$AS,$AT1831,AG:AG)</f>
        <v>4654.3908499999989</v>
      </c>
      <c r="AH1831" s="106">
        <f>SUMIF($AS:$AS,$AT1831,AH:AH)</f>
        <v>4872.3476999999966</v>
      </c>
      <c r="AI1831" s="106">
        <f>SUMIF($AS:$AS,$AT1831,AI:AI)</f>
        <v>5074.1736799999981</v>
      </c>
      <c r="AJ1831" s="106">
        <f>SUMIF($AS:$AS,$AT1831,AJ:AJ)</f>
        <v>5271.049</v>
      </c>
      <c r="AK1831" s="106">
        <f>SUMIF($AS:$AS,$AT1831,AK:AK)</f>
        <v>5444.9629399999985</v>
      </c>
      <c r="AL1831" s="106">
        <f>SUMIF($AS:$AS,$AT1831,AL:AL)</f>
        <v>5605.3617499999973</v>
      </c>
      <c r="AM1831" s="106">
        <f>SUMIF($AS:$AS,$AT1831,AM:AM)</f>
        <v>5757.9160199999978</v>
      </c>
      <c r="AN1831" s="106">
        <f>SUMIF($AS:$AS,$AT1831,AN:AN)</f>
        <v>5885.9301999999971</v>
      </c>
      <c r="AO1831" s="106">
        <f>SUMIF($AS:$AS,$AT1831,AO:AO)</f>
        <v>6009.5087099999973</v>
      </c>
      <c r="AP1831" s="264"/>
      <c r="AQ1831" s="264"/>
      <c r="AR1831" s="264"/>
      <c r="AS1831" s="286"/>
      <c r="AT1831" s="248" t="str">
        <f t="shared" si="658"/>
        <v>N10Low IncomeNCR</v>
      </c>
    </row>
    <row r="1832" spans="1:46">
      <c r="A1832" s="283"/>
      <c r="B1832" s="283"/>
      <c r="C1832" s="256" t="s">
        <v>1076</v>
      </c>
      <c r="D1832" s="277"/>
      <c r="E1832" s="278"/>
      <c r="F1832" s="278"/>
      <c r="G1832" s="264"/>
      <c r="H1832" s="279"/>
      <c r="I1832" s="280"/>
      <c r="J1832" s="280"/>
      <c r="K1832" s="279"/>
      <c r="L1832" s="278"/>
      <c r="M1832" s="279"/>
      <c r="N1832" s="281"/>
      <c r="O1832" s="281"/>
      <c r="P1832" s="278"/>
      <c r="Q1832" s="282"/>
      <c r="R1832" s="279"/>
      <c r="S1832" s="279"/>
      <c r="T1832" s="279"/>
      <c r="U1832" s="106">
        <f>SUMIF($AS:$AS,$AT1832,U:U)</f>
        <v>0</v>
      </c>
      <c r="V1832" s="106">
        <f>SUMIF($AS:$AS,$AT1832,V:V)</f>
        <v>0</v>
      </c>
      <c r="W1832" s="106">
        <f>SUMIF($AS:$AS,$AT1832,W:W)</f>
        <v>-68.642879999999963</v>
      </c>
      <c r="X1832" s="106">
        <f>SUMIF($AS:$AS,$AT1832,X:X)</f>
        <v>-68.642879999999963</v>
      </c>
      <c r="Y1832" s="106">
        <f>SUMIF($AS:$AS,$AT1832,Y:Y)</f>
        <v>0</v>
      </c>
      <c r="Z1832" s="106">
        <f>SUMIF($AS:$AS,$AT1832,Z:Z)</f>
        <v>0</v>
      </c>
      <c r="AA1832" s="106">
        <f>SUMIF($AS:$AS,$AT1832,AA:AA)</f>
        <v>-143.90906000000004</v>
      </c>
      <c r="AB1832" s="106">
        <f>SUMIF($AS:$AS,$AT1832,AB:AB)</f>
        <v>-143.90905999999995</v>
      </c>
      <c r="AC1832" s="106">
        <f>SUMIF($AS:$AS,$AT1832,AC:AC)</f>
        <v>6.6276800000000318</v>
      </c>
      <c r="AD1832" s="106">
        <f>SUMIF($AS:$AS,$AT1832,AD:AD)</f>
        <v>-5.9180499999999503</v>
      </c>
      <c r="AE1832" s="106">
        <f>SUMIF($AS:$AS,$AT1832,AE:AE)</f>
        <v>-18.463609999999967</v>
      </c>
      <c r="AF1832" s="106">
        <f>SUMIF($AS:$AS,$AT1832,AF:AF)</f>
        <v>-31.008969999999966</v>
      </c>
      <c r="AG1832" s="106">
        <f>SUMIF($AS:$AS,$AT1832,AG:AG)</f>
        <v>-43.554169999999971</v>
      </c>
      <c r="AH1832" s="106">
        <f>SUMIF($AS:$AS,$AT1832,AH:AH)</f>
        <v>-56.099179999999947</v>
      </c>
      <c r="AI1832" s="106">
        <f>SUMIF($AS:$AS,$AT1832,AI:AI)</f>
        <v>-68.643999999999949</v>
      </c>
      <c r="AJ1832" s="106">
        <f>SUMIF($AS:$AS,$AT1832,AJ:AJ)</f>
        <v>-81.188629999999961</v>
      </c>
      <c r="AK1832" s="106">
        <f>SUMIF($AS:$AS,$AT1832,AK:AK)</f>
        <v>-93.733089999999947</v>
      </c>
      <c r="AL1832" s="106">
        <f>SUMIF($AS:$AS,$AT1832,AL:AL)</f>
        <v>-106.27736999999996</v>
      </c>
      <c r="AM1832" s="106">
        <f>SUMIF($AS:$AS,$AT1832,AM:AM)</f>
        <v>-118.82144999999996</v>
      </c>
      <c r="AN1832" s="106">
        <f>SUMIF($AS:$AS,$AT1832,AN:AN)</f>
        <v>-131.36534999999992</v>
      </c>
      <c r="AO1832" s="106">
        <f>SUMIF($AS:$AS,$AT1832,AO:AO)</f>
        <v>-143.90905999999995</v>
      </c>
      <c r="AP1832" s="264"/>
      <c r="AQ1832" s="264"/>
      <c r="AR1832" s="264"/>
      <c r="AS1832" s="286"/>
      <c r="AT1832" s="248" t="str">
        <f t="shared" si="658"/>
        <v>N10Management AuditNCR</v>
      </c>
    </row>
    <row r="1833" spans="1:46">
      <c r="A1833" s="283"/>
      <c r="B1833" s="283"/>
      <c r="C1833" s="256" t="s">
        <v>914</v>
      </c>
      <c r="D1833" s="277"/>
      <c r="E1833" s="278"/>
      <c r="F1833" s="278"/>
      <c r="G1833" s="264"/>
      <c r="H1833" s="279"/>
      <c r="I1833" s="280"/>
      <c r="J1833" s="280"/>
      <c r="K1833" s="279"/>
      <c r="L1833" s="278"/>
      <c r="M1833" s="279"/>
      <c r="N1833" s="281"/>
      <c r="O1833" s="281"/>
      <c r="P1833" s="278"/>
      <c r="Q1833" s="282"/>
      <c r="R1833" s="279"/>
      <c r="S1833" s="279"/>
      <c r="T1833" s="279"/>
      <c r="U1833" s="106">
        <f>SUMIF($AS:$AS,$AT1833,U:U)</f>
        <v>0</v>
      </c>
      <c r="V1833" s="106">
        <f>SUMIF($AS:$AS,$AT1833,V:V)</f>
        <v>0</v>
      </c>
      <c r="W1833" s="106">
        <f>SUMIF($AS:$AS,$AT1833,W:W)</f>
        <v>0</v>
      </c>
      <c r="X1833" s="106">
        <f>SUMIF($AS:$AS,$AT1833,X:X)</f>
        <v>0</v>
      </c>
      <c r="Y1833" s="106">
        <f>SUMIF($AS:$AS,$AT1833,Y:Y)</f>
        <v>0</v>
      </c>
      <c r="Z1833" s="106">
        <f>SUMIF($AS:$AS,$AT1833,Z:Z)</f>
        <v>0</v>
      </c>
      <c r="AA1833" s="106">
        <f>SUMIF($AS:$AS,$AT1833,AA:AA)</f>
        <v>0</v>
      </c>
      <c r="AB1833" s="106">
        <f>SUMIF($AS:$AS,$AT1833,AB:AB)</f>
        <v>0</v>
      </c>
      <c r="AC1833" s="106">
        <f>SUMIF($AS:$AS,$AT1833,AC:AC)</f>
        <v>0</v>
      </c>
      <c r="AD1833" s="106">
        <f>SUMIF($AS:$AS,$AT1833,AD:AD)</f>
        <v>0</v>
      </c>
      <c r="AE1833" s="106">
        <f>SUMIF($AS:$AS,$AT1833,AE:AE)</f>
        <v>0</v>
      </c>
      <c r="AF1833" s="106">
        <f>SUMIF($AS:$AS,$AT1833,AF:AF)</f>
        <v>0</v>
      </c>
      <c r="AG1833" s="106">
        <f>SUMIF($AS:$AS,$AT1833,AG:AG)</f>
        <v>0</v>
      </c>
      <c r="AH1833" s="106">
        <f>SUMIF($AS:$AS,$AT1833,AH:AH)</f>
        <v>0</v>
      </c>
      <c r="AI1833" s="106">
        <f>SUMIF($AS:$AS,$AT1833,AI:AI)</f>
        <v>0</v>
      </c>
      <c r="AJ1833" s="106">
        <f>SUMIF($AS:$AS,$AT1833,AJ:AJ)</f>
        <v>0</v>
      </c>
      <c r="AK1833" s="106">
        <f>SUMIF($AS:$AS,$AT1833,AK:AK)</f>
        <v>0</v>
      </c>
      <c r="AL1833" s="106">
        <f>SUMIF($AS:$AS,$AT1833,AL:AL)</f>
        <v>0</v>
      </c>
      <c r="AM1833" s="106">
        <f>SUMIF($AS:$AS,$AT1833,AM:AM)</f>
        <v>0</v>
      </c>
      <c r="AN1833" s="106">
        <f>SUMIF($AS:$AS,$AT1833,AN:AN)</f>
        <v>0</v>
      </c>
      <c r="AO1833" s="106">
        <f>SUMIF($AS:$AS,$AT1833,AO:AO)</f>
        <v>0</v>
      </c>
      <c r="AP1833" s="264"/>
      <c r="AQ1833" s="264"/>
      <c r="AR1833" s="264"/>
      <c r="AS1833" s="286"/>
      <c r="AT1833" s="248" t="str">
        <f t="shared" si="658"/>
        <v>N10Medicare SubsidyNCR</v>
      </c>
    </row>
    <row r="1834" spans="1:46">
      <c r="A1834" s="283"/>
      <c r="B1834" s="283"/>
      <c r="C1834" s="256" t="s">
        <v>556</v>
      </c>
      <c r="D1834" s="277"/>
      <c r="E1834" s="278"/>
      <c r="F1834" s="278"/>
      <c r="G1834" s="264"/>
      <c r="H1834" s="279"/>
      <c r="I1834" s="280"/>
      <c r="J1834" s="280"/>
      <c r="K1834" s="279"/>
      <c r="L1834" s="278"/>
      <c r="M1834" s="279"/>
      <c r="N1834" s="281"/>
      <c r="O1834" s="281"/>
      <c r="P1834" s="278"/>
      <c r="Q1834" s="282"/>
      <c r="R1834" s="279"/>
      <c r="S1834" s="279"/>
      <c r="T1834" s="279"/>
      <c r="U1834" s="106">
        <f>SUMIF($AS:$AS,$AT1834,U:U)</f>
        <v>0</v>
      </c>
      <c r="V1834" s="106">
        <f>SUMIF($AS:$AS,$AT1834,V:V)</f>
        <v>0</v>
      </c>
      <c r="W1834" s="106">
        <f>SUMIF($AS:$AS,$AT1834,W:W)</f>
        <v>0</v>
      </c>
      <c r="X1834" s="106">
        <f>SUMIF($AS:$AS,$AT1834,X:X)</f>
        <v>0</v>
      </c>
      <c r="Y1834" s="106">
        <f>SUMIF($AS:$AS,$AT1834,Y:Y)</f>
        <v>0</v>
      </c>
      <c r="Z1834" s="106">
        <f>SUMIF($AS:$AS,$AT1834,Z:Z)</f>
        <v>0</v>
      </c>
      <c r="AA1834" s="106">
        <f>SUMIF($AS:$AS,$AT1834,AA:AA)</f>
        <v>0</v>
      </c>
      <c r="AB1834" s="106">
        <f>SUMIF($AS:$AS,$AT1834,AB:AB)</f>
        <v>0</v>
      </c>
      <c r="AC1834" s="106">
        <f>SUMIF($AS:$AS,$AT1834,AC:AC)</f>
        <v>0</v>
      </c>
      <c r="AD1834" s="106">
        <f>SUMIF($AS:$AS,$AT1834,AD:AD)</f>
        <v>0</v>
      </c>
      <c r="AE1834" s="106">
        <f>SUMIF($AS:$AS,$AT1834,AE:AE)</f>
        <v>0</v>
      </c>
      <c r="AF1834" s="106">
        <f>SUMIF($AS:$AS,$AT1834,AF:AF)</f>
        <v>0</v>
      </c>
      <c r="AG1834" s="106">
        <f>SUMIF($AS:$AS,$AT1834,AG:AG)</f>
        <v>0</v>
      </c>
      <c r="AH1834" s="106">
        <f>SUMIF($AS:$AS,$AT1834,AH:AH)</f>
        <v>0</v>
      </c>
      <c r="AI1834" s="106">
        <f>SUMIF($AS:$AS,$AT1834,AI:AI)</f>
        <v>0</v>
      </c>
      <c r="AJ1834" s="106">
        <f>SUMIF($AS:$AS,$AT1834,AJ:AJ)</f>
        <v>0</v>
      </c>
      <c r="AK1834" s="106">
        <f>SUMIF($AS:$AS,$AT1834,AK:AK)</f>
        <v>0</v>
      </c>
      <c r="AL1834" s="106">
        <f>SUMIF($AS:$AS,$AT1834,AL:AL)</f>
        <v>0</v>
      </c>
      <c r="AM1834" s="106">
        <f>SUMIF($AS:$AS,$AT1834,AM:AM)</f>
        <v>0</v>
      </c>
      <c r="AN1834" s="106">
        <f>SUMIF($AS:$AS,$AT1834,AN:AN)</f>
        <v>0</v>
      </c>
      <c r="AO1834" s="106">
        <f>SUMIF($AS:$AS,$AT1834,AO:AO)</f>
        <v>0</v>
      </c>
      <c r="AP1834" s="264"/>
      <c r="AQ1834" s="264"/>
      <c r="AR1834" s="264"/>
      <c r="AS1834" s="286"/>
      <c r="AT1834" s="248" t="str">
        <f t="shared" si="658"/>
        <v>N10Merchant Function Charge - ElectricNCR</v>
      </c>
    </row>
    <row r="1835" spans="1:46">
      <c r="A1835" s="283"/>
      <c r="B1835" s="283"/>
      <c r="C1835" s="256" t="s">
        <v>2675</v>
      </c>
      <c r="D1835" s="277"/>
      <c r="E1835" s="278"/>
      <c r="F1835" s="278"/>
      <c r="G1835" s="264"/>
      <c r="H1835" s="279"/>
      <c r="I1835" s="280"/>
      <c r="J1835" s="280"/>
      <c r="K1835" s="279"/>
      <c r="L1835" s="278"/>
      <c r="M1835" s="279"/>
      <c r="N1835" s="281"/>
      <c r="O1835" s="281"/>
      <c r="P1835" s="278"/>
      <c r="Q1835" s="282"/>
      <c r="R1835" s="279"/>
      <c r="S1835" s="279"/>
      <c r="T1835" s="279"/>
      <c r="U1835" s="106">
        <f>SUMIF($AS:$AS,$AT1835,U:U)</f>
        <v>0</v>
      </c>
      <c r="V1835" s="106">
        <f>SUMIF($AS:$AS,$AT1835,V:V)</f>
        <v>0</v>
      </c>
      <c r="W1835" s="106">
        <f>SUMIF($AS:$AS,$AT1835,W:W)</f>
        <v>-57056.859093333391</v>
      </c>
      <c r="X1835" s="106">
        <f>SUMIF($AS:$AS,$AT1835,X:X)</f>
        <v>-57056.859093333391</v>
      </c>
      <c r="Y1835" s="106">
        <f>SUMIF($AS:$AS,$AT1835,Y:Y)</f>
        <v>0</v>
      </c>
      <c r="Z1835" s="106">
        <f>SUMIF($AS:$AS,$AT1835,Z:Z)</f>
        <v>0</v>
      </c>
      <c r="AA1835" s="106">
        <f>SUMIF($AS:$AS,$AT1835,AA:AA)</f>
        <v>-69510.816579999999</v>
      </c>
      <c r="AB1835" s="106">
        <f>SUMIF($AS:$AS,$AT1835,AB:AB)</f>
        <v>-69510.816579999999</v>
      </c>
      <c r="AC1835" s="106">
        <f>SUMIF($AS:$AS,$AT1835,AC:AC)</f>
        <v>-53718.240179999993</v>
      </c>
      <c r="AD1835" s="106">
        <f>SUMIF($AS:$AS,$AT1835,AD:AD)</f>
        <v>-53588.147880000004</v>
      </c>
      <c r="AE1835" s="106">
        <f>SUMIF($AS:$AS,$AT1835,AE:AE)</f>
        <v>-53452.949239999994</v>
      </c>
      <c r="AF1835" s="106">
        <f>SUMIF($AS:$AS,$AT1835,AF:AF)</f>
        <v>-53322.321609999999</v>
      </c>
      <c r="AG1835" s="106">
        <f>SUMIF($AS:$AS,$AT1835,AG:AG)</f>
        <v>-53177.592389999998</v>
      </c>
      <c r="AH1835" s="106">
        <f>SUMIF($AS:$AS,$AT1835,AH:AH)</f>
        <v>-53045.815059999994</v>
      </c>
      <c r="AI1835" s="106">
        <f>SUMIF($AS:$AS,$AT1835,AI:AI)</f>
        <v>-52915.40537</v>
      </c>
      <c r="AJ1835" s="106">
        <f>SUMIF($AS:$AS,$AT1835,AJ:AJ)</f>
        <v>-52786.3704</v>
      </c>
      <c r="AK1835" s="106">
        <f>SUMIF($AS:$AS,$AT1835,AK:AK)</f>
        <v>-52658.717269999994</v>
      </c>
      <c r="AL1835" s="106">
        <f>SUMIF($AS:$AS,$AT1835,AL:AL)</f>
        <v>-60942.518669999998</v>
      </c>
      <c r="AM1835" s="106">
        <f>SUMIF($AS:$AS,$AT1835,AM:AM)</f>
        <v>-68281.355419999978</v>
      </c>
      <c r="AN1835" s="106">
        <f>SUMIF($AS:$AS,$AT1835,AN:AN)</f>
        <v>-68896.587430000014</v>
      </c>
      <c r="AO1835" s="106">
        <f>SUMIF($AS:$AS,$AT1835,AO:AO)</f>
        <v>-69510.816579999999</v>
      </c>
      <c r="AP1835" s="264"/>
      <c r="AQ1835" s="264"/>
      <c r="AR1835" s="264"/>
      <c r="AS1835" s="286"/>
      <c r="AT1835" s="248" t="str">
        <f>CONCATENATE("N10",C1835,"NCR")</f>
        <v>N10Mixed Use 263(a)NCR</v>
      </c>
    </row>
    <row r="1836" spans="1:46">
      <c r="A1836" s="283"/>
      <c r="B1836" s="283"/>
      <c r="C1836" s="256" t="s">
        <v>705</v>
      </c>
      <c r="D1836" s="277"/>
      <c r="E1836" s="278"/>
      <c r="F1836" s="278"/>
      <c r="G1836" s="264"/>
      <c r="H1836" s="279"/>
      <c r="I1836" s="280"/>
      <c r="J1836" s="280"/>
      <c r="K1836" s="279"/>
      <c r="L1836" s="278"/>
      <c r="M1836" s="279"/>
      <c r="N1836" s="281"/>
      <c r="O1836" s="281"/>
      <c r="P1836" s="278"/>
      <c r="Q1836" s="282"/>
      <c r="R1836" s="279"/>
      <c r="S1836" s="279"/>
      <c r="T1836" s="279"/>
      <c r="U1836" s="106">
        <f>SUMIF($AS:$AS,$AT1836,U:U)</f>
        <v>0</v>
      </c>
      <c r="V1836" s="106">
        <f>SUMIF($AS:$AS,$AT1836,V:V)</f>
        <v>0</v>
      </c>
      <c r="W1836" s="106">
        <f>SUMIF($AS:$AS,$AT1836,W:W)</f>
        <v>0</v>
      </c>
      <c r="X1836" s="106">
        <f>SUMIF($AS:$AS,$AT1836,X:X)</f>
        <v>0</v>
      </c>
      <c r="Y1836" s="106">
        <f>SUMIF($AS:$AS,$AT1836,Y:Y)</f>
        <v>0</v>
      </c>
      <c r="Z1836" s="106">
        <f>SUMIF($AS:$AS,$AT1836,Z:Z)</f>
        <v>0</v>
      </c>
      <c r="AA1836" s="106">
        <f>SUMIF($AS:$AS,$AT1836,AA:AA)</f>
        <v>0</v>
      </c>
      <c r="AB1836" s="106">
        <f>SUMIF($AS:$AS,$AT1836,AB:AB)</f>
        <v>0</v>
      </c>
      <c r="AC1836" s="106">
        <f>SUMIF($AS:$AS,$AT1836,AC:AC)</f>
        <v>0</v>
      </c>
      <c r="AD1836" s="106">
        <f>SUMIF($AS:$AS,$AT1836,AD:AD)</f>
        <v>0</v>
      </c>
      <c r="AE1836" s="106">
        <f>SUMIF($AS:$AS,$AT1836,AE:AE)</f>
        <v>0</v>
      </c>
      <c r="AF1836" s="106">
        <f>SUMIF($AS:$AS,$AT1836,AF:AF)</f>
        <v>0</v>
      </c>
      <c r="AG1836" s="106">
        <f>SUMIF($AS:$AS,$AT1836,AG:AG)</f>
        <v>0</v>
      </c>
      <c r="AH1836" s="106">
        <f>SUMIF($AS:$AS,$AT1836,AH:AH)</f>
        <v>0</v>
      </c>
      <c r="AI1836" s="106">
        <f>SUMIF($AS:$AS,$AT1836,AI:AI)</f>
        <v>0</v>
      </c>
      <c r="AJ1836" s="106">
        <f>SUMIF($AS:$AS,$AT1836,AJ:AJ)</f>
        <v>0</v>
      </c>
      <c r="AK1836" s="106">
        <f>SUMIF($AS:$AS,$AT1836,AK:AK)</f>
        <v>0</v>
      </c>
      <c r="AL1836" s="106">
        <f>SUMIF($AS:$AS,$AT1836,AL:AL)</f>
        <v>0</v>
      </c>
      <c r="AM1836" s="106">
        <f>SUMIF($AS:$AS,$AT1836,AM:AM)</f>
        <v>0</v>
      </c>
      <c r="AN1836" s="106">
        <f>SUMIF($AS:$AS,$AT1836,AN:AN)</f>
        <v>0</v>
      </c>
      <c r="AO1836" s="106">
        <f>SUMIF($AS:$AS,$AT1836,AO:AO)</f>
        <v>0</v>
      </c>
      <c r="AP1836" s="264"/>
      <c r="AQ1836" s="264"/>
      <c r="AR1836" s="264"/>
      <c r="AS1836" s="286"/>
      <c r="AT1836" s="248" t="str">
        <f t="shared" si="658"/>
        <v>N10NCR Leftover -CTA AusterityNCR</v>
      </c>
    </row>
    <row r="1837" spans="1:46">
      <c r="A1837" s="283"/>
      <c r="B1837" s="283"/>
      <c r="C1837" s="256" t="s">
        <v>1370</v>
      </c>
      <c r="D1837" s="277"/>
      <c r="E1837" s="278"/>
      <c r="F1837" s="278"/>
      <c r="G1837" s="264"/>
      <c r="H1837" s="279"/>
      <c r="I1837" s="280"/>
      <c r="J1837" s="280"/>
      <c r="K1837" s="279"/>
      <c r="L1837" s="278"/>
      <c r="M1837" s="279"/>
      <c r="N1837" s="281"/>
      <c r="O1837" s="281"/>
      <c r="P1837" s="278"/>
      <c r="Q1837" s="282"/>
      <c r="R1837" s="279"/>
      <c r="S1837" s="279"/>
      <c r="T1837" s="279"/>
      <c r="U1837" s="106">
        <f>SUMIF($AS:$AS,$AT1837,U:U)</f>
        <v>0</v>
      </c>
      <c r="V1837" s="106">
        <f>SUMIF($AS:$AS,$AT1837,V:V)</f>
        <v>0</v>
      </c>
      <c r="W1837" s="106">
        <f>SUMIF($AS:$AS,$AT1837,W:W)</f>
        <v>0</v>
      </c>
      <c r="X1837" s="106">
        <f>SUMIF($AS:$AS,$AT1837,X:X)</f>
        <v>0</v>
      </c>
      <c r="Y1837" s="106">
        <f>SUMIF($AS:$AS,$AT1837,Y:Y)</f>
        <v>0</v>
      </c>
      <c r="Z1837" s="106">
        <f>SUMIF($AS:$AS,$AT1837,Z:Z)</f>
        <v>0</v>
      </c>
      <c r="AA1837" s="106">
        <f>SUMIF($AS:$AS,$AT1837,AA:AA)</f>
        <v>0</v>
      </c>
      <c r="AB1837" s="106">
        <f>SUMIF($AS:$AS,$AT1837,AB:AB)</f>
        <v>0</v>
      </c>
      <c r="AC1837" s="106">
        <f>SUMIF($AS:$AS,$AT1837,AC:AC)</f>
        <v>0</v>
      </c>
      <c r="AD1837" s="106">
        <f>SUMIF($AS:$AS,$AT1837,AD:AD)</f>
        <v>0</v>
      </c>
      <c r="AE1837" s="106">
        <f>SUMIF($AS:$AS,$AT1837,AE:AE)</f>
        <v>0</v>
      </c>
      <c r="AF1837" s="106">
        <f>SUMIF($AS:$AS,$AT1837,AF:AF)</f>
        <v>0</v>
      </c>
      <c r="AG1837" s="106">
        <f>SUMIF($AS:$AS,$AT1837,AG:AG)</f>
        <v>0</v>
      </c>
      <c r="AH1837" s="106">
        <f>SUMIF($AS:$AS,$AT1837,AH:AH)</f>
        <v>0</v>
      </c>
      <c r="AI1837" s="106">
        <f>SUMIF($AS:$AS,$AT1837,AI:AI)</f>
        <v>0</v>
      </c>
      <c r="AJ1837" s="106">
        <f>SUMIF($AS:$AS,$AT1837,AJ:AJ)</f>
        <v>0</v>
      </c>
      <c r="AK1837" s="106">
        <f>SUMIF($AS:$AS,$AT1837,AK:AK)</f>
        <v>0</v>
      </c>
      <c r="AL1837" s="106">
        <f>SUMIF($AS:$AS,$AT1837,AL:AL)</f>
        <v>0</v>
      </c>
      <c r="AM1837" s="106">
        <f>SUMIF($AS:$AS,$AT1837,AM:AM)</f>
        <v>0</v>
      </c>
      <c r="AN1837" s="106">
        <f>SUMIF($AS:$AS,$AT1837,AN:AN)</f>
        <v>0</v>
      </c>
      <c r="AO1837" s="106">
        <f>SUMIF($AS:$AS,$AT1837,AO:AO)</f>
        <v>0</v>
      </c>
      <c r="AP1837" s="264"/>
      <c r="AQ1837" s="264"/>
      <c r="AR1837" s="264"/>
      <c r="AS1837" s="286"/>
      <c r="AT1837" s="248" t="str">
        <f t="shared" si="658"/>
        <v>N10North American Electric Reliability CouncilNCR</v>
      </c>
    </row>
    <row r="1838" spans="1:46">
      <c r="A1838" s="283"/>
      <c r="B1838" s="283"/>
      <c r="C1838" s="256" t="s">
        <v>1771</v>
      </c>
      <c r="D1838" s="277"/>
      <c r="E1838" s="278"/>
      <c r="F1838" s="278"/>
      <c r="G1838" s="264"/>
      <c r="H1838" s="279"/>
      <c r="I1838" s="280"/>
      <c r="J1838" s="280"/>
      <c r="K1838" s="279"/>
      <c r="L1838" s="278"/>
      <c r="M1838" s="279"/>
      <c r="N1838" s="281"/>
      <c r="O1838" s="281"/>
      <c r="P1838" s="278"/>
      <c r="Q1838" s="282"/>
      <c r="R1838" s="279"/>
      <c r="S1838" s="279"/>
      <c r="T1838" s="279"/>
      <c r="U1838" s="106">
        <f>SUMIF($AS:$AS,$AT1838,U:U)</f>
        <v>0</v>
      </c>
      <c r="V1838" s="106">
        <f>SUMIF($AS:$AS,$AT1838,V:V)</f>
        <v>0</v>
      </c>
      <c r="W1838" s="106">
        <f>SUMIF($AS:$AS,$AT1838,W:W)</f>
        <v>0</v>
      </c>
      <c r="X1838" s="106">
        <f>SUMIF($AS:$AS,$AT1838,X:X)</f>
        <v>0</v>
      </c>
      <c r="Y1838" s="106">
        <f>SUMIF($AS:$AS,$AT1838,Y:Y)</f>
        <v>0</v>
      </c>
      <c r="Z1838" s="106">
        <f>SUMIF($AS:$AS,$AT1838,Z:Z)</f>
        <v>0</v>
      </c>
      <c r="AA1838" s="106">
        <f>SUMIF($AS:$AS,$AT1838,AA:AA)</f>
        <v>0</v>
      </c>
      <c r="AB1838" s="106">
        <f>SUMIF($AS:$AS,$AT1838,AB:AB)</f>
        <v>0</v>
      </c>
      <c r="AC1838" s="106">
        <f>SUMIF($AS:$AS,$AT1838,AC:AC)</f>
        <v>0</v>
      </c>
      <c r="AD1838" s="106">
        <f>SUMIF($AS:$AS,$AT1838,AD:AD)</f>
        <v>0</v>
      </c>
      <c r="AE1838" s="106">
        <f>SUMIF($AS:$AS,$AT1838,AE:AE)</f>
        <v>0</v>
      </c>
      <c r="AF1838" s="106">
        <f>SUMIF($AS:$AS,$AT1838,AF:AF)</f>
        <v>0</v>
      </c>
      <c r="AG1838" s="106">
        <f>SUMIF($AS:$AS,$AT1838,AG:AG)</f>
        <v>0</v>
      </c>
      <c r="AH1838" s="106">
        <f>SUMIF($AS:$AS,$AT1838,AH:AH)</f>
        <v>0</v>
      </c>
      <c r="AI1838" s="106">
        <f>SUMIF($AS:$AS,$AT1838,AI:AI)</f>
        <v>0</v>
      </c>
      <c r="AJ1838" s="106">
        <f>SUMIF($AS:$AS,$AT1838,AJ:AJ)</f>
        <v>0</v>
      </c>
      <c r="AK1838" s="106">
        <f>SUMIF($AS:$AS,$AT1838,AK:AK)</f>
        <v>0</v>
      </c>
      <c r="AL1838" s="106">
        <f>SUMIF($AS:$AS,$AT1838,AL:AL)</f>
        <v>0</v>
      </c>
      <c r="AM1838" s="106">
        <f>SUMIF($AS:$AS,$AT1838,AM:AM)</f>
        <v>0</v>
      </c>
      <c r="AN1838" s="106">
        <f>SUMIF($AS:$AS,$AT1838,AN:AN)</f>
        <v>0</v>
      </c>
      <c r="AO1838" s="106">
        <f>SUMIF($AS:$AS,$AT1838,AO:AO)</f>
        <v>0</v>
      </c>
      <c r="AP1838" s="264"/>
      <c r="AQ1838" s="264"/>
      <c r="AR1838" s="264"/>
      <c r="AS1838" s="286"/>
      <c r="AT1838" s="248" t="str">
        <f t="shared" si="658"/>
        <v>N10NYPA Ancillaries Accruing NCRNCR</v>
      </c>
    </row>
    <row r="1839" spans="1:46">
      <c r="A1839" s="283"/>
      <c r="B1839" s="283"/>
      <c r="C1839" s="256" t="s">
        <v>170</v>
      </c>
      <c r="D1839" s="277"/>
      <c r="E1839" s="278"/>
      <c r="F1839" s="278"/>
      <c r="G1839" s="264"/>
      <c r="H1839" s="279"/>
      <c r="I1839" s="280"/>
      <c r="J1839" s="280"/>
      <c r="K1839" s="279"/>
      <c r="L1839" s="278"/>
      <c r="M1839" s="279"/>
      <c r="N1839" s="281"/>
      <c r="O1839" s="281"/>
      <c r="P1839" s="278"/>
      <c r="Q1839" s="282"/>
      <c r="R1839" s="279"/>
      <c r="S1839" s="279"/>
      <c r="T1839" s="279"/>
      <c r="U1839" s="106">
        <f>SUMIF($AS:$AS,$AT1839,U:U)</f>
        <v>0</v>
      </c>
      <c r="V1839" s="106">
        <f>SUMIF($AS:$AS,$AT1839,V:V)</f>
        <v>0</v>
      </c>
      <c r="W1839" s="106">
        <f>SUMIF($AS:$AS,$AT1839,W:W)</f>
        <v>-20753.424281250005</v>
      </c>
      <c r="X1839" s="106">
        <f>SUMIF($AS:$AS,$AT1839,X:X)</f>
        <v>-20753.424281250005</v>
      </c>
      <c r="Y1839" s="106">
        <f>SUMIF($AS:$AS,$AT1839,Y:Y)</f>
        <v>0</v>
      </c>
      <c r="Z1839" s="106">
        <f>SUMIF($AS:$AS,$AT1839,Z:Z)</f>
        <v>0</v>
      </c>
      <c r="AA1839" s="106">
        <f>SUMIF($AS:$AS,$AT1839,AA:AA)</f>
        <v>-26598.80516</v>
      </c>
      <c r="AB1839" s="106">
        <f>SUMIF($AS:$AS,$AT1839,AB:AB)</f>
        <v>-26598.805159999993</v>
      </c>
      <c r="AC1839" s="106">
        <f>SUMIF($AS:$AS,$AT1839,AC:AC)</f>
        <v>-14836.291949999992</v>
      </c>
      <c r="AD1839" s="106">
        <f>SUMIF($AS:$AS,$AT1839,AD:AD)</f>
        <v>-15843.799579999999</v>
      </c>
      <c r="AE1839" s="106">
        <f>SUMIF($AS:$AS,$AT1839,AE:AE)</f>
        <v>-16839.912249999998</v>
      </c>
      <c r="AF1839" s="106">
        <f>SUMIF($AS:$AS,$AT1839,AF:AF)</f>
        <v>-17825.933829999994</v>
      </c>
      <c r="AG1839" s="106">
        <f>SUMIF($AS:$AS,$AT1839,AG:AG)</f>
        <v>-18816.742439999995</v>
      </c>
      <c r="AH1839" s="106">
        <f>SUMIF($AS:$AS,$AT1839,AH:AH)</f>
        <v>-19807.669299999994</v>
      </c>
      <c r="AI1839" s="106">
        <f>SUMIF($AS:$AS,$AT1839,AI:AI)</f>
        <v>-20738.778099999996</v>
      </c>
      <c r="AJ1839" s="106">
        <f>SUMIF($AS:$AS,$AT1839,AJ:AJ)</f>
        <v>-21790.399399999991</v>
      </c>
      <c r="AK1839" s="106">
        <f>SUMIF($AS:$AS,$AT1839,AK:AK)</f>
        <v>-22707.229199999987</v>
      </c>
      <c r="AL1839" s="106">
        <f>SUMIF($AS:$AS,$AT1839,AL:AL)</f>
        <v>-23679.804599999989</v>
      </c>
      <c r="AM1839" s="106">
        <f>SUMIF($AS:$AS,$AT1839,AM:AM)</f>
        <v>-24650.614629999993</v>
      </c>
      <c r="AN1839" s="106">
        <f>SUMIF($AS:$AS,$AT1839,AN:AN)</f>
        <v>-25622.659489999998</v>
      </c>
      <c r="AO1839" s="106">
        <f>SUMIF($AS:$AS,$AT1839,AO:AO)</f>
        <v>-26598.805159999993</v>
      </c>
      <c r="AP1839" s="264"/>
      <c r="AQ1839" s="264"/>
      <c r="AR1839" s="264"/>
      <c r="AS1839" s="286"/>
      <c r="AT1839" s="248" t="str">
        <f t="shared" si="658"/>
        <v>N10OPEBsNCR</v>
      </c>
    </row>
    <row r="1840" spans="1:46">
      <c r="A1840" s="283"/>
      <c r="B1840" s="283"/>
      <c r="C1840" s="256" t="s">
        <v>1493</v>
      </c>
      <c r="D1840" s="277"/>
      <c r="E1840" s="278"/>
      <c r="F1840" s="278"/>
      <c r="G1840" s="264"/>
      <c r="H1840" s="279"/>
      <c r="I1840" s="280"/>
      <c r="J1840" s="280"/>
      <c r="K1840" s="279"/>
      <c r="L1840" s="278"/>
      <c r="M1840" s="279"/>
      <c r="N1840" s="281"/>
      <c r="O1840" s="281"/>
      <c r="P1840" s="278"/>
      <c r="Q1840" s="282"/>
      <c r="R1840" s="279"/>
      <c r="S1840" s="279"/>
      <c r="T1840" s="279"/>
      <c r="U1840" s="106">
        <f>SUMIF($AS:$AS,$AT1840,U:U)</f>
        <v>0</v>
      </c>
      <c r="V1840" s="106">
        <f>SUMIF($AS:$AS,$AT1840,V:V)</f>
        <v>0</v>
      </c>
      <c r="W1840" s="106">
        <f>SUMIF($AS:$AS,$AT1840,W:W)</f>
        <v>161.729540833333</v>
      </c>
      <c r="X1840" s="106">
        <f>SUMIF($AS:$AS,$AT1840,X:X)</f>
        <v>161.729540833333</v>
      </c>
      <c r="Y1840" s="106">
        <f>SUMIF($AS:$AS,$AT1840,Y:Y)</f>
        <v>0</v>
      </c>
      <c r="Z1840" s="106">
        <f>SUMIF($AS:$AS,$AT1840,Z:Z)</f>
        <v>0</v>
      </c>
      <c r="AA1840" s="106">
        <f>SUMIF($AS:$AS,$AT1840,AA:AA)</f>
        <v>167.15871000000001</v>
      </c>
      <c r="AB1840" s="106">
        <f>SUMIF($AS:$AS,$AT1840,AB:AB)</f>
        <v>167.15871000000001</v>
      </c>
      <c r="AC1840" s="106">
        <f>SUMIF($AS:$AS,$AT1840,AC:AC)</f>
        <v>156.88731000000001</v>
      </c>
      <c r="AD1840" s="106">
        <f>SUMIF($AS:$AS,$AT1840,AD:AD)</f>
        <v>157.71903999999995</v>
      </c>
      <c r="AE1840" s="106">
        <f>SUMIF($AS:$AS,$AT1840,AE:AE)</f>
        <v>158.55509999999995</v>
      </c>
      <c r="AF1840" s="106">
        <f>SUMIF($AS:$AS,$AT1840,AF:AF)</f>
        <v>159.39550999999994</v>
      </c>
      <c r="AG1840" s="106">
        <f>SUMIF($AS:$AS,$AT1840,AG:AG)</f>
        <v>160.24028999999996</v>
      </c>
      <c r="AH1840" s="106">
        <f>SUMIF($AS:$AS,$AT1840,AH:AH)</f>
        <v>161.08946999999998</v>
      </c>
      <c r="AI1840" s="106">
        <f>SUMIF($AS:$AS,$AT1840,AI:AI)</f>
        <v>161.94305999999997</v>
      </c>
      <c r="AJ1840" s="106">
        <f>SUMIF($AS:$AS,$AT1840,AJ:AJ)</f>
        <v>162.80108999999999</v>
      </c>
      <c r="AK1840" s="106">
        <f>SUMIF($AS:$AS,$AT1840,AK:AK)</f>
        <v>163.66360000000006</v>
      </c>
      <c r="AL1840" s="106">
        <f>SUMIF($AS:$AS,$AT1840,AL:AL)</f>
        <v>164.53059000000005</v>
      </c>
      <c r="AM1840" s="106">
        <f>SUMIF($AS:$AS,$AT1840,AM:AM)</f>
        <v>163.95885000000004</v>
      </c>
      <c r="AN1840" s="106">
        <f>SUMIF($AS:$AS,$AT1840,AN:AN)</f>
        <v>164.83488000000003</v>
      </c>
      <c r="AO1840" s="106">
        <f>SUMIF($AS:$AS,$AT1840,AO:AO)</f>
        <v>167.15871000000001</v>
      </c>
      <c r="AP1840" s="264"/>
      <c r="AQ1840" s="264"/>
      <c r="AR1840" s="264"/>
      <c r="AS1840" s="286"/>
      <c r="AT1840" s="248" t="str">
        <f t="shared" si="658"/>
        <v>N10Outreach &amp; EducationNCR</v>
      </c>
    </row>
    <row r="1841" spans="1:46">
      <c r="A1841" s="283"/>
      <c r="B1841" s="283"/>
      <c r="C1841" s="256" t="s">
        <v>2207</v>
      </c>
      <c r="D1841" s="277"/>
      <c r="E1841" s="278"/>
      <c r="F1841" s="278"/>
      <c r="G1841" s="264"/>
      <c r="H1841" s="279"/>
      <c r="I1841" s="280"/>
      <c r="J1841" s="280"/>
      <c r="K1841" s="279"/>
      <c r="L1841" s="278"/>
      <c r="M1841" s="279"/>
      <c r="N1841" s="281"/>
      <c r="O1841" s="281"/>
      <c r="P1841" s="278"/>
      <c r="Q1841" s="282"/>
      <c r="R1841" s="279"/>
      <c r="S1841" s="279"/>
      <c r="T1841" s="279"/>
      <c r="U1841" s="106">
        <f>SUMIF($AS:$AS,$AT1841,U:U)</f>
        <v>0</v>
      </c>
      <c r="V1841" s="106">
        <f>SUMIF($AS:$AS,$AT1841,V:V)</f>
        <v>0</v>
      </c>
      <c r="W1841" s="106">
        <f>SUMIF($AS:$AS,$AT1841,W:W)</f>
        <v>-2.1000000000000001E-4</v>
      </c>
      <c r="X1841" s="106">
        <f>SUMIF($AS:$AS,$AT1841,X:X)</f>
        <v>-2.1000000000000001E-4</v>
      </c>
      <c r="Y1841" s="106">
        <f>SUMIF($AS:$AS,$AT1841,Y:Y)</f>
        <v>0</v>
      </c>
      <c r="Z1841" s="106">
        <f>SUMIF($AS:$AS,$AT1841,Z:Z)</f>
        <v>0</v>
      </c>
      <c r="AA1841" s="106">
        <f>SUMIF($AS:$AS,$AT1841,AA:AA)</f>
        <v>-2.1000000000000001E-4</v>
      </c>
      <c r="AB1841" s="106">
        <f>SUMIF($AS:$AS,$AT1841,AB:AB)</f>
        <v>-2.1000000000001478E-4</v>
      </c>
      <c r="AC1841" s="106">
        <f>SUMIF($AS:$AS,$AT1841,AC:AC)</f>
        <v>-2.1000000000001478E-4</v>
      </c>
      <c r="AD1841" s="106">
        <f>SUMIF($AS:$AS,$AT1841,AD:AD)</f>
        <v>-2.1000000000001478E-4</v>
      </c>
      <c r="AE1841" s="106">
        <f>SUMIF($AS:$AS,$AT1841,AE:AE)</f>
        <v>-2.1000000000001478E-4</v>
      </c>
      <c r="AF1841" s="106">
        <f>SUMIF($AS:$AS,$AT1841,AF:AF)</f>
        <v>-2.1000000000001478E-4</v>
      </c>
      <c r="AG1841" s="106">
        <f>SUMIF($AS:$AS,$AT1841,AG:AG)</f>
        <v>-2.1000000000001478E-4</v>
      </c>
      <c r="AH1841" s="106">
        <f>SUMIF($AS:$AS,$AT1841,AH:AH)</f>
        <v>-2.1000000000001478E-4</v>
      </c>
      <c r="AI1841" s="106">
        <f>SUMIF($AS:$AS,$AT1841,AI:AI)</f>
        <v>-2.1000000000001478E-4</v>
      </c>
      <c r="AJ1841" s="106">
        <f>SUMIF($AS:$AS,$AT1841,AJ:AJ)</f>
        <v>-2.1000000000001478E-4</v>
      </c>
      <c r="AK1841" s="106">
        <f>SUMIF($AS:$AS,$AT1841,AK:AK)</f>
        <v>-2.1000000000001478E-4</v>
      </c>
      <c r="AL1841" s="106">
        <f>SUMIF($AS:$AS,$AT1841,AL:AL)</f>
        <v>-2.1000000000001478E-4</v>
      </c>
      <c r="AM1841" s="106">
        <f>SUMIF($AS:$AS,$AT1841,AM:AM)</f>
        <v>-2.1000000000001478E-4</v>
      </c>
      <c r="AN1841" s="106">
        <f>SUMIF($AS:$AS,$AT1841,AN:AN)</f>
        <v>-2.1000000000001478E-4</v>
      </c>
      <c r="AO1841" s="106">
        <f>SUMIF($AS:$AS,$AT1841,AO:AO)</f>
        <v>-2.1000000000001478E-4</v>
      </c>
      <c r="AP1841" s="264"/>
      <c r="AQ1841" s="264"/>
      <c r="AR1841" s="264"/>
      <c r="AS1841" s="286"/>
      <c r="AT1841" s="248" t="str">
        <f t="shared" si="658"/>
        <v>N10Pandemic FluNCR</v>
      </c>
    </row>
    <row r="1842" spans="1:46">
      <c r="A1842" s="283"/>
      <c r="B1842" s="283"/>
      <c r="C1842" s="256" t="s">
        <v>1553</v>
      </c>
      <c r="D1842" s="277"/>
      <c r="E1842" s="278"/>
      <c r="F1842" s="278"/>
      <c r="G1842" s="264"/>
      <c r="H1842" s="279"/>
      <c r="I1842" s="280"/>
      <c r="J1842" s="280"/>
      <c r="K1842" s="279"/>
      <c r="L1842" s="278"/>
      <c r="M1842" s="279"/>
      <c r="N1842" s="281"/>
      <c r="O1842" s="281"/>
      <c r="P1842" s="278"/>
      <c r="Q1842" s="282"/>
      <c r="R1842" s="279"/>
      <c r="S1842" s="279"/>
      <c r="T1842" s="279"/>
      <c r="U1842" s="106">
        <f>SUMIF($AS:$AS,$AT1842,U:U)</f>
        <v>0</v>
      </c>
      <c r="V1842" s="106">
        <f>SUMIF($AS:$AS,$AT1842,V:V)</f>
        <v>0</v>
      </c>
      <c r="W1842" s="106">
        <f>SUMIF($AS:$AS,$AT1842,W:W)</f>
        <v>59301.569198333178</v>
      </c>
      <c r="X1842" s="106">
        <f>SUMIF($AS:$AS,$AT1842,X:X)</f>
        <v>59301.569198333178</v>
      </c>
      <c r="Y1842" s="106">
        <f>SUMIF($AS:$AS,$AT1842,Y:Y)</f>
        <v>0</v>
      </c>
      <c r="Z1842" s="106">
        <f>SUMIF($AS:$AS,$AT1842,Z:Z)</f>
        <v>0</v>
      </c>
      <c r="AA1842" s="106">
        <f>SUMIF($AS:$AS,$AT1842,AA:AA)</f>
        <v>63725.732640000053</v>
      </c>
      <c r="AB1842" s="106">
        <f>SUMIF($AS:$AS,$AT1842,AB:AB)</f>
        <v>63725.732639999995</v>
      </c>
      <c r="AC1842" s="106">
        <f>SUMIF($AS:$AS,$AT1842,AC:AC)</f>
        <v>55610.013339999998</v>
      </c>
      <c r="AD1842" s="106">
        <f>SUMIF($AS:$AS,$AT1842,AD:AD)</f>
        <v>55990.196830000008</v>
      </c>
      <c r="AE1842" s="106">
        <f>SUMIF($AS:$AS,$AT1842,AE:AE)</f>
        <v>56030.394339999992</v>
      </c>
      <c r="AF1842" s="106">
        <f>SUMIF($AS:$AS,$AT1842,AF:AF)</f>
        <v>56491.645259999998</v>
      </c>
      <c r="AG1842" s="106">
        <f>SUMIF($AS:$AS,$AT1842,AG:AG)</f>
        <v>57341.164819999998</v>
      </c>
      <c r="AH1842" s="106">
        <f>SUMIF($AS:$AS,$AT1842,AH:AH)</f>
        <v>58009.481229999961</v>
      </c>
      <c r="AI1842" s="106">
        <f>SUMIF($AS:$AS,$AT1842,AI:AI)</f>
        <v>58805.169419999977</v>
      </c>
      <c r="AJ1842" s="106">
        <f>SUMIF($AS:$AS,$AT1842,AJ:AJ)</f>
        <v>60027.585289999959</v>
      </c>
      <c r="AK1842" s="106">
        <f>SUMIF($AS:$AS,$AT1842,AK:AK)</f>
        <v>61183.493089999982</v>
      </c>
      <c r="AL1842" s="106">
        <f>SUMIF($AS:$AS,$AT1842,AL:AL)</f>
        <v>62041.128059999945</v>
      </c>
      <c r="AM1842" s="106">
        <f>SUMIF($AS:$AS,$AT1842,AM:AM)</f>
        <v>62790.984769999966</v>
      </c>
      <c r="AN1842" s="106">
        <f>SUMIF($AS:$AS,$AT1842,AN:AN)</f>
        <v>63239.714279999956</v>
      </c>
      <c r="AO1842" s="106">
        <f>SUMIF($AS:$AS,$AT1842,AO:AO)</f>
        <v>63725.732639999995</v>
      </c>
      <c r="AP1842" s="264"/>
      <c r="AQ1842" s="264"/>
      <c r="AR1842" s="264"/>
      <c r="AS1842" s="286"/>
      <c r="AT1842" s="248" t="str">
        <f t="shared" si="658"/>
        <v>N10PensionNCR</v>
      </c>
    </row>
    <row r="1843" spans="1:46">
      <c r="A1843" s="283"/>
      <c r="B1843" s="283"/>
      <c r="C1843" s="256" t="s">
        <v>763</v>
      </c>
      <c r="D1843" s="277"/>
      <c r="E1843" s="278"/>
      <c r="F1843" s="278"/>
      <c r="G1843" s="264"/>
      <c r="H1843" s="279"/>
      <c r="I1843" s="280"/>
      <c r="J1843" s="280"/>
      <c r="K1843" s="279"/>
      <c r="L1843" s="278"/>
      <c r="M1843" s="279"/>
      <c r="N1843" s="281"/>
      <c r="O1843" s="281"/>
      <c r="P1843" s="278"/>
      <c r="Q1843" s="282"/>
      <c r="R1843" s="279"/>
      <c r="S1843" s="279"/>
      <c r="T1843" s="279"/>
      <c r="U1843" s="106">
        <f>SUMIF($AS:$AS,$AT1843,U:U)</f>
        <v>0</v>
      </c>
      <c r="V1843" s="106">
        <f>SUMIF($AS:$AS,$AT1843,V:V)</f>
        <v>0</v>
      </c>
      <c r="W1843" s="106">
        <f>SUMIF($AS:$AS,$AT1843,W:W)</f>
        <v>0</v>
      </c>
      <c r="X1843" s="106">
        <f>SUMIF($AS:$AS,$AT1843,X:X)</f>
        <v>0</v>
      </c>
      <c r="Y1843" s="106">
        <f>SUMIF($AS:$AS,$AT1843,Y:Y)</f>
        <v>0</v>
      </c>
      <c r="Z1843" s="106">
        <f>SUMIF($AS:$AS,$AT1843,Z:Z)</f>
        <v>0</v>
      </c>
      <c r="AA1843" s="106">
        <f>SUMIF($AS:$AS,$AT1843,AA:AA)</f>
        <v>0</v>
      </c>
      <c r="AB1843" s="106">
        <f>SUMIF($AS:$AS,$AT1843,AB:AB)</f>
        <v>0</v>
      </c>
      <c r="AC1843" s="106">
        <f>SUMIF($AS:$AS,$AT1843,AC:AC)</f>
        <v>0</v>
      </c>
      <c r="AD1843" s="106">
        <f>SUMIF($AS:$AS,$AT1843,AD:AD)</f>
        <v>0</v>
      </c>
      <c r="AE1843" s="106">
        <f>SUMIF($AS:$AS,$AT1843,AE:AE)</f>
        <v>0</v>
      </c>
      <c r="AF1843" s="106">
        <f>SUMIF($AS:$AS,$AT1843,AF:AF)</f>
        <v>0</v>
      </c>
      <c r="AG1843" s="106">
        <f>SUMIF($AS:$AS,$AT1843,AG:AG)</f>
        <v>0</v>
      </c>
      <c r="AH1843" s="106">
        <f>SUMIF($AS:$AS,$AT1843,AH:AH)</f>
        <v>0</v>
      </c>
      <c r="AI1843" s="106">
        <f>SUMIF($AS:$AS,$AT1843,AI:AI)</f>
        <v>0</v>
      </c>
      <c r="AJ1843" s="106">
        <f>SUMIF($AS:$AS,$AT1843,AJ:AJ)</f>
        <v>0</v>
      </c>
      <c r="AK1843" s="106">
        <f>SUMIF($AS:$AS,$AT1843,AK:AK)</f>
        <v>0</v>
      </c>
      <c r="AL1843" s="106">
        <f>SUMIF($AS:$AS,$AT1843,AL:AL)</f>
        <v>0</v>
      </c>
      <c r="AM1843" s="106">
        <f>SUMIF($AS:$AS,$AT1843,AM:AM)</f>
        <v>0</v>
      </c>
      <c r="AN1843" s="106">
        <f>SUMIF($AS:$AS,$AT1843,AN:AN)</f>
        <v>0</v>
      </c>
      <c r="AO1843" s="106">
        <f>SUMIF($AS:$AS,$AT1843,AO:AO)</f>
        <v>0</v>
      </c>
      <c r="AP1843" s="264"/>
      <c r="AQ1843" s="264"/>
      <c r="AR1843" s="264"/>
      <c r="AS1843" s="286"/>
      <c r="AT1843" s="248" t="str">
        <f t="shared" si="658"/>
        <v>N10Positive Benefit AdjustmentNCR</v>
      </c>
    </row>
    <row r="1844" spans="1:46">
      <c r="A1844" s="283"/>
      <c r="B1844" s="283"/>
      <c r="C1844" s="256" t="s">
        <v>815</v>
      </c>
      <c r="D1844" s="277"/>
      <c r="E1844" s="278"/>
      <c r="F1844" s="278"/>
      <c r="G1844" s="264"/>
      <c r="H1844" s="279"/>
      <c r="I1844" s="280"/>
      <c r="J1844" s="280"/>
      <c r="K1844" s="279"/>
      <c r="L1844" s="278"/>
      <c r="M1844" s="279"/>
      <c r="N1844" s="281"/>
      <c r="O1844" s="281"/>
      <c r="P1844" s="278"/>
      <c r="Q1844" s="282"/>
      <c r="R1844" s="279"/>
      <c r="S1844" s="279"/>
      <c r="T1844" s="279"/>
      <c r="U1844" s="106">
        <f>SUMIF($AS:$AS,$AT1844,U:U)</f>
        <v>0</v>
      </c>
      <c r="V1844" s="106">
        <f>SUMIF($AS:$AS,$AT1844,V:V)</f>
        <v>0</v>
      </c>
      <c r="W1844" s="106">
        <f>SUMIF($AS:$AS,$AT1844,W:W)</f>
        <v>15045.646150416682</v>
      </c>
      <c r="X1844" s="106">
        <f>SUMIF($AS:$AS,$AT1844,X:X)</f>
        <v>15045.646150416682</v>
      </c>
      <c r="Y1844" s="106">
        <f>SUMIF($AS:$AS,$AT1844,Y:Y)</f>
        <v>0</v>
      </c>
      <c r="Z1844" s="106">
        <f>SUMIF($AS:$AS,$AT1844,Z:Z)</f>
        <v>0</v>
      </c>
      <c r="AA1844" s="106">
        <f>SUMIF($AS:$AS,$AT1844,AA:AA)</f>
        <v>18214.064170000001</v>
      </c>
      <c r="AB1844" s="106">
        <f>SUMIF($AS:$AS,$AT1844,AB:AB)</f>
        <v>18214.064170000005</v>
      </c>
      <c r="AC1844" s="106">
        <f>SUMIF($AS:$AS,$AT1844,AC:AC)</f>
        <v>12592.284619999997</v>
      </c>
      <c r="AD1844" s="106">
        <f>SUMIF($AS:$AS,$AT1844,AD:AD)</f>
        <v>12883.946879999998</v>
      </c>
      <c r="AE1844" s="106">
        <f>SUMIF($AS:$AS,$AT1844,AE:AE)</f>
        <v>13327.721229999994</v>
      </c>
      <c r="AF1844" s="106">
        <f>SUMIF($AS:$AS,$AT1844,AF:AF)</f>
        <v>13784.821989999995</v>
      </c>
      <c r="AG1844" s="106">
        <f>SUMIF($AS:$AS,$AT1844,AG:AG)</f>
        <v>14295.991889999999</v>
      </c>
      <c r="AH1844" s="106">
        <f>SUMIF($AS:$AS,$AT1844,AH:AH)</f>
        <v>14182.028009999998</v>
      </c>
      <c r="AI1844" s="106">
        <f>SUMIF($AS:$AS,$AT1844,AI:AI)</f>
        <v>14708.52836</v>
      </c>
      <c r="AJ1844" s="106">
        <f>SUMIF($AS:$AS,$AT1844,AJ:AJ)</f>
        <v>15232.027730000002</v>
      </c>
      <c r="AK1844" s="106">
        <f>SUMIF($AS:$AS,$AT1844,AK:AK)</f>
        <v>15766.020070000008</v>
      </c>
      <c r="AL1844" s="106">
        <f>SUMIF($AS:$AS,$AT1844,AL:AL)</f>
        <v>16419.972130000002</v>
      </c>
      <c r="AM1844" s="106">
        <f>SUMIF($AS:$AS,$AT1844,AM:AM)</f>
        <v>16943.52262</v>
      </c>
      <c r="AN1844" s="106">
        <f>SUMIF($AS:$AS,$AT1844,AN:AN)</f>
        <v>17599.998500000009</v>
      </c>
      <c r="AO1844" s="106">
        <f>SUMIF($AS:$AS,$AT1844,AO:AO)</f>
        <v>18214.064170000005</v>
      </c>
      <c r="AP1844" s="264"/>
      <c r="AQ1844" s="264"/>
      <c r="AR1844" s="264"/>
      <c r="AS1844" s="286"/>
      <c r="AT1844" s="248" t="str">
        <f t="shared" si="658"/>
        <v>N10Property Tax DeferralNCR</v>
      </c>
    </row>
    <row r="1845" spans="1:46">
      <c r="A1845" s="283"/>
      <c r="B1845" s="283"/>
      <c r="C1845" s="256" t="s">
        <v>1717</v>
      </c>
      <c r="D1845" s="277"/>
      <c r="E1845" s="278"/>
      <c r="F1845" s="278"/>
      <c r="G1845" s="264"/>
      <c r="H1845" s="279"/>
      <c r="I1845" s="280"/>
      <c r="J1845" s="280"/>
      <c r="K1845" s="279"/>
      <c r="L1845" s="278"/>
      <c r="M1845" s="279"/>
      <c r="N1845" s="281"/>
      <c r="O1845" s="281"/>
      <c r="P1845" s="278"/>
      <c r="Q1845" s="282"/>
      <c r="R1845" s="279"/>
      <c r="S1845" s="279"/>
      <c r="T1845" s="279"/>
      <c r="U1845" s="106">
        <f>SUMIF($AS:$AS,$AT1845,U:U)</f>
        <v>0</v>
      </c>
      <c r="V1845" s="106">
        <f>SUMIF($AS:$AS,$AT1845,V:V)</f>
        <v>0</v>
      </c>
      <c r="W1845" s="106">
        <f>SUMIF($AS:$AS,$AT1845,W:W)</f>
        <v>0</v>
      </c>
      <c r="X1845" s="106">
        <f>SUMIF($AS:$AS,$AT1845,X:X)</f>
        <v>0</v>
      </c>
      <c r="Y1845" s="106">
        <f>SUMIF($AS:$AS,$AT1845,Y:Y)</f>
        <v>0</v>
      </c>
      <c r="Z1845" s="106">
        <f>SUMIF($AS:$AS,$AT1845,Z:Z)</f>
        <v>0</v>
      </c>
      <c r="AA1845" s="106">
        <f>SUMIF($AS:$AS,$AT1845,AA:AA)</f>
        <v>0</v>
      </c>
      <c r="AB1845" s="106">
        <f>SUMIF($AS:$AS,$AT1845,AB:AB)</f>
        <v>0</v>
      </c>
      <c r="AC1845" s="106">
        <f>SUMIF($AS:$AS,$AT1845,AC:AC)</f>
        <v>0</v>
      </c>
      <c r="AD1845" s="106">
        <f>SUMIF($AS:$AS,$AT1845,AD:AD)</f>
        <v>0</v>
      </c>
      <c r="AE1845" s="106">
        <f>SUMIF($AS:$AS,$AT1845,AE:AE)</f>
        <v>0</v>
      </c>
      <c r="AF1845" s="106">
        <f>SUMIF($AS:$AS,$AT1845,AF:AF)</f>
        <v>0</v>
      </c>
      <c r="AG1845" s="106">
        <f>SUMIF($AS:$AS,$AT1845,AG:AG)</f>
        <v>0</v>
      </c>
      <c r="AH1845" s="106">
        <f>SUMIF($AS:$AS,$AT1845,AH:AH)</f>
        <v>0</v>
      </c>
      <c r="AI1845" s="106">
        <f>SUMIF($AS:$AS,$AT1845,AI:AI)</f>
        <v>0</v>
      </c>
      <c r="AJ1845" s="106">
        <f>SUMIF($AS:$AS,$AT1845,AJ:AJ)</f>
        <v>0</v>
      </c>
      <c r="AK1845" s="106">
        <f>SUMIF($AS:$AS,$AT1845,AK:AK)</f>
        <v>0</v>
      </c>
      <c r="AL1845" s="106">
        <f>SUMIF($AS:$AS,$AT1845,AL:AL)</f>
        <v>0</v>
      </c>
      <c r="AM1845" s="106">
        <f>SUMIF($AS:$AS,$AT1845,AM:AM)</f>
        <v>0</v>
      </c>
      <c r="AN1845" s="106">
        <f>SUMIF($AS:$AS,$AT1845,AN:AN)</f>
        <v>0</v>
      </c>
      <c r="AO1845" s="106">
        <f>SUMIF($AS:$AS,$AT1845,AO:AO)</f>
        <v>0</v>
      </c>
      <c r="AP1845" s="264"/>
      <c r="AQ1845" s="264"/>
      <c r="AR1845" s="264"/>
      <c r="AS1845" s="286"/>
      <c r="AT1845" s="248" t="str">
        <f t="shared" si="658"/>
        <v>N10Property Tax RefundsNCR</v>
      </c>
    </row>
    <row r="1846" spans="1:46">
      <c r="A1846" s="283"/>
      <c r="B1846" s="283"/>
      <c r="C1846" s="256" t="s">
        <v>1844</v>
      </c>
      <c r="D1846" s="277"/>
      <c r="E1846" s="278"/>
      <c r="F1846" s="278"/>
      <c r="G1846" s="264"/>
      <c r="H1846" s="279"/>
      <c r="I1846" s="280"/>
      <c r="J1846" s="280"/>
      <c r="K1846" s="279"/>
      <c r="L1846" s="278"/>
      <c r="M1846" s="279"/>
      <c r="N1846" s="281"/>
      <c r="O1846" s="281"/>
      <c r="P1846" s="278"/>
      <c r="Q1846" s="282"/>
      <c r="R1846" s="279"/>
      <c r="S1846" s="279"/>
      <c r="T1846" s="279"/>
      <c r="U1846" s="106">
        <f>SUMIF($AS:$AS,$AT1846,U:U)</f>
        <v>0</v>
      </c>
      <c r="V1846" s="106">
        <f>SUMIF($AS:$AS,$AT1846,V:V)</f>
        <v>0</v>
      </c>
      <c r="W1846" s="106">
        <f>SUMIF($AS:$AS,$AT1846,W:W)</f>
        <v>4348.1480683333357</v>
      </c>
      <c r="X1846" s="106">
        <f>SUMIF($AS:$AS,$AT1846,X:X)</f>
        <v>4348.1480683333357</v>
      </c>
      <c r="Y1846" s="106">
        <f>SUMIF($AS:$AS,$AT1846,Y:Y)</f>
        <v>0</v>
      </c>
      <c r="Z1846" s="106">
        <f>SUMIF($AS:$AS,$AT1846,Z:Z)</f>
        <v>0</v>
      </c>
      <c r="AA1846" s="106">
        <f>SUMIF($AS:$AS,$AT1846,AA:AA)</f>
        <v>4281.2209100000009</v>
      </c>
      <c r="AB1846" s="106">
        <f>SUMIF($AS:$AS,$AT1846,AB:AB)</f>
        <v>4281.22091</v>
      </c>
      <c r="AC1846" s="106">
        <f>SUMIF($AS:$AS,$AT1846,AC:AC)</f>
        <v>3670.1410099999989</v>
      </c>
      <c r="AD1846" s="106">
        <f>SUMIF($AS:$AS,$AT1846,AD:AD)</f>
        <v>3312.5159799999992</v>
      </c>
      <c r="AE1846" s="106">
        <f>SUMIF($AS:$AS,$AT1846,AE:AE)</f>
        <v>3287.306419999999</v>
      </c>
      <c r="AF1846" s="106">
        <f>SUMIF($AS:$AS,$AT1846,AF:AF)</f>
        <v>3297.7094399999996</v>
      </c>
      <c r="AG1846" s="106">
        <f>SUMIF($AS:$AS,$AT1846,AG:AG)</f>
        <v>4125.4211799999985</v>
      </c>
      <c r="AH1846" s="106">
        <f>SUMIF($AS:$AS,$AT1846,AH:AH)</f>
        <v>5296.9058199999981</v>
      </c>
      <c r="AI1846" s="106">
        <f>SUMIF($AS:$AS,$AT1846,AI:AI)</f>
        <v>6968.4366299999992</v>
      </c>
      <c r="AJ1846" s="106">
        <f>SUMIF($AS:$AS,$AT1846,AJ:AJ)</f>
        <v>4328.2387099999996</v>
      </c>
      <c r="AK1846" s="106">
        <f>SUMIF($AS:$AS,$AT1846,AK:AK)</f>
        <v>4821.3283599999995</v>
      </c>
      <c r="AL1846" s="106">
        <f>SUMIF($AS:$AS,$AT1846,AL:AL)</f>
        <v>3988.5089399999993</v>
      </c>
      <c r="AM1846" s="106">
        <f>SUMIF($AS:$AS,$AT1846,AM:AM)</f>
        <v>4352.7820199999978</v>
      </c>
      <c r="AN1846" s="106">
        <f>SUMIF($AS:$AS,$AT1846,AN:AN)</f>
        <v>4422.9423599999991</v>
      </c>
      <c r="AO1846" s="106">
        <f>SUMIF($AS:$AS,$AT1846,AO:AO)</f>
        <v>4281.22091</v>
      </c>
      <c r="AP1846" s="264"/>
      <c r="AQ1846" s="264"/>
      <c r="AR1846" s="264"/>
      <c r="AS1846" s="286"/>
      <c r="AT1846" s="248" t="str">
        <f t="shared" si="658"/>
        <v>N10PSC AssessmentNCR</v>
      </c>
    </row>
    <row r="1847" spans="1:46">
      <c r="A1847" s="283"/>
      <c r="B1847" s="283"/>
      <c r="C1847" s="256" t="s">
        <v>623</v>
      </c>
      <c r="D1847" s="277"/>
      <c r="E1847" s="278"/>
      <c r="F1847" s="278"/>
      <c r="G1847" s="264"/>
      <c r="H1847" s="279"/>
      <c r="I1847" s="280"/>
      <c r="J1847" s="280"/>
      <c r="K1847" s="279"/>
      <c r="L1847" s="278"/>
      <c r="M1847" s="279"/>
      <c r="N1847" s="281"/>
      <c r="O1847" s="281"/>
      <c r="P1847" s="278"/>
      <c r="Q1847" s="282"/>
      <c r="R1847" s="279"/>
      <c r="S1847" s="279"/>
      <c r="T1847" s="279"/>
      <c r="U1847" s="106">
        <f>SUMIF($AS:$AS,$AT1847,U:U)</f>
        <v>0</v>
      </c>
      <c r="V1847" s="106">
        <f>SUMIF($AS:$AS,$AT1847,V:V)</f>
        <v>0</v>
      </c>
      <c r="W1847" s="106">
        <f>SUMIF($AS:$AS,$AT1847,W:W)</f>
        <v>-5955.3105295833338</v>
      </c>
      <c r="X1847" s="106">
        <f>SUMIF($AS:$AS,$AT1847,X:X)</f>
        <v>-5955.3105295833338</v>
      </c>
      <c r="Y1847" s="106">
        <f>SUMIF($AS:$AS,$AT1847,Y:Y)</f>
        <v>0</v>
      </c>
      <c r="Z1847" s="106">
        <f>SUMIF($AS:$AS,$AT1847,Z:Z)</f>
        <v>0</v>
      </c>
      <c r="AA1847" s="106">
        <f>SUMIF($AS:$AS,$AT1847,AA:AA)</f>
        <v>-6699.4622700000018</v>
      </c>
      <c r="AB1847" s="106">
        <f>SUMIF($AS:$AS,$AT1847,AB:AB)</f>
        <v>-6699.4622699999991</v>
      </c>
      <c r="AC1847" s="106">
        <f>SUMIF($AS:$AS,$AT1847,AC:AC)</f>
        <v>-9844.5622799999965</v>
      </c>
      <c r="AD1847" s="106">
        <f>SUMIF($AS:$AS,$AT1847,AD:AD)</f>
        <v>-9274.5383999999976</v>
      </c>
      <c r="AE1847" s="106">
        <f>SUMIF($AS:$AS,$AT1847,AE:AE)</f>
        <v>-8662.4462799999983</v>
      </c>
      <c r="AF1847" s="106">
        <f>SUMIF($AS:$AS,$AT1847,AF:AF)</f>
        <v>-5947.2481299999981</v>
      </c>
      <c r="AG1847" s="106">
        <f>SUMIF($AS:$AS,$AT1847,AG:AG)</f>
        <v>-1871.9484600000008</v>
      </c>
      <c r="AH1847" s="106">
        <f>SUMIF($AS:$AS,$AT1847,AH:AH)</f>
        <v>-3311.6035999999986</v>
      </c>
      <c r="AI1847" s="106">
        <f>SUMIF($AS:$AS,$AT1847,AI:AI)</f>
        <v>-3823.599479999998</v>
      </c>
      <c r="AJ1847" s="106">
        <f>SUMIF($AS:$AS,$AT1847,AJ:AJ)</f>
        <v>-5893.9208299999982</v>
      </c>
      <c r="AK1847" s="106">
        <f>SUMIF($AS:$AS,$AT1847,AK:AK)</f>
        <v>-5312.3210099999988</v>
      </c>
      <c r="AL1847" s="106">
        <f>SUMIF($AS:$AS,$AT1847,AL:AL)</f>
        <v>-5157.4200799999999</v>
      </c>
      <c r="AM1847" s="106">
        <f>SUMIF($AS:$AS,$AT1847,AM:AM)</f>
        <v>-6688.3160699999989</v>
      </c>
      <c r="AN1847" s="106">
        <f>SUMIF($AS:$AS,$AT1847,AN:AN)</f>
        <v>-7248.3517400000001</v>
      </c>
      <c r="AO1847" s="106">
        <f>SUMIF($AS:$AS,$AT1847,AO:AO)</f>
        <v>-6699.4622699999991</v>
      </c>
      <c r="AP1847" s="264"/>
      <c r="AQ1847" s="264"/>
      <c r="AR1847" s="264"/>
      <c r="AS1847" s="286"/>
      <c r="AT1847" s="248" t="str">
        <f t="shared" si="658"/>
        <v>N10RDMNCR</v>
      </c>
    </row>
    <row r="1848" spans="1:46">
      <c r="A1848" s="283"/>
      <c r="B1848" s="283"/>
      <c r="C1848" s="256" t="s">
        <v>2219</v>
      </c>
      <c r="D1848" s="277"/>
      <c r="E1848" s="278"/>
      <c r="F1848" s="278"/>
      <c r="G1848" s="264"/>
      <c r="H1848" s="279"/>
      <c r="I1848" s="280"/>
      <c r="J1848" s="280"/>
      <c r="K1848" s="279"/>
      <c r="L1848" s="278"/>
      <c r="M1848" s="279"/>
      <c r="N1848" s="281"/>
      <c r="O1848" s="281"/>
      <c r="P1848" s="278"/>
      <c r="Q1848" s="282"/>
      <c r="R1848" s="279"/>
      <c r="S1848" s="279"/>
      <c r="T1848" s="279"/>
      <c r="U1848" s="106">
        <f>SUMIF($AS:$AS,$AT1848,U:U)</f>
        <v>0</v>
      </c>
      <c r="V1848" s="106">
        <f>SUMIF($AS:$AS,$AT1848,V:V)</f>
        <v>0</v>
      </c>
      <c r="W1848" s="106">
        <f>SUMIF($AS:$AS,$AT1848,W:W)</f>
        <v>-773.30958666666993</v>
      </c>
      <c r="X1848" s="106">
        <f>SUMIF($AS:$AS,$AT1848,X:X)</f>
        <v>-773.30958666666993</v>
      </c>
      <c r="Y1848" s="106">
        <f>SUMIF($AS:$AS,$AT1848,Y:Y)</f>
        <v>0</v>
      </c>
      <c r="Z1848" s="106">
        <f>SUMIF($AS:$AS,$AT1848,Z:Z)</f>
        <v>0</v>
      </c>
      <c r="AA1848" s="106">
        <f>SUMIF($AS:$AS,$AT1848,AA:AA)</f>
        <v>-399.62927999999999</v>
      </c>
      <c r="AB1848" s="106">
        <f>SUMIF($AS:$AS,$AT1848,AB:AB)</f>
        <v>-399.62928000000045</v>
      </c>
      <c r="AC1848" s="106">
        <f>SUMIF($AS:$AS,$AT1848,AC:AC)</f>
        <v>-597.63951999999983</v>
      </c>
      <c r="AD1848" s="106">
        <f>SUMIF($AS:$AS,$AT1848,AD:AD)</f>
        <v>-676.07907000000012</v>
      </c>
      <c r="AE1848" s="106">
        <f>SUMIF($AS:$AS,$AT1848,AE:AE)</f>
        <v>-754.53481000000011</v>
      </c>
      <c r="AF1848" s="106">
        <f>SUMIF($AS:$AS,$AT1848,AF:AF)</f>
        <v>-761.02043000000003</v>
      </c>
      <c r="AG1848" s="106">
        <f>SUMIF($AS:$AS,$AT1848,AG:AG)</f>
        <v>-839.50887000000012</v>
      </c>
      <c r="AH1848" s="106">
        <f>SUMIF($AS:$AS,$AT1848,AH:AH)</f>
        <v>-918.01374999999996</v>
      </c>
      <c r="AI1848" s="106">
        <f>SUMIF($AS:$AS,$AT1848,AI:AI)</f>
        <v>-769.4685199999999</v>
      </c>
      <c r="AJ1848" s="106">
        <f>SUMIF($AS:$AS,$AT1848,AJ:AJ)</f>
        <v>-848.00649999999996</v>
      </c>
      <c r="AK1848" s="106">
        <f>SUMIF($AS:$AS,$AT1848,AK:AK)</f>
        <v>-926.56118000000015</v>
      </c>
      <c r="AL1848" s="106">
        <f>SUMIF($AS:$AS,$AT1848,AL:AL)</f>
        <v>-687.32430000000045</v>
      </c>
      <c r="AM1848" s="106">
        <f>SUMIF($AS:$AS,$AT1848,AM:AM)</f>
        <v>-760.97897000000034</v>
      </c>
      <c r="AN1848" s="106">
        <f>SUMIF($AS:$AS,$AT1848,AN:AN)</f>
        <v>-839.58424000000036</v>
      </c>
      <c r="AO1848" s="106">
        <f>SUMIF($AS:$AS,$AT1848,AO:AO)</f>
        <v>-399.62928000000045</v>
      </c>
      <c r="AP1848" s="264"/>
      <c r="AQ1848" s="264"/>
      <c r="AR1848" s="264"/>
      <c r="AS1848" s="286"/>
      <c r="AT1848" s="248" t="str">
        <f t="shared" si="658"/>
        <v>N10Research &amp; DevelopmentNCR</v>
      </c>
    </row>
    <row r="1849" spans="1:46">
      <c r="A1849" s="283"/>
      <c r="B1849" s="283"/>
      <c r="C1849" s="256" t="s">
        <v>3032</v>
      </c>
      <c r="D1849" s="277"/>
      <c r="E1849" s="278"/>
      <c r="F1849" s="278"/>
      <c r="G1849" s="264"/>
      <c r="H1849" s="279"/>
      <c r="I1849" s="280"/>
      <c r="J1849" s="280"/>
      <c r="K1849" s="279"/>
      <c r="L1849" s="278"/>
      <c r="M1849" s="279"/>
      <c r="N1849" s="281"/>
      <c r="O1849" s="281"/>
      <c r="P1849" s="278"/>
      <c r="Q1849" s="282"/>
      <c r="R1849" s="279"/>
      <c r="S1849" s="279"/>
      <c r="T1849" s="279"/>
      <c r="U1849" s="106">
        <f>SUMIF($AS:$AS,$AT1849,U:U)</f>
        <v>0</v>
      </c>
      <c r="V1849" s="106">
        <f>SUMIF($AS:$AS,$AT1849,V:V)</f>
        <v>0</v>
      </c>
      <c r="W1849" s="106">
        <f>SUMIF($AS:$AS,$AT1849,W:W)</f>
        <v>0</v>
      </c>
      <c r="X1849" s="106">
        <f>SUMIF($AS:$AS,$AT1849,X:X)</f>
        <v>0</v>
      </c>
      <c r="Y1849" s="106">
        <f>SUMIF($AS:$AS,$AT1849,Y:Y)</f>
        <v>0</v>
      </c>
      <c r="Z1849" s="106">
        <f>SUMIF($AS:$AS,$AT1849,Z:Z)</f>
        <v>0</v>
      </c>
      <c r="AA1849" s="106">
        <f>SUMIF($AS:$AS,$AT1849,AA:AA)</f>
        <v>0</v>
      </c>
      <c r="AB1849" s="106">
        <f>SUMIF($AS:$AS,$AT1849,AB:AB)</f>
        <v>0</v>
      </c>
      <c r="AC1849" s="106">
        <f>SUMIF($AS:$AS,$AT1849,AC:AC)</f>
        <v>0</v>
      </c>
      <c r="AD1849" s="106">
        <f>SUMIF($AS:$AS,$AT1849,AD:AD)</f>
        <v>0</v>
      </c>
      <c r="AE1849" s="106">
        <f>SUMIF($AS:$AS,$AT1849,AE:AE)</f>
        <v>0</v>
      </c>
      <c r="AF1849" s="106">
        <f>SUMIF($AS:$AS,$AT1849,AF:AF)</f>
        <v>0</v>
      </c>
      <c r="AG1849" s="106">
        <f>SUMIF($AS:$AS,$AT1849,AG:AG)</f>
        <v>0</v>
      </c>
      <c r="AH1849" s="106">
        <f>SUMIF($AS:$AS,$AT1849,AH:AH)</f>
        <v>0</v>
      </c>
      <c r="AI1849" s="106">
        <f>SUMIF($AS:$AS,$AT1849,AI:AI)</f>
        <v>0</v>
      </c>
      <c r="AJ1849" s="106">
        <f>SUMIF($AS:$AS,$AT1849,AJ:AJ)</f>
        <v>0</v>
      </c>
      <c r="AK1849" s="106">
        <f>SUMIF($AS:$AS,$AT1849,AK:AK)</f>
        <v>0</v>
      </c>
      <c r="AL1849" s="106">
        <f>SUMIF($AS:$AS,$AT1849,AL:AL)</f>
        <v>0</v>
      </c>
      <c r="AM1849" s="106">
        <f>SUMIF($AS:$AS,$AT1849,AM:AM)</f>
        <v>0</v>
      </c>
      <c r="AN1849" s="106">
        <f>SUMIF($AS:$AS,$AT1849,AN:AN)</f>
        <v>0</v>
      </c>
      <c r="AO1849" s="106">
        <f>SUMIF($AS:$AS,$AT1849,AO:AO)</f>
        <v>0</v>
      </c>
      <c r="AP1849" s="264"/>
      <c r="AQ1849" s="264"/>
      <c r="AR1849" s="264"/>
      <c r="AS1849" s="286"/>
      <c r="AT1849" s="248" t="str">
        <f t="shared" si="658"/>
        <v>N10Sarbanes-OxleyNCR</v>
      </c>
    </row>
    <row r="1850" spans="1:46">
      <c r="A1850" s="283"/>
      <c r="B1850" s="283"/>
      <c r="C1850" s="256" t="s">
        <v>1079</v>
      </c>
      <c r="D1850" s="277"/>
      <c r="E1850" s="278"/>
      <c r="F1850" s="278"/>
      <c r="G1850" s="264"/>
      <c r="H1850" s="279"/>
      <c r="I1850" s="280"/>
      <c r="J1850" s="280"/>
      <c r="K1850" s="279"/>
      <c r="L1850" s="278"/>
      <c r="M1850" s="279"/>
      <c r="N1850" s="281"/>
      <c r="O1850" s="281"/>
      <c r="P1850" s="278"/>
      <c r="Q1850" s="282"/>
      <c r="R1850" s="279"/>
      <c r="S1850" s="279"/>
      <c r="T1850" s="279"/>
      <c r="U1850" s="106">
        <f>SUMIF($AS:$AS,$AT1850,U:U)</f>
        <v>0</v>
      </c>
      <c r="V1850" s="106">
        <f>SUMIF($AS:$AS,$AT1850,V:V)</f>
        <v>0</v>
      </c>
      <c r="W1850" s="106">
        <f>SUMIF($AS:$AS,$AT1850,W:W)</f>
        <v>-450.463107083333</v>
      </c>
      <c r="X1850" s="106">
        <f>SUMIF($AS:$AS,$AT1850,X:X)</f>
        <v>-450.463107083333</v>
      </c>
      <c r="Y1850" s="106">
        <f>SUMIF($AS:$AS,$AT1850,Y:Y)</f>
        <v>0</v>
      </c>
      <c r="Z1850" s="106">
        <f>SUMIF($AS:$AS,$AT1850,Z:Z)</f>
        <v>0</v>
      </c>
      <c r="AA1850" s="106">
        <f>SUMIF($AS:$AS,$AT1850,AA:AA)</f>
        <v>-415.10268000000002</v>
      </c>
      <c r="AB1850" s="106">
        <f>SUMIF($AS:$AS,$AT1850,AB:AB)</f>
        <v>-415.10267999999991</v>
      </c>
      <c r="AC1850" s="106">
        <f>SUMIF($AS:$AS,$AT1850,AC:AC)</f>
        <v>-372.40165000000007</v>
      </c>
      <c r="AD1850" s="106">
        <f>SUMIF($AS:$AS,$AT1850,AD:AD)</f>
        <v>-388.49286999999993</v>
      </c>
      <c r="AE1850" s="106">
        <f>SUMIF($AS:$AS,$AT1850,AE:AE)</f>
        <v>-422.00678999999991</v>
      </c>
      <c r="AF1850" s="106">
        <f>SUMIF($AS:$AS,$AT1850,AF:AF)</f>
        <v>-446.04780999999991</v>
      </c>
      <c r="AG1850" s="106">
        <f>SUMIF($AS:$AS,$AT1850,AG:AG)</f>
        <v>-470.09900999999996</v>
      </c>
      <c r="AH1850" s="106">
        <f>SUMIF($AS:$AS,$AT1850,AH:AH)</f>
        <v>-489.49609999999996</v>
      </c>
      <c r="AI1850" s="106">
        <f>SUMIF($AS:$AS,$AT1850,AI:AI)</f>
        <v>-492.60702999999995</v>
      </c>
      <c r="AJ1850" s="106">
        <f>SUMIF($AS:$AS,$AT1850,AJ:AJ)</f>
        <v>-516.52443999999991</v>
      </c>
      <c r="AK1850" s="106">
        <f>SUMIF($AS:$AS,$AT1850,AK:AK)</f>
        <v>-538.8252</v>
      </c>
      <c r="AL1850" s="106">
        <f>SUMIF($AS:$AS,$AT1850,AL:AL)</f>
        <v>-406.68993999999992</v>
      </c>
      <c r="AM1850" s="106">
        <f>SUMIF($AS:$AS,$AT1850,AM:AM)</f>
        <v>-415.94736999999992</v>
      </c>
      <c r="AN1850" s="106">
        <f>SUMIF($AS:$AS,$AT1850,AN:AN)</f>
        <v>-425.06855999999993</v>
      </c>
      <c r="AO1850" s="106">
        <f>SUMIF($AS:$AS,$AT1850,AO:AO)</f>
        <v>-415.10267999999991</v>
      </c>
      <c r="AP1850" s="264"/>
      <c r="AQ1850" s="264"/>
      <c r="AR1850" s="264"/>
      <c r="AS1850" s="286"/>
      <c r="AT1850" s="248" t="str">
        <f t="shared" si="658"/>
        <v>N10Seneca Pipeline Integrity InitiativeNCR</v>
      </c>
    </row>
    <row r="1851" spans="1:46">
      <c r="A1851" s="283"/>
      <c r="B1851" s="283"/>
      <c r="C1851" s="256" t="s">
        <v>792</v>
      </c>
      <c r="D1851" s="277"/>
      <c r="E1851" s="278"/>
      <c r="F1851" s="278"/>
      <c r="G1851" s="264"/>
      <c r="H1851" s="279"/>
      <c r="I1851" s="280"/>
      <c r="J1851" s="280"/>
      <c r="K1851" s="279"/>
      <c r="L1851" s="278"/>
      <c r="M1851" s="279"/>
      <c r="N1851" s="281"/>
      <c r="O1851" s="281"/>
      <c r="P1851" s="278"/>
      <c r="Q1851" s="282"/>
      <c r="R1851" s="279"/>
      <c r="S1851" s="279"/>
      <c r="T1851" s="279"/>
      <c r="U1851" s="106">
        <f>SUMIF($AS:$AS,$AT1851,U:U)</f>
        <v>0</v>
      </c>
      <c r="V1851" s="106">
        <f>SUMIF($AS:$AS,$AT1851,V:V)</f>
        <v>0</v>
      </c>
      <c r="W1851" s="106">
        <f>SUMIF($AS:$AS,$AT1851,W:W)</f>
        <v>-995.53148958333736</v>
      </c>
      <c r="X1851" s="106">
        <f>SUMIF($AS:$AS,$AT1851,X:X)</f>
        <v>-995.53148958333736</v>
      </c>
      <c r="Y1851" s="106">
        <f>SUMIF($AS:$AS,$AT1851,Y:Y)</f>
        <v>0</v>
      </c>
      <c r="Z1851" s="106">
        <f>SUMIF($AS:$AS,$AT1851,Z:Z)</f>
        <v>0</v>
      </c>
      <c r="AA1851" s="106">
        <f>SUMIF($AS:$AS,$AT1851,AA:AA)</f>
        <v>851.17721000000097</v>
      </c>
      <c r="AB1851" s="106">
        <f>SUMIF($AS:$AS,$AT1851,AB:AB)</f>
        <v>851.17721000000108</v>
      </c>
      <c r="AC1851" s="106">
        <f>SUMIF($AS:$AS,$AT1851,AC:AC)</f>
        <v>-3297.6701599999983</v>
      </c>
      <c r="AD1851" s="106">
        <f>SUMIF($AS:$AS,$AT1851,AD:AD)</f>
        <v>-2585.2854899999984</v>
      </c>
      <c r="AE1851" s="106">
        <f>SUMIF($AS:$AS,$AT1851,AE:AE)</f>
        <v>-1959.060079999997</v>
      </c>
      <c r="AF1851" s="106">
        <f>SUMIF($AS:$AS,$AT1851,AF:AF)</f>
        <v>-1388.5178399999979</v>
      </c>
      <c r="AG1851" s="106">
        <f>SUMIF($AS:$AS,$AT1851,AG:AG)</f>
        <v>-1318.3428399999978</v>
      </c>
      <c r="AH1851" s="106">
        <f>SUMIF($AS:$AS,$AT1851,AH:AH)</f>
        <v>-920.4998099999973</v>
      </c>
      <c r="AI1851" s="106">
        <f>SUMIF($AS:$AS,$AT1851,AI:AI)</f>
        <v>-814.42584999999735</v>
      </c>
      <c r="AJ1851" s="106">
        <f>SUMIF($AS:$AS,$AT1851,AJ:AJ)</f>
        <v>-723.81871999999885</v>
      </c>
      <c r="AK1851" s="106">
        <f>SUMIF($AS:$AS,$AT1851,AK:AK)</f>
        <v>-571.18469999999706</v>
      </c>
      <c r="AL1851" s="106">
        <f>SUMIF($AS:$AS,$AT1851,AL:AL)</f>
        <v>-434.19295999999923</v>
      </c>
      <c r="AM1851" s="106">
        <f>SUMIF($AS:$AS,$AT1851,AM:AM)</f>
        <v>-243.65890999999684</v>
      </c>
      <c r="AN1851" s="106">
        <f>SUMIF($AS:$AS,$AT1851,AN:AN)</f>
        <v>235.85580000000297</v>
      </c>
      <c r="AO1851" s="106">
        <f>SUMIF($AS:$AS,$AT1851,AO:AO)</f>
        <v>851.17721000000108</v>
      </c>
      <c r="AP1851" s="264"/>
      <c r="AQ1851" s="264"/>
      <c r="AR1851" s="264"/>
      <c r="AS1851" s="286"/>
      <c r="AT1851" s="248" t="str">
        <f t="shared" si="658"/>
        <v>N10Seneca Sale GainNCR</v>
      </c>
    </row>
    <row r="1852" spans="1:46">
      <c r="A1852" s="283"/>
      <c r="B1852" s="283"/>
      <c r="C1852" s="256" t="s">
        <v>2714</v>
      </c>
      <c r="D1852" s="277"/>
      <c r="E1852" s="278"/>
      <c r="F1852" s="278"/>
      <c r="G1852" s="264"/>
      <c r="H1852" s="279"/>
      <c r="I1852" s="280"/>
      <c r="J1852" s="280"/>
      <c r="K1852" s="279"/>
      <c r="L1852" s="278"/>
      <c r="M1852" s="279"/>
      <c r="N1852" s="281"/>
      <c r="O1852" s="281"/>
      <c r="P1852" s="278"/>
      <c r="Q1852" s="282"/>
      <c r="R1852" s="279"/>
      <c r="S1852" s="279"/>
      <c r="T1852" s="279"/>
      <c r="U1852" s="106">
        <f>SUMIF($AS:$AS,$AT1852,U:U)</f>
        <v>0</v>
      </c>
      <c r="V1852" s="106">
        <f>SUMIF($AS:$AS,$AT1852,V:V)</f>
        <v>0</v>
      </c>
      <c r="W1852" s="106">
        <f>SUMIF($AS:$AS,$AT1852,W:W)</f>
        <v>0</v>
      </c>
      <c r="X1852" s="106">
        <f>SUMIF($AS:$AS,$AT1852,X:X)</f>
        <v>0</v>
      </c>
      <c r="Y1852" s="106">
        <f>SUMIF($AS:$AS,$AT1852,Y:Y)</f>
        <v>0</v>
      </c>
      <c r="Z1852" s="106">
        <f>SUMIF($AS:$AS,$AT1852,Z:Z)</f>
        <v>0</v>
      </c>
      <c r="AA1852" s="106">
        <f>SUMIF($AS:$AS,$AT1852,AA:AA)</f>
        <v>0</v>
      </c>
      <c r="AB1852" s="106">
        <f>SUMIF($AS:$AS,$AT1852,AB:AB)</f>
        <v>0</v>
      </c>
      <c r="AC1852" s="106">
        <f>SUMIF($AS:$AS,$AT1852,AC:AC)</f>
        <v>0</v>
      </c>
      <c r="AD1852" s="106">
        <f>SUMIF($AS:$AS,$AT1852,AD:AD)</f>
        <v>0</v>
      </c>
      <c r="AE1852" s="106">
        <f>SUMIF($AS:$AS,$AT1852,AE:AE)</f>
        <v>0</v>
      </c>
      <c r="AF1852" s="106">
        <f>SUMIF($AS:$AS,$AT1852,AF:AF)</f>
        <v>0</v>
      </c>
      <c r="AG1852" s="106">
        <f>SUMIF($AS:$AS,$AT1852,AG:AG)</f>
        <v>0</v>
      </c>
      <c r="AH1852" s="106">
        <f>SUMIF($AS:$AS,$AT1852,AH:AH)</f>
        <v>0</v>
      </c>
      <c r="AI1852" s="106">
        <f>SUMIF($AS:$AS,$AT1852,AI:AI)</f>
        <v>0</v>
      </c>
      <c r="AJ1852" s="106">
        <f>SUMIF($AS:$AS,$AT1852,AJ:AJ)</f>
        <v>0</v>
      </c>
      <c r="AK1852" s="106">
        <f>SUMIF($AS:$AS,$AT1852,AK:AK)</f>
        <v>0</v>
      </c>
      <c r="AL1852" s="106">
        <f>SUMIF($AS:$AS,$AT1852,AL:AL)</f>
        <v>0</v>
      </c>
      <c r="AM1852" s="106">
        <f>SUMIF($AS:$AS,$AT1852,AM:AM)</f>
        <v>0</v>
      </c>
      <c r="AN1852" s="106">
        <f>SUMIF($AS:$AS,$AT1852,AN:AN)</f>
        <v>0</v>
      </c>
      <c r="AO1852" s="106">
        <f>SUMIF($AS:$AS,$AT1852,AO:AO)</f>
        <v>0</v>
      </c>
      <c r="AP1852" s="264"/>
      <c r="AQ1852" s="264"/>
      <c r="AR1852" s="264"/>
      <c r="AS1852" s="286"/>
      <c r="AT1852" s="248" t="str">
        <f t="shared" si="658"/>
        <v>N10Seneca StorageNCR</v>
      </c>
    </row>
    <row r="1853" spans="1:46">
      <c r="A1853" s="283"/>
      <c r="B1853" s="283"/>
      <c r="C1853" s="256" t="s">
        <v>1943</v>
      </c>
      <c r="D1853" s="277"/>
      <c r="E1853" s="278"/>
      <c r="F1853" s="278"/>
      <c r="G1853" s="264"/>
      <c r="H1853" s="279"/>
      <c r="I1853" s="280"/>
      <c r="J1853" s="280"/>
      <c r="K1853" s="279"/>
      <c r="L1853" s="278"/>
      <c r="M1853" s="279"/>
      <c r="N1853" s="281"/>
      <c r="O1853" s="281"/>
      <c r="P1853" s="278"/>
      <c r="Q1853" s="282"/>
      <c r="R1853" s="279"/>
      <c r="S1853" s="279"/>
      <c r="T1853" s="279"/>
      <c r="U1853" s="106">
        <f>SUMIF($AS:$AS,$AT1853,U:U)</f>
        <v>0</v>
      </c>
      <c r="V1853" s="106">
        <f>SUMIF($AS:$AS,$AT1853,V:V)</f>
        <v>0</v>
      </c>
      <c r="W1853" s="106">
        <f>SUMIF($AS:$AS,$AT1853,W:W)</f>
        <v>0</v>
      </c>
      <c r="X1853" s="106">
        <f>SUMIF($AS:$AS,$AT1853,X:X)</f>
        <v>0</v>
      </c>
      <c r="Y1853" s="106">
        <f>SUMIF($AS:$AS,$AT1853,Y:Y)</f>
        <v>0</v>
      </c>
      <c r="Z1853" s="106">
        <f>SUMIF($AS:$AS,$AT1853,Z:Z)</f>
        <v>0</v>
      </c>
      <c r="AA1853" s="106">
        <f>SUMIF($AS:$AS,$AT1853,AA:AA)</f>
        <v>0</v>
      </c>
      <c r="AB1853" s="106">
        <f>SUMIF($AS:$AS,$AT1853,AB:AB)</f>
        <v>0</v>
      </c>
      <c r="AC1853" s="106">
        <f>SUMIF($AS:$AS,$AT1853,AC:AC)</f>
        <v>0</v>
      </c>
      <c r="AD1853" s="106">
        <f>SUMIF($AS:$AS,$AT1853,AD:AD)</f>
        <v>0</v>
      </c>
      <c r="AE1853" s="106">
        <f>SUMIF($AS:$AS,$AT1853,AE:AE)</f>
        <v>0</v>
      </c>
      <c r="AF1853" s="106">
        <f>SUMIF($AS:$AS,$AT1853,AF:AF)</f>
        <v>0</v>
      </c>
      <c r="AG1853" s="106">
        <f>SUMIF($AS:$AS,$AT1853,AG:AG)</f>
        <v>0</v>
      </c>
      <c r="AH1853" s="106">
        <f>SUMIF($AS:$AS,$AT1853,AH:AH)</f>
        <v>0</v>
      </c>
      <c r="AI1853" s="106">
        <f>SUMIF($AS:$AS,$AT1853,AI:AI)</f>
        <v>0</v>
      </c>
      <c r="AJ1853" s="106">
        <f>SUMIF($AS:$AS,$AT1853,AJ:AJ)</f>
        <v>0</v>
      </c>
      <c r="AK1853" s="106">
        <f>SUMIF($AS:$AS,$AT1853,AK:AK)</f>
        <v>0</v>
      </c>
      <c r="AL1853" s="106">
        <f>SUMIF($AS:$AS,$AT1853,AL:AL)</f>
        <v>0</v>
      </c>
      <c r="AM1853" s="106">
        <f>SUMIF($AS:$AS,$AT1853,AM:AM)</f>
        <v>0</v>
      </c>
      <c r="AN1853" s="106">
        <f>SUMIF($AS:$AS,$AT1853,AN:AN)</f>
        <v>0</v>
      </c>
      <c r="AO1853" s="106">
        <f>SUMIF($AS:$AS,$AT1853,AO:AO)</f>
        <v>0</v>
      </c>
      <c r="AP1853" s="264"/>
      <c r="AQ1853" s="264"/>
      <c r="AR1853" s="264"/>
      <c r="AS1853" s="286"/>
      <c r="AT1853" s="248" t="str">
        <f t="shared" si="658"/>
        <v>N10Service Quality Performance ProgramNCR</v>
      </c>
    </row>
    <row r="1854" spans="1:46">
      <c r="A1854" s="283"/>
      <c r="B1854" s="283"/>
      <c r="C1854" s="256" t="s">
        <v>1833</v>
      </c>
      <c r="D1854" s="277"/>
      <c r="E1854" s="278"/>
      <c r="F1854" s="278"/>
      <c r="G1854" s="264"/>
      <c r="H1854" s="279"/>
      <c r="I1854" s="280"/>
      <c r="J1854" s="280"/>
      <c r="K1854" s="279"/>
      <c r="L1854" s="278"/>
      <c r="M1854" s="279"/>
      <c r="N1854" s="281"/>
      <c r="O1854" s="281"/>
      <c r="P1854" s="278"/>
      <c r="Q1854" s="282"/>
      <c r="R1854" s="279"/>
      <c r="S1854" s="279"/>
      <c r="T1854" s="279"/>
      <c r="U1854" s="106">
        <f>SUMIF($AS:$AS,$AT1854,U:U)</f>
        <v>0</v>
      </c>
      <c r="V1854" s="106">
        <f>SUMIF($AS:$AS,$AT1854,V:V)</f>
        <v>0</v>
      </c>
      <c r="W1854" s="106">
        <f>SUMIF($AS:$AS,$AT1854,W:W)</f>
        <v>137191.66497583329</v>
      </c>
      <c r="X1854" s="106">
        <f>SUMIF($AS:$AS,$AT1854,X:X)</f>
        <v>137191.66497583329</v>
      </c>
      <c r="Y1854" s="106">
        <f>SUMIF($AS:$AS,$AT1854,Y:Y)</f>
        <v>0</v>
      </c>
      <c r="Z1854" s="106">
        <f>SUMIF($AS:$AS,$AT1854,Z:Z)</f>
        <v>0</v>
      </c>
      <c r="AA1854" s="106">
        <f>SUMIF($AS:$AS,$AT1854,AA:AA)</f>
        <v>145444.04437000002</v>
      </c>
      <c r="AB1854" s="106">
        <f>SUMIF($AS:$AS,$AT1854,AB:AB)</f>
        <v>145444.04436999996</v>
      </c>
      <c r="AC1854" s="106">
        <f>SUMIF($AS:$AS,$AT1854,AC:AC)</f>
        <v>133591.49528999993</v>
      </c>
      <c r="AD1854" s="106">
        <f>SUMIF($AS:$AS,$AT1854,AD:AD)</f>
        <v>134370.14517999996</v>
      </c>
      <c r="AE1854" s="106">
        <f>SUMIF($AS:$AS,$AT1854,AE:AE)</f>
        <v>134967.56300999995</v>
      </c>
      <c r="AF1854" s="106">
        <f>SUMIF($AS:$AS,$AT1854,AF:AF)</f>
        <v>134712.58600999991</v>
      </c>
      <c r="AG1854" s="106">
        <f>SUMIF($AS:$AS,$AT1854,AG:AG)</f>
        <v>134742.68724999996</v>
      </c>
      <c r="AH1854" s="106">
        <f>SUMIF($AS:$AS,$AT1854,AH:AH)</f>
        <v>134818.52234999993</v>
      </c>
      <c r="AI1854" s="106">
        <f>SUMIF($AS:$AS,$AT1854,AI:AI)</f>
        <v>135450.35998999991</v>
      </c>
      <c r="AJ1854" s="106">
        <f>SUMIF($AS:$AS,$AT1854,AJ:AJ)</f>
        <v>138943.1526899999</v>
      </c>
      <c r="AK1854" s="106">
        <f>SUMIF($AS:$AS,$AT1854,AK:AK)</f>
        <v>138745.51232999988</v>
      </c>
      <c r="AL1854" s="106">
        <f>SUMIF($AS:$AS,$AT1854,AL:AL)</f>
        <v>139053.04658999993</v>
      </c>
      <c r="AM1854" s="106">
        <f>SUMIF($AS:$AS,$AT1854,AM:AM)</f>
        <v>139178.31548999989</v>
      </c>
      <c r="AN1854" s="106">
        <f>SUMIF($AS:$AS,$AT1854,AN:AN)</f>
        <v>141800.31898999991</v>
      </c>
      <c r="AO1854" s="106">
        <f>SUMIF($AS:$AS,$AT1854,AO:AO)</f>
        <v>145444.04436999996</v>
      </c>
      <c r="AP1854" s="264"/>
      <c r="AQ1854" s="264"/>
      <c r="AR1854" s="264"/>
      <c r="AS1854" s="286"/>
      <c r="AT1854" s="248" t="str">
        <f>CONCATENATE("N10",C1854,"NCR")</f>
        <v>N10Storm CostsNCR</v>
      </c>
    </row>
    <row r="1855" spans="1:46">
      <c r="A1855" s="283"/>
      <c r="B1855" s="283"/>
      <c r="C1855" s="256" t="s">
        <v>2857</v>
      </c>
      <c r="D1855" s="277"/>
      <c r="E1855" s="278"/>
      <c r="F1855" s="278"/>
      <c r="G1855" s="264"/>
      <c r="H1855" s="279"/>
      <c r="I1855" s="280"/>
      <c r="J1855" s="280"/>
      <c r="K1855" s="279"/>
      <c r="L1855" s="278"/>
      <c r="M1855" s="279"/>
      <c r="N1855" s="281"/>
      <c r="O1855" s="281"/>
      <c r="P1855" s="278"/>
      <c r="Q1855" s="282"/>
      <c r="R1855" s="279"/>
      <c r="S1855" s="279"/>
      <c r="T1855" s="279"/>
      <c r="U1855" s="106">
        <f>SUMIF($AS:$AS,$AT1855,U:U)</f>
        <v>0</v>
      </c>
      <c r="V1855" s="106">
        <f>SUMIF($AS:$AS,$AT1855,V:V)</f>
        <v>0</v>
      </c>
      <c r="W1855" s="106">
        <f>SUMIF($AS:$AS,$AT1855,W:W)</f>
        <v>0</v>
      </c>
      <c r="X1855" s="106">
        <f>SUMIF($AS:$AS,$AT1855,X:X)</f>
        <v>0</v>
      </c>
      <c r="Y1855" s="106">
        <f>SUMIF($AS:$AS,$AT1855,Y:Y)</f>
        <v>0</v>
      </c>
      <c r="Z1855" s="106">
        <f>SUMIF($AS:$AS,$AT1855,Z:Z)</f>
        <v>0</v>
      </c>
      <c r="AA1855" s="106">
        <f>SUMIF($AS:$AS,$AT1855,AA:AA)</f>
        <v>0</v>
      </c>
      <c r="AB1855" s="106">
        <f>SUMIF($AS:$AS,$AT1855,AB:AB)</f>
        <v>0</v>
      </c>
      <c r="AC1855" s="106">
        <f>SUMIF($AS:$AS,$AT1855,AC:AC)</f>
        <v>0</v>
      </c>
      <c r="AD1855" s="106">
        <f>SUMIF($AS:$AS,$AT1855,AD:AD)</f>
        <v>0</v>
      </c>
      <c r="AE1855" s="106">
        <f>SUMIF($AS:$AS,$AT1855,AE:AE)</f>
        <v>0</v>
      </c>
      <c r="AF1855" s="106">
        <f>SUMIF($AS:$AS,$AT1855,AF:AF)</f>
        <v>0</v>
      </c>
      <c r="AG1855" s="106">
        <f>SUMIF($AS:$AS,$AT1855,AG:AG)</f>
        <v>0</v>
      </c>
      <c r="AH1855" s="106">
        <f>SUMIF($AS:$AS,$AT1855,AH:AH)</f>
        <v>0</v>
      </c>
      <c r="AI1855" s="106">
        <f>SUMIF($AS:$AS,$AT1855,AI:AI)</f>
        <v>0</v>
      </c>
      <c r="AJ1855" s="106">
        <f>SUMIF($AS:$AS,$AT1855,AJ:AJ)</f>
        <v>0</v>
      </c>
      <c r="AK1855" s="106">
        <f>SUMIF($AS:$AS,$AT1855,AK:AK)</f>
        <v>0</v>
      </c>
      <c r="AL1855" s="106">
        <f>SUMIF($AS:$AS,$AT1855,AL:AL)</f>
        <v>0</v>
      </c>
      <c r="AM1855" s="106">
        <f>SUMIF($AS:$AS,$AT1855,AM:AM)</f>
        <v>0</v>
      </c>
      <c r="AN1855" s="106">
        <f>SUMIF($AS:$AS,$AT1855,AN:AN)</f>
        <v>0</v>
      </c>
      <c r="AO1855" s="106">
        <f>SUMIF($AS:$AS,$AT1855,AO:AO)</f>
        <v>0</v>
      </c>
      <c r="AP1855" s="264"/>
      <c r="AQ1855" s="264"/>
      <c r="AR1855" s="264"/>
      <c r="AS1855" s="286"/>
      <c r="AT1855" s="248" t="str">
        <f t="shared" si="658"/>
        <v>N10Stray VoltageNCR</v>
      </c>
    </row>
    <row r="1856" spans="1:46">
      <c r="A1856" s="283"/>
      <c r="B1856" s="283"/>
      <c r="C1856" s="256" t="s">
        <v>2496</v>
      </c>
      <c r="D1856" s="277"/>
      <c r="E1856" s="278"/>
      <c r="F1856" s="278"/>
      <c r="G1856" s="264"/>
      <c r="H1856" s="279"/>
      <c r="I1856" s="280"/>
      <c r="J1856" s="280"/>
      <c r="K1856" s="279"/>
      <c r="L1856" s="278"/>
      <c r="M1856" s="279"/>
      <c r="N1856" s="281"/>
      <c r="O1856" s="281"/>
      <c r="P1856" s="278"/>
      <c r="Q1856" s="282"/>
      <c r="R1856" s="279"/>
      <c r="S1856" s="279"/>
      <c r="T1856" s="279"/>
      <c r="U1856" s="106">
        <f>SUMIF($AS:$AS,$AT1856,U:U)</f>
        <v>0</v>
      </c>
      <c r="V1856" s="106">
        <f>SUMIF($AS:$AS,$AT1856,V:V)</f>
        <v>0</v>
      </c>
      <c r="W1856" s="106">
        <f>SUMIF($AS:$AS,$AT1856,W:W)</f>
        <v>-151.68133999999969</v>
      </c>
      <c r="X1856" s="106">
        <f>SUMIF($AS:$AS,$AT1856,X:X)</f>
        <v>-151.68133999999969</v>
      </c>
      <c r="Y1856" s="106">
        <f>SUMIF($AS:$AS,$AT1856,Y:Y)</f>
        <v>0</v>
      </c>
      <c r="Z1856" s="106">
        <f>SUMIF($AS:$AS,$AT1856,Z:Z)</f>
        <v>0</v>
      </c>
      <c r="AA1856" s="106">
        <f>SUMIF($AS:$AS,$AT1856,AA:AA)</f>
        <v>-399.91134000000005</v>
      </c>
      <c r="AB1856" s="106">
        <f>SUMIF($AS:$AS,$AT1856,AB:AB)</f>
        <v>-399.91134000000005</v>
      </c>
      <c r="AC1856" s="106">
        <f>SUMIF($AS:$AS,$AT1856,AC:AC)</f>
        <v>7.2759576141834261E-15</v>
      </c>
      <c r="AD1856" s="106">
        <f>SUMIF($AS:$AS,$AT1856,AD:AD)</f>
        <v>7.2759576141834261E-15</v>
      </c>
      <c r="AE1856" s="106">
        <f>SUMIF($AS:$AS,$AT1856,AE:AE)</f>
        <v>7.2759576141834261E-15</v>
      </c>
      <c r="AF1856" s="106">
        <f>SUMIF($AS:$AS,$AT1856,AF:AF)</f>
        <v>7.2759576141834261E-15</v>
      </c>
      <c r="AG1856" s="106">
        <f>SUMIF($AS:$AS,$AT1856,AG:AG)</f>
        <v>7.2759576141834261E-15</v>
      </c>
      <c r="AH1856" s="106">
        <f>SUMIF($AS:$AS,$AT1856,AH:AH)</f>
        <v>7.2759576141834261E-15</v>
      </c>
      <c r="AI1856" s="106">
        <f>SUMIF($AS:$AS,$AT1856,AI:AI)</f>
        <v>7.2759576141834261E-15</v>
      </c>
      <c r="AJ1856" s="106">
        <f>SUMIF($AS:$AS,$AT1856,AJ:AJ)</f>
        <v>7.2759576141834261E-15</v>
      </c>
      <c r="AK1856" s="106">
        <f>SUMIF($AS:$AS,$AT1856,AK:AK)</f>
        <v>-449.59166000000005</v>
      </c>
      <c r="AL1856" s="106">
        <f>SUMIF($AS:$AS,$AT1856,AL:AL)</f>
        <v>-428.28928000000002</v>
      </c>
      <c r="AM1856" s="106">
        <f>SUMIF($AS:$AS,$AT1856,AM:AM)</f>
        <v>-382.54767000000004</v>
      </c>
      <c r="AN1856" s="106">
        <f>SUMIF($AS:$AS,$AT1856,AN:AN)</f>
        <v>-359.79179999999997</v>
      </c>
      <c r="AO1856" s="106">
        <f>SUMIF($AS:$AS,$AT1856,AO:AO)</f>
        <v>-399.91134000000005</v>
      </c>
      <c r="AP1856" s="264"/>
      <c r="AQ1856" s="264"/>
      <c r="AR1856" s="264"/>
      <c r="AS1856" s="286"/>
      <c r="AT1856" s="248" t="str">
        <f t="shared" si="658"/>
        <v>N10System Benefits ChargeNCR</v>
      </c>
    </row>
    <row r="1857" spans="1:46">
      <c r="A1857" s="283"/>
      <c r="B1857" s="283"/>
      <c r="C1857" s="256" t="s">
        <v>1436</v>
      </c>
      <c r="D1857" s="277"/>
      <c r="E1857" s="278"/>
      <c r="F1857" s="278"/>
      <c r="G1857" s="264"/>
      <c r="H1857" s="279"/>
      <c r="I1857" s="280"/>
      <c r="J1857" s="280"/>
      <c r="K1857" s="279"/>
      <c r="L1857" s="278"/>
      <c r="M1857" s="279"/>
      <c r="N1857" s="281"/>
      <c r="O1857" s="281"/>
      <c r="P1857" s="278"/>
      <c r="Q1857" s="282"/>
      <c r="R1857" s="279"/>
      <c r="S1857" s="279"/>
      <c r="T1857" s="279"/>
      <c r="U1857" s="106">
        <f>SUMIF($AS:$AS,$AT1857,U:U)</f>
        <v>0</v>
      </c>
      <c r="V1857" s="106">
        <f>SUMIF($AS:$AS,$AT1857,V:V)</f>
        <v>0</v>
      </c>
      <c r="W1857" s="106">
        <f>SUMIF($AS:$AS,$AT1857,W:W)</f>
        <v>-17415.4346425</v>
      </c>
      <c r="X1857" s="106">
        <f>SUMIF($AS:$AS,$AT1857,X:X)</f>
        <v>-17415.4346425</v>
      </c>
      <c r="Y1857" s="106">
        <f>SUMIF($AS:$AS,$AT1857,Y:Y)</f>
        <v>0</v>
      </c>
      <c r="Z1857" s="106">
        <f>SUMIF($AS:$AS,$AT1857,Z:Z)</f>
        <v>0</v>
      </c>
      <c r="AA1857" s="106">
        <f>SUMIF($AS:$AS,$AT1857,AA:AA)</f>
        <v>-19993.646359999999</v>
      </c>
      <c r="AB1857" s="106">
        <f>SUMIF($AS:$AS,$AT1857,AB:AB)</f>
        <v>-19993.646359999992</v>
      </c>
      <c r="AC1857" s="106">
        <f>SUMIF($AS:$AS,$AT1857,AC:AC)</f>
        <v>-14889.820859999996</v>
      </c>
      <c r="AD1857" s="106">
        <f>SUMIF($AS:$AS,$AT1857,AD:AD)</f>
        <v>-15303.106149999998</v>
      </c>
      <c r="AE1857" s="106">
        <f>SUMIF($AS:$AS,$AT1857,AE:AE)</f>
        <v>-15718.54162</v>
      </c>
      <c r="AF1857" s="106">
        <f>SUMIF($AS:$AS,$AT1857,AF:AF)</f>
        <v>-16136.138459999998</v>
      </c>
      <c r="AG1857" s="106">
        <f>SUMIF($AS:$AS,$AT1857,AG:AG)</f>
        <v>-16555.907909999998</v>
      </c>
      <c r="AH1857" s="106">
        <f>SUMIF($AS:$AS,$AT1857,AH:AH)</f>
        <v>-16977.861279999997</v>
      </c>
      <c r="AI1857" s="106">
        <f>SUMIF($AS:$AS,$AT1857,AI:AI)</f>
        <v>-17402.009919999997</v>
      </c>
      <c r="AJ1857" s="106">
        <f>SUMIF($AS:$AS,$AT1857,AJ:AJ)</f>
        <v>-17828.365259999999</v>
      </c>
      <c r="AK1857" s="106">
        <f>SUMIF($AS:$AS,$AT1857,AK:AK)</f>
        <v>-18256.938779999997</v>
      </c>
      <c r="AL1857" s="106">
        <f>SUMIF($AS:$AS,$AT1857,AL:AL)</f>
        <v>-18687.742019999994</v>
      </c>
      <c r="AM1857" s="106">
        <f>SUMIF($AS:$AS,$AT1857,AM:AM)</f>
        <v>-19120.786579999993</v>
      </c>
      <c r="AN1857" s="106">
        <f>SUMIF($AS:$AS,$AT1857,AN:AN)</f>
        <v>-19556.084119999992</v>
      </c>
      <c r="AO1857" s="106">
        <f>SUMIF($AS:$AS,$AT1857,AO:AO)</f>
        <v>-19993.646359999992</v>
      </c>
      <c r="AP1857" s="264"/>
      <c r="AQ1857" s="264"/>
      <c r="AR1857" s="264"/>
      <c r="AS1857" s="286"/>
      <c r="AT1857" s="248" t="str">
        <f t="shared" si="658"/>
        <v>N10Theoretical ReserveNCR</v>
      </c>
    </row>
    <row r="1858" spans="1:46">
      <c r="A1858" s="283"/>
      <c r="B1858" s="283"/>
      <c r="C1858" s="256" t="s">
        <v>2711</v>
      </c>
      <c r="D1858" s="277"/>
      <c r="E1858" s="278"/>
      <c r="F1858" s="278"/>
      <c r="G1858" s="264"/>
      <c r="H1858" s="279"/>
      <c r="I1858" s="280"/>
      <c r="J1858" s="280"/>
      <c r="K1858" s="279"/>
      <c r="L1858" s="278"/>
      <c r="M1858" s="279"/>
      <c r="N1858" s="281"/>
      <c r="O1858" s="281"/>
      <c r="P1858" s="278"/>
      <c r="Q1858" s="282"/>
      <c r="R1858" s="279"/>
      <c r="S1858" s="279"/>
      <c r="T1858" s="279"/>
      <c r="U1858" s="106">
        <f>SUMIF($AS:$AS,$AT1858,U:U)</f>
        <v>0</v>
      </c>
      <c r="V1858" s="106">
        <f>SUMIF($AS:$AS,$AT1858,V:V)</f>
        <v>0</v>
      </c>
      <c r="W1858" s="106">
        <f>SUMIF($AS:$AS,$AT1858,W:W)</f>
        <v>-654.21511208333391</v>
      </c>
      <c r="X1858" s="106">
        <f>SUMIF($AS:$AS,$AT1858,X:X)</f>
        <v>-654.21511208333391</v>
      </c>
      <c r="Y1858" s="106">
        <f>SUMIF($AS:$AS,$AT1858,Y:Y)</f>
        <v>0</v>
      </c>
      <c r="Z1858" s="106">
        <f>SUMIF($AS:$AS,$AT1858,Z:Z)</f>
        <v>0</v>
      </c>
      <c r="AA1858" s="106">
        <f>SUMIF($AS:$AS,$AT1858,AA:AA)</f>
        <v>-731.10764000000006</v>
      </c>
      <c r="AB1858" s="106">
        <f>SUMIF($AS:$AS,$AT1858,AB:AB)</f>
        <v>-731.10763999999995</v>
      </c>
      <c r="AC1858" s="106">
        <f>SUMIF($AS:$AS,$AT1858,AC:AC)</f>
        <v>-556.28353000000004</v>
      </c>
      <c r="AD1858" s="106">
        <f>SUMIF($AS:$AS,$AT1858,AD:AD)</f>
        <v>-567.86113999999998</v>
      </c>
      <c r="AE1858" s="106">
        <f>SUMIF($AS:$AS,$AT1858,AE:AE)</f>
        <v>-579.43714999999997</v>
      </c>
      <c r="AF1858" s="106">
        <f>SUMIF($AS:$AS,$AT1858,AF:AF)</f>
        <v>-627.01157000000001</v>
      </c>
      <c r="AG1858" s="106">
        <f>SUMIF($AS:$AS,$AT1858,AG:AG)</f>
        <v>-638.58435000000009</v>
      </c>
      <c r="AH1858" s="106">
        <f>SUMIF($AS:$AS,$AT1858,AH:AH)</f>
        <v>-650.15554000000009</v>
      </c>
      <c r="AI1858" s="106">
        <f>SUMIF($AS:$AS,$AT1858,AI:AI)</f>
        <v>-661.72508000000016</v>
      </c>
      <c r="AJ1858" s="106">
        <f>SUMIF($AS:$AS,$AT1858,AJ:AJ)</f>
        <v>-673.29300000000001</v>
      </c>
      <c r="AK1858" s="106">
        <f>SUMIF($AS:$AS,$AT1858,AK:AK)</f>
        <v>-684.85924000000011</v>
      </c>
      <c r="AL1858" s="106">
        <f>SUMIF($AS:$AS,$AT1858,AL:AL)</f>
        <v>-696.42385000000002</v>
      </c>
      <c r="AM1858" s="106">
        <f>SUMIF($AS:$AS,$AT1858,AM:AM)</f>
        <v>-707.98678999999993</v>
      </c>
      <c r="AN1858" s="106">
        <f>SUMIF($AS:$AS,$AT1858,AN:AN)</f>
        <v>-719.54804999999999</v>
      </c>
      <c r="AO1858" s="106">
        <f>SUMIF($AS:$AS,$AT1858,AO:AO)</f>
        <v>-731.10763999999995</v>
      </c>
      <c r="AP1858" s="264"/>
      <c r="AQ1858" s="264"/>
      <c r="AR1858" s="264"/>
      <c r="AS1858" s="286"/>
      <c r="AT1858" s="248" t="str">
        <f t="shared" si="658"/>
        <v>N10Unit of Property CTANCR</v>
      </c>
    </row>
    <row r="1859" spans="1:46">
      <c r="A1859" s="283"/>
      <c r="B1859" s="283"/>
      <c r="C1859" s="256" t="s">
        <v>1075</v>
      </c>
      <c r="D1859" s="277"/>
      <c r="E1859" s="278"/>
      <c r="F1859" s="278"/>
      <c r="G1859" s="264"/>
      <c r="H1859" s="279"/>
      <c r="I1859" s="280"/>
      <c r="J1859" s="280"/>
      <c r="K1859" s="279"/>
      <c r="L1859" s="278"/>
      <c r="M1859" s="279"/>
      <c r="N1859" s="281"/>
      <c r="O1859" s="281"/>
      <c r="P1859" s="278"/>
      <c r="Q1859" s="282"/>
      <c r="R1859" s="279"/>
      <c r="S1859" s="279"/>
      <c r="T1859" s="279"/>
      <c r="U1859" s="106">
        <f>SUMIF($AS:$AS,$AT1859,U:U)</f>
        <v>0</v>
      </c>
      <c r="V1859" s="106">
        <f>SUMIF($AS:$AS,$AT1859,V:V)</f>
        <v>0</v>
      </c>
      <c r="W1859" s="106">
        <f>SUMIF($AS:$AS,$AT1859,W:W)</f>
        <v>-6222.649481249995</v>
      </c>
      <c r="X1859" s="106">
        <f>SUMIF($AS:$AS,$AT1859,X:X)</f>
        <v>-6222.649481249995</v>
      </c>
      <c r="Y1859" s="106">
        <f>SUMIF($AS:$AS,$AT1859,Y:Y)</f>
        <v>0</v>
      </c>
      <c r="Z1859" s="106">
        <f>SUMIF($AS:$AS,$AT1859,Z:Z)</f>
        <v>0</v>
      </c>
      <c r="AA1859" s="106">
        <f>SUMIF($AS:$AS,$AT1859,AA:AA)</f>
        <v>-7892.0361199999998</v>
      </c>
      <c r="AB1859" s="106">
        <f>SUMIF($AS:$AS,$AT1859,AB:AB)</f>
        <v>-7892.0361199999998</v>
      </c>
      <c r="AC1859" s="106">
        <f>SUMIF($AS:$AS,$AT1859,AC:AC)</f>
        <v>-3797.0064500000008</v>
      </c>
      <c r="AD1859" s="106">
        <f>SUMIF($AS:$AS,$AT1859,AD:AD)</f>
        <v>-4955.3482299999996</v>
      </c>
      <c r="AE1859" s="106">
        <f>SUMIF($AS:$AS,$AT1859,AE:AE)</f>
        <v>-5230.3328299999985</v>
      </c>
      <c r="AF1859" s="106">
        <f>SUMIF($AS:$AS,$AT1859,AF:AF)</f>
        <v>-5405.7569900000008</v>
      </c>
      <c r="AG1859" s="106">
        <f>SUMIF($AS:$AS,$AT1859,AG:AG)</f>
        <v>-5681.4417299999986</v>
      </c>
      <c r="AH1859" s="106">
        <f>SUMIF($AS:$AS,$AT1859,AH:AH)</f>
        <v>-5959.7859899999985</v>
      </c>
      <c r="AI1859" s="106">
        <f>SUMIF($AS:$AS,$AT1859,AI:AI)</f>
        <v>-6238.2129199999999</v>
      </c>
      <c r="AJ1859" s="106">
        <f>SUMIF($AS:$AS,$AT1859,AJ:AJ)</f>
        <v>-6517.6612100000011</v>
      </c>
      <c r="AK1859" s="106">
        <f>SUMIF($AS:$AS,$AT1859,AK:AK)</f>
        <v>-6795.3463500000016</v>
      </c>
      <c r="AL1859" s="106">
        <f>SUMIF($AS:$AS,$AT1859,AL:AL)</f>
        <v>-7070.3797000000004</v>
      </c>
      <c r="AM1859" s="106">
        <f>SUMIF($AS:$AS,$AT1859,AM:AM)</f>
        <v>-7347.2784899999988</v>
      </c>
      <c r="AN1859" s="106">
        <f>SUMIF($AS:$AS,$AT1859,AN:AN)</f>
        <v>-7625.7280500000024</v>
      </c>
      <c r="AO1859" s="106">
        <f>SUMIF($AS:$AS,$AT1859,AO:AO)</f>
        <v>-7892.0361199999998</v>
      </c>
      <c r="AP1859" s="264"/>
      <c r="AQ1859" s="264"/>
      <c r="AR1859" s="264"/>
      <c r="AS1859" s="286"/>
      <c r="AT1859" s="248" t="str">
        <f t="shared" si="658"/>
        <v>N10Variable Rate DebtNCR</v>
      </c>
    </row>
    <row r="1860" spans="1:46">
      <c r="A1860" s="283"/>
      <c r="B1860" s="283"/>
      <c r="C1860" s="256" t="s">
        <v>892</v>
      </c>
      <c r="D1860" s="277"/>
      <c r="E1860" s="278"/>
      <c r="F1860" s="278"/>
      <c r="G1860" s="264"/>
      <c r="H1860" s="279"/>
      <c r="I1860" s="280"/>
      <c r="J1860" s="280"/>
      <c r="K1860" s="279"/>
      <c r="L1860" s="278"/>
      <c r="M1860" s="279"/>
      <c r="N1860" s="281"/>
      <c r="O1860" s="281"/>
      <c r="P1860" s="278"/>
      <c r="Q1860" s="282"/>
      <c r="R1860" s="279"/>
      <c r="S1860" s="279"/>
      <c r="T1860" s="279"/>
      <c r="U1860" s="106">
        <f>SUMIF($AS:$AS,$AT1860,U:U)</f>
        <v>0</v>
      </c>
      <c r="V1860" s="106">
        <f>SUMIF($AS:$AS,$AT1860,V:V)</f>
        <v>0</v>
      </c>
      <c r="W1860" s="106">
        <f>SUMIF($AS:$AS,$AT1860,W:W)</f>
        <v>-407.02917916666689</v>
      </c>
      <c r="X1860" s="106">
        <f>SUMIF($AS:$AS,$AT1860,X:X)</f>
        <v>-407.02917916666689</v>
      </c>
      <c r="Y1860" s="106">
        <f>SUMIF($AS:$AS,$AT1860,Y:Y)</f>
        <v>0</v>
      </c>
      <c r="Z1860" s="106">
        <f>SUMIF($AS:$AS,$AT1860,Z:Z)</f>
        <v>0</v>
      </c>
      <c r="AA1860" s="106">
        <f>SUMIF($AS:$AS,$AT1860,AA:AA)</f>
        <v>-58.294060000000776</v>
      </c>
      <c r="AB1860" s="106">
        <f>SUMIF($AS:$AS,$AT1860,AB:AB)</f>
        <v>-58.294060000000819</v>
      </c>
      <c r="AC1860" s="106">
        <f>SUMIF($AS:$AS,$AT1860,AC:AC)</f>
        <v>-33.356280000000943</v>
      </c>
      <c r="AD1860" s="106">
        <f>SUMIF($AS:$AS,$AT1860,AD:AD)</f>
        <v>-536.86114000000089</v>
      </c>
      <c r="AE1860" s="106">
        <f>SUMIF($AS:$AS,$AT1860,AE:AE)</f>
        <v>-497.66855000000089</v>
      </c>
      <c r="AF1860" s="106">
        <f>SUMIF($AS:$AS,$AT1860,AF:AF)</f>
        <v>-384.35482000000087</v>
      </c>
      <c r="AG1860" s="106">
        <f>SUMIF($AS:$AS,$AT1860,AG:AG)</f>
        <v>-251.35047000000083</v>
      </c>
      <c r="AH1860" s="106">
        <f>SUMIF($AS:$AS,$AT1860,AH:AH)</f>
        <v>-299.8945900000009</v>
      </c>
      <c r="AI1860" s="106">
        <f>SUMIF($AS:$AS,$AT1860,AI:AI)</f>
        <v>-528.73613000000091</v>
      </c>
      <c r="AJ1860" s="106">
        <f>SUMIF($AS:$AS,$AT1860,AJ:AJ)</f>
        <v>-512.27285000000086</v>
      </c>
      <c r="AK1860" s="106">
        <f>SUMIF($AS:$AS,$AT1860,AK:AK)</f>
        <v>-773.04952000000083</v>
      </c>
      <c r="AL1860" s="106">
        <f>SUMIF($AS:$AS,$AT1860,AL:AL)</f>
        <v>-656.82545000000061</v>
      </c>
      <c r="AM1860" s="106">
        <f>SUMIF($AS:$AS,$AT1860,AM:AM)</f>
        <v>-229.48043000000081</v>
      </c>
      <c r="AN1860" s="106">
        <f>SUMIF($AS:$AS,$AT1860,AN:AN)</f>
        <v>-168.0310300000009</v>
      </c>
      <c r="AO1860" s="106">
        <f>SUMIF($AS:$AS,$AT1860,AO:AO)</f>
        <v>-58.294060000000819</v>
      </c>
      <c r="AP1860" s="264"/>
      <c r="AQ1860" s="264"/>
      <c r="AR1860" s="264"/>
      <c r="AS1860" s="286"/>
      <c r="AT1860" s="248" t="str">
        <f t="shared" si="658"/>
        <v>N10Vegetation ManagementNCR</v>
      </c>
    </row>
    <row r="1861" spans="1:46">
      <c r="A1861" s="283"/>
      <c r="B1861" s="283"/>
      <c r="C1861" s="256" t="s">
        <v>521</v>
      </c>
      <c r="D1861" s="246" t="s">
        <v>1106</v>
      </c>
      <c r="E1861" s="278"/>
      <c r="F1861" s="278"/>
      <c r="G1861" s="264"/>
      <c r="H1861" s="279"/>
      <c r="I1861" s="280"/>
      <c r="J1861" s="280"/>
      <c r="K1861" s="279"/>
      <c r="L1861" s="278"/>
      <c r="M1861" s="279"/>
      <c r="N1861" s="281"/>
      <c r="O1861" s="281"/>
      <c r="P1861" s="278"/>
      <c r="Q1861" s="282"/>
      <c r="R1861" s="279"/>
      <c r="S1861" s="279"/>
      <c r="T1861" s="279"/>
      <c r="U1861" s="106">
        <f>SUMIF($AS:$AS,$AT1861,U:U)</f>
        <v>0</v>
      </c>
      <c r="V1861" s="106">
        <f>SUMIF($AS:$AS,$AT1861,V:V)</f>
        <v>0</v>
      </c>
      <c r="W1861" s="106">
        <f>SUMIF($AS:$AS,$AT1861,W:W)</f>
        <v>-17415.084669166648</v>
      </c>
      <c r="X1861" s="106">
        <f>SUMIF($AS:$AS,$AT1861,X:X)</f>
        <v>-17415.084669166648</v>
      </c>
      <c r="Y1861" s="106">
        <f>SUMIF($AS:$AS,$AT1861,Y:Y)</f>
        <v>0</v>
      </c>
      <c r="Z1861" s="106">
        <f>SUMIF($AS:$AS,$AT1861,Z:Z)</f>
        <v>0</v>
      </c>
      <c r="AA1861" s="106">
        <f>SUMIF($AS:$AS,$AT1861,AA:AA)</f>
        <v>-17036.87614000004</v>
      </c>
      <c r="AB1861" s="106">
        <f>SUMIF($AS:$AS,$AT1861,AB:AB)</f>
        <v>-17036.876140000033</v>
      </c>
      <c r="AC1861" s="106">
        <f>SUMIF($AS:$AS,$AT1861,AC:AC)</f>
        <v>-17676.148440000015</v>
      </c>
      <c r="AD1861" s="106">
        <f>SUMIF($AS:$AS,$AT1861,AD:AD)</f>
        <v>-17674.196920000013</v>
      </c>
      <c r="AE1861" s="106">
        <f>SUMIF($AS:$AS,$AT1861,AE:AE)</f>
        <v>-17672.235250000031</v>
      </c>
      <c r="AF1861" s="106">
        <f>SUMIF($AS:$AS,$AT1861,AF:AF)</f>
        <v>-17670.263370000004</v>
      </c>
      <c r="AG1861" s="106">
        <f>SUMIF($AS:$AS,$AT1861,AG:AG)</f>
        <v>-17738.37987000003</v>
      </c>
      <c r="AH1861" s="106">
        <f>SUMIF($AS:$AS,$AT1861,AH:AH)</f>
        <v>-17736.752110000041</v>
      </c>
      <c r="AI1861" s="106">
        <f>SUMIF($AS:$AS,$AT1861,AI:AI)</f>
        <v>-17735.11590000003</v>
      </c>
      <c r="AJ1861" s="106">
        <f>SUMIF($AS:$AS,$AT1861,AJ:AJ)</f>
        <v>-17139.246150000024</v>
      </c>
      <c r="AK1861" s="106">
        <f>SUMIF($AS:$AS,$AT1861,AK:AK)</f>
        <v>-17137.592870000011</v>
      </c>
      <c r="AL1861" s="106">
        <f>SUMIF($AS:$AS,$AT1861,AL:AL)</f>
        <v>-17041.913870000015</v>
      </c>
      <c r="AM1861" s="106">
        <f>SUMIF($AS:$AS,$AT1861,AM:AM)</f>
        <v>-17040.243330000023</v>
      </c>
      <c r="AN1861" s="106">
        <f>SUMIF($AS:$AS,$AT1861,AN:AN)</f>
        <v>-17038.564100000014</v>
      </c>
      <c r="AO1861" s="106">
        <f>SUMIF($AS:$AS,$AT1861,AO:AO)</f>
        <v>-17036.876140000033</v>
      </c>
      <c r="AP1861" s="264"/>
      <c r="AQ1861" s="264"/>
      <c r="AR1861" s="264"/>
      <c r="AS1861" s="286"/>
      <c r="AT1861" s="248" t="str">
        <f>CONCATENATE("N8",C1861,"NCR")</f>
        <v>N8ASGANCR</v>
      </c>
    </row>
    <row r="1862" spans="1:46">
      <c r="A1862" s="283"/>
      <c r="B1862" s="283"/>
      <c r="C1862" s="256"/>
      <c r="D1862" s="277"/>
      <c r="E1862" s="278"/>
      <c r="F1862" s="278"/>
      <c r="G1862" s="264"/>
      <c r="H1862" s="279"/>
      <c r="I1862" s="280"/>
      <c r="J1862" s="280"/>
      <c r="K1862" s="279"/>
      <c r="L1862" s="278"/>
      <c r="M1862" s="279"/>
      <c r="N1862" s="281"/>
      <c r="O1862" s="281"/>
      <c r="P1862" s="278"/>
      <c r="Q1862" s="282"/>
      <c r="R1862" s="279"/>
      <c r="S1862" s="279"/>
      <c r="T1862" s="279"/>
      <c r="U1862" s="106"/>
      <c r="V1862" s="106"/>
      <c r="W1862" s="106"/>
      <c r="X1862" s="106"/>
      <c r="Y1862" s="106"/>
      <c r="Z1862" s="106"/>
      <c r="AA1862" s="106"/>
      <c r="AB1862" s="106"/>
      <c r="AC1862" s="106"/>
      <c r="AD1862" s="106"/>
      <c r="AE1862" s="106"/>
      <c r="AF1862" s="106"/>
      <c r="AG1862" s="106"/>
      <c r="AH1862" s="106"/>
      <c r="AI1862" s="106"/>
      <c r="AJ1862" s="106"/>
      <c r="AK1862" s="106"/>
      <c r="AL1862" s="106"/>
      <c r="AM1862" s="106"/>
      <c r="AN1862" s="106"/>
      <c r="AO1862" s="106"/>
      <c r="AP1862" s="264"/>
      <c r="AQ1862" s="264"/>
      <c r="AR1862" s="264"/>
      <c r="AS1862" s="248"/>
      <c r="AT1862" s="264"/>
    </row>
    <row r="1863" spans="1:46" ht="14.25">
      <c r="A1863" s="283"/>
      <c r="B1863" s="283"/>
      <c r="C1863" s="256" t="s">
        <v>365</v>
      </c>
      <c r="D1863" s="277"/>
      <c r="E1863" s="278"/>
      <c r="F1863" s="278"/>
      <c r="G1863" s="264"/>
      <c r="H1863" s="279"/>
      <c r="I1863" s="280"/>
      <c r="J1863" s="280"/>
      <c r="K1863" s="279"/>
      <c r="L1863" s="278"/>
      <c r="M1863" s="279"/>
      <c r="N1863" s="281"/>
      <c r="O1863" s="281"/>
      <c r="P1863" s="278"/>
      <c r="Q1863" s="282"/>
      <c r="R1863" s="279"/>
      <c r="S1863" s="279"/>
      <c r="T1863" s="279"/>
      <c r="U1863" s="274">
        <f t="shared" ref="U1863:AB1863" si="659">+U1865-SUM(U1816:U1862)</f>
        <v>0</v>
      </c>
      <c r="V1863" s="274">
        <f t="shared" si="659"/>
        <v>0</v>
      </c>
      <c r="W1863" s="274">
        <f t="shared" si="659"/>
        <v>-17678.691709166556</v>
      </c>
      <c r="X1863" s="274">
        <f t="shared" si="659"/>
        <v>-17678.691709166556</v>
      </c>
      <c r="Y1863" s="274">
        <f t="shared" si="659"/>
        <v>0</v>
      </c>
      <c r="Z1863" s="274">
        <f t="shared" si="659"/>
        <v>0</v>
      </c>
      <c r="AA1863" s="274">
        <f t="shared" si="659"/>
        <v>-20086.476840000403</v>
      </c>
      <c r="AB1863" s="274">
        <f t="shared" si="659"/>
        <v>-20086.476840000279</v>
      </c>
      <c r="AC1863" s="274">
        <f t="shared" ref="AC1863:AO1863" si="660">+AC1865-SUM(AC1816:AC1862)</f>
        <v>-14172.712920000042</v>
      </c>
      <c r="AD1863" s="274">
        <f t="shared" si="660"/>
        <v>-13628.691950000186</v>
      </c>
      <c r="AE1863" s="274">
        <f t="shared" si="660"/>
        <v>-14637.812710000057</v>
      </c>
      <c r="AF1863" s="274">
        <f t="shared" si="660"/>
        <v>-15631.934180000197</v>
      </c>
      <c r="AG1863" s="274">
        <f t="shared" si="660"/>
        <v>-17478.924090000022</v>
      </c>
      <c r="AH1863" s="274">
        <f t="shared" si="660"/>
        <v>-16768.882340000157</v>
      </c>
      <c r="AI1863" s="274">
        <f t="shared" si="660"/>
        <v>-15216.013860000177</v>
      </c>
      <c r="AJ1863" s="274">
        <f t="shared" si="660"/>
        <v>-15440.035339999999</v>
      </c>
      <c r="AK1863" s="274">
        <f t="shared" si="660"/>
        <v>-23235.035110000063</v>
      </c>
      <c r="AL1863" s="274">
        <f t="shared" si="660"/>
        <v>-21032.389789999816</v>
      </c>
      <c r="AM1863" s="274">
        <f t="shared" si="660"/>
        <v>-20821.545620000004</v>
      </c>
      <c r="AN1863" s="274">
        <f t="shared" si="660"/>
        <v>-21123.440640000139</v>
      </c>
      <c r="AO1863" s="274">
        <f t="shared" si="660"/>
        <v>-20086.476840000279</v>
      </c>
      <c r="AP1863" s="264"/>
      <c r="AQ1863" s="264"/>
      <c r="AR1863" s="264"/>
      <c r="AS1863" s="248"/>
      <c r="AT1863" s="264"/>
    </row>
    <row r="1864" spans="1:46">
      <c r="A1864" s="283"/>
      <c r="B1864" s="283"/>
      <c r="C1864" s="256"/>
      <c r="D1864" s="277"/>
      <c r="E1864" s="278"/>
      <c r="F1864" s="278"/>
      <c r="G1864" s="264"/>
      <c r="H1864" s="279"/>
      <c r="I1864" s="280"/>
      <c r="J1864" s="280"/>
      <c r="K1864" s="279"/>
      <c r="L1864" s="278"/>
      <c r="M1864" s="279"/>
      <c r="N1864" s="281"/>
      <c r="O1864" s="281"/>
      <c r="P1864" s="278"/>
      <c r="Q1864" s="282"/>
      <c r="R1864" s="279"/>
      <c r="S1864" s="279"/>
      <c r="T1864" s="279"/>
      <c r="U1864" s="263"/>
      <c r="V1864" s="263"/>
      <c r="W1864" s="263"/>
      <c r="X1864" s="263"/>
      <c r="Y1864" s="263"/>
      <c r="Z1864" s="263"/>
      <c r="AA1864" s="263"/>
      <c r="AB1864" s="263"/>
      <c r="AC1864" s="263"/>
      <c r="AD1864" s="263"/>
      <c r="AE1864" s="263"/>
      <c r="AF1864" s="263"/>
      <c r="AG1864" s="263"/>
      <c r="AH1864" s="263"/>
      <c r="AI1864" s="263"/>
      <c r="AJ1864" s="263"/>
      <c r="AK1864" s="263"/>
      <c r="AL1864" s="263"/>
      <c r="AM1864" s="263"/>
      <c r="AN1864" s="263"/>
      <c r="AO1864" s="263"/>
      <c r="AP1864" s="264"/>
      <c r="AQ1864" s="264"/>
      <c r="AR1864" s="264"/>
      <c r="AS1864" s="248"/>
      <c r="AT1864" s="264"/>
    </row>
    <row r="1865" spans="1:46">
      <c r="A1865" s="246"/>
      <c r="B1865" s="246"/>
      <c r="C1865" s="256" t="s">
        <v>1179</v>
      </c>
      <c r="D1865" s="256" t="s">
        <v>2821</v>
      </c>
      <c r="E1865" s="247" t="s">
        <v>2817</v>
      </c>
      <c r="F1865" s="247"/>
      <c r="G1865" s="248"/>
      <c r="H1865" s="249"/>
      <c r="I1865" s="253"/>
      <c r="J1865" s="253"/>
      <c r="K1865" s="249"/>
      <c r="L1865" s="215"/>
      <c r="M1865" s="249"/>
      <c r="N1865" s="254"/>
      <c r="O1865" s="254"/>
      <c r="P1865" s="215"/>
      <c r="Q1865" s="247"/>
      <c r="R1865" s="249"/>
      <c r="S1865" s="249"/>
      <c r="T1865" s="249"/>
      <c r="U1865" s="106">
        <f>SUMIF($L:$L,$D1865,U:U)+SUMIF($L:$L,$E1865,U:U)</f>
        <v>0</v>
      </c>
      <c r="V1865" s="106">
        <f>SUMIF($L:$L,$D1865,V:V)+SUMIF($L:$L,$E1865,V:V)</f>
        <v>0</v>
      </c>
      <c r="W1865" s="106">
        <f>SUMIF($L:$L,$D1865,W:W)+SUMIF($L:$L,$E1865,W:W)</f>
        <v>-6032.7470125000109</v>
      </c>
      <c r="X1865" s="106">
        <f>SUMIF($L:$L,$D1865,X:X)+SUMIF($L:$L,$E1865,X:X)</f>
        <v>-6032.7470125000109</v>
      </c>
      <c r="Y1865" s="106">
        <f>SUMIF($L:$L,$D1865,Y:Y)+SUMIF($L:$L,$E1865,Y:Y)</f>
        <v>0</v>
      </c>
      <c r="Z1865" s="106">
        <f>SUMIF($L:$L,$D1865,Z:Z)+SUMIF($L:$L,$E1865,Z:Z)</f>
        <v>0</v>
      </c>
      <c r="AA1865" s="106">
        <f>SUMIF($L:$L,$D1865,AA:AA)+SUMIF($L:$L,$E1865,AA:AA)</f>
        <v>-18741.195780000369</v>
      </c>
      <c r="AB1865" s="106">
        <f>SUMIF($L:$L,$D1865,AB:AB)+SUMIF($L:$L,$E1865,AB:AB)</f>
        <v>-18741.195780000347</v>
      </c>
      <c r="AC1865" s="106">
        <f>SUMIF($L:$L,$D1865,AC:AC)+SUMIF($L:$L,$E1865,AC:AC)</f>
        <v>7865.9342599998963</v>
      </c>
      <c r="AD1865" s="106">
        <f>SUMIF($L:$L,$D1865,AD:AD)+SUMIF($L:$L,$E1865,AD:AD)</f>
        <v>5362.6350499997716</v>
      </c>
      <c r="AE1865" s="106">
        <f>SUMIF($L:$L,$D1865,AE:AE)+SUMIF($L:$L,$E1865,AE:AE)</f>
        <v>1462.722049999833</v>
      </c>
      <c r="AF1865" s="106">
        <f>SUMIF($L:$L,$D1865,AF:AF)+SUMIF($L:$L,$E1865,AF:AF)</f>
        <v>1282.0238099997223</v>
      </c>
      <c r="AG1865" s="106">
        <f>SUMIF($L:$L,$D1865,AG:AG)+SUMIF($L:$L,$E1865,AG:AG)</f>
        <v>3928.6941699998897</v>
      </c>
      <c r="AH1865" s="106">
        <f>SUMIF($L:$L,$D1865,AH:AH)+SUMIF($L:$L,$E1865,AH:AH)</f>
        <v>2143.2229499997011</v>
      </c>
      <c r="AI1865" s="106">
        <f>SUMIF($L:$L,$D1865,AI:AI)+SUMIF($L:$L,$E1865,AI:AI)</f>
        <v>4517.2725299996746</v>
      </c>
      <c r="AJ1865" s="106">
        <f>SUMIF($L:$L,$D1865,AJ:AJ)+SUMIF($L:$L,$E1865,AJ:AJ)</f>
        <v>3014.5313399998413</v>
      </c>
      <c r="AK1865" s="106">
        <f>SUMIF($L:$L,$D1865,AK:AK)+SUMIF($L:$L,$E1865,AK:AK)</f>
        <v>-14401.181640000188</v>
      </c>
      <c r="AL1865" s="106">
        <f>SUMIF($L:$L,$D1865,AL:AL)+SUMIF($L:$L,$E1865,AL:AL)</f>
        <v>-20648.793259999908</v>
      </c>
      <c r="AM1865" s="106">
        <f>SUMIF($L:$L,$D1865,AM:AM)+SUMIF($L:$L,$E1865,AM:AM)</f>
        <v>-29414.222360000116</v>
      </c>
      <c r="AN1865" s="106">
        <f>SUMIF($L:$L,$D1865,AN:AN)+SUMIF($L:$L,$E1865,AN:AN)</f>
        <v>-24202.238030000215</v>
      </c>
      <c r="AO1865" s="106">
        <f>SUMIF($L:$L,$D1865,AO:AO)+SUMIF($L:$L,$E1865,AO:AO)</f>
        <v>-18741.195780000347</v>
      </c>
      <c r="AP1865" s="248"/>
      <c r="AQ1865" s="248"/>
      <c r="AR1865" s="248"/>
      <c r="AS1865" s="248"/>
      <c r="AT1865" s="248"/>
    </row>
    <row r="1866" spans="1:46" s="248" customFormat="1" ht="12.75" customHeight="1">
      <c r="A1866" s="252"/>
      <c r="B1866" s="246"/>
      <c r="C1866" s="256"/>
      <c r="D1866" s="214"/>
      <c r="E1866" s="215"/>
      <c r="F1866" s="215"/>
      <c r="H1866" s="249"/>
      <c r="I1866" s="253"/>
      <c r="J1866" s="253"/>
      <c r="K1866" s="249"/>
      <c r="L1866" s="215"/>
      <c r="M1866" s="249"/>
      <c r="N1866" s="254"/>
      <c r="O1866" s="254"/>
      <c r="P1866" s="215"/>
      <c r="Q1866" s="247"/>
      <c r="R1866" s="249"/>
      <c r="S1866" s="249"/>
      <c r="T1866" s="249"/>
      <c r="U1866" s="274"/>
      <c r="V1866" s="274"/>
      <c r="W1866" s="274"/>
      <c r="X1866" s="274"/>
      <c r="Y1866" s="274"/>
      <c r="Z1866" s="274"/>
      <c r="AA1866" s="274"/>
      <c r="AB1866" s="274"/>
      <c r="AC1866" s="274"/>
      <c r="AD1866" s="274"/>
      <c r="AE1866" s="274"/>
      <c r="AF1866" s="274"/>
      <c r="AG1866" s="274"/>
      <c r="AH1866" s="274"/>
      <c r="AI1866" s="274"/>
      <c r="AJ1866" s="274"/>
      <c r="AK1866" s="274"/>
      <c r="AL1866" s="274"/>
      <c r="AM1866" s="274"/>
      <c r="AN1866" s="274"/>
      <c r="AO1866" s="274"/>
      <c r="AP1866" s="291"/>
      <c r="AQ1866" s="291"/>
      <c r="AR1866" s="291"/>
    </row>
    <row r="1867" spans="1:46">
      <c r="A1867" s="246"/>
      <c r="B1867" s="246"/>
      <c r="C1867" s="256"/>
      <c r="D1867" s="214"/>
      <c r="E1867" s="215"/>
      <c r="F1867" s="215"/>
      <c r="G1867" s="248"/>
      <c r="H1867" s="249"/>
      <c r="I1867" s="253"/>
      <c r="J1867" s="253"/>
      <c r="K1867" s="249"/>
      <c r="L1867" s="215"/>
      <c r="M1867" s="249"/>
      <c r="N1867" s="254"/>
      <c r="O1867" s="254"/>
      <c r="P1867" s="215"/>
      <c r="Q1867" s="247"/>
      <c r="R1867" s="249"/>
      <c r="S1867" s="249"/>
      <c r="T1867" s="249"/>
      <c r="U1867" s="106"/>
      <c r="V1867" s="106"/>
      <c r="W1867" s="106"/>
      <c r="X1867" s="106"/>
      <c r="Y1867" s="106"/>
      <c r="Z1867" s="106"/>
      <c r="AA1867" s="106"/>
      <c r="AB1867" s="106"/>
      <c r="AC1867" s="106"/>
      <c r="AD1867" s="106"/>
      <c r="AE1867" s="106"/>
      <c r="AF1867" s="106"/>
      <c r="AG1867" s="106"/>
      <c r="AH1867" s="106"/>
      <c r="AI1867" s="106"/>
      <c r="AJ1867" s="106"/>
      <c r="AK1867" s="106"/>
      <c r="AL1867" s="106"/>
      <c r="AM1867" s="106"/>
      <c r="AN1867" s="106"/>
      <c r="AO1867" s="106"/>
      <c r="AP1867" s="248"/>
      <c r="AQ1867" s="248"/>
      <c r="AR1867" s="248"/>
      <c r="AS1867" s="248"/>
      <c r="AT1867" s="248"/>
    </row>
    <row r="1868" spans="1:46">
      <c r="A1868" s="246"/>
      <c r="B1868" s="246"/>
      <c r="C1868" s="256"/>
      <c r="D1868" s="214"/>
      <c r="E1868" s="215"/>
      <c r="F1868" s="215"/>
      <c r="G1868" s="248"/>
      <c r="H1868" s="249"/>
      <c r="I1868" s="253"/>
      <c r="J1868" s="253"/>
      <c r="K1868" s="249"/>
      <c r="L1868" s="215"/>
      <c r="M1868" s="249"/>
      <c r="N1868" s="254"/>
      <c r="O1868" s="254"/>
      <c r="P1868" s="215"/>
      <c r="Q1868" s="247"/>
      <c r="R1868" s="249"/>
      <c r="S1868" s="249"/>
      <c r="T1868" s="249"/>
      <c r="U1868" s="263"/>
      <c r="V1868" s="263"/>
      <c r="W1868" s="263"/>
      <c r="X1868" s="263"/>
      <c r="Y1868" s="263"/>
      <c r="Z1868" s="263"/>
      <c r="AA1868" s="263"/>
      <c r="AB1868" s="263"/>
      <c r="AC1868" s="263"/>
      <c r="AD1868" s="263"/>
      <c r="AE1868" s="263"/>
      <c r="AF1868" s="263"/>
      <c r="AG1868" s="263"/>
      <c r="AH1868" s="263"/>
      <c r="AI1868" s="263"/>
      <c r="AJ1868" s="263"/>
      <c r="AK1868" s="263"/>
      <c r="AL1868" s="263"/>
      <c r="AM1868" s="263"/>
      <c r="AN1868" s="263"/>
      <c r="AO1868" s="263"/>
      <c r="AP1868" s="264"/>
      <c r="AQ1868" s="264"/>
      <c r="AR1868" s="264"/>
      <c r="AS1868" s="248"/>
      <c r="AT1868" s="248"/>
    </row>
    <row r="1869" spans="1:46">
      <c r="A1869" s="246"/>
      <c r="B1869" s="246"/>
      <c r="C1869" s="214"/>
      <c r="D1869" s="214"/>
      <c r="E1869" s="215"/>
      <c r="F1869" s="247"/>
      <c r="G1869" s="248"/>
      <c r="H1869" s="249"/>
      <c r="I1869" s="248"/>
      <c r="J1869" s="249"/>
      <c r="K1869" s="249"/>
      <c r="L1869" s="215"/>
      <c r="M1869" s="249"/>
      <c r="N1869" s="250"/>
      <c r="O1869" s="250"/>
      <c r="P1869" s="215"/>
      <c r="Q1869" s="215"/>
      <c r="R1869" s="249"/>
      <c r="S1869" s="249"/>
      <c r="T1869" s="249"/>
      <c r="U1869" s="248"/>
      <c r="V1869" s="248"/>
      <c r="W1869" s="248"/>
      <c r="X1869" s="248"/>
      <c r="Y1869" s="248"/>
      <c r="Z1869" s="248"/>
      <c r="AA1869" s="248"/>
      <c r="AB1869" s="248"/>
      <c r="AC1869" s="248"/>
      <c r="AD1869" s="248"/>
      <c r="AE1869" s="248"/>
      <c r="AF1869" s="248"/>
      <c r="AG1869" s="248"/>
      <c r="AH1869" s="248"/>
      <c r="AI1869" s="248"/>
      <c r="AJ1869" s="248"/>
      <c r="AK1869" s="248"/>
      <c r="AL1869" s="248"/>
      <c r="AM1869" s="248"/>
      <c r="AN1869" s="248"/>
      <c r="AO1869" s="248"/>
      <c r="AP1869" s="248"/>
      <c r="AQ1869" s="248"/>
      <c r="AR1869" s="248"/>
      <c r="AS1869" s="248"/>
      <c r="AT1869" s="248"/>
    </row>
    <row r="1870" spans="1:46" ht="20.25">
      <c r="A1870" s="297"/>
      <c r="B1870" s="297"/>
      <c r="C1870" s="298"/>
      <c r="D1870" s="298"/>
      <c r="E1870" s="299"/>
      <c r="F1870" s="300"/>
      <c r="G1870" s="301"/>
      <c r="H1870" s="302"/>
      <c r="I1870" s="301"/>
      <c r="J1870" s="302"/>
      <c r="K1870" s="302"/>
      <c r="L1870" s="303"/>
      <c r="M1870" s="302"/>
      <c r="N1870" s="304"/>
      <c r="O1870" s="304"/>
      <c r="P1870" s="303"/>
      <c r="Q1870" s="303"/>
      <c r="R1870" s="302"/>
      <c r="S1870" s="302"/>
      <c r="T1870" s="302"/>
      <c r="U1870" s="301"/>
      <c r="V1870" s="301"/>
      <c r="W1870" s="301"/>
      <c r="X1870" s="301"/>
      <c r="Y1870" s="301"/>
      <c r="Z1870" s="301"/>
      <c r="AA1870" s="301"/>
      <c r="AB1870" s="301"/>
      <c r="AC1870" s="301"/>
      <c r="AD1870" s="301"/>
      <c r="AE1870" s="301"/>
      <c r="AF1870" s="301"/>
      <c r="AG1870" s="301"/>
      <c r="AH1870" s="301"/>
      <c r="AI1870" s="301"/>
      <c r="AJ1870" s="301"/>
      <c r="AK1870" s="301"/>
      <c r="AL1870" s="301"/>
      <c r="AM1870" s="301"/>
      <c r="AN1870" s="301"/>
      <c r="AO1870" s="301"/>
      <c r="AP1870" s="301"/>
      <c r="AQ1870" s="301"/>
      <c r="AR1870" s="301"/>
      <c r="AS1870" s="301"/>
      <c r="AT1870" s="301"/>
    </row>
    <row r="1871" spans="1:46">
      <c r="A1871" s="246"/>
      <c r="B1871" s="246"/>
      <c r="C1871" s="214"/>
      <c r="D1871" s="214"/>
      <c r="E1871" s="215"/>
      <c r="F1871" s="247"/>
      <c r="G1871" s="248"/>
      <c r="H1871" s="249"/>
      <c r="I1871" s="248"/>
      <c r="J1871" s="249"/>
      <c r="K1871" s="249"/>
      <c r="L1871" s="215"/>
      <c r="M1871" s="249"/>
      <c r="N1871" s="250"/>
      <c r="O1871" s="250"/>
      <c r="P1871" s="215"/>
      <c r="Q1871" s="215"/>
      <c r="R1871" s="249"/>
      <c r="S1871" s="249"/>
      <c r="T1871" s="249"/>
      <c r="U1871" s="248"/>
      <c r="V1871" s="248"/>
      <c r="W1871" s="248"/>
      <c r="X1871" s="248"/>
      <c r="AC1871" s="248"/>
      <c r="AD1871" s="248"/>
      <c r="AE1871" s="248"/>
      <c r="AF1871" s="248"/>
      <c r="AG1871" s="248"/>
      <c r="AH1871" s="248"/>
      <c r="AI1871" s="248"/>
      <c r="AJ1871" s="248"/>
      <c r="AK1871" s="248"/>
      <c r="AL1871" s="248"/>
      <c r="AM1871" s="248"/>
      <c r="AN1871" s="248"/>
      <c r="AO1871" s="248"/>
      <c r="AP1871" s="248"/>
      <c r="AQ1871" s="248"/>
      <c r="AR1871" s="248"/>
      <c r="AS1871" s="248"/>
      <c r="AT1871" s="248"/>
    </row>
    <row r="1872" spans="1:46" ht="12.75" customHeight="1"/>
  </sheetData>
  <autoFilter ref="A4:AT1555"/>
  <mergeCells count="3">
    <mergeCell ref="AD1:AO1"/>
    <mergeCell ref="U1:X1"/>
    <mergeCell ref="Y1:AB1"/>
  </mergeCells>
  <phoneticPr fontId="0" type="noConversion"/>
  <conditionalFormatting sqref="J345:J346">
    <cfRule type="expression" dxfId="1080" priority="6260" stopIfTrue="1">
      <formula>J345&lt;&gt;J10</formula>
    </cfRule>
  </conditionalFormatting>
  <conditionalFormatting sqref="J1551 J595:J597">
    <cfRule type="expression" dxfId="1079" priority="6263" stopIfTrue="1">
      <formula>J595&lt;&gt;#REF!</formula>
    </cfRule>
  </conditionalFormatting>
  <conditionalFormatting sqref="J1006">
    <cfRule type="expression" dxfId="1078" priority="6270" stopIfTrue="1">
      <formula>J1006&lt;&gt;J537</formula>
    </cfRule>
  </conditionalFormatting>
  <conditionalFormatting sqref="J635 J579:J580 J1662:J1663 J1051 J1129:J1130 J670">
    <cfRule type="expression" dxfId="1077" priority="6282" stopIfTrue="1">
      <formula>J579&lt;&gt;#REF!</formula>
    </cfRule>
  </conditionalFormatting>
  <conditionalFormatting sqref="J1675:J1676">
    <cfRule type="expression" dxfId="1076" priority="6291" stopIfTrue="1">
      <formula>J1675&lt;&gt;J820</formula>
    </cfRule>
  </conditionalFormatting>
  <conditionalFormatting sqref="J1625:J1626">
    <cfRule type="expression" dxfId="1075" priority="6294" stopIfTrue="1">
      <formula>J1625&lt;&gt;J807</formula>
    </cfRule>
  </conditionalFormatting>
  <conditionalFormatting sqref="J1638:J1639">
    <cfRule type="expression" dxfId="1074" priority="6295" stopIfTrue="1">
      <formula>J1638&lt;&gt;J810</formula>
    </cfRule>
  </conditionalFormatting>
  <conditionalFormatting sqref="J1640">
    <cfRule type="expression" dxfId="1073" priority="6296" stopIfTrue="1">
      <formula>J1640&lt;&gt;#REF!</formula>
    </cfRule>
  </conditionalFormatting>
  <conditionalFormatting sqref="J1854:J1856">
    <cfRule type="expression" dxfId="1072" priority="6297" stopIfTrue="1">
      <formula>J1854&lt;&gt;J897</formula>
    </cfRule>
  </conditionalFormatting>
  <conditionalFormatting sqref="J1621:J1624 J1603:J1607 J1609 J1600 J1592:J1598 J1617:J1619">
    <cfRule type="expression" dxfId="1071" priority="6298" stopIfTrue="1">
      <formula>J1592&lt;&gt;#REF!</formula>
    </cfRule>
  </conditionalFormatting>
  <conditionalFormatting sqref="J1581 J1586:J1587">
    <cfRule type="expression" dxfId="1070" priority="6304" stopIfTrue="1">
      <formula>J1581&lt;&gt;J801</formula>
    </cfRule>
  </conditionalFormatting>
  <conditionalFormatting sqref="J1727">
    <cfRule type="expression" dxfId="1069" priority="6307" stopIfTrue="1">
      <formula>J1727&lt;&gt;#REF!</formula>
    </cfRule>
  </conditionalFormatting>
  <conditionalFormatting sqref="J1752:J1754 J1749">
    <cfRule type="expression" dxfId="1068" priority="6309" stopIfTrue="1">
      <formula>J1749&lt;&gt;J856</formula>
    </cfRule>
  </conditionalFormatting>
  <conditionalFormatting sqref="J1864:J1865">
    <cfRule type="expression" dxfId="1067" priority="6310" stopIfTrue="1">
      <formula>J1864&lt;&gt;#REF!</formula>
    </cfRule>
  </conditionalFormatting>
  <conditionalFormatting sqref="J1647:J1649">
    <cfRule type="expression" dxfId="1066" priority="6311" stopIfTrue="1">
      <formula>J1647&lt;&gt;J814</formula>
    </cfRule>
  </conditionalFormatting>
  <conditionalFormatting sqref="J1755:J1760">
    <cfRule type="expression" dxfId="1065" priority="6312" stopIfTrue="1">
      <formula>J1755&lt;&gt;J860</formula>
    </cfRule>
  </conditionalFormatting>
  <conditionalFormatting sqref="J964">
    <cfRule type="expression" dxfId="1064" priority="6318" stopIfTrue="1">
      <formula>J964&lt;&gt;#REF!</formula>
    </cfRule>
  </conditionalFormatting>
  <conditionalFormatting sqref="J998">
    <cfRule type="expression" dxfId="1063" priority="6333" stopIfTrue="1">
      <formula>J998&lt;&gt;J537</formula>
    </cfRule>
  </conditionalFormatting>
  <conditionalFormatting sqref="J562:J564 J474:J475 J477 J1843 J889:J892 J873:J874 J1006">
    <cfRule type="expression" dxfId="1062" priority="6337" stopIfTrue="1">
      <formula>J474&lt;&gt;#REF!</formula>
    </cfRule>
  </conditionalFormatting>
  <conditionalFormatting sqref="J234">
    <cfRule type="expression" dxfId="1061" priority="6356" stopIfTrue="1">
      <formula>J234&lt;&gt;J1047276</formula>
    </cfRule>
  </conditionalFormatting>
  <conditionalFormatting sqref="J605 J608 J479:J481">
    <cfRule type="expression" dxfId="1060" priority="6362" stopIfTrue="1">
      <formula>J479&lt;&gt;#REF!</formula>
    </cfRule>
  </conditionalFormatting>
  <conditionalFormatting sqref="J484:J486">
    <cfRule type="expression" dxfId="1059" priority="6364" stopIfTrue="1">
      <formula>J484&lt;&gt;J50</formula>
    </cfRule>
  </conditionalFormatting>
  <conditionalFormatting sqref="J1499:J1502">
    <cfRule type="expression" dxfId="1058" priority="6365" stopIfTrue="1">
      <formula>J1499&lt;&gt;#REF!</formula>
    </cfRule>
  </conditionalFormatting>
  <conditionalFormatting sqref="J1553">
    <cfRule type="expression" dxfId="1057" priority="6366" stopIfTrue="1">
      <formula>J1553&lt;&gt;J856</formula>
    </cfRule>
  </conditionalFormatting>
  <conditionalFormatting sqref="J998 J1790">
    <cfRule type="expression" dxfId="1056" priority="6370" stopIfTrue="1">
      <formula>J998&lt;&gt;#REF!</formula>
    </cfRule>
  </conditionalFormatting>
  <conditionalFormatting sqref="J1354">
    <cfRule type="expression" dxfId="1055" priority="6373" stopIfTrue="1">
      <formula>J1354&lt;&gt;J776</formula>
    </cfRule>
  </conditionalFormatting>
  <conditionalFormatting sqref="J1003">
    <cfRule type="expression" dxfId="1054" priority="6384" stopIfTrue="1">
      <formula>J1003&lt;&gt;J536</formula>
    </cfRule>
  </conditionalFormatting>
  <conditionalFormatting sqref="J446:J447">
    <cfRule type="expression" dxfId="1053" priority="6393" stopIfTrue="1">
      <formula>J446&lt;&gt;J88</formula>
    </cfRule>
  </conditionalFormatting>
  <conditionalFormatting sqref="J1036 J1024:J1027 J989">
    <cfRule type="expression" dxfId="1052" priority="6398" stopIfTrue="1">
      <formula>J989&lt;&gt;J505</formula>
    </cfRule>
  </conditionalFormatting>
  <conditionalFormatting sqref="J1404 J1396 J1226 J1178 J1183">
    <cfRule type="expression" dxfId="1051" priority="6406" stopIfTrue="1">
      <formula>J1178&lt;&gt;#REF!</formula>
    </cfRule>
  </conditionalFormatting>
  <conditionalFormatting sqref="J734:J737">
    <cfRule type="expression" dxfId="1050" priority="6410" stopIfTrue="1">
      <formula>J734&lt;&gt;J149</formula>
    </cfRule>
  </conditionalFormatting>
  <conditionalFormatting sqref="J1265">
    <cfRule type="expression" dxfId="1049" priority="6411" stopIfTrue="1">
      <formula>J1265&lt;&gt;#REF!</formula>
    </cfRule>
  </conditionalFormatting>
  <conditionalFormatting sqref="J1403 J1406">
    <cfRule type="expression" dxfId="1048" priority="6414" stopIfTrue="1">
      <formula>J1403&lt;&gt;J828</formula>
    </cfRule>
  </conditionalFormatting>
  <conditionalFormatting sqref="J1447:J1449">
    <cfRule type="expression" dxfId="1047" priority="6415" stopIfTrue="1">
      <formula>J1447&lt;&gt;J851</formula>
    </cfRule>
  </conditionalFormatting>
  <conditionalFormatting sqref="J789 J791:J794">
    <cfRule type="expression" dxfId="1046" priority="6416" stopIfTrue="1">
      <formula>J789&lt;&gt;J269</formula>
    </cfRule>
  </conditionalFormatting>
  <conditionalFormatting sqref="J1417 J1112">
    <cfRule type="expression" dxfId="1045" priority="6417" stopIfTrue="1">
      <formula>J1112&lt;&gt;#REF!</formula>
    </cfRule>
  </conditionalFormatting>
  <conditionalFormatting sqref="J1045:J1047">
    <cfRule type="expression" dxfId="1044" priority="6424" stopIfTrue="1">
      <formula>J1045&lt;&gt;J552</formula>
    </cfRule>
  </conditionalFormatting>
  <conditionalFormatting sqref="J1318">
    <cfRule type="expression" dxfId="1043" priority="6435" stopIfTrue="1">
      <formula>J1318&lt;&gt;J612</formula>
    </cfRule>
  </conditionalFormatting>
  <conditionalFormatting sqref="J1281 J529 J1160">
    <cfRule type="expression" dxfId="1042" priority="6436" stopIfTrue="1">
      <formula>J529&lt;&gt;#REF!</formula>
    </cfRule>
  </conditionalFormatting>
  <conditionalFormatting sqref="J722">
    <cfRule type="expression" dxfId="1041" priority="6441" stopIfTrue="1">
      <formula>J722&lt;&gt;J143</formula>
    </cfRule>
  </conditionalFormatting>
  <conditionalFormatting sqref="J696 J705:J708 J701:J703">
    <cfRule type="expression" dxfId="1040" priority="6442" stopIfTrue="1">
      <formula>J696&lt;&gt;J125</formula>
    </cfRule>
  </conditionalFormatting>
  <conditionalFormatting sqref="J1008 J963 J1155:J1158">
    <cfRule type="expression" dxfId="1039" priority="6466" stopIfTrue="1">
      <formula>J963&lt;&gt;#REF!</formula>
    </cfRule>
  </conditionalFormatting>
  <conditionalFormatting sqref="J1168">
    <cfRule type="expression" dxfId="1038" priority="6469" stopIfTrue="1">
      <formula>J1168&lt;&gt;J623</formula>
    </cfRule>
  </conditionalFormatting>
  <conditionalFormatting sqref="J976:J977 J1011:J1012 J1014 J1009 J894 J598:J599 J1286 J1280 J1277 J528">
    <cfRule type="expression" dxfId="1037" priority="6472" stopIfTrue="1">
      <formula>J528&lt;&gt;#REF!</formula>
    </cfRule>
  </conditionalFormatting>
  <conditionalFormatting sqref="J982">
    <cfRule type="expression" dxfId="1036" priority="6504" stopIfTrue="1">
      <formula>J982&lt;&gt;J532</formula>
    </cfRule>
  </conditionalFormatting>
  <conditionalFormatting sqref="J481">
    <cfRule type="expression" dxfId="1035" priority="6510" stopIfTrue="1">
      <formula>J481&lt;&gt;J114</formula>
    </cfRule>
  </conditionalFormatting>
  <conditionalFormatting sqref="J1170 J658 J644">
    <cfRule type="expression" dxfId="1034" priority="6511" stopIfTrue="1">
      <formula>J644&lt;&gt;#REF!</formula>
    </cfRule>
  </conditionalFormatting>
  <conditionalFormatting sqref="J371:J372 J374:J375">
    <cfRule type="expression" dxfId="1033" priority="6512" stopIfTrue="1">
      <formula>J371&lt;&gt;J11</formula>
    </cfRule>
  </conditionalFormatting>
  <conditionalFormatting sqref="J1019 J991">
    <cfRule type="expression" dxfId="1032" priority="6519" stopIfTrue="1">
      <formula>J991&lt;&gt;J505</formula>
    </cfRule>
  </conditionalFormatting>
  <conditionalFormatting sqref="J1009 J852">
    <cfRule type="expression" dxfId="1031" priority="6535" stopIfTrue="1">
      <formula>J852&lt;&gt;#REF!</formula>
    </cfRule>
  </conditionalFormatting>
  <conditionalFormatting sqref="J1486:J1487 J1469:J1470">
    <cfRule type="expression" dxfId="1030" priority="6556" stopIfTrue="1">
      <formula>J1469&lt;&gt;J859</formula>
    </cfRule>
  </conditionalFormatting>
  <conditionalFormatting sqref="J1028 J1015">
    <cfRule type="expression" dxfId="1029" priority="6560" stopIfTrue="1">
      <formula>J1015&lt;&gt;J527</formula>
    </cfRule>
  </conditionalFormatting>
  <conditionalFormatting sqref="J83">
    <cfRule type="expression" dxfId="1028" priority="6642" stopIfTrue="1">
      <formula>J83&lt;&gt;J1047276</formula>
    </cfRule>
  </conditionalFormatting>
  <conditionalFormatting sqref="AQ1559 J605:J606 J601:J602 J608:J609 J581:J584 J1249:J1262 J419 J1362 J615">
    <cfRule type="expression" dxfId="1027" priority="6655" stopIfTrue="1">
      <formula>J419&lt;&gt;#REF!</formula>
    </cfRule>
  </conditionalFormatting>
  <conditionalFormatting sqref="J1176">
    <cfRule type="expression" dxfId="1026" priority="7206" stopIfTrue="1">
      <formula>J1176&lt;&gt;J623</formula>
    </cfRule>
  </conditionalFormatting>
  <conditionalFormatting sqref="J1211 J391 J1227">
    <cfRule type="expression" dxfId="1025" priority="7388" stopIfTrue="1">
      <formula>J391&lt;&gt;#REF!</formula>
    </cfRule>
  </conditionalFormatting>
  <conditionalFormatting sqref="J1351">
    <cfRule type="expression" dxfId="1024" priority="8770" stopIfTrue="1">
      <formula>J1351&lt;&gt;J736</formula>
    </cfRule>
  </conditionalFormatting>
  <conditionalFormatting sqref="J1005">
    <cfRule type="expression" dxfId="1023" priority="6498" stopIfTrue="1">
      <formula>J1005&lt;&gt;#REF!</formula>
    </cfRule>
  </conditionalFormatting>
  <conditionalFormatting sqref="J1168">
    <cfRule type="expression" dxfId="1022" priority="9384" stopIfTrue="1">
      <formula>J1168&lt;&gt;J709</formula>
    </cfRule>
  </conditionalFormatting>
  <conditionalFormatting sqref="J1324">
    <cfRule type="expression" dxfId="1021" priority="9388" stopIfTrue="1">
      <formula>J1324&lt;&gt;J641</formula>
    </cfRule>
  </conditionalFormatting>
  <conditionalFormatting sqref="J1003:J1004 J998">
    <cfRule type="expression" dxfId="1020" priority="9395" stopIfTrue="1">
      <formula>J998&lt;&gt;J526</formula>
    </cfRule>
  </conditionalFormatting>
  <conditionalFormatting sqref="J486 J1550 J1503:J1504 J1252 J999">
    <cfRule type="expression" dxfId="1019" priority="9397" stopIfTrue="1">
      <formula>J486&lt;&gt;#REF!</formula>
    </cfRule>
  </conditionalFormatting>
  <conditionalFormatting sqref="J1394">
    <cfRule type="expression" dxfId="1018" priority="9982" stopIfTrue="1">
      <formula>J1394&lt;&gt;J823</formula>
    </cfRule>
  </conditionalFormatting>
  <conditionalFormatting sqref="J784">
    <cfRule type="expression" dxfId="1017" priority="9985" stopIfTrue="1">
      <formula>J784&lt;&gt;J268</formula>
    </cfRule>
  </conditionalFormatting>
  <conditionalFormatting sqref="J1189">
    <cfRule type="expression" dxfId="1016" priority="9987" stopIfTrue="1">
      <formula>J1189&lt;&gt;#REF!</formula>
    </cfRule>
  </conditionalFormatting>
  <conditionalFormatting sqref="J990:J991">
    <cfRule type="expression" dxfId="1015" priority="9988" stopIfTrue="1">
      <formula>J990&lt;&gt;J500</formula>
    </cfRule>
  </conditionalFormatting>
  <conditionalFormatting sqref="J1530 J1368 J998">
    <cfRule type="expression" dxfId="1014" priority="9991" stopIfTrue="1">
      <formula>J998&lt;&gt;#REF!</formula>
    </cfRule>
  </conditionalFormatting>
  <conditionalFormatting sqref="J671:J673 J814">
    <cfRule type="expression" dxfId="1013" priority="9994" stopIfTrue="1">
      <formula>J671&lt;&gt;J259</formula>
    </cfRule>
  </conditionalFormatting>
  <conditionalFormatting sqref="J1000 J996 J998 J991">
    <cfRule type="expression" dxfId="1012" priority="9996" stopIfTrue="1">
      <formula>J991&lt;&gt;J528</formula>
    </cfRule>
  </conditionalFormatting>
  <conditionalFormatting sqref="J1356">
    <cfRule type="expression" dxfId="1011" priority="9997" stopIfTrue="1">
      <formula>J1356&lt;&gt;J781</formula>
    </cfRule>
  </conditionalFormatting>
  <conditionalFormatting sqref="J1549 J585 J587:J588 J1264 J600:J606 J608:J609 J1552 J595:J597 J1136:J1138 J636 J1089:J1091 AQ1558">
    <cfRule type="expression" dxfId="1010" priority="10004" stopIfTrue="1">
      <formula>J585&lt;&gt;#REF!</formula>
    </cfRule>
  </conditionalFormatting>
  <conditionalFormatting sqref="J1513:J1514">
    <cfRule type="expression" dxfId="1009" priority="10021" stopIfTrue="1">
      <formula>J1513&lt;&gt;J874</formula>
    </cfRule>
  </conditionalFormatting>
  <conditionalFormatting sqref="J1703 J486">
    <cfRule type="expression" dxfId="1008" priority="10024" stopIfTrue="1">
      <formula>J486&lt;&gt;#REF!</formula>
    </cfRule>
  </conditionalFormatting>
  <conditionalFormatting sqref="J568">
    <cfRule type="expression" dxfId="1007" priority="10025" stopIfTrue="1">
      <formula>J568&lt;&gt;J83</formula>
    </cfRule>
  </conditionalFormatting>
  <conditionalFormatting sqref="J1072:J1073 J1378 J1367 J1363:J1364">
    <cfRule type="expression" dxfId="1006" priority="10030" stopIfTrue="1">
      <formula>J1072&lt;&gt;#REF!</formula>
    </cfRule>
  </conditionalFormatting>
  <conditionalFormatting sqref="J738 J743:J744">
    <cfRule type="expression" dxfId="1005" priority="10032" stopIfTrue="1">
      <formula>J738&lt;&gt;J151</formula>
    </cfRule>
  </conditionalFormatting>
  <conditionalFormatting sqref="J982">
    <cfRule type="expression" dxfId="1004" priority="10063" stopIfTrue="1">
      <formula>J982&lt;&gt;#REF!</formula>
    </cfRule>
  </conditionalFormatting>
  <conditionalFormatting sqref="J408:J409">
    <cfRule type="expression" dxfId="1003" priority="10065" stopIfTrue="1">
      <formula>J408&lt;&gt;J20</formula>
    </cfRule>
  </conditionalFormatting>
  <conditionalFormatting sqref="J1012 J1008 J997">
    <cfRule type="expression" dxfId="1002" priority="10069" stopIfTrue="1">
      <formula>J997&lt;&gt;J526</formula>
    </cfRule>
  </conditionalFormatting>
  <conditionalFormatting sqref="J979 J1527 J985 J1119 J898:J899 J1008">
    <cfRule type="expression" dxfId="1001" priority="10072" stopIfTrue="1">
      <formula>J898&lt;&gt;#REF!</formula>
    </cfRule>
  </conditionalFormatting>
  <conditionalFormatting sqref="J999 J997 J989">
    <cfRule type="expression" dxfId="1000" priority="10087" stopIfTrue="1">
      <formula>J989&lt;&gt;J527</formula>
    </cfRule>
  </conditionalFormatting>
  <conditionalFormatting sqref="AI1547:AJ1547 AI1542:AJ1542 AI1545:AJ1545 AI1532:AJ1532 AI1540:AJ1540 AI1497:AJ1497 AI1503:AJ1504 AI1493:AJ1494 AI1489:AJ1489 AF1484:AH1484 AI1486:AJ1486 AI1472:AJ1472 AH1477:AL1477 AI1470:AJ1470 AI1468:AJ1468 AI1455:AL1455 AI1436:AJ1437 AI1441:AJ1441 AI1418:AJ1418 AF1416:AJ1416 AI1409:AJ1409 AI1393:AJ1394 AI1396:AJ1396 AI1401:AJ1402 AI1390:AL1390 AI1384:AJ1385 AI1375:AL1375 AI1365:AJ1366 AI1362:AJ1362 AI1355:AJ1355 AI1351:AJ1351 AI1345:AL1345 AF1336:AL1336 AJ1197:AK1197 AL1194:AL1208 AG1154:AK1161 AG1133:AL1133 AF1113:AK1118 AC1094:AH1094 AF1057:AK1064 AG1023:AK1027 AL951:AL1192 AF805:AG805 AF800:AG800 AC800:AE1555 AH800:AH1555 AL800:AL801 AL803 AL805:AL949 AF807:AG1555 AM800:AM1555 AN7:AO1555 R1645:T1868 P1560:AB1560 W1596:AO1596 P1504:AB1504 P1275:AB1275 Q1015:AB1015 Q1012:AB1012 Q989:AB991 P990:AB991 Q974:AB974 Q760:T1565 U760:AB1555 R750:V1726 P673:AB673 P657:AB658 P654:AB654 P632:AB640 P372:AB372 AC7:AM799 Q7:AB759 X8:X1555 AB7:AB1555 N1814:O2019 M1678:O1736 P1678:Q1726 N1741:O1812 M1705:V1705 P1649:V1649 P1667:V1667 P1672:V1672 M1686:V1686 M1722:V1722 P1546:AB1546 P1544:AB1544 P1541:AB1541 P1537:AB1537 P1534:AB1534 P1501:AB1502 P1477:AB1477 P1433:AB1438 P1402:AH1402 P1398:AB1398 P1394:AB1394 P1384:AH1384 P1362:AB1362 P1351:AB1351 P1318:AB1318 P1312:AB1313 P1296:AB1303 P1279:AB1288 P1273:AB1273 P1250:AB1265 P1217:AB1237 P1247:AB1247 P1241:AB1241 P1164:AB1164 P1166:AB1167 P1141:AB1142 P1120:AB1121 P1123:AB1123 P1127:AB1130 P1101:AB1101 P1091:AB1091 P1093:AB1094 P1081:AB1082 P1049:AB1052 P1032:AB1032 P1017:AB1017 P1006:AB1008 P997:AB999 P981:AB983 P971:AB973 P962:AB963 P944:AB944 P933:AB934 P929:AB929 P924:AB924 P926:AB926 P917:AB917 P908:AB909 P903:AB903 P895:AB896 P879:AB879 P855:AB855 P857:AB858 P849:AB849 P843:AB843 P819:AB819 P817:AB817 P808:AB808 P802:AB802 P800:AB800 P778:AC778 P668:AC668 P664:AJ664 P670:AJ670 P652:AC652 P630:AB630 P633:AD636 P639:AD639 P611:AB611 P594:AB597 P599:AD599 P579:AB580 P574:AC574 P576:AD576 P570:AC571 P561:AB561 P548:AB551 P542:AB544 P539:AD539 P529:AD529 P514:AD514 P510:AB510 P482:AB486 P465:AB465 P456:AB461 P447:AB447 P450:AB450 P439:AB439 P362:AC362 P344:AC344 P348:AD349 P339:AC339 P341:AC341 P332:AC332 P302:AC302 P244:AC244 P229:AC229 P210:AC210 P212:AC212 P170:AC170 P175:AC175 P119:AC119 P122:AD122 P54:AJ54 P43:AD43 M7:Q1677 Z1548:AB1726 M1566:V1566">
    <cfRule type="cellIs" dxfId="999" priority="6605" stopIfTrue="1" operator="equal">
      <formula>"NO ALLOC"</formula>
    </cfRule>
  </conditionalFormatting>
  <conditionalFormatting sqref="N1570:O1643 N1645:O1868 N7:O1565">
    <cfRule type="cellIs" dxfId="998" priority="6606" stopIfTrue="1" operator="equal">
      <formula>"NO CAT"</formula>
    </cfRule>
  </conditionalFormatting>
  <conditionalFormatting sqref="J1641 J1565 J1485 J1459 J1450 J1420 J1415 J1268:J1272 J1240:J1248 J1142 J1037 J939:J941 J921 J875 J865:J868 J845:J847 J832:J838 J830 J823:J828 J335 J249:J256 J167:J168 J144:J147 J130:J133 J107:J109 J90:J91 J74 J34:J37 J1811 J1813:J1815 J1289 J483 J1691 J1376 J1276 J1154">
    <cfRule type="expression" dxfId="997" priority="6607" stopIfTrue="1">
      <formula>J34&lt;&gt;#REF!</formula>
    </cfRule>
  </conditionalFormatting>
  <conditionalFormatting sqref="J377">
    <cfRule type="expression" dxfId="996" priority="6236" stopIfTrue="1">
      <formula>J377&lt;&gt;J16</formula>
    </cfRule>
  </conditionalFormatting>
  <conditionalFormatting sqref="J307:J308">
    <cfRule type="expression" dxfId="995" priority="6234" stopIfTrue="1">
      <formula>J307&lt;&gt;J3</formula>
    </cfRule>
  </conditionalFormatting>
  <conditionalFormatting sqref="J1833">
    <cfRule type="expression" dxfId="994" priority="6232" stopIfTrue="1">
      <formula>J1833&lt;&gt;J897</formula>
    </cfRule>
  </conditionalFormatting>
  <conditionalFormatting sqref="J1620">
    <cfRule type="expression" dxfId="993" priority="6230" stopIfTrue="1">
      <formula>J1620&lt;&gt;J685</formula>
    </cfRule>
  </conditionalFormatting>
  <conditionalFormatting sqref="J1713:J1714">
    <cfRule type="expression" dxfId="992" priority="6229" stopIfTrue="1">
      <formula>J1713&lt;&gt;J829</formula>
    </cfRule>
  </conditionalFormatting>
  <conditionalFormatting sqref="J392">
    <cfRule type="expression" dxfId="991" priority="6226" stopIfTrue="1">
      <formula>J392&lt;&gt;J19</formula>
    </cfRule>
  </conditionalFormatting>
  <conditionalFormatting sqref="J999">
    <cfRule type="expression" dxfId="990" priority="6223" stopIfTrue="1">
      <formula>J999&lt;&gt;J526</formula>
    </cfRule>
  </conditionalFormatting>
  <conditionalFormatting sqref="J1599">
    <cfRule type="expression" dxfId="989" priority="6220" stopIfTrue="1">
      <formula>J1599&lt;&gt;#REF!</formula>
    </cfRule>
  </conditionalFormatting>
  <conditionalFormatting sqref="J1511">
    <cfRule type="expression" dxfId="988" priority="6217" stopIfTrue="1">
      <formula>J1511&lt;&gt;J873</formula>
    </cfRule>
  </conditionalFormatting>
  <conditionalFormatting sqref="J1687:J1690">
    <cfRule type="expression" dxfId="987" priority="6213" stopIfTrue="1">
      <formula>J1687&lt;&gt;#REF!</formula>
    </cfRule>
  </conditionalFormatting>
  <conditionalFormatting sqref="J257:J260">
    <cfRule type="expression" dxfId="986" priority="6211" stopIfTrue="1">
      <formula>J257&lt;&gt;J2</formula>
    </cfRule>
  </conditionalFormatting>
  <conditionalFormatting sqref="J1866">
    <cfRule type="expression" dxfId="985" priority="6210" stopIfTrue="1">
      <formula>J1866&lt;&gt;J818</formula>
    </cfRule>
  </conditionalFormatting>
  <conditionalFormatting sqref="J1842 J1844">
    <cfRule type="expression" dxfId="984" priority="6208" stopIfTrue="1">
      <formula>J1842&lt;&gt;#REF!</formula>
    </cfRule>
  </conditionalFormatting>
  <conditionalFormatting sqref="J165:J166">
    <cfRule type="expression" dxfId="983" priority="6207" stopIfTrue="1">
      <formula>J165&lt;&gt;J1047281</formula>
    </cfRule>
  </conditionalFormatting>
  <conditionalFormatting sqref="J552">
    <cfRule type="expression" dxfId="982" priority="6206" stopIfTrue="1">
      <formula>J552&lt;&gt;J134</formula>
    </cfRule>
  </conditionalFormatting>
  <conditionalFormatting sqref="J1642:J1643">
    <cfRule type="expression" dxfId="981" priority="6204" stopIfTrue="1">
      <formula>J1642&lt;&gt;J811</formula>
    </cfRule>
  </conditionalFormatting>
  <conditionalFormatting sqref="J1784 J1820:J1823 J927 J991 J1456 J443 J1131:J1133 J1840:J1841">
    <cfRule type="expression" dxfId="980" priority="6203" stopIfTrue="1">
      <formula>J443&lt;&gt;#REF!</formula>
    </cfRule>
  </conditionalFormatting>
  <conditionalFormatting sqref="J798">
    <cfRule type="expression" dxfId="979" priority="6183" stopIfTrue="1">
      <formula>J798&lt;&gt;J271</formula>
    </cfRule>
  </conditionalFormatting>
  <conditionalFormatting sqref="J315:J317">
    <cfRule type="expression" dxfId="978" priority="6182" stopIfTrue="1">
      <formula>J315&lt;&gt;J1</formula>
    </cfRule>
  </conditionalFormatting>
  <conditionalFormatting sqref="J134:J137">
    <cfRule type="expression" dxfId="977" priority="6178" stopIfTrue="1">
      <formula>J134&lt;&gt;J1</formula>
    </cfRule>
  </conditionalFormatting>
  <conditionalFormatting sqref="J330:J332">
    <cfRule type="expression" dxfId="976" priority="6177" stopIfTrue="1">
      <formula>J330&lt;&gt;J17</formula>
    </cfRule>
  </conditionalFormatting>
  <conditionalFormatting sqref="J1788 J1781:J1782">
    <cfRule type="expression" dxfId="975" priority="6174" stopIfTrue="1">
      <formula>J1781&lt;&gt;#REF!</formula>
    </cfRule>
  </conditionalFormatting>
  <conditionalFormatting sqref="J126:J129">
    <cfRule type="expression" dxfId="974" priority="6169" stopIfTrue="1">
      <formula>J126&lt;&gt;J1</formula>
    </cfRule>
  </conditionalFormatting>
  <conditionalFormatting sqref="J1733">
    <cfRule type="expression" dxfId="973" priority="6166" stopIfTrue="1">
      <formula>J1733&lt;&gt;#REF!</formula>
    </cfRule>
  </conditionalFormatting>
  <conditionalFormatting sqref="J440">
    <cfRule type="expression" dxfId="972" priority="6163" stopIfTrue="1">
      <formula>J440&lt;&gt;J86</formula>
    </cfRule>
  </conditionalFormatting>
  <conditionalFormatting sqref="J387:J388 J810">
    <cfRule type="expression" dxfId="971" priority="6161" stopIfTrue="1">
      <formula>J387&lt;&gt;#REF!</formula>
    </cfRule>
  </conditionalFormatting>
  <conditionalFormatting sqref="J435">
    <cfRule type="expression" dxfId="970" priority="6160" stopIfTrue="1">
      <formula>J435&lt;&gt;J88</formula>
    </cfRule>
  </conditionalFormatting>
  <conditionalFormatting sqref="J496:J500 J1868 J1455 J1110 J1371 J928:J929 J785:J788 J1762 J619">
    <cfRule type="expression" dxfId="969" priority="6156" stopIfTrue="1">
      <formula>J496&lt;&gt;#REF!</formula>
    </cfRule>
  </conditionalFormatting>
  <conditionalFormatting sqref="J1265">
    <cfRule type="expression" dxfId="968" priority="6147" stopIfTrue="1">
      <formula>J1265&lt;&gt;J570</formula>
    </cfRule>
  </conditionalFormatting>
  <conditionalFormatting sqref="J1022 J1628 J1013">
    <cfRule type="expression" dxfId="967" priority="6141" stopIfTrue="1">
      <formula>J1013&lt;&gt;#REF!</formula>
    </cfRule>
  </conditionalFormatting>
  <conditionalFormatting sqref="J540 J545:J548">
    <cfRule type="expression" dxfId="966" priority="6134" stopIfTrue="1">
      <formula>J540&lt;&gt;J132</formula>
    </cfRule>
  </conditionalFormatting>
  <conditionalFormatting sqref="J1325">
    <cfRule type="expression" dxfId="965" priority="6133" stopIfTrue="1">
      <formula>J1325&lt;&gt;J642</formula>
    </cfRule>
  </conditionalFormatting>
  <conditionalFormatting sqref="J1852:J1853">
    <cfRule type="expression" dxfId="964" priority="6131" stopIfTrue="1">
      <formula>J1852&lt;&gt;J898</formula>
    </cfRule>
  </conditionalFormatting>
  <conditionalFormatting sqref="J1501:J1502 J1824:J1825">
    <cfRule type="expression" dxfId="963" priority="6130" stopIfTrue="1">
      <formula>J1501&lt;&gt;#REF!</formula>
    </cfRule>
  </conditionalFormatting>
  <conditionalFormatting sqref="J1657">
    <cfRule type="expression" dxfId="962" priority="6127" stopIfTrue="1">
      <formula>J1657&lt;&gt;J815</formula>
    </cfRule>
  </conditionalFormatting>
  <conditionalFormatting sqref="J1684:J1686">
    <cfRule type="expression" dxfId="961" priority="6126" stopIfTrue="1">
      <formula>J1684&lt;&gt;#REF!</formula>
    </cfRule>
  </conditionalFormatting>
  <conditionalFormatting sqref="J1812">
    <cfRule type="expression" dxfId="960" priority="6125" stopIfTrue="1">
      <formula>J1812&lt;&gt;J813</formula>
    </cfRule>
  </conditionalFormatting>
  <conditionalFormatting sqref="J1857:J1858">
    <cfRule type="expression" dxfId="959" priority="6124" stopIfTrue="1">
      <formula>J1857&lt;&gt;J899</formula>
    </cfRule>
  </conditionalFormatting>
  <conditionalFormatting sqref="J1728">
    <cfRule type="expression" dxfId="958" priority="6123" stopIfTrue="1">
      <formula>J1728&lt;&gt;#REF!</formula>
    </cfRule>
  </conditionalFormatting>
  <conditionalFormatting sqref="J1774">
    <cfRule type="expression" dxfId="957" priority="6122" stopIfTrue="1">
      <formula>J1774&lt;&gt;J862</formula>
    </cfRule>
  </conditionalFormatting>
  <conditionalFormatting sqref="J1734:J1736">
    <cfRule type="expression" dxfId="956" priority="6121" stopIfTrue="1">
      <formula>J1734&lt;&gt;J851</formula>
    </cfRule>
  </conditionalFormatting>
  <conditionalFormatting sqref="J1761 J616:J618">
    <cfRule type="expression" dxfId="955" priority="6120" stopIfTrue="1">
      <formula>J616&lt;&gt;#REF!</formula>
    </cfRule>
  </conditionalFormatting>
  <conditionalFormatting sqref="J1715:J1718">
    <cfRule type="expression" dxfId="954" priority="6119" stopIfTrue="1">
      <formula>J1715&lt;&gt;J829</formula>
    </cfRule>
  </conditionalFormatting>
  <conditionalFormatting sqref="J695">
    <cfRule type="expression" dxfId="953" priority="6117" stopIfTrue="1">
      <formula>J695&lt;&gt;#REF!</formula>
    </cfRule>
  </conditionalFormatting>
  <conditionalFormatting sqref="J1711:J1712">
    <cfRule type="expression" dxfId="952" priority="6114" stopIfTrue="1">
      <formula>J1711&lt;&gt;J829</formula>
    </cfRule>
  </conditionalFormatting>
  <conditionalFormatting sqref="J1055">
    <cfRule type="expression" dxfId="951" priority="6108" stopIfTrue="1">
      <formula>J1055&lt;&gt;J562</formula>
    </cfRule>
  </conditionalFormatting>
  <conditionalFormatting sqref="J1312 J488 J1005 J1002">
    <cfRule type="expression" dxfId="950" priority="6107" stopIfTrue="1">
      <formula>J488&lt;&gt;#REF!</formula>
    </cfRule>
  </conditionalFormatting>
  <conditionalFormatting sqref="J757:J759">
    <cfRule type="expression" dxfId="949" priority="6106" stopIfTrue="1">
      <formula>J757&lt;&gt;J161</formula>
    </cfRule>
  </conditionalFormatting>
  <conditionalFormatting sqref="J1190:J1193">
    <cfRule type="expression" dxfId="948" priority="6104" stopIfTrue="1">
      <formula>J1190&lt;&gt;#REF!</formula>
    </cfRule>
  </conditionalFormatting>
  <conditionalFormatting sqref="J1681:J1683">
    <cfRule type="expression" dxfId="947" priority="6103" stopIfTrue="1">
      <formula>J1681&lt;&gt;J821</formula>
    </cfRule>
  </conditionalFormatting>
  <conditionalFormatting sqref="J780 J844">
    <cfRule type="expression" dxfId="946" priority="6102" stopIfTrue="1">
      <formula>J780&lt;&gt;#REF!</formula>
    </cfRule>
  </conditionalFormatting>
  <conditionalFormatting sqref="J1742">
    <cfRule type="expression" dxfId="945" priority="6097" stopIfTrue="1">
      <formula>J1742&lt;&gt;J852</formula>
    </cfRule>
  </conditionalFormatting>
  <conditionalFormatting sqref="J373">
    <cfRule type="expression" dxfId="944" priority="6096" stopIfTrue="1">
      <formula>J373&lt;&gt;J12</formula>
    </cfRule>
  </conditionalFormatting>
  <conditionalFormatting sqref="J1187">
    <cfRule type="expression" dxfId="943" priority="6095" stopIfTrue="1">
      <formula>J1187&lt;&gt;J810</formula>
    </cfRule>
  </conditionalFormatting>
  <conditionalFormatting sqref="J988:J991 J1397:J1398 J1385 J426:J429 J1863 J958:J959 J1267 J1428:J1431">
    <cfRule type="expression" dxfId="942" priority="6093" stopIfTrue="1">
      <formula>J426&lt;&gt;#REF!</formula>
    </cfRule>
  </conditionalFormatting>
  <conditionalFormatting sqref="J1170">
    <cfRule type="expression" dxfId="941" priority="6088" stopIfTrue="1">
      <formula>J1170&lt;&gt;J623</formula>
    </cfRule>
  </conditionalFormatting>
  <conditionalFormatting sqref="J1330 J674 J650 J1178">
    <cfRule type="expression" dxfId="940" priority="6087" stopIfTrue="1">
      <formula>J650&lt;&gt;#REF!</formula>
    </cfRule>
  </conditionalFormatting>
  <conditionalFormatting sqref="J1861:J1862">
    <cfRule type="expression" dxfId="939" priority="6086" stopIfTrue="1">
      <formula>J1861&lt;&gt;J900</formula>
    </cfRule>
  </conditionalFormatting>
  <conditionalFormatting sqref="J369:J370">
    <cfRule type="expression" dxfId="938" priority="6085" stopIfTrue="1">
      <formula>J369&lt;&gt;J10</formula>
    </cfRule>
  </conditionalFormatting>
  <conditionalFormatting sqref="J305">
    <cfRule type="expression" dxfId="937" priority="6084" stopIfTrue="1">
      <formula>J305&lt;&gt;J21</formula>
    </cfRule>
  </conditionalFormatting>
  <conditionalFormatting sqref="J936">
    <cfRule type="expression" dxfId="936" priority="6078" stopIfTrue="1">
      <formula>J936&lt;&gt;J496</formula>
    </cfRule>
  </conditionalFormatting>
  <conditionalFormatting sqref="J1546:J1547">
    <cfRule type="expression" dxfId="935" priority="6077" stopIfTrue="1">
      <formula>J1546&lt;&gt;#REF!</formula>
    </cfRule>
  </conditionalFormatting>
  <conditionalFormatting sqref="J752:J753 J747:J749">
    <cfRule type="expression" dxfId="934" priority="6076" stopIfTrue="1">
      <formula>J747&lt;&gt;J158</formula>
    </cfRule>
  </conditionalFormatting>
  <conditionalFormatting sqref="J1103:J1105 J986:J987 J1000">
    <cfRule type="expression" dxfId="933" priority="6075" stopIfTrue="1">
      <formula>J986&lt;&gt;#REF!</formula>
    </cfRule>
  </conditionalFormatting>
  <conditionalFormatting sqref="J302">
    <cfRule type="expression" dxfId="932" priority="6070" stopIfTrue="1">
      <formula>J302&lt;&gt;J16</formula>
    </cfRule>
  </conditionalFormatting>
  <conditionalFormatting sqref="J1147">
    <cfRule type="expression" dxfId="931" priority="6068" stopIfTrue="1">
      <formula>J1147&lt;&gt;#REF!</formula>
    </cfRule>
  </conditionalFormatting>
  <conditionalFormatting sqref="J1493">
    <cfRule type="expression" dxfId="930" priority="6067" stopIfTrue="1">
      <formula>J1493&lt;&gt;J888</formula>
    </cfRule>
  </conditionalFormatting>
  <conditionalFormatting sqref="J1069:J1070 J731 J1264 J1381 J1261 J1257:J1259 J1254:J1255 J1251">
    <cfRule type="expression" dxfId="929" priority="6066" stopIfTrue="1">
      <formula>J731&lt;&gt;#REF!</formula>
    </cfRule>
  </conditionalFormatting>
  <conditionalFormatting sqref="J968">
    <cfRule type="expression" dxfId="928" priority="6064" stopIfTrue="1">
      <formula>J968&lt;&gt;J476</formula>
    </cfRule>
  </conditionalFormatting>
  <conditionalFormatting sqref="J1256 J979">
    <cfRule type="expression" dxfId="927" priority="6062" stopIfTrue="1">
      <formula>J979&lt;&gt;#REF!</formula>
    </cfRule>
  </conditionalFormatting>
  <conditionalFormatting sqref="J932:J933">
    <cfRule type="expression" dxfId="926" priority="6061" stopIfTrue="1">
      <formula>J932&lt;&gt;J490</formula>
    </cfRule>
  </conditionalFormatting>
  <conditionalFormatting sqref="J1237 J411 J1292 J1290 J1305:J1306 J549:J551 J490 J1834:J1837 J1451:J1452 J1003:J1004 J803:J805 J1316 J608:J609 J605:J606">
    <cfRule type="expression" dxfId="925" priority="6060" stopIfTrue="1">
      <formula>J411&lt;&gt;#REF!</formula>
    </cfRule>
  </conditionalFormatting>
  <conditionalFormatting sqref="J822">
    <cfRule type="expression" dxfId="924" priority="6047" stopIfTrue="1">
      <formula>J822&lt;&gt;J422</formula>
    </cfRule>
  </conditionalFormatting>
  <conditionalFormatting sqref="J1334:J1335 J477 J1051:J1052">
    <cfRule type="expression" dxfId="923" priority="6046" stopIfTrue="1">
      <formula>J477&lt;&gt;#REF!</formula>
    </cfRule>
  </conditionalFormatting>
  <conditionalFormatting sqref="J1176">
    <cfRule type="expression" dxfId="922" priority="6042" stopIfTrue="1">
      <formula>J1176&lt;&gt;J750</formula>
    </cfRule>
  </conditionalFormatting>
  <conditionalFormatting sqref="J489">
    <cfRule type="expression" dxfId="921" priority="6039" stopIfTrue="1">
      <formula>J489&lt;&gt;J64</formula>
    </cfRule>
  </conditionalFormatting>
  <conditionalFormatting sqref="J799 J797">
    <cfRule type="expression" dxfId="920" priority="6038" stopIfTrue="1">
      <formula>J797&lt;&gt;J271</formula>
    </cfRule>
  </conditionalFormatting>
  <conditionalFormatting sqref="J1542 J1082 J1545 J1526 J1120:J1121 J1287:J1288 J481">
    <cfRule type="expression" dxfId="919" priority="6035" stopIfTrue="1">
      <formula>J481&lt;&gt;#REF!</formula>
    </cfRule>
  </conditionalFormatting>
  <conditionalFormatting sqref="J1178">
    <cfRule type="expression" dxfId="918" priority="6023" stopIfTrue="1">
      <formula>J1178&lt;&gt;J623</formula>
    </cfRule>
  </conditionalFormatting>
  <conditionalFormatting sqref="J1777">
    <cfRule type="expression" dxfId="917" priority="6022" stopIfTrue="1">
      <formula>J1777&lt;&gt;J874</formula>
    </cfRule>
  </conditionalFormatting>
  <conditionalFormatting sqref="J991 J985">
    <cfRule type="expression" dxfId="916" priority="6019" stopIfTrue="1">
      <formula>J985&lt;&gt;#REF!</formula>
    </cfRule>
  </conditionalFormatting>
  <conditionalFormatting sqref="J1287:J1288">
    <cfRule type="expression" dxfId="915" priority="6017" stopIfTrue="1">
      <formula>J1287&lt;&gt;J570</formula>
    </cfRule>
  </conditionalFormatting>
  <conditionalFormatting sqref="J1478:J1483 J603:J609 J1122:J1123 J1011:J1012 J1014">
    <cfRule type="expression" dxfId="914" priority="6016" stopIfTrue="1">
      <formula>J603&lt;&gt;#REF!</formula>
    </cfRule>
  </conditionalFormatting>
  <conditionalFormatting sqref="J1121">
    <cfRule type="expression" dxfId="913" priority="5997" stopIfTrue="1">
      <formula>J1121&lt;&gt;J569</formula>
    </cfRule>
  </conditionalFormatting>
  <conditionalFormatting sqref="J1065:J1066 J303:J304 J1181">
    <cfRule type="expression" dxfId="912" priority="5993" stopIfTrue="1">
      <formula>J303&lt;&gt;#REF!</formula>
    </cfRule>
  </conditionalFormatting>
  <conditionalFormatting sqref="J291:J292">
    <cfRule type="expression" dxfId="911" priority="5964" stopIfTrue="1">
      <formula>J291&lt;&gt;J1047279</formula>
    </cfRule>
  </conditionalFormatting>
  <conditionalFormatting sqref="J965">
    <cfRule type="expression" dxfId="910" priority="5963" stopIfTrue="1">
      <formula>J965&lt;&gt;J556</formula>
    </cfRule>
  </conditionalFormatting>
  <conditionalFormatting sqref="J659:J662 J811:J813">
    <cfRule type="expression" dxfId="909" priority="5962" stopIfTrue="1">
      <formula>J659&lt;&gt;J245</formula>
    </cfRule>
  </conditionalFormatting>
  <conditionalFormatting sqref="J1008">
    <cfRule type="expression" dxfId="908" priority="5960" stopIfTrue="1">
      <formula>J1008&lt;&gt;J528</formula>
    </cfRule>
  </conditionalFormatting>
  <conditionalFormatting sqref="J781">
    <cfRule type="expression" dxfId="907" priority="5959" stopIfTrue="1">
      <formula>J781&lt;&gt;J269</formula>
    </cfRule>
  </conditionalFormatting>
  <conditionalFormatting sqref="J1395">
    <cfRule type="expression" dxfId="906" priority="5957" stopIfTrue="1">
      <formula>J1395&lt;&gt;J823</formula>
    </cfRule>
  </conditionalFormatting>
  <conditionalFormatting sqref="J642:J643">
    <cfRule type="expression" dxfId="905" priority="5953" stopIfTrue="1">
      <formula>J642&lt;&gt;#REF!</formula>
    </cfRule>
  </conditionalFormatting>
  <conditionalFormatting sqref="J1468">
    <cfRule type="expression" dxfId="904" priority="5949" stopIfTrue="1">
      <formula>J1468&lt;&gt;J867</formula>
    </cfRule>
  </conditionalFormatting>
  <conditionalFormatting sqref="J1379:J1380 J1355 J318 J1333 J486 J1369 J1631">
    <cfRule type="expression" dxfId="903" priority="5948" stopIfTrue="1">
      <formula>J318&lt;&gt;#REF!</formula>
    </cfRule>
  </conditionalFormatting>
  <conditionalFormatting sqref="J84:J86">
    <cfRule type="expression" dxfId="902" priority="5944" stopIfTrue="1">
      <formula>J84&lt;&gt;J1047278</formula>
    </cfRule>
  </conditionalFormatting>
  <conditionalFormatting sqref="J92:J95">
    <cfRule type="expression" dxfId="901" priority="5943" stopIfTrue="1">
      <formula>J92&lt;&gt;J1047279</formula>
    </cfRule>
  </conditionalFormatting>
  <conditionalFormatting sqref="J88:J89">
    <cfRule type="expression" dxfId="900" priority="5942" stopIfTrue="1">
      <formula>J88&lt;&gt;J1047281</formula>
    </cfRule>
  </conditionalFormatting>
  <conditionalFormatting sqref="J77:J79">
    <cfRule type="expression" dxfId="899" priority="5941" stopIfTrue="1">
      <formula>J77&lt;&gt;J1047278</formula>
    </cfRule>
  </conditionalFormatting>
  <conditionalFormatting sqref="J815">
    <cfRule type="expression" dxfId="898" priority="5940" stopIfTrue="1">
      <formula>J815&lt;&gt;J367</formula>
    </cfRule>
  </conditionalFormatting>
  <conditionalFormatting sqref="J67:J70">
    <cfRule type="expression" dxfId="897" priority="5938" stopIfTrue="1">
      <formula>J67&lt;&gt;J1047279</formula>
    </cfRule>
  </conditionalFormatting>
  <conditionalFormatting sqref="J176:J179">
    <cfRule type="expression" dxfId="896" priority="5937" stopIfTrue="1">
      <formula>J176&lt;&gt;J6</formula>
    </cfRule>
  </conditionalFormatting>
  <conditionalFormatting sqref="J172">
    <cfRule type="expression" dxfId="895" priority="5936" stopIfTrue="1">
      <formula>J172&lt;&gt;J2</formula>
    </cfRule>
  </conditionalFormatting>
  <conditionalFormatting sqref="J20">
    <cfRule type="expression" dxfId="894" priority="5935" stopIfTrue="1">
      <formula>J20&lt;&gt;J1047278</formula>
    </cfRule>
  </conditionalFormatting>
  <conditionalFormatting sqref="J10">
    <cfRule type="expression" dxfId="893" priority="5934" stopIfTrue="1">
      <formula>J10&lt;&gt;J1047280</formula>
    </cfRule>
  </conditionalFormatting>
  <conditionalFormatting sqref="J1634 J1304">
    <cfRule type="expression" dxfId="892" priority="5931" stopIfTrue="1">
      <formula>J1304&lt;&gt;#REF!</formula>
    </cfRule>
  </conditionalFormatting>
  <conditionalFormatting sqref="J1775">
    <cfRule type="expression" dxfId="891" priority="5930" stopIfTrue="1">
      <formula>J1775&lt;&gt;J873</formula>
    </cfRule>
  </conditionalFormatting>
  <conditionalFormatting sqref="J1300 J1198 J1234 J1535:J1538 J1375 J1350 J1344 J1323 J1209 J1201 J1212:J1215 J942:J944 J1159 J434 J1087 J1512 J1142 J1079 J1416">
    <cfRule type="expression" dxfId="890" priority="5929" stopIfTrue="1">
      <formula>J434&lt;&gt;#REF!</formula>
    </cfRule>
  </conditionalFormatting>
  <conditionalFormatting sqref="J229">
    <cfRule type="expression" dxfId="889" priority="5900" stopIfTrue="1">
      <formula>J229&lt;&gt;J1047292</formula>
    </cfRule>
  </conditionalFormatting>
  <conditionalFormatting sqref="J1473:J1476">
    <cfRule type="expression" dxfId="888" priority="5899" stopIfTrue="1">
      <formula>J1473&lt;&gt;J859</formula>
    </cfRule>
  </conditionalFormatting>
  <conditionalFormatting sqref="J462:J465">
    <cfRule type="expression" dxfId="887" priority="5897" stopIfTrue="1">
      <formula>J462&lt;&gt;J51</formula>
    </cfRule>
  </conditionalFormatting>
  <conditionalFormatting sqref="J601 J1673:J1674 J1670">
    <cfRule type="expression" dxfId="886" priority="5896" stopIfTrue="1">
      <formula>J601&lt;&gt;#REF!</formula>
    </cfRule>
  </conditionalFormatting>
  <conditionalFormatting sqref="J1035">
    <cfRule type="expression" dxfId="885" priority="5895" stopIfTrue="1">
      <formula>J1035&lt;&gt;J552</formula>
    </cfRule>
  </conditionalFormatting>
  <conditionalFormatting sqref="J856:J857 J1525 J1387:J1388">
    <cfRule type="expression" dxfId="884" priority="5894" stopIfTrue="1">
      <formula>J856&lt;&gt;#REF!</formula>
    </cfRule>
  </conditionalFormatting>
  <conditionalFormatting sqref="J1467">
    <cfRule type="expression" dxfId="883" priority="5883" stopIfTrue="1">
      <formula>J1467&lt;&gt;J867</formula>
    </cfRule>
  </conditionalFormatting>
  <conditionalFormatting sqref="J120">
    <cfRule type="expression" dxfId="882" priority="5879" stopIfTrue="1">
      <formula>J120&lt;&gt;J1047282</formula>
    </cfRule>
  </conditionalFormatting>
  <conditionalFormatting sqref="J358 J355">
    <cfRule type="expression" dxfId="881" priority="5878" stopIfTrue="1">
      <formula>J355&lt;&gt;J5</formula>
    </cfRule>
  </conditionalFormatting>
  <conditionalFormatting sqref="J606 J602 J608:J609 J534 J476:J477 J450 J857">
    <cfRule type="expression" dxfId="880" priority="5877" stopIfTrue="1">
      <formula>J450&lt;&gt;#REF!</formula>
    </cfRule>
  </conditionalFormatting>
  <conditionalFormatting sqref="J356:J357 J359:J361">
    <cfRule type="expression" dxfId="879" priority="5876" stopIfTrue="1">
      <formula>J356&lt;&gt;J3</formula>
    </cfRule>
  </conditionalFormatting>
  <conditionalFormatting sqref="J178">
    <cfRule type="expression" dxfId="878" priority="5875" stopIfTrue="1">
      <formula>J178&lt;&gt;J2</formula>
    </cfRule>
  </conditionalFormatting>
  <conditionalFormatting sqref="J608:J609">
    <cfRule type="expression" dxfId="877" priority="5873" stopIfTrue="1">
      <formula>J608&lt;&gt;#REF!</formula>
    </cfRule>
  </conditionalFormatting>
  <conditionalFormatting sqref="J1172">
    <cfRule type="expression" dxfId="876" priority="5871" stopIfTrue="1">
      <formula>J1172&lt;&gt;J688</formula>
    </cfRule>
  </conditionalFormatting>
  <conditionalFormatting sqref="J102:J106">
    <cfRule type="expression" dxfId="875" priority="5870" stopIfTrue="1">
      <formula>J102&lt;&gt;J1047278</formula>
    </cfRule>
  </conditionalFormatting>
  <conditionalFormatting sqref="J176">
    <cfRule type="expression" dxfId="874" priority="5869" stopIfTrue="1">
      <formula>J176&lt;&gt;J2</formula>
    </cfRule>
  </conditionalFormatting>
  <conditionalFormatting sqref="J124:J125">
    <cfRule type="expression" dxfId="873" priority="5868" stopIfTrue="1">
      <formula>J124&lt;&gt;J1047281</formula>
    </cfRule>
  </conditionalFormatting>
  <conditionalFormatting sqref="J53:J54">
    <cfRule type="expression" dxfId="872" priority="5865" stopIfTrue="1">
      <formula>J53&lt;&gt;J1047282</formula>
    </cfRule>
  </conditionalFormatting>
  <conditionalFormatting sqref="J177">
    <cfRule type="expression" dxfId="871" priority="5863" stopIfTrue="1">
      <formula>J177&lt;&gt;J2</formula>
    </cfRule>
  </conditionalFormatting>
  <conditionalFormatting sqref="J173">
    <cfRule type="expression" dxfId="870" priority="5862" stopIfTrue="1">
      <formula>J173&lt;&gt;J2</formula>
    </cfRule>
  </conditionalFormatting>
  <conditionalFormatting sqref="J352:J354">
    <cfRule type="expression" dxfId="869" priority="5861" stopIfTrue="1">
      <formula>J352&lt;&gt;J2</formula>
    </cfRule>
  </conditionalFormatting>
  <conditionalFormatting sqref="J431 J382:J386">
    <cfRule type="expression" dxfId="868" priority="5859" stopIfTrue="1">
      <formula>J382&lt;&gt;J16</formula>
    </cfRule>
  </conditionalFormatting>
  <conditionalFormatting sqref="J433">
    <cfRule type="expression" dxfId="867" priority="5858" stopIfTrue="1">
      <formula>J433&lt;&gt;J87</formula>
    </cfRule>
  </conditionalFormatting>
  <conditionalFormatting sqref="J174:J175">
    <cfRule type="expression" dxfId="866" priority="5857" stopIfTrue="1">
      <formula>J174&lt;&gt;J2</formula>
    </cfRule>
  </conditionalFormatting>
  <conditionalFormatting sqref="J169:J170">
    <cfRule type="expression" dxfId="865" priority="5855" stopIfTrue="1">
      <formula>J169&lt;&gt;J1</formula>
    </cfRule>
  </conditionalFormatting>
  <conditionalFormatting sqref="J350:J351">
    <cfRule type="expression" dxfId="864" priority="5854" stopIfTrue="1">
      <formula>J350&lt;&gt;J1</formula>
    </cfRule>
  </conditionalFormatting>
  <conditionalFormatting sqref="J111">
    <cfRule type="expression" dxfId="863" priority="5851" stopIfTrue="1">
      <formula>J111&lt;&gt;J1047282</formula>
    </cfRule>
  </conditionalFormatting>
  <conditionalFormatting sqref="J347:J349 J342">
    <cfRule type="expression" dxfId="862" priority="5847" stopIfTrue="1">
      <formula>J342&lt;&gt;J6</formula>
    </cfRule>
  </conditionalFormatting>
  <conditionalFormatting sqref="J33">
    <cfRule type="expression" dxfId="861" priority="5843" stopIfTrue="1">
      <formula>J33&lt;&gt;J1047281</formula>
    </cfRule>
  </conditionalFormatting>
  <conditionalFormatting sqref="J187">
    <cfRule type="expression" dxfId="860" priority="5842" stopIfTrue="1">
      <formula>J187&lt;&gt;J6</formula>
    </cfRule>
  </conditionalFormatting>
  <conditionalFormatting sqref="J541">
    <cfRule type="expression" dxfId="859" priority="5841" stopIfTrue="1">
      <formula>J541&lt;&gt;J138</formula>
    </cfRule>
  </conditionalFormatting>
  <conditionalFormatting sqref="J449:J450">
    <cfRule type="expression" dxfId="858" priority="5836" stopIfTrue="1">
      <formula>J449&lt;&gt;J89</formula>
    </cfRule>
  </conditionalFormatting>
  <conditionalFormatting sqref="J186">
    <cfRule type="expression" dxfId="857" priority="5835" stopIfTrue="1">
      <formula>J186&lt;&gt;J6</formula>
    </cfRule>
  </conditionalFormatting>
  <conditionalFormatting sqref="J908 J895:J896 J603:J609 J543:J544 J478:J480">
    <cfRule type="expression" dxfId="856" priority="5834" stopIfTrue="1">
      <formula>J478&lt;&gt;#REF!</formula>
    </cfRule>
  </conditionalFormatting>
  <conditionalFormatting sqref="J180:J184">
    <cfRule type="expression" dxfId="855" priority="5826" stopIfTrue="1">
      <formula>J180&lt;&gt;J2</formula>
    </cfRule>
  </conditionalFormatting>
  <conditionalFormatting sqref="J185">
    <cfRule type="expression" dxfId="854" priority="5825" stopIfTrue="1">
      <formula>J185&lt;&gt;J6</formula>
    </cfRule>
  </conditionalFormatting>
  <conditionalFormatting sqref="J458:J459 J515:J516 J704">
    <cfRule type="expression" dxfId="853" priority="5823" stopIfTrue="1">
      <formula>J458&lt;&gt;#REF!</formula>
    </cfRule>
  </conditionalFormatting>
  <conditionalFormatting sqref="J229">
    <cfRule type="expression" dxfId="852" priority="5814" stopIfTrue="1">
      <formula>J229&lt;&gt;J1047293</formula>
    </cfRule>
  </conditionalFormatting>
  <conditionalFormatting sqref="J591:J594">
    <cfRule type="expression" dxfId="851" priority="5812" stopIfTrue="1">
      <formula>J591&lt;&gt;J263</formula>
    </cfRule>
  </conditionalFormatting>
  <conditionalFormatting sqref="J636">
    <cfRule type="expression" dxfId="850" priority="5809" stopIfTrue="1">
      <formula>J636&lt;&gt;J268</formula>
    </cfRule>
  </conditionalFormatting>
  <conditionalFormatting sqref="J523:J526">
    <cfRule type="expression" dxfId="849" priority="5801" stopIfTrue="1">
      <formula>J523&lt;&gt;J57</formula>
    </cfRule>
  </conditionalFormatting>
  <conditionalFormatting sqref="J732 J716:J719 J1007">
    <cfRule type="expression" dxfId="848" priority="5800" stopIfTrue="1">
      <formula>J716&lt;&gt;#REF!</formula>
    </cfRule>
  </conditionalFormatting>
  <conditionalFormatting sqref="J406:J407">
    <cfRule type="expression" dxfId="847" priority="5797" stopIfTrue="1">
      <formula>J406&lt;&gt;J20</formula>
    </cfRule>
  </conditionalFormatting>
  <conditionalFormatting sqref="J336">
    <cfRule type="expression" dxfId="846" priority="5796" stopIfTrue="1">
      <formula>J336&lt;&gt;J1</formula>
    </cfRule>
  </conditionalFormatting>
  <conditionalFormatting sqref="J340:J341">
    <cfRule type="expression" dxfId="845" priority="5795" stopIfTrue="1">
      <formula>J340&lt;&gt;J4</formula>
    </cfRule>
  </conditionalFormatting>
  <conditionalFormatting sqref="J230:J233">
    <cfRule type="expression" dxfId="844" priority="5793" stopIfTrue="1">
      <formula>J230&lt;&gt;J1047279</formula>
    </cfRule>
  </conditionalFormatting>
  <conditionalFormatting sqref="J138:J139">
    <cfRule type="expression" dxfId="843" priority="5792" stopIfTrue="1">
      <formula>J138&lt;&gt;J1047277</formula>
    </cfRule>
  </conditionalFormatting>
  <conditionalFormatting sqref="J605 J601">
    <cfRule type="expression" dxfId="842" priority="5789" stopIfTrue="1">
      <formula>J601&lt;&gt;#REF!</formula>
    </cfRule>
  </conditionalFormatting>
  <conditionalFormatting sqref="J641">
    <cfRule type="expression" dxfId="841" priority="5785" stopIfTrue="1">
      <formula>J641&lt;&gt;J240</formula>
    </cfRule>
  </conditionalFormatting>
  <conditionalFormatting sqref="J112:J115">
    <cfRule type="expression" dxfId="840" priority="5783" stopIfTrue="1">
      <formula>J112&lt;&gt;J1047272</formula>
    </cfRule>
  </conditionalFormatting>
  <conditionalFormatting sqref="J1102 J1554 J598:J606 J608:J609">
    <cfRule type="expression" dxfId="839" priority="5782" stopIfTrue="1">
      <formula>J598&lt;&gt;#REF!</formula>
    </cfRule>
  </conditionalFormatting>
  <conditionalFormatting sqref="J1177">
    <cfRule type="expression" dxfId="838" priority="5772" stopIfTrue="1">
      <formula>J1177&lt;&gt;J623</formula>
    </cfRule>
  </conditionalFormatting>
  <conditionalFormatting sqref="J995">
    <cfRule type="expression" dxfId="837" priority="5769" stopIfTrue="1">
      <formula>J995&lt;&gt;#REF!</formula>
    </cfRule>
  </conditionalFormatting>
  <conditionalFormatting sqref="J779">
    <cfRule type="expression" dxfId="836" priority="5766" stopIfTrue="1">
      <formula>J779&lt;&gt;J269</formula>
    </cfRule>
  </conditionalFormatting>
  <conditionalFormatting sqref="J1006">
    <cfRule type="expression" dxfId="835" priority="5765" stopIfTrue="1">
      <formula>J1006&lt;&gt;J528</formula>
    </cfRule>
  </conditionalFormatting>
  <conditionalFormatting sqref="J1189">
    <cfRule type="expression" dxfId="834" priority="5758" stopIfTrue="1">
      <formula>J1189&lt;&gt;J623</formula>
    </cfRule>
  </conditionalFormatting>
  <conditionalFormatting sqref="J668 J680">
    <cfRule type="expression" dxfId="833" priority="5757" stopIfTrue="1">
      <formula>J668&lt;&gt;J251</formula>
    </cfRule>
  </conditionalFormatting>
  <conditionalFormatting sqref="J934">
    <cfRule type="expression" dxfId="832" priority="5753" stopIfTrue="1">
      <formula>J934&lt;&gt;J492</formula>
    </cfRule>
  </conditionalFormatting>
  <conditionalFormatting sqref="J679">
    <cfRule type="expression" dxfId="831" priority="5745" stopIfTrue="1">
      <formula>J679&lt;&gt;J252</formula>
    </cfRule>
  </conditionalFormatting>
  <conditionalFormatting sqref="J850:J851 J848 J652 J501:J510 J973">
    <cfRule type="expression" dxfId="830" priority="5744" stopIfTrue="1">
      <formula>J501&lt;&gt;#REF!</formula>
    </cfRule>
  </conditionalFormatting>
  <conditionalFormatting sqref="J1460:J1462">
    <cfRule type="expression" dxfId="829" priority="5741" stopIfTrue="1">
      <formula>J1460&lt;&gt;J864</formula>
    </cfRule>
  </conditionalFormatting>
  <conditionalFormatting sqref="J831">
    <cfRule type="expression" dxfId="828" priority="5740" stopIfTrue="1">
      <formula>J831&lt;&gt;J366</formula>
    </cfRule>
  </conditionalFormatting>
  <conditionalFormatting sqref="J983 J1253 J953 J946 J1006 J999 J988 J1051">
    <cfRule type="expression" dxfId="827" priority="5739" stopIfTrue="1">
      <formula>J946&lt;&gt;#REF!</formula>
    </cfRule>
  </conditionalFormatting>
  <conditionalFormatting sqref="J1386">
    <cfRule type="expression" dxfId="826" priority="5735" stopIfTrue="1">
      <formula>J1386&lt;&gt;J812</formula>
    </cfRule>
  </conditionalFormatting>
  <conditionalFormatting sqref="J1144:J1145 J1140:J1141 J1564 J1321 J1197 J975 J1067:J1068">
    <cfRule type="expression" dxfId="825" priority="5732" stopIfTrue="1">
      <formula>J975&lt;&gt;#REF!</formula>
    </cfRule>
  </conditionalFormatting>
  <conditionalFormatting sqref="J1540">
    <cfRule type="expression" dxfId="824" priority="5722" stopIfTrue="1">
      <formula>J1540&lt;&gt;J853</formula>
    </cfRule>
  </conditionalFormatting>
  <conditionalFormatting sqref="J862 J1438 J1312:J1313">
    <cfRule type="expression" dxfId="823" priority="5721" stopIfTrue="1">
      <formula>J862&lt;&gt;#REF!</formula>
    </cfRule>
  </conditionalFormatting>
  <conditionalFormatting sqref="J991">
    <cfRule type="expression" dxfId="822" priority="5719" stopIfTrue="1">
      <formula>J991&lt;&gt;J500</formula>
    </cfRule>
  </conditionalFormatting>
  <conditionalFormatting sqref="J1360 J1151 J1284 J1146">
    <cfRule type="expression" dxfId="821" priority="5716" stopIfTrue="1">
      <formula>J1146&lt;&gt;#REF!</formula>
    </cfRule>
  </conditionalFormatting>
  <conditionalFormatting sqref="J1237">
    <cfRule type="expression" dxfId="820" priority="5709" stopIfTrue="1">
      <formula>J1237&lt;&gt;J569</formula>
    </cfRule>
  </conditionalFormatting>
  <conditionalFormatting sqref="J1315">
    <cfRule type="expression" dxfId="819" priority="5708" stopIfTrue="1">
      <formula>J1315&lt;&gt;J709</formula>
    </cfRule>
  </conditionalFormatting>
  <conditionalFormatting sqref="J1326">
    <cfRule type="expression" dxfId="818" priority="5707" stopIfTrue="1">
      <formula>J1326&lt;&gt;J641</formula>
    </cfRule>
  </conditionalFormatting>
  <conditionalFormatting sqref="J1074 J1205 J1231">
    <cfRule type="expression" dxfId="817" priority="5704" stopIfTrue="1">
      <formula>J1074&lt;&gt;#REF!</formula>
    </cfRule>
  </conditionalFormatting>
  <conditionalFormatting sqref="J675 J809">
    <cfRule type="expression" dxfId="816" priority="5702" stopIfTrue="1">
      <formula>J675&lt;&gt;J247</formula>
    </cfRule>
  </conditionalFormatting>
  <conditionalFormatting sqref="J469">
    <cfRule type="expression" dxfId="815" priority="5701" stopIfTrue="1">
      <formula>J469&lt;&gt;J55</formula>
    </cfRule>
  </conditionalFormatting>
  <conditionalFormatting sqref="J1365">
    <cfRule type="expression" dxfId="814" priority="5695" stopIfTrue="1">
      <formula>J1365&lt;&gt;#REF!</formula>
    </cfRule>
  </conditionalFormatting>
  <conditionalFormatting sqref="J1173">
    <cfRule type="expression" dxfId="813" priority="5692" stopIfTrue="1">
      <formula>J1173&lt;&gt;J623</formula>
    </cfRule>
  </conditionalFormatting>
  <conditionalFormatting sqref="J698:J700">
    <cfRule type="expression" dxfId="812" priority="5691" stopIfTrue="1">
      <formula>J698&lt;&gt;J126</formula>
    </cfRule>
  </conditionalFormatting>
  <conditionalFormatting sqref="J997">
    <cfRule type="expression" dxfId="811" priority="5690" stopIfTrue="1">
      <formula>J997&lt;&gt;J537</formula>
    </cfRule>
  </conditionalFormatting>
  <conditionalFormatting sqref="J1184">
    <cfRule type="expression" dxfId="810" priority="5683" stopIfTrue="1">
      <formula>J1184&lt;&gt;J629</formula>
    </cfRule>
  </conditionalFormatting>
  <conditionalFormatting sqref="J1389 J1336:J1337 J1106 J1125:J1129 J1225 J1256:J1257 J1275 J1071">
    <cfRule type="expression" dxfId="809" priority="5681" stopIfTrue="1">
      <formula>J1071&lt;&gt;#REF!</formula>
    </cfRule>
  </conditionalFormatting>
  <conditionalFormatting sqref="J1130">
    <cfRule type="expression" dxfId="808" priority="5676" stopIfTrue="1">
      <formula>J1130&lt;&gt;J568</formula>
    </cfRule>
  </conditionalFormatting>
  <conditionalFormatting sqref="J1020:J1021">
    <cfRule type="expression" dxfId="807" priority="5674" stopIfTrue="1">
      <formula>J1020&lt;&gt;J533</formula>
    </cfRule>
  </conditionalFormatting>
  <conditionalFormatting sqref="J1502">
    <cfRule type="expression" dxfId="806" priority="5670" stopIfTrue="1">
      <formula>J1502&lt;&gt;J862</formula>
    </cfRule>
  </conditionalFormatting>
  <conditionalFormatting sqref="J1187 J1179">
    <cfRule type="expression" dxfId="805" priority="5665" stopIfTrue="1">
      <formula>J1179&lt;&gt;J623</formula>
    </cfRule>
  </conditionalFormatting>
  <conditionalFormatting sqref="J1098:J1099 J1516">
    <cfRule type="expression" dxfId="804" priority="5664" stopIfTrue="1">
      <formula>J1098&lt;&gt;#REF!</formula>
    </cfRule>
  </conditionalFormatting>
  <conditionalFormatting sqref="J1169">
    <cfRule type="expression" dxfId="803" priority="5655" stopIfTrue="1">
      <formula>J1169&lt;&gt;J623</formula>
    </cfRule>
  </conditionalFormatting>
  <conditionalFormatting sqref="J1153 J432 J1013 J1219:J1220 J1401 J1541 J1538 J1372 J1009 J1011 J994:J995 J1177 AQ1557">
    <cfRule type="expression" dxfId="802" priority="5654" stopIfTrue="1">
      <formula>J432&lt;&gt;#REF!</formula>
    </cfRule>
  </conditionalFormatting>
  <conditionalFormatting sqref="J1183">
    <cfRule type="expression" dxfId="801" priority="5636" stopIfTrue="1">
      <formula>J1183&lt;&gt;J623</formula>
    </cfRule>
  </conditionalFormatting>
  <conditionalFormatting sqref="J1095 J681:J686 J598:J599 J1392 J1548 J1088 AQ1556">
    <cfRule type="expression" dxfId="800" priority="5635" stopIfTrue="1">
      <formula>J598&lt;&gt;#REF!</formula>
    </cfRule>
  </conditionalFormatting>
  <conditionalFormatting sqref="J1184">
    <cfRule type="expression" dxfId="799" priority="5616" stopIfTrue="1">
      <formula>J1184&lt;&gt;J623</formula>
    </cfRule>
  </conditionalFormatting>
  <conditionalFormatting sqref="J1188">
    <cfRule type="expression" dxfId="798" priority="5614" stopIfTrue="1">
      <formula>J1188&lt;&gt;J631</formula>
    </cfRule>
  </conditionalFormatting>
  <conditionalFormatting sqref="J918:J919">
    <cfRule type="expression" dxfId="797" priority="5608" stopIfTrue="1">
      <formula>J918&lt;&gt;#REF!</formula>
    </cfRule>
  </conditionalFormatting>
  <conditionalFormatting sqref="J171:J175">
    <cfRule type="expression" dxfId="796" priority="5607" stopIfTrue="1">
      <formula>J171&lt;&gt;J2</formula>
    </cfRule>
  </conditionalFormatting>
  <conditionalFormatting sqref="J185:J187">
    <cfRule type="expression" dxfId="795" priority="5605" stopIfTrue="1">
      <formula>J185&lt;&gt;J7</formula>
    </cfRule>
  </conditionalFormatting>
  <conditionalFormatting sqref="J185:J187">
    <cfRule type="expression" dxfId="794" priority="5604" stopIfTrue="1">
      <formula>J185&lt;&gt;J7</formula>
    </cfRule>
  </conditionalFormatting>
  <conditionalFormatting sqref="J975">
    <cfRule type="expression" dxfId="793" priority="5600" stopIfTrue="1">
      <formula>J975&lt;&gt;J568</formula>
    </cfRule>
  </conditionalFormatting>
  <conditionalFormatting sqref="J975">
    <cfRule type="expression" dxfId="792" priority="5599" stopIfTrue="1">
      <formula>J975&lt;&gt;J568</formula>
    </cfRule>
  </conditionalFormatting>
  <conditionalFormatting sqref="J975">
    <cfRule type="expression" dxfId="791" priority="5598" stopIfTrue="1">
      <formula>J975&lt;&gt;#REF!</formula>
    </cfRule>
  </conditionalFormatting>
  <conditionalFormatting sqref="J975">
    <cfRule type="expression" dxfId="790" priority="5597" stopIfTrue="1">
      <formula>J975&lt;&gt;J568</formula>
    </cfRule>
  </conditionalFormatting>
  <conditionalFormatting sqref="J975">
    <cfRule type="expression" dxfId="789" priority="5596" stopIfTrue="1">
      <formula>J975&lt;&gt;J568</formula>
    </cfRule>
  </conditionalFormatting>
  <conditionalFormatting sqref="J992">
    <cfRule type="expression" dxfId="788" priority="5595" stopIfTrue="1">
      <formula>J992&lt;&gt;J536</formula>
    </cfRule>
  </conditionalFormatting>
  <conditionalFormatting sqref="J1008 J839:J843 J1001 J973 J992:J993 J997:J999 J666:J667">
    <cfRule type="expression" dxfId="787" priority="5594" stopIfTrue="1">
      <formula>J666&lt;&gt;#REF!</formula>
    </cfRule>
  </conditionalFormatting>
  <conditionalFormatting sqref="J992">
    <cfRule type="expression" dxfId="786" priority="5592" stopIfTrue="1">
      <formula>J992&lt;&gt;J536</formula>
    </cfRule>
  </conditionalFormatting>
  <conditionalFormatting sqref="J1162">
    <cfRule type="expression" dxfId="785" priority="5582" stopIfTrue="1">
      <formula>J1162&lt;&gt;J620</formula>
    </cfRule>
  </conditionalFormatting>
  <conditionalFormatting sqref="J1001 J976">
    <cfRule type="expression" dxfId="784" priority="5581" stopIfTrue="1">
      <formula>J976&lt;&gt;#REF!</formula>
    </cfRule>
  </conditionalFormatting>
  <conditionalFormatting sqref="J601:J604">
    <cfRule type="expression" dxfId="783" priority="5572" stopIfTrue="1">
      <formula>J601&lt;&gt;J224</formula>
    </cfRule>
  </conditionalFormatting>
  <conditionalFormatting sqref="J993">
    <cfRule type="expression" dxfId="782" priority="5570" stopIfTrue="1">
      <formula>J993&lt;&gt;J533</formula>
    </cfRule>
  </conditionalFormatting>
  <conditionalFormatting sqref="J993">
    <cfRule type="expression" dxfId="781" priority="5569" stopIfTrue="1">
      <formula>J993&lt;&gt;J537</formula>
    </cfRule>
  </conditionalFormatting>
  <conditionalFormatting sqref="J1178">
    <cfRule type="expression" dxfId="780" priority="5567" stopIfTrue="1">
      <formula>J1178&lt;&gt;J694</formula>
    </cfRule>
  </conditionalFormatting>
  <conditionalFormatting sqref="J993">
    <cfRule type="expression" dxfId="779" priority="5566" stopIfTrue="1">
      <formula>J993&lt;&gt;J533</formula>
    </cfRule>
  </conditionalFormatting>
  <conditionalFormatting sqref="J993">
    <cfRule type="expression" dxfId="778" priority="5565" stopIfTrue="1">
      <formula>J993&lt;&gt;J537</formula>
    </cfRule>
  </conditionalFormatting>
  <conditionalFormatting sqref="J1001:J1002">
    <cfRule type="expression" dxfId="777" priority="5562" stopIfTrue="1">
      <formula>J1001&lt;&gt;J531</formula>
    </cfRule>
  </conditionalFormatting>
  <conditionalFormatting sqref="J849 J511 J996 J1009 J1000 J980:J984 J969:J974 J1002 J966 J952 J977">
    <cfRule type="expression" dxfId="776" priority="5560" stopIfTrue="1">
      <formula>J511&lt;&gt;#REF!</formula>
    </cfRule>
  </conditionalFormatting>
  <conditionalFormatting sqref="J994">
    <cfRule type="expression" dxfId="775" priority="5536" stopIfTrue="1">
      <formula>J994&lt;&gt;J534</formula>
    </cfRule>
  </conditionalFormatting>
  <conditionalFormatting sqref="J994">
    <cfRule type="expression" dxfId="774" priority="5534" stopIfTrue="1">
      <formula>J994&lt;&gt;#REF!</formula>
    </cfRule>
  </conditionalFormatting>
  <conditionalFormatting sqref="J994">
    <cfRule type="expression" dxfId="773" priority="5532" stopIfTrue="1">
      <formula>J994&lt;&gt;J536</formula>
    </cfRule>
  </conditionalFormatting>
  <conditionalFormatting sqref="J984 J994 J1003:J1004 J1007:J1008 J998:J999">
    <cfRule type="expression" dxfId="772" priority="5531" stopIfTrue="1">
      <formula>J984&lt;&gt;#REF!</formula>
    </cfRule>
  </conditionalFormatting>
  <conditionalFormatting sqref="J1182">
    <cfRule type="expression" dxfId="771" priority="5526" stopIfTrue="1">
      <formula>J1182&lt;&gt;J623</formula>
    </cfRule>
  </conditionalFormatting>
  <conditionalFormatting sqref="J1003">
    <cfRule type="expression" dxfId="770" priority="5525" stopIfTrue="1">
      <formula>J1003&lt;&gt;#REF!</formula>
    </cfRule>
  </conditionalFormatting>
  <conditionalFormatting sqref="J994">
    <cfRule type="expression" dxfId="769" priority="5521" stopIfTrue="1">
      <formula>J994&lt;&gt;J534</formula>
    </cfRule>
  </conditionalFormatting>
  <conditionalFormatting sqref="J994">
    <cfRule type="expression" dxfId="768" priority="5520" stopIfTrue="1">
      <formula>J994&lt;&gt;J536</formula>
    </cfRule>
  </conditionalFormatting>
  <conditionalFormatting sqref="J994">
    <cfRule type="expression" dxfId="767" priority="5517" stopIfTrue="1">
      <formula>J994&lt;&gt;J536</formula>
    </cfRule>
  </conditionalFormatting>
  <conditionalFormatting sqref="J1163:J1164">
    <cfRule type="expression" dxfId="766" priority="5507" stopIfTrue="1">
      <formula>J1163&lt;&gt;J622</formula>
    </cfRule>
  </conditionalFormatting>
  <conditionalFormatting sqref="J983">
    <cfRule type="expression" dxfId="765" priority="5506" stopIfTrue="1">
      <formula>J983&lt;&gt;J532</formula>
    </cfRule>
  </conditionalFormatting>
  <conditionalFormatting sqref="J978 J610:J611 J483:J484">
    <cfRule type="expression" dxfId="764" priority="5505" stopIfTrue="1">
      <formula>J483&lt;&gt;#REF!</formula>
    </cfRule>
  </conditionalFormatting>
  <conditionalFormatting sqref="J995">
    <cfRule type="expression" dxfId="763" priority="5502" stopIfTrue="1">
      <formula>J995&lt;&gt;J533</formula>
    </cfRule>
  </conditionalFormatting>
  <conditionalFormatting sqref="J995">
    <cfRule type="expression" dxfId="762" priority="5501" stopIfTrue="1">
      <formula>J995&lt;&gt;J537</formula>
    </cfRule>
  </conditionalFormatting>
  <conditionalFormatting sqref="J1414">
    <cfRule type="expression" dxfId="761" priority="5494" stopIfTrue="1">
      <formula>J1414&lt;&gt;J848</formula>
    </cfRule>
  </conditionalFormatting>
  <conditionalFormatting sqref="J978">
    <cfRule type="expression" dxfId="760" priority="5493" stopIfTrue="1">
      <formula>J978&lt;&gt;#REF!</formula>
    </cfRule>
  </conditionalFormatting>
  <conditionalFormatting sqref="J995">
    <cfRule type="expression" dxfId="759" priority="5490" stopIfTrue="1">
      <formula>J995&lt;&gt;J537</formula>
    </cfRule>
  </conditionalFormatting>
  <conditionalFormatting sqref="J653:J654">
    <cfRule type="expression" dxfId="758" priority="5489" stopIfTrue="1">
      <formula>J653&lt;&gt;J248</formula>
    </cfRule>
  </conditionalFormatting>
  <conditionalFormatting sqref="J995 J1004 J1034 J990 J1399:J1400 J982 J1263 J924">
    <cfRule type="expression" dxfId="757" priority="5488" stopIfTrue="1">
      <formula>J924&lt;&gt;#REF!</formula>
    </cfRule>
  </conditionalFormatting>
  <conditionalFormatting sqref="J1007">
    <cfRule type="expression" dxfId="756" priority="5477" stopIfTrue="1">
      <formula>J1007&lt;&gt;J528</formula>
    </cfRule>
  </conditionalFormatting>
  <conditionalFormatting sqref="J930 J790">
    <cfRule type="expression" dxfId="755" priority="5475" stopIfTrue="1">
      <formula>J790&lt;&gt;#REF!</formula>
    </cfRule>
  </conditionalFormatting>
  <conditionalFormatting sqref="J988:J991">
    <cfRule type="expression" dxfId="754" priority="5467" stopIfTrue="1">
      <formula>J988&lt;&gt;J534</formula>
    </cfRule>
  </conditionalFormatting>
  <conditionalFormatting sqref="J978">
    <cfRule type="expression" dxfId="753" priority="5464" stopIfTrue="1">
      <formula>J978&lt;&gt;#REF!</formula>
    </cfRule>
  </conditionalFormatting>
  <conditionalFormatting sqref="J968">
    <cfRule type="expression" dxfId="752" priority="5460" stopIfTrue="1">
      <formula>J968&lt;&gt;J476</formula>
    </cfRule>
  </conditionalFormatting>
  <conditionalFormatting sqref="J991">
    <cfRule type="expression" dxfId="751" priority="5458" stopIfTrue="1">
      <formula>J991&lt;&gt;J496</formula>
    </cfRule>
  </conditionalFormatting>
  <conditionalFormatting sqref="J935">
    <cfRule type="expression" dxfId="750" priority="5456" stopIfTrue="1">
      <formula>J935&lt;&gt;J492</formula>
    </cfRule>
  </conditionalFormatting>
  <conditionalFormatting sqref="J996">
    <cfRule type="expression" dxfId="749" priority="5455" stopIfTrue="1">
      <formula>J996&lt;&gt;J537</formula>
    </cfRule>
  </conditionalFormatting>
  <conditionalFormatting sqref="J1080:J1081 J991 J1184">
    <cfRule type="expression" dxfId="748" priority="5454" stopIfTrue="1">
      <formula>J991&lt;&gt;#REF!</formula>
    </cfRule>
  </conditionalFormatting>
  <conditionalFormatting sqref="J1181">
    <cfRule type="expression" dxfId="747" priority="5452" stopIfTrue="1">
      <formula>J1181&lt;&gt;J645</formula>
    </cfRule>
  </conditionalFormatting>
  <conditionalFormatting sqref="J989:J991">
    <cfRule type="expression" dxfId="746" priority="5451" stopIfTrue="1">
      <formula>J989&lt;&gt;J496</formula>
    </cfRule>
  </conditionalFormatting>
  <conditionalFormatting sqref="J1005">
    <cfRule type="expression" dxfId="745" priority="5449" stopIfTrue="1">
      <formula>J1005&lt;&gt;J500</formula>
    </cfRule>
  </conditionalFormatting>
  <conditionalFormatting sqref="J1005">
    <cfRule type="expression" dxfId="744" priority="5448" stopIfTrue="1">
      <formula>J1005&lt;&gt;J500</formula>
    </cfRule>
  </conditionalFormatting>
  <conditionalFormatting sqref="J979 J1111 J1012">
    <cfRule type="expression" dxfId="743" priority="5447" stopIfTrue="1">
      <formula>J979&lt;&gt;#REF!</formula>
    </cfRule>
  </conditionalFormatting>
  <conditionalFormatting sqref="J996">
    <cfRule type="expression" dxfId="742" priority="5444" stopIfTrue="1">
      <formula>J996&lt;&gt;J537</formula>
    </cfRule>
  </conditionalFormatting>
  <conditionalFormatting sqref="J996">
    <cfRule type="expression" dxfId="741" priority="5443" stopIfTrue="1">
      <formula>J996&lt;&gt;J495</formula>
    </cfRule>
  </conditionalFormatting>
  <conditionalFormatting sqref="J996">
    <cfRule type="expression" dxfId="740" priority="5442" stopIfTrue="1">
      <formula>J996&lt;&gt;J495</formula>
    </cfRule>
  </conditionalFormatting>
  <conditionalFormatting sqref="J1005">
    <cfRule type="expression" dxfId="739" priority="5441" stopIfTrue="1">
      <formula>J1005&lt;&gt;#REF!</formula>
    </cfRule>
  </conditionalFormatting>
  <conditionalFormatting sqref="J1005">
    <cfRule type="expression" dxfId="738" priority="5440" stopIfTrue="1">
      <formula>J1005&lt;&gt;J500</formula>
    </cfRule>
  </conditionalFormatting>
  <conditionalFormatting sqref="J1005">
    <cfRule type="expression" dxfId="737" priority="5439" stopIfTrue="1">
      <formula>J1005&lt;&gt;J500</formula>
    </cfRule>
  </conditionalFormatting>
  <conditionalFormatting sqref="J1174">
    <cfRule type="expression" dxfId="736" priority="5435" stopIfTrue="1">
      <formula>J1174&lt;&gt;J623</formula>
    </cfRule>
  </conditionalFormatting>
  <conditionalFormatting sqref="J984">
    <cfRule type="expression" dxfId="735" priority="5412" stopIfTrue="1">
      <formula>J984&lt;&gt;#REF!</formula>
    </cfRule>
  </conditionalFormatting>
  <conditionalFormatting sqref="J984">
    <cfRule type="expression" dxfId="734" priority="5411" stopIfTrue="1">
      <formula>J984&lt;&gt;J532</formula>
    </cfRule>
  </conditionalFormatting>
  <conditionalFormatting sqref="J1000">
    <cfRule type="expression" dxfId="733" priority="5408" stopIfTrue="1">
      <formula>J1000&lt;&gt;J533</formula>
    </cfRule>
  </conditionalFormatting>
  <conditionalFormatting sqref="J1000 J1008">
    <cfRule type="expression" dxfId="732" priority="5407" stopIfTrue="1">
      <formula>J1000&lt;&gt;#REF!</formula>
    </cfRule>
  </conditionalFormatting>
  <conditionalFormatting sqref="J620:J622">
    <cfRule type="expression" dxfId="731" priority="5406" stopIfTrue="1">
      <formula>J620&lt;&gt;J138</formula>
    </cfRule>
  </conditionalFormatting>
  <conditionalFormatting sqref="J1181">
    <cfRule type="expression" dxfId="730" priority="5403" stopIfTrue="1">
      <formula>J1181&lt;&gt;J623</formula>
    </cfRule>
  </conditionalFormatting>
  <conditionalFormatting sqref="J1177">
    <cfRule type="expression" dxfId="729" priority="5402" stopIfTrue="1">
      <formula>J1177&lt;&gt;J631</formula>
    </cfRule>
  </conditionalFormatting>
  <conditionalFormatting sqref="J984">
    <cfRule type="expression" dxfId="728" priority="5391" stopIfTrue="1">
      <formula>J984&lt;&gt;J532</formula>
    </cfRule>
  </conditionalFormatting>
  <conditionalFormatting sqref="J980:J981 J1009">
    <cfRule type="expression" dxfId="727" priority="5388" stopIfTrue="1">
      <formula>J980&lt;&gt;#REF!</formula>
    </cfRule>
  </conditionalFormatting>
  <conditionalFormatting sqref="J1033">
    <cfRule type="expression" dxfId="726" priority="5376" stopIfTrue="1">
      <formula>J1033&lt;&gt;J545</formula>
    </cfRule>
  </conditionalFormatting>
  <conditionalFormatting sqref="J1006 J997 J1585 J1522 J1382:J1383">
    <cfRule type="expression" dxfId="725" priority="5373" stopIfTrue="1">
      <formula>J997&lt;&gt;#REF!</formula>
    </cfRule>
  </conditionalFormatting>
  <conditionalFormatting sqref="J1051:J1052">
    <cfRule type="expression" dxfId="724" priority="5365" stopIfTrue="1">
      <formula>J1051&lt;&gt;J553</formula>
    </cfRule>
  </conditionalFormatting>
  <conditionalFormatting sqref="J1010 J1013 J987">
    <cfRule type="expression" dxfId="723" priority="5357" stopIfTrue="1">
      <formula>J987&lt;&gt;#REF!</formula>
    </cfRule>
  </conditionalFormatting>
  <conditionalFormatting sqref="J1179 J1171">
    <cfRule type="expression" dxfId="722" priority="5354" stopIfTrue="1">
      <formula>J1171&lt;&gt;J623</formula>
    </cfRule>
  </conditionalFormatting>
  <conditionalFormatting sqref="J1010 J1005">
    <cfRule type="expression" dxfId="721" priority="5353" stopIfTrue="1">
      <formula>J1005&lt;&gt;#REF!</formula>
    </cfRule>
  </conditionalFormatting>
  <conditionalFormatting sqref="J1032">
    <cfRule type="expression" dxfId="720" priority="5349" stopIfTrue="1">
      <formula>J1032&lt;&gt;J545</formula>
    </cfRule>
  </conditionalFormatting>
  <conditionalFormatting sqref="J1013">
    <cfRule type="expression" dxfId="719" priority="5348" stopIfTrue="1">
      <formula>J1013&lt;&gt;J537</formula>
    </cfRule>
  </conditionalFormatting>
  <conditionalFormatting sqref="J986:J987 J1010:J1012 J1007">
    <cfRule type="expression" dxfId="718" priority="5345" stopIfTrue="1">
      <formula>J986&lt;&gt;#REF!</formula>
    </cfRule>
  </conditionalFormatting>
  <conditionalFormatting sqref="J1013">
    <cfRule type="expression" dxfId="717" priority="5339" stopIfTrue="1">
      <formula>J1013&lt;&gt;J537</formula>
    </cfRule>
  </conditionalFormatting>
  <conditionalFormatting sqref="J1015">
    <cfRule type="expression" dxfId="716" priority="5326" stopIfTrue="1">
      <formula>J1015&lt;&gt;J536</formula>
    </cfRule>
  </conditionalFormatting>
  <conditionalFormatting sqref="J1014:J1015">
    <cfRule type="expression" dxfId="715" priority="5325" stopIfTrue="1">
      <formula>J1014&lt;&gt;J537</formula>
    </cfRule>
  </conditionalFormatting>
  <conditionalFormatting sqref="J1011:J1012 J1014:J1015 J800:J802">
    <cfRule type="expression" dxfId="714" priority="5324" stopIfTrue="1">
      <formula>J800&lt;&gt;#REF!</formula>
    </cfRule>
  </conditionalFormatting>
  <conditionalFormatting sqref="J1014:J1015">
    <cfRule type="expression" dxfId="713" priority="5316" stopIfTrue="1">
      <formula>J1014&lt;&gt;J537</formula>
    </cfRule>
  </conditionalFormatting>
  <conditionalFormatting sqref="J1173 J1167">
    <cfRule type="expression" dxfId="712" priority="5311" stopIfTrue="1">
      <formula>J1167&lt;&gt;J623</formula>
    </cfRule>
  </conditionalFormatting>
  <conditionalFormatting sqref="J1173">
    <cfRule type="expression" dxfId="711" priority="5310" stopIfTrue="1">
      <formula>J1173&lt;&gt;J714</formula>
    </cfRule>
  </conditionalFormatting>
  <conditionalFormatting sqref="J1173">
    <cfRule type="expression" dxfId="710" priority="5309" stopIfTrue="1">
      <formula>J1173&lt;&gt;J714</formula>
    </cfRule>
  </conditionalFormatting>
  <conditionalFormatting sqref="J1179">
    <cfRule type="expression" dxfId="709" priority="5307" stopIfTrue="1">
      <formula>J1179&lt;&gt;J645</formula>
    </cfRule>
  </conditionalFormatting>
  <conditionalFormatting sqref="J1179">
    <cfRule type="expression" dxfId="708" priority="5306" stopIfTrue="1">
      <formula>J1179&lt;&gt;J720</formula>
    </cfRule>
  </conditionalFormatting>
  <conditionalFormatting sqref="J1179">
    <cfRule type="expression" dxfId="707" priority="5305" stopIfTrue="1">
      <formula>J1179&lt;&gt;J720</formula>
    </cfRule>
  </conditionalFormatting>
  <conditionalFormatting sqref="J1184">
    <cfRule type="expression" dxfId="706" priority="5303" stopIfTrue="1">
      <formula>J1184&lt;&gt;J645</formula>
    </cfRule>
  </conditionalFormatting>
  <conditionalFormatting sqref="J1184 J1083:J1084">
    <cfRule type="expression" dxfId="705" priority="5302" stopIfTrue="1">
      <formula>J1083&lt;&gt;#REF!</formula>
    </cfRule>
  </conditionalFormatting>
  <conditionalFormatting sqref="J1184">
    <cfRule type="expression" dxfId="704" priority="5301" stopIfTrue="1">
      <formula>J1184&lt;&gt;J725</formula>
    </cfRule>
  </conditionalFormatting>
  <conditionalFormatting sqref="J1184">
    <cfRule type="expression" dxfId="703" priority="5300" stopIfTrue="1">
      <formula>J1184&lt;&gt;J725</formula>
    </cfRule>
  </conditionalFormatting>
  <conditionalFormatting sqref="J1173">
    <cfRule type="expression" dxfId="702" priority="5299" stopIfTrue="1">
      <formula>J1173&lt;&gt;J629</formula>
    </cfRule>
  </conditionalFormatting>
  <conditionalFormatting sqref="J1173">
    <cfRule type="expression" dxfId="701" priority="5298" stopIfTrue="1">
      <formula>J1173&lt;&gt;J714</formula>
    </cfRule>
  </conditionalFormatting>
  <conditionalFormatting sqref="J1173">
    <cfRule type="expression" dxfId="700" priority="5297" stopIfTrue="1">
      <formula>J1173&lt;&gt;J714</formula>
    </cfRule>
  </conditionalFormatting>
  <conditionalFormatting sqref="J1179">
    <cfRule type="expression" dxfId="699" priority="5296" stopIfTrue="1">
      <formula>J1179&lt;&gt;J645</formula>
    </cfRule>
  </conditionalFormatting>
  <conditionalFormatting sqref="J1179">
    <cfRule type="expression" dxfId="698" priority="5295" stopIfTrue="1">
      <formula>J1179&lt;&gt;J720</formula>
    </cfRule>
  </conditionalFormatting>
  <conditionalFormatting sqref="J1179">
    <cfRule type="expression" dxfId="697" priority="5294" stopIfTrue="1">
      <formula>J1179&lt;&gt;J720</formula>
    </cfRule>
  </conditionalFormatting>
  <conditionalFormatting sqref="J1184">
    <cfRule type="expression" dxfId="696" priority="5292" stopIfTrue="1">
      <formula>J1184&lt;&gt;J725</formula>
    </cfRule>
  </conditionalFormatting>
  <conditionalFormatting sqref="J1184">
    <cfRule type="expression" dxfId="695" priority="5291" stopIfTrue="1">
      <formula>J1184&lt;&gt;J725</formula>
    </cfRule>
  </conditionalFormatting>
  <conditionalFormatting sqref="J1169">
    <cfRule type="expression" dxfId="694" priority="5289" stopIfTrue="1">
      <formula>J1169&lt;&gt;J589</formula>
    </cfRule>
  </conditionalFormatting>
  <conditionalFormatting sqref="J1175">
    <cfRule type="expression" dxfId="693" priority="5288" stopIfTrue="1">
      <formula>J1175&lt;&gt;J631</formula>
    </cfRule>
  </conditionalFormatting>
  <conditionalFormatting sqref="J1175">
    <cfRule type="expression" dxfId="692" priority="5286" stopIfTrue="1">
      <formula>J1175&lt;&gt;#REF!</formula>
    </cfRule>
  </conditionalFormatting>
  <conditionalFormatting sqref="J1180">
    <cfRule type="expression" dxfId="691" priority="5285" stopIfTrue="1">
      <formula>J1180&lt;&gt;J629</formula>
    </cfRule>
  </conditionalFormatting>
  <conditionalFormatting sqref="J1180">
    <cfRule type="expression" dxfId="690" priority="5284" stopIfTrue="1">
      <formula>J1180&lt;&gt;J645</formula>
    </cfRule>
  </conditionalFormatting>
  <conditionalFormatting sqref="J1180">
    <cfRule type="expression" dxfId="689" priority="5283" stopIfTrue="1">
      <formula>J1180&lt;&gt;#REF!</formula>
    </cfRule>
  </conditionalFormatting>
  <conditionalFormatting sqref="J1186">
    <cfRule type="expression" dxfId="688" priority="5281" stopIfTrue="1">
      <formula>J1186&lt;&gt;J631</formula>
    </cfRule>
  </conditionalFormatting>
  <conditionalFormatting sqref="J1186 J1085">
    <cfRule type="expression" dxfId="687" priority="5279" stopIfTrue="1">
      <formula>J1085&lt;&gt;J552</formula>
    </cfRule>
  </conditionalFormatting>
  <conditionalFormatting sqref="J1186">
    <cfRule type="expression" dxfId="686" priority="5278" stopIfTrue="1">
      <formula>J1186&lt;&gt;J616</formula>
    </cfRule>
  </conditionalFormatting>
  <conditionalFormatting sqref="J1186">
    <cfRule type="expression" dxfId="685" priority="5277" stopIfTrue="1">
      <formula>J1186&lt;&gt;J616</formula>
    </cfRule>
  </conditionalFormatting>
  <conditionalFormatting sqref="J1175">
    <cfRule type="expression" dxfId="684" priority="5276" stopIfTrue="1">
      <formula>J1175&lt;&gt;J631</formula>
    </cfRule>
  </conditionalFormatting>
  <conditionalFormatting sqref="J1180">
    <cfRule type="expression" dxfId="683" priority="5273" stopIfTrue="1">
      <formula>J1180&lt;&gt;J645</formula>
    </cfRule>
  </conditionalFormatting>
  <conditionalFormatting sqref="J1186">
    <cfRule type="expression" dxfId="682" priority="5270" stopIfTrue="1">
      <formula>J1186&lt;&gt;J653</formula>
    </cfRule>
  </conditionalFormatting>
  <conditionalFormatting sqref="J1186">
    <cfRule type="expression" dxfId="681" priority="5269" stopIfTrue="1">
      <formula>J1186&lt;&gt;J616</formula>
    </cfRule>
  </conditionalFormatting>
  <conditionalFormatting sqref="J1186">
    <cfRule type="expression" dxfId="680" priority="5268" stopIfTrue="1">
      <formula>J1186&lt;&gt;J616</formula>
    </cfRule>
  </conditionalFormatting>
  <conditionalFormatting sqref="J600:J606 J608 J723:J725">
    <cfRule type="expression" dxfId="679" priority="5266" stopIfTrue="1">
      <formula>J600&lt;&gt;#REF!</formula>
    </cfRule>
  </conditionalFormatting>
  <conditionalFormatting sqref="J1176">
    <cfRule type="expression" dxfId="678" priority="5265" stopIfTrue="1">
      <formula>J1176&lt;&gt;J631</formula>
    </cfRule>
  </conditionalFormatting>
  <conditionalFormatting sqref="J1181 J1175">
    <cfRule type="expression" dxfId="677" priority="5262" stopIfTrue="1">
      <formula>J1175&lt;&gt;J623</formula>
    </cfRule>
  </conditionalFormatting>
  <conditionalFormatting sqref="J1181">
    <cfRule type="expression" dxfId="676" priority="5259" stopIfTrue="1">
      <formula>J1181&lt;&gt;J755</formula>
    </cfRule>
  </conditionalFormatting>
  <conditionalFormatting sqref="J1187">
    <cfRule type="expression" dxfId="675" priority="5257" stopIfTrue="1">
      <formula>J1187&lt;&gt;J645</formula>
    </cfRule>
  </conditionalFormatting>
  <conditionalFormatting sqref="J1187">
    <cfRule type="expression" dxfId="674" priority="5256" stopIfTrue="1">
      <formula>J1187&lt;&gt;J653</formula>
    </cfRule>
  </conditionalFormatting>
  <conditionalFormatting sqref="J1187">
    <cfRule type="expression" dxfId="673" priority="5254" stopIfTrue="1">
      <formula>J1187&lt;&gt;J761</formula>
    </cfRule>
  </conditionalFormatting>
  <conditionalFormatting sqref="J1176">
    <cfRule type="expression" dxfId="672" priority="5253" stopIfTrue="1">
      <formula>J1176&lt;&gt;J631</formula>
    </cfRule>
  </conditionalFormatting>
  <conditionalFormatting sqref="J1176">
    <cfRule type="expression" dxfId="671" priority="5252" stopIfTrue="1">
      <formula>J1176&lt;&gt;J807</formula>
    </cfRule>
  </conditionalFormatting>
  <conditionalFormatting sqref="J1176">
    <cfRule type="expression" dxfId="670" priority="5251" stopIfTrue="1">
      <formula>J1176&lt;&gt;J750</formula>
    </cfRule>
  </conditionalFormatting>
  <conditionalFormatting sqref="J1181">
    <cfRule type="expression" dxfId="669" priority="5250" stopIfTrue="1">
      <formula>J1181&lt;&gt;J645</formula>
    </cfRule>
  </conditionalFormatting>
  <conditionalFormatting sqref="J1181">
    <cfRule type="expression" dxfId="668" priority="5249" stopIfTrue="1">
      <formula>J1181&lt;&gt;#REF!</formula>
    </cfRule>
  </conditionalFormatting>
  <conditionalFormatting sqref="J1181">
    <cfRule type="expression" dxfId="667" priority="5248" stopIfTrue="1">
      <formula>J1181&lt;&gt;J755</formula>
    </cfRule>
  </conditionalFormatting>
  <conditionalFormatting sqref="J1187">
    <cfRule type="expression" dxfId="666" priority="5247" stopIfTrue="1">
      <formula>J1187&lt;&gt;J653</formula>
    </cfRule>
  </conditionalFormatting>
  <conditionalFormatting sqref="J1187">
    <cfRule type="expression" dxfId="665" priority="5246" stopIfTrue="1">
      <formula>J1187&lt;&gt;J810</formula>
    </cfRule>
  </conditionalFormatting>
  <conditionalFormatting sqref="J1187">
    <cfRule type="expression" dxfId="664" priority="5245" stopIfTrue="1">
      <formula>J1187&lt;&gt;J761</formula>
    </cfRule>
  </conditionalFormatting>
  <conditionalFormatting sqref="J991 J989">
    <cfRule type="expression" dxfId="663" priority="5244" stopIfTrue="1">
      <formula>J989&lt;&gt;J504</formula>
    </cfRule>
  </conditionalFormatting>
  <conditionalFormatting sqref="J1171">
    <cfRule type="expression" dxfId="662" priority="5243" stopIfTrue="1">
      <formula>J1171&lt;&gt;J578</formula>
    </cfRule>
  </conditionalFormatting>
  <conditionalFormatting sqref="J1177">
    <cfRule type="expression" dxfId="661" priority="5241" stopIfTrue="1">
      <formula>J1177&lt;&gt;#REF!</formula>
    </cfRule>
  </conditionalFormatting>
  <conditionalFormatting sqref="J1182">
    <cfRule type="expression" dxfId="660" priority="5239" stopIfTrue="1">
      <formula>J1182&lt;&gt;J629</formula>
    </cfRule>
  </conditionalFormatting>
  <conditionalFormatting sqref="J1182">
    <cfRule type="expression" dxfId="659" priority="5238" stopIfTrue="1">
      <formula>J1182&lt;&gt;J645</formula>
    </cfRule>
  </conditionalFormatting>
  <conditionalFormatting sqref="J1182">
    <cfRule type="expression" dxfId="658" priority="5237" stopIfTrue="1">
      <formula>J1182&lt;&gt;J584</formula>
    </cfRule>
  </conditionalFormatting>
  <conditionalFormatting sqref="J1182">
    <cfRule type="expression" dxfId="657" priority="5236" stopIfTrue="1">
      <formula>J1182&lt;&gt;J584</formula>
    </cfRule>
  </conditionalFormatting>
  <conditionalFormatting sqref="J1001:J1002 J658 J922:J926 J1612:J1615">
    <cfRule type="expression" dxfId="656" priority="5235" stopIfTrue="1">
      <formula>J658&lt;&gt;#REF!</formula>
    </cfRule>
  </conditionalFormatting>
  <conditionalFormatting sqref="J1188 J1166:J1167">
    <cfRule type="expression" dxfId="655" priority="5234" stopIfTrue="1">
      <formula>J1166&lt;&gt;J623</formula>
    </cfRule>
  </conditionalFormatting>
  <conditionalFormatting sqref="J1188">
    <cfRule type="expression" dxfId="654" priority="5233" stopIfTrue="1">
      <formula>J1188&lt;&gt;J653</formula>
    </cfRule>
  </conditionalFormatting>
  <conditionalFormatting sqref="J1188">
    <cfRule type="expression" dxfId="653" priority="5232" stopIfTrue="1">
      <formula>J1188&lt;&gt;J591</formula>
    </cfRule>
  </conditionalFormatting>
  <conditionalFormatting sqref="J1188">
    <cfRule type="expression" dxfId="652" priority="5231" stopIfTrue="1">
      <formula>J1188&lt;&gt;J591</formula>
    </cfRule>
  </conditionalFormatting>
  <conditionalFormatting sqref="J1177">
    <cfRule type="expression" dxfId="651" priority="5230" stopIfTrue="1">
      <formula>J1177&lt;&gt;J631</formula>
    </cfRule>
  </conditionalFormatting>
  <conditionalFormatting sqref="J1182">
    <cfRule type="expression" dxfId="650" priority="5227" stopIfTrue="1">
      <formula>J1182&lt;&gt;J645</formula>
    </cfRule>
  </conditionalFormatting>
  <conditionalFormatting sqref="J1182">
    <cfRule type="expression" dxfId="649" priority="5226" stopIfTrue="1">
      <formula>J1182&lt;&gt;J584</formula>
    </cfRule>
  </conditionalFormatting>
  <conditionalFormatting sqref="J1182">
    <cfRule type="expression" dxfId="648" priority="5225" stopIfTrue="1">
      <formula>J1182&lt;&gt;J584</formula>
    </cfRule>
  </conditionalFormatting>
  <conditionalFormatting sqref="J1188">
    <cfRule type="expression" dxfId="647" priority="5224" stopIfTrue="1">
      <formula>J1188&lt;&gt;J653</formula>
    </cfRule>
  </conditionalFormatting>
  <conditionalFormatting sqref="J1188">
    <cfRule type="expression" dxfId="646" priority="5223" stopIfTrue="1">
      <formula>J1188&lt;&gt;J591</formula>
    </cfRule>
  </conditionalFormatting>
  <conditionalFormatting sqref="J1188">
    <cfRule type="expression" dxfId="645" priority="5222" stopIfTrue="1">
      <formula>J1188&lt;&gt;J591</formula>
    </cfRule>
  </conditionalFormatting>
  <conditionalFormatting sqref="J1172">
    <cfRule type="expression" dxfId="644" priority="5220" stopIfTrue="1">
      <formula>J1172&lt;&gt;#REF!</formula>
    </cfRule>
  </conditionalFormatting>
  <conditionalFormatting sqref="J1178">
    <cfRule type="expression" dxfId="643" priority="5219" stopIfTrue="1">
      <formula>J1178&lt;&gt;J631</formula>
    </cfRule>
  </conditionalFormatting>
  <conditionalFormatting sqref="J1183">
    <cfRule type="expression" dxfId="642" priority="5216" stopIfTrue="1">
      <formula>J1183&lt;&gt;J629</formula>
    </cfRule>
  </conditionalFormatting>
  <conditionalFormatting sqref="J1183">
    <cfRule type="expression" dxfId="641" priority="5215" stopIfTrue="1">
      <formula>J1183&lt;&gt;J645</formula>
    </cfRule>
  </conditionalFormatting>
  <conditionalFormatting sqref="J1183">
    <cfRule type="expression" dxfId="640" priority="5214" stopIfTrue="1">
      <formula>J1183&lt;&gt;J699</formula>
    </cfRule>
  </conditionalFormatting>
  <conditionalFormatting sqref="J1189">
    <cfRule type="expression" dxfId="639" priority="5212" stopIfTrue="1">
      <formula>J1189&lt;&gt;J631</formula>
    </cfRule>
  </conditionalFormatting>
  <conditionalFormatting sqref="J1189">
    <cfRule type="expression" dxfId="638" priority="5211" stopIfTrue="1">
      <formula>J1189&lt;&gt;J645</formula>
    </cfRule>
  </conditionalFormatting>
  <conditionalFormatting sqref="J1189">
    <cfRule type="expression" dxfId="637" priority="5210" stopIfTrue="1">
      <formula>J1189&lt;&gt;J653</formula>
    </cfRule>
  </conditionalFormatting>
  <conditionalFormatting sqref="J1189">
    <cfRule type="expression" dxfId="636" priority="5209" stopIfTrue="1">
      <formula>J1189&lt;&gt;J705</formula>
    </cfRule>
  </conditionalFormatting>
  <conditionalFormatting sqref="J1012">
    <cfRule type="expression" dxfId="635" priority="5208" stopIfTrue="1">
      <formula>J1012&lt;&gt;J509</formula>
    </cfRule>
  </conditionalFormatting>
  <conditionalFormatting sqref="J1178">
    <cfRule type="expression" dxfId="634" priority="5207" stopIfTrue="1">
      <formula>J1178&lt;&gt;J631</formula>
    </cfRule>
  </conditionalFormatting>
  <conditionalFormatting sqref="J1178">
    <cfRule type="expression" dxfId="633" priority="5206" stopIfTrue="1">
      <formula>J1178&lt;&gt;J694</formula>
    </cfRule>
  </conditionalFormatting>
  <conditionalFormatting sqref="J1183">
    <cfRule type="expression" dxfId="632" priority="5204" stopIfTrue="1">
      <formula>J1183&lt;&gt;J645</formula>
    </cfRule>
  </conditionalFormatting>
  <conditionalFormatting sqref="J1183">
    <cfRule type="expression" dxfId="631" priority="5203" stopIfTrue="1">
      <formula>J1183&lt;&gt;J699</formula>
    </cfRule>
  </conditionalFormatting>
  <conditionalFormatting sqref="J1189">
    <cfRule type="expression" dxfId="630" priority="5201" stopIfTrue="1">
      <formula>J1189&lt;&gt;J653</formula>
    </cfRule>
  </conditionalFormatting>
  <conditionalFormatting sqref="J1189">
    <cfRule type="expression" dxfId="629" priority="5200" stopIfTrue="1">
      <formula>J1189&lt;&gt;J705</formula>
    </cfRule>
  </conditionalFormatting>
  <conditionalFormatting sqref="J1484">
    <cfRule type="expression" dxfId="628" priority="5199" stopIfTrue="1">
      <formula>J1484&lt;&gt;J864</formula>
    </cfRule>
  </conditionalFormatting>
  <conditionalFormatting sqref="J1174">
    <cfRule type="expression" dxfId="627" priority="5198" stopIfTrue="1">
      <formula>J1174&lt;&gt;#REF!</formula>
    </cfRule>
  </conditionalFormatting>
  <conditionalFormatting sqref="J1185">
    <cfRule type="expression" dxfId="626" priority="5196" stopIfTrue="1">
      <formula>J1185&lt;&gt;J645</formula>
    </cfRule>
  </conditionalFormatting>
  <conditionalFormatting sqref="J1185">
    <cfRule type="expression" dxfId="625" priority="5195" stopIfTrue="1">
      <formula>J1185&lt;&gt;J575</formula>
    </cfRule>
  </conditionalFormatting>
  <conditionalFormatting sqref="J1185">
    <cfRule type="expression" dxfId="624" priority="5194" stopIfTrue="1">
      <formula>J1185&lt;&gt;J575</formula>
    </cfRule>
  </conditionalFormatting>
  <conditionalFormatting sqref="J1185">
    <cfRule type="expression" dxfId="623" priority="5193" stopIfTrue="1">
      <formula>J1185&lt;&gt;J645</formula>
    </cfRule>
  </conditionalFormatting>
  <conditionalFormatting sqref="J1185">
    <cfRule type="expression" dxfId="622" priority="5192" stopIfTrue="1">
      <formula>J1185&lt;&gt;J575</formula>
    </cfRule>
  </conditionalFormatting>
  <conditionalFormatting sqref="J1185">
    <cfRule type="expression" dxfId="621" priority="5191" stopIfTrue="1">
      <formula>J1185&lt;&gt;J575</formula>
    </cfRule>
  </conditionalFormatting>
  <conditionalFormatting sqref="J1419 J1206:J1208 J733 J1322">
    <cfRule type="expression" dxfId="620" priority="10117" stopIfTrue="1">
      <formula>J733&lt;&gt;#REF!</formula>
    </cfRule>
  </conditionalFormatting>
  <conditionalFormatting sqref="J635">
    <cfRule type="expression" dxfId="619" priority="10851" stopIfTrue="1">
      <formula>J635&lt;&gt;J252</formula>
    </cfRule>
  </conditionalFormatting>
  <conditionalFormatting sqref="J1134 J903 J900:J901 J1867">
    <cfRule type="expression" dxfId="618" priority="10928" stopIfTrue="1">
      <formula>J900&lt;&gt;#REF!</formula>
    </cfRule>
  </conditionalFormatting>
  <conditionalFormatting sqref="J598:J599">
    <cfRule type="expression" dxfId="617" priority="13259" stopIfTrue="1">
      <formula>J598&lt;&gt;J223</formula>
    </cfRule>
  </conditionalFormatting>
  <conditionalFormatting sqref="J1792 J1523 J883">
    <cfRule type="expression" dxfId="616" priority="13604" stopIfTrue="1">
      <formula>J883&lt;&gt;#REF!</formula>
    </cfRule>
  </conditionalFormatting>
  <conditionalFormatting sqref="J980:J982">
    <cfRule type="expression" dxfId="615" priority="14432" stopIfTrue="1">
      <formula>J980&lt;&gt;J531</formula>
    </cfRule>
  </conditionalFormatting>
  <conditionalFormatting sqref="J885:J888 J1061:J1064 J806 J800 J1143 J1635 J1015 J1012 J989:J991 J974 J1135 J982">
    <cfRule type="expression" dxfId="614" priority="14512" stopIfTrue="1">
      <formula>J800&lt;&gt;#REF!</formula>
    </cfRule>
  </conditionalFormatting>
  <conditionalFormatting sqref="J739">
    <cfRule type="expression" dxfId="613" priority="17158" stopIfTrue="1">
      <formula>J739&lt;&gt;J153</formula>
    </cfRule>
  </conditionalFormatting>
  <conditionalFormatting sqref="J1016">
    <cfRule type="expression" dxfId="612" priority="17498" stopIfTrue="1">
      <formula>J1016&lt;&gt;J528</formula>
    </cfRule>
  </conditionalFormatting>
  <conditionalFormatting sqref="J572:J574">
    <cfRule type="expression" dxfId="611" priority="18636" stopIfTrue="1">
      <formula>J572&lt;&gt;J98</formula>
    </cfRule>
  </conditionalFormatting>
  <conditionalFormatting sqref="J1632:J1633 J1778:J1780 J1789 J1845 J1785 J1563 J608:J609 J1008 J1262 J1708 J1608">
    <cfRule type="expression" dxfId="610" priority="18669" stopIfTrue="1">
      <formula>J608&lt;&gt;#REF!</formula>
    </cfRule>
  </conditionalFormatting>
  <conditionalFormatting sqref="J1582:J1584">
    <cfRule type="expression" dxfId="609" priority="22701" stopIfTrue="1">
      <formula>J1582&lt;&gt;J803</formula>
    </cfRule>
  </conditionalFormatting>
  <conditionalFormatting sqref="J911 J1576">
    <cfRule type="expression" dxfId="608" priority="22904" stopIfTrue="1">
      <formula>J911&lt;&gt;#REF!</formula>
    </cfRule>
  </conditionalFormatting>
  <conditionalFormatting sqref="J726:J730">
    <cfRule type="expression" dxfId="607" priority="23526" stopIfTrue="1">
      <formula>J726&lt;&gt;J144</formula>
    </cfRule>
  </conditionalFormatting>
  <conditionalFormatting sqref="J1346:J1347">
    <cfRule type="expression" dxfId="606" priority="23615" stopIfTrue="1">
      <formula>J1346&lt;&gt;J707</formula>
    </cfRule>
  </conditionalFormatting>
  <conditionalFormatting sqref="J436:J439 J365:J366">
    <cfRule type="expression" dxfId="605" priority="23948" stopIfTrue="1">
      <formula>J365&lt;&gt;J13</formula>
    </cfRule>
  </conditionalFormatting>
  <conditionalFormatting sqref="J1616 J631:J640">
    <cfRule type="expression" dxfId="604" priority="23956" stopIfTrue="1">
      <formula>J631&lt;&gt;#REF!</formula>
    </cfRule>
  </conditionalFormatting>
  <conditionalFormatting sqref="J1302:J1303">
    <cfRule type="expression" dxfId="603" priority="24393" stopIfTrue="1">
      <formula>J1302&lt;&gt;J570</formula>
    </cfRule>
  </conditionalFormatting>
  <conditionalFormatting sqref="J1441">
    <cfRule type="expression" dxfId="602" priority="24671" stopIfTrue="1">
      <formula>J1441&lt;&gt;J850</formula>
    </cfRule>
  </conditionalFormatting>
  <conditionalFormatting sqref="J1508:J1510">
    <cfRule type="expression" dxfId="601" priority="24748" stopIfTrue="1">
      <formula>J1508&lt;&gt;J863</formula>
    </cfRule>
  </conditionalFormatting>
  <conditionalFormatting sqref="J629:J630 J897 J1232 J1229">
    <cfRule type="expression" dxfId="600" priority="24749" stopIfTrue="1">
      <formula>J629&lt;&gt;#REF!</formula>
    </cfRule>
  </conditionalFormatting>
  <conditionalFormatting sqref="J242:J248">
    <cfRule type="expression" dxfId="599" priority="24939" stopIfTrue="1">
      <formula>J242&lt;&gt;J1047276</formula>
    </cfRule>
  </conditionalFormatting>
  <conditionalFormatting sqref="J410">
    <cfRule type="expression" dxfId="598" priority="25112" stopIfTrue="1">
      <formula>J410&lt;&gt;J21</formula>
    </cfRule>
  </conditionalFormatting>
  <conditionalFormatting sqref="J999 J991">
    <cfRule type="expression" dxfId="597" priority="25365" stopIfTrue="1">
      <formula>J991&lt;&gt;J527</formula>
    </cfRule>
  </conditionalFormatting>
  <conditionalFormatting sqref="J589:J590">
    <cfRule type="expression" dxfId="596" priority="25627" stopIfTrue="1">
      <formula>J589&lt;&gt;J262</formula>
    </cfRule>
  </conditionalFormatting>
  <conditionalFormatting sqref="J1274:J1275">
    <cfRule type="expression" dxfId="595" priority="25638" stopIfTrue="1">
      <formula>J1274&lt;&gt;#REF!</formula>
    </cfRule>
  </conditionalFormatting>
  <conditionalFormatting sqref="J1161">
    <cfRule type="expression" dxfId="594" priority="26379" stopIfTrue="1">
      <formula>J1161&lt;&gt;J572</formula>
    </cfRule>
  </conditionalFormatting>
  <conditionalFormatting sqref="J421:J422">
    <cfRule type="expression" dxfId="593" priority="26481" stopIfTrue="1">
      <formula>J421&lt;&gt;J20</formula>
    </cfRule>
  </conditionalFormatting>
  <conditionalFormatting sqref="J31">
    <cfRule type="expression" dxfId="592" priority="26541" stopIfTrue="1">
      <formula>J31&lt;&gt;J1047275</formula>
    </cfRule>
  </conditionalFormatting>
  <conditionalFormatting sqref="J473">
    <cfRule type="expression" dxfId="591" priority="26837" stopIfTrue="1">
      <formula>J473&lt;&gt;#REF!</formula>
    </cfRule>
  </conditionalFormatting>
  <conditionalFormatting sqref="J1042:J1043">
    <cfRule type="expression" dxfId="590" priority="27254" stopIfTrue="1">
      <formula>J1042&lt;&gt;J523</formula>
    </cfRule>
  </conditionalFormatting>
  <conditionalFormatting sqref="J1370 J1366 J1361 J1572 J1610:J1611 J1590:J1591 J1601:J1602">
    <cfRule type="expression" dxfId="589" priority="27302" stopIfTrue="1">
      <formula>J1361&lt;&gt;#REF!</formula>
    </cfRule>
  </conditionalFormatting>
  <conditionalFormatting sqref="J1744:J1746">
    <cfRule type="expression" dxfId="588" priority="30125" stopIfTrue="1">
      <formula>J1744&lt;&gt;J853</formula>
    </cfRule>
  </conditionalFormatting>
  <conditionalFormatting sqref="J1086 J1573:J1575 J1763:J1764">
    <cfRule type="expression" dxfId="587" priority="30467" stopIfTrue="1">
      <formula>J1086&lt;&gt;#REF!</formula>
    </cfRule>
  </conditionalFormatting>
  <conditionalFormatting sqref="J1859:J1860">
    <cfRule type="expression" dxfId="586" priority="30897" stopIfTrue="1">
      <formula>J1859&lt;&gt;J899</formula>
    </cfRule>
  </conditionalFormatting>
  <conditionalFormatting sqref="J1418">
    <cfRule type="expression" dxfId="585" priority="30939" stopIfTrue="1">
      <formula>J1418&lt;&gt;#REF!</formula>
    </cfRule>
  </conditionalFormatting>
  <conditionalFormatting sqref="J1339:J1341">
    <cfRule type="expression" dxfId="584" priority="31246" stopIfTrue="1">
      <formula>J1339&lt;&gt;J685</formula>
    </cfRule>
  </conditionalFormatting>
  <conditionalFormatting sqref="J1783 J1506 J1438 J1148 J1793:J1810 J1786:J1787 J1528 J1524 J1816:J1819 J1838:J1839 J1847 J1826:J1830 J960 J947:J951 J1497 J445 J1317 J606:J609">
    <cfRule type="expression" dxfId="583" priority="31268" stopIfTrue="1">
      <formula>J445&lt;&gt;#REF!</formula>
    </cfRule>
  </conditionalFormatting>
  <conditionalFormatting sqref="J590">
    <cfRule type="expression" dxfId="582" priority="5162" stopIfTrue="1">
      <formula>J590&lt;&gt;J254</formula>
    </cfRule>
  </conditionalFormatting>
  <conditionalFormatting sqref="J1439">
    <cfRule type="expression" dxfId="581" priority="35284" stopIfTrue="1">
      <formula>J1439&lt;&gt;#REF!</formula>
    </cfRule>
  </conditionalFormatting>
  <conditionalFormatting sqref="J569">
    <cfRule type="expression" dxfId="580" priority="5160" stopIfTrue="1">
      <formula>J569&lt;&gt;J252</formula>
    </cfRule>
  </conditionalFormatting>
  <conditionalFormatting sqref="J651">
    <cfRule type="expression" dxfId="579" priority="5148" stopIfTrue="1">
      <formula>J651&lt;&gt;#REF!</formula>
    </cfRule>
  </conditionalFormatting>
  <conditionalFormatting sqref="J974">
    <cfRule type="expression" dxfId="578" priority="5145" stopIfTrue="1">
      <formula>J974&lt;&gt;J494</formula>
    </cfRule>
  </conditionalFormatting>
  <conditionalFormatting sqref="J974 J1107 J1577:J1580 J1570:J1571">
    <cfRule type="expression" dxfId="577" priority="5136" stopIfTrue="1">
      <formula>J974&lt;&gt;#REF!</formula>
    </cfRule>
  </conditionalFormatting>
  <conditionalFormatting sqref="J1012">
    <cfRule type="expression" dxfId="576" priority="5092" stopIfTrue="1">
      <formula>J1012&lt;&gt;J494</formula>
    </cfRule>
  </conditionalFormatting>
  <conditionalFormatting sqref="J1012">
    <cfRule type="expression" dxfId="575" priority="5091" stopIfTrue="1">
      <formula>J1012&lt;&gt;J506</formula>
    </cfRule>
  </conditionalFormatting>
  <conditionalFormatting sqref="J1012">
    <cfRule type="expression" dxfId="574" priority="5090" stopIfTrue="1">
      <formula>J1012&lt;&gt;J508</formula>
    </cfRule>
  </conditionalFormatting>
  <conditionalFormatting sqref="J1012 J1015">
    <cfRule type="expression" dxfId="573" priority="5088" stopIfTrue="1">
      <formula>J1012&lt;&gt;#REF!</formula>
    </cfRule>
  </conditionalFormatting>
  <conditionalFormatting sqref="J1012">
    <cfRule type="expression" dxfId="572" priority="5087" stopIfTrue="1">
      <formula>J1012&lt;&gt;J508</formula>
    </cfRule>
  </conditionalFormatting>
  <conditionalFormatting sqref="J1012">
    <cfRule type="expression" dxfId="571" priority="5084" stopIfTrue="1">
      <formula>J1012&lt;&gt;J507</formula>
    </cfRule>
  </conditionalFormatting>
  <conditionalFormatting sqref="J1012">
    <cfRule type="expression" dxfId="570" priority="5080" stopIfTrue="1">
      <formula>J1012&lt;&gt;J509</formula>
    </cfRule>
  </conditionalFormatting>
  <conditionalFormatting sqref="J1012">
    <cfRule type="expression" dxfId="569" priority="5079" stopIfTrue="1">
      <formula>J1012&lt;&gt;#REF!</formula>
    </cfRule>
  </conditionalFormatting>
  <conditionalFormatting sqref="J1041">
    <cfRule type="expression" dxfId="568" priority="5077" stopIfTrue="1">
      <formula>J1041&lt;&gt;J519</formula>
    </cfRule>
  </conditionalFormatting>
  <conditionalFormatting sqref="J990:J991 J1012">
    <cfRule type="expression" dxfId="567" priority="5075" stopIfTrue="1">
      <formula>J990&lt;&gt;#REF!</formula>
    </cfRule>
  </conditionalFormatting>
  <conditionalFormatting sqref="J1012">
    <cfRule type="expression" dxfId="566" priority="5072" stopIfTrue="1">
      <formula>J1012&lt;&gt;J507</formula>
    </cfRule>
  </conditionalFormatting>
  <conditionalFormatting sqref="J1012">
    <cfRule type="expression" dxfId="565" priority="5071" stopIfTrue="1">
      <formula>J1012&lt;&gt;J516</formula>
    </cfRule>
  </conditionalFormatting>
  <conditionalFormatting sqref="J1012">
    <cfRule type="expression" dxfId="564" priority="5069" stopIfTrue="1">
      <formula>J1012&lt;&gt;#REF!</formula>
    </cfRule>
  </conditionalFormatting>
  <conditionalFormatting sqref="J1012">
    <cfRule type="expression" dxfId="563" priority="5066" stopIfTrue="1">
      <formula>J1012&lt;&gt;J507</formula>
    </cfRule>
  </conditionalFormatting>
  <conditionalFormatting sqref="J1012">
    <cfRule type="expression" dxfId="562" priority="5065" stopIfTrue="1">
      <formula>J1012&lt;&gt;J507</formula>
    </cfRule>
  </conditionalFormatting>
  <conditionalFormatting sqref="J1012">
    <cfRule type="expression" dxfId="561" priority="5064" stopIfTrue="1">
      <formula>J1012&lt;&gt;J509</formula>
    </cfRule>
  </conditionalFormatting>
  <conditionalFormatting sqref="J1012">
    <cfRule type="expression" dxfId="560" priority="5061" stopIfTrue="1">
      <formula>J1012&lt;&gt;J509</formula>
    </cfRule>
  </conditionalFormatting>
  <conditionalFormatting sqref="J1012">
    <cfRule type="expression" dxfId="559" priority="5058" stopIfTrue="1">
      <formula>J1012&lt;&gt;J516</formula>
    </cfRule>
  </conditionalFormatting>
  <conditionalFormatting sqref="J1012">
    <cfRule type="expression" dxfId="558" priority="5053" stopIfTrue="1">
      <formula>J1012&lt;&gt;J507</formula>
    </cfRule>
  </conditionalFormatting>
  <conditionalFormatting sqref="J1012">
    <cfRule type="expression" dxfId="557" priority="5052" stopIfTrue="1">
      <formula>J1012&lt;&gt;J516</formula>
    </cfRule>
  </conditionalFormatting>
  <conditionalFormatting sqref="J1012">
    <cfRule type="expression" dxfId="556" priority="5047" stopIfTrue="1">
      <formula>J1012&lt;&gt;J507</formula>
    </cfRule>
  </conditionalFormatting>
  <conditionalFormatting sqref="J1015">
    <cfRule type="expression" dxfId="555" priority="5045" stopIfTrue="1">
      <formula>J1015&lt;&gt;J494</formula>
    </cfRule>
  </conditionalFormatting>
  <conditionalFormatting sqref="J1015">
    <cfRule type="expression" dxfId="554" priority="5039" stopIfTrue="1">
      <formula>J1015&lt;&gt;J496</formula>
    </cfRule>
  </conditionalFormatting>
  <conditionalFormatting sqref="J1015">
    <cfRule type="expression" dxfId="553" priority="5038" stopIfTrue="1">
      <formula>J1015&lt;&gt;J509</formula>
    </cfRule>
  </conditionalFormatting>
  <conditionalFormatting sqref="J1015">
    <cfRule type="expression" dxfId="552" priority="5037" stopIfTrue="1">
      <formula>J1015&lt;&gt;#REF!</formula>
    </cfRule>
  </conditionalFormatting>
  <conditionalFormatting sqref="J1015">
    <cfRule type="expression" dxfId="551" priority="5031" stopIfTrue="1">
      <formula>J1015&lt;&gt;J497</formula>
    </cfRule>
  </conditionalFormatting>
  <conditionalFormatting sqref="J1015">
    <cfRule type="expression" dxfId="550" priority="5030" stopIfTrue="1">
      <formula>J1015&lt;&gt;J511</formula>
    </cfRule>
  </conditionalFormatting>
  <conditionalFormatting sqref="J1015">
    <cfRule type="expression" dxfId="549" priority="5022" stopIfTrue="1">
      <formula>J1015&lt;&gt;J515</formula>
    </cfRule>
  </conditionalFormatting>
  <conditionalFormatting sqref="J1015">
    <cfRule type="expression" dxfId="548" priority="5021" stopIfTrue="1">
      <formula>J1015&lt;&gt;#REF!</formula>
    </cfRule>
  </conditionalFormatting>
  <conditionalFormatting sqref="J1015">
    <cfRule type="expression" dxfId="547" priority="5019" stopIfTrue="1">
      <formula>J1015&lt;&gt;J515</formula>
    </cfRule>
  </conditionalFormatting>
  <conditionalFormatting sqref="J1015">
    <cfRule type="expression" dxfId="546" priority="5003" stopIfTrue="1">
      <formula>J1015&lt;&gt;J515</formula>
    </cfRule>
  </conditionalFormatting>
  <conditionalFormatting sqref="J1015">
    <cfRule type="expression" dxfId="545" priority="5000" stopIfTrue="1">
      <formula>J1015&lt;&gt;J515</formula>
    </cfRule>
  </conditionalFormatting>
  <conditionalFormatting sqref="J201:J205">
    <cfRule type="expression" dxfId="544" priority="4978" stopIfTrue="1">
      <formula>J201&lt;&gt;J1047257</formula>
    </cfRule>
  </conditionalFormatting>
  <conditionalFormatting sqref="J211:J212">
    <cfRule type="expression" dxfId="543" priority="4977" stopIfTrue="1">
      <formula>J211&lt;&gt;J1047268</formula>
    </cfRule>
  </conditionalFormatting>
  <conditionalFormatting sqref="J782:J783 J480 J486">
    <cfRule type="expression" dxfId="542" priority="4943" stopIfTrue="1">
      <formula>J480&lt;&gt;#REF!</formula>
    </cfRule>
  </conditionalFormatting>
  <conditionalFormatting sqref="J486">
    <cfRule type="expression" dxfId="541" priority="4937" stopIfTrue="1">
      <formula>J486&lt;&gt;J64</formula>
    </cfRule>
  </conditionalFormatting>
  <conditionalFormatting sqref="J480">
    <cfRule type="expression" dxfId="540" priority="4936" stopIfTrue="1">
      <formula>J480&lt;&gt;J103</formula>
    </cfRule>
  </conditionalFormatting>
  <conditionalFormatting sqref="J417:J418">
    <cfRule type="expression" dxfId="539" priority="37657" stopIfTrue="1">
      <formula>J417&lt;&gt;J20</formula>
    </cfRule>
  </conditionalFormatting>
  <conditionalFormatting sqref="J1282 J1014:J1015">
    <cfRule type="expression" dxfId="538" priority="38128" stopIfTrue="1">
      <formula>J1014&lt;&gt;#REF!</formula>
    </cfRule>
  </conditionalFormatting>
  <conditionalFormatting sqref="J651 J423:J425">
    <cfRule type="expression" dxfId="537" priority="38300" stopIfTrue="1">
      <formula>J423&lt;&gt;J21</formula>
    </cfRule>
  </conditionalFormatting>
  <conditionalFormatting sqref="J1629:J1630">
    <cfRule type="expression" dxfId="536" priority="38322" stopIfTrue="1">
      <formula>J1629&lt;&gt;#REF!</formula>
    </cfRule>
  </conditionalFormatting>
  <conditionalFormatting sqref="J228:J229">
    <cfRule type="expression" dxfId="535" priority="38607" stopIfTrue="1">
      <formula>J228&lt;&gt;J1047278</formula>
    </cfRule>
  </conditionalFormatting>
  <conditionalFormatting sqref="J1846">
    <cfRule type="expression" dxfId="534" priority="38754" stopIfTrue="1">
      <formula>J1846&lt;&gt;#REF!</formula>
    </cfRule>
  </conditionalFormatting>
  <conditionalFormatting sqref="J1671:J1672">
    <cfRule type="expression" dxfId="533" priority="38788" stopIfTrue="1">
      <formula>J1671&lt;&gt;J818</formula>
    </cfRule>
  </conditionalFormatting>
  <conditionalFormatting sqref="J1709:J1710">
    <cfRule type="expression" dxfId="532" priority="38817" stopIfTrue="1">
      <formula>J1709&lt;&gt;J828</formula>
    </cfRule>
  </conditionalFormatting>
  <conditionalFormatting sqref="J517 J403:J405">
    <cfRule type="expression" dxfId="531" priority="39072" stopIfTrue="1">
      <formula>J403&lt;&gt;#REF!</formula>
    </cfRule>
  </conditionalFormatting>
  <conditionalFormatting sqref="J807">
    <cfRule type="expression" dxfId="530" priority="39156" stopIfTrue="1">
      <formula>J807&lt;&gt;J368</formula>
    </cfRule>
  </conditionalFormatting>
  <conditionalFormatting sqref="J389:J390 J1537 J1007">
    <cfRule type="expression" dxfId="529" priority="39239" stopIfTrue="1">
      <formula>J389&lt;&gt;#REF!</formula>
    </cfRule>
  </conditionalFormatting>
  <conditionalFormatting sqref="J766:J770">
    <cfRule type="expression" dxfId="528" priority="39666" stopIfTrue="1">
      <formula>J766&lt;&gt;J165</formula>
    </cfRule>
  </conditionalFormatting>
  <conditionalFormatting sqref="J227 J223">
    <cfRule type="expression" dxfId="527" priority="39999" stopIfTrue="1">
      <formula>J223&lt;&gt;J1047274</formula>
    </cfRule>
  </conditionalFormatting>
  <conditionalFormatting sqref="J1017 J1529 J1260 J1531:J1534">
    <cfRule type="expression" dxfId="526" priority="4934" stopIfTrue="1">
      <formula>J1017&lt;&gt;#REF!</formula>
    </cfRule>
  </conditionalFormatting>
  <conditionalFormatting sqref="J484:J486">
    <cfRule type="expression" dxfId="525" priority="41506" stopIfTrue="1">
      <formula>J484&lt;&gt;J115</formula>
    </cfRule>
  </conditionalFormatting>
  <conditionalFormatting sqref="J483">
    <cfRule type="expression" dxfId="524" priority="41662" stopIfTrue="1">
      <formula>J483&lt;&gt;J115</formula>
    </cfRule>
  </conditionalFormatting>
  <conditionalFormatting sqref="J1562 J636 J608:J609 J1152 J454">
    <cfRule type="expression" dxfId="523" priority="41783" stopIfTrue="1">
      <formula>J454&lt;&gt;#REF!</formula>
    </cfRule>
  </conditionalFormatting>
  <conditionalFormatting sqref="J482 J493:J495">
    <cfRule type="expression" dxfId="522" priority="42406" stopIfTrue="1">
      <formula>J482&lt;&gt;J49</formula>
    </cfRule>
  </conditionalFormatting>
  <conditionalFormatting sqref="J229">
    <cfRule type="expression" dxfId="521" priority="42409" stopIfTrue="1">
      <formula>J229&lt;&gt;J1047291</formula>
    </cfRule>
  </conditionalFormatting>
  <conditionalFormatting sqref="J910 J829 J893">
    <cfRule type="expression" dxfId="520" priority="42538" stopIfTrue="1">
      <formula>J829&lt;&gt;#REF!</formula>
    </cfRule>
  </conditionalFormatting>
  <conditionalFormatting sqref="J771:J775">
    <cfRule type="expression" dxfId="519" priority="43143" stopIfTrue="1">
      <formula>J771&lt;&gt;J180</formula>
    </cfRule>
  </conditionalFormatting>
  <conditionalFormatting sqref="J637:J640">
    <cfRule type="expression" dxfId="518" priority="44141" stopIfTrue="1">
      <formula>J637&lt;&gt;J247</formula>
    </cfRule>
  </conditionalFormatting>
  <conditionalFormatting sqref="J1233 J1488 J343 J1831:J1832 J1407">
    <cfRule type="expression" dxfId="517" priority="44887" stopIfTrue="1">
      <formula>J343&lt;&gt;#REF!</formula>
    </cfRule>
  </conditionalFormatting>
  <conditionalFormatting sqref="J1338">
    <cfRule type="expression" dxfId="516" priority="46209" stopIfTrue="1">
      <formula>J1338&lt;&gt;J681</formula>
    </cfRule>
  </conditionalFormatting>
  <conditionalFormatting sqref="J1498">
    <cfRule type="expression" dxfId="515" priority="46383" stopIfTrue="1">
      <formula>J1498&lt;&gt;#REF!</formula>
    </cfRule>
  </conditionalFormatting>
  <conditionalFormatting sqref="J808">
    <cfRule type="expression" dxfId="514" priority="4908" stopIfTrue="1">
      <formula>J808&lt;&gt;J369</formula>
    </cfRule>
  </conditionalFormatting>
  <conditionalFormatting sqref="J1850:J1851">
    <cfRule type="expression" dxfId="513" priority="46924" stopIfTrue="1">
      <formula>J1850&lt;&gt;J897</formula>
    </cfRule>
  </conditionalFormatting>
  <conditionalFormatting sqref="J1724 J1700">
    <cfRule type="expression" dxfId="512" priority="46943" stopIfTrue="1">
      <formula>J1700&lt;&gt;J823</formula>
    </cfRule>
  </conditionalFormatting>
  <conditionalFormatting sqref="J1748">
    <cfRule type="expression" dxfId="511" priority="47012" stopIfTrue="1">
      <formula>J1748&lt;&gt;#REF!</formula>
    </cfRule>
  </conditionalFormatting>
  <conditionalFormatting sqref="J1236:J1237">
    <cfRule type="expression" dxfId="510" priority="47751" stopIfTrue="1">
      <formula>J1236&lt;&gt;J569</formula>
    </cfRule>
  </conditionalFormatting>
  <conditionalFormatting sqref="J1531">
    <cfRule type="expression" dxfId="509" priority="47805" stopIfTrue="1">
      <formula>J1531&lt;&gt;J897</formula>
    </cfRule>
  </conditionalFormatting>
  <conditionalFormatting sqref="J1216:J1217 J1219:J1237">
    <cfRule type="expression" dxfId="508" priority="47891" stopIfTrue="1">
      <formula>J1216&lt;&gt;#REF!</formula>
    </cfRule>
  </conditionalFormatting>
  <conditionalFormatting sqref="J1539">
    <cfRule type="expression" dxfId="507" priority="48139" stopIfTrue="1">
      <formula>J1539&lt;&gt;J856</formula>
    </cfRule>
  </conditionalFormatting>
  <conditionalFormatting sqref="J1343">
    <cfRule type="expression" dxfId="506" priority="48513" stopIfTrue="1">
      <formula>J1343&lt;&gt;J698</formula>
    </cfRule>
  </conditionalFormatting>
  <conditionalFormatting sqref="J1357">
    <cfRule type="expression" dxfId="505" priority="49291" stopIfTrue="1">
      <formula>J1357&lt;&gt;J788</formula>
    </cfRule>
  </conditionalFormatting>
  <conditionalFormatting sqref="J1228">
    <cfRule type="expression" dxfId="504" priority="49320" stopIfTrue="1">
      <formula>J1228&lt;&gt;#REF!</formula>
    </cfRule>
  </conditionalFormatting>
  <conditionalFormatting sqref="J1349">
    <cfRule type="expression" dxfId="503" priority="49490" stopIfTrue="1">
      <formula>J1349&lt;&gt;J712</formula>
    </cfRule>
  </conditionalFormatting>
  <conditionalFormatting sqref="J1358">
    <cfRule type="expression" dxfId="502" priority="49506" stopIfTrue="1">
      <formula>J1358&lt;&gt;J790</formula>
    </cfRule>
  </conditionalFormatting>
  <conditionalFormatting sqref="J1221:J1224 J1359 J1052 J1434:J1437">
    <cfRule type="expression" dxfId="501" priority="50099" stopIfTrue="1">
      <formula>J1052&lt;&gt;#REF!</formula>
    </cfRule>
  </conditionalFormatting>
  <conditionalFormatting sqref="J1310:J1311">
    <cfRule type="expression" dxfId="500" priority="51347" stopIfTrue="1">
      <formula>J1310&lt;&gt;J702</formula>
    </cfRule>
  </conditionalFormatting>
  <conditionalFormatting sqref="J1266">
    <cfRule type="expression" dxfId="499" priority="51506" stopIfTrue="1">
      <formula>J1266&lt;&gt;#REF!</formula>
    </cfRule>
  </conditionalFormatting>
  <conditionalFormatting sqref="J1320">
    <cfRule type="expression" dxfId="498" priority="51676" stopIfTrue="1">
      <formula>J1320&lt;&gt;J715</formula>
    </cfRule>
  </conditionalFormatting>
  <conditionalFormatting sqref="J1329">
    <cfRule type="expression" dxfId="497" priority="54701" stopIfTrue="1">
      <formula>J1329&lt;&gt;J644</formula>
    </cfRule>
  </conditionalFormatting>
  <conditionalFormatting sqref="J1348">
    <cfRule type="expression" dxfId="496" priority="54844" stopIfTrue="1">
      <formula>J1348&lt;&gt;J710</formula>
    </cfRule>
  </conditionalFormatting>
  <conditionalFormatting sqref="J1328">
    <cfRule type="expression" dxfId="495" priority="54885" stopIfTrue="1">
      <formula>J1328&lt;&gt;J643</formula>
    </cfRule>
  </conditionalFormatting>
  <conditionalFormatting sqref="J1327">
    <cfRule type="expression" dxfId="494" priority="55079" stopIfTrue="1">
      <formula>J1327&lt;&gt;J642</formula>
    </cfRule>
  </conditionalFormatting>
  <conditionalFormatting sqref="J1589">
    <cfRule type="expression" dxfId="493" priority="55423" stopIfTrue="1">
      <formula>J1589&lt;&gt;J808</formula>
    </cfRule>
  </conditionalFormatting>
  <conditionalFormatting sqref="J635:J636 J607:J608 J1560:J1561 J1556 J1377">
    <cfRule type="expression" dxfId="492" priority="55623" stopIfTrue="1">
      <formula>J607&lt;&gt;#REF!</formula>
    </cfRule>
  </conditionalFormatting>
  <conditionalFormatting sqref="J21:J23">
    <cfRule type="expression" dxfId="491" priority="56050" stopIfTrue="1">
      <formula>J21&lt;&gt;J1047261</formula>
    </cfRule>
  </conditionalFormatting>
  <conditionalFormatting sqref="J1558 J1313:J1314 J1299 J1301:J1303 J550:J551 J1082 J1142 J1454 J1218 AQ1561 AQ1564">
    <cfRule type="expression" dxfId="490" priority="56212" stopIfTrue="1">
      <formula>J550&lt;&gt;#REF!</formula>
    </cfRule>
  </conditionalFormatting>
  <conditionalFormatting sqref="J1219">
    <cfRule type="expression" dxfId="489" priority="4875" stopIfTrue="1">
      <formula>J1219&lt;&gt;J685</formula>
    </cfRule>
  </conditionalFormatting>
  <conditionalFormatting sqref="J1224">
    <cfRule type="expression" dxfId="488" priority="4874" stopIfTrue="1">
      <formula>J1224&lt;&gt;J669</formula>
    </cfRule>
  </conditionalFormatting>
  <conditionalFormatting sqref="J1284">
    <cfRule type="expression" dxfId="487" priority="4868" stopIfTrue="1">
      <formula>J1284&lt;&gt;J582</formula>
    </cfRule>
  </conditionalFormatting>
  <conditionalFormatting sqref="J1284">
    <cfRule type="expression" dxfId="486" priority="4867" stopIfTrue="1">
      <formula>J1284&lt;&gt;J579</formula>
    </cfRule>
  </conditionalFormatting>
  <conditionalFormatting sqref="J1284">
    <cfRule type="expression" dxfId="485" priority="4866" stopIfTrue="1">
      <formula>J1284&lt;&gt;J697</formula>
    </cfRule>
  </conditionalFormatting>
  <conditionalFormatting sqref="J1453">
    <cfRule type="expression" dxfId="484" priority="60809" stopIfTrue="1">
      <formula>J1453&lt;&gt;J852</formula>
    </cfRule>
  </conditionalFormatting>
  <conditionalFormatting sqref="J140:J143">
    <cfRule type="expression" dxfId="483" priority="60910" stopIfTrue="1">
      <formula>J140&lt;&gt;J1047277</formula>
    </cfRule>
  </conditionalFormatting>
  <conditionalFormatting sqref="J1432:J1435 J1405">
    <cfRule type="expression" dxfId="482" priority="60967" stopIfTrue="1">
      <formula>J1405&lt;&gt;#REF!</formula>
    </cfRule>
  </conditionalFormatting>
  <conditionalFormatting sqref="J460:J461">
    <cfRule type="expression" dxfId="481" priority="61014" stopIfTrue="1">
      <formula>J460&lt;&gt;J86</formula>
    </cfRule>
  </conditionalFormatting>
  <conditionalFormatting sqref="J458:J459">
    <cfRule type="expression" dxfId="480" priority="61020" stopIfTrue="1">
      <formula>J458&lt;&gt;J86</formula>
    </cfRule>
  </conditionalFormatting>
  <conditionalFormatting sqref="J478:J480 J482">
    <cfRule type="expression" dxfId="479" priority="61070" stopIfTrue="1">
      <formula>J478&lt;&gt;J112</formula>
    </cfRule>
  </conditionalFormatting>
  <conditionalFormatting sqref="J455:J459">
    <cfRule type="expression" dxfId="478" priority="4863" stopIfTrue="1">
      <formula>J455&lt;&gt;J84</formula>
    </cfRule>
  </conditionalFormatting>
  <conditionalFormatting sqref="J1149 J1230">
    <cfRule type="expression" dxfId="477" priority="61087" stopIfTrue="1">
      <formula>J1149&lt;&gt;#REF!</formula>
    </cfRule>
  </conditionalFormatting>
  <conditionalFormatting sqref="J235:J238">
    <cfRule type="expression" dxfId="476" priority="61145" stopIfTrue="1">
      <formula>J235&lt;&gt;J1047279</formula>
    </cfRule>
  </conditionalFormatting>
  <conditionalFormatting sqref="J1225 J399:J401 J1559 J633:J636 J448 J1477">
    <cfRule type="expression" dxfId="475" priority="61170" stopIfTrue="1">
      <formula>J399&lt;&gt;#REF!</formula>
    </cfRule>
  </conditionalFormatting>
  <conditionalFormatting sqref="J759">
    <cfRule type="expression" dxfId="474" priority="61344" stopIfTrue="1">
      <formula>J759&lt;&gt;J160</formula>
    </cfRule>
  </conditionalFormatting>
  <conditionalFormatting sqref="J213 J209:J210">
    <cfRule type="expression" dxfId="473" priority="61351" stopIfTrue="1">
      <formula>J209&lt;&gt;J1047267</formula>
    </cfRule>
  </conditionalFormatting>
  <conditionalFormatting sqref="J218:J222">
    <cfRule type="expression" dxfId="472" priority="61374" stopIfTrue="1">
      <formula>J218&lt;&gt;J1047278</formula>
    </cfRule>
  </conditionalFormatting>
  <conditionalFormatting sqref="J212">
    <cfRule type="expression" dxfId="471" priority="4859" stopIfTrue="1">
      <formula>J212&lt;&gt;J1047270</formula>
    </cfRule>
  </conditionalFormatting>
  <conditionalFormatting sqref="J578">
    <cfRule type="expression" dxfId="470" priority="61425" stopIfTrue="1">
      <formula>J578&lt;&gt;J98</formula>
    </cfRule>
  </conditionalFormatting>
  <conditionalFormatting sqref="J869:J872">
    <cfRule type="expression" dxfId="469" priority="61586" stopIfTrue="1">
      <formula>J869&lt;&gt;J426</formula>
    </cfRule>
  </conditionalFormatting>
  <conditionalFormatting sqref="J1848:J1849 J1108:J1109 J1238:J1239 J1093:J1094">
    <cfRule type="expression" dxfId="468" priority="61674" stopIfTrue="1">
      <formula>J1093&lt;&gt;#REF!</formula>
    </cfRule>
  </conditionalFormatting>
  <conditionalFormatting sqref="J1373:J1374">
    <cfRule type="expression" dxfId="467" priority="61763" stopIfTrue="1">
      <formula>J1373&lt;&gt;J805</formula>
    </cfRule>
  </conditionalFormatting>
  <conditionalFormatting sqref="J1504">
    <cfRule type="expression" dxfId="466" priority="61976" stopIfTrue="1">
      <formula>J1504&lt;&gt;J862</formula>
    </cfRule>
  </conditionalFormatting>
  <conditionalFormatting sqref="AQ1562 J1501:J1502 J1150">
    <cfRule type="expression" dxfId="465" priority="61982" stopIfTrue="1">
      <formula>J1150&lt;&gt;#REF!</formula>
    </cfRule>
  </conditionalFormatting>
  <conditionalFormatting sqref="J214:J217">
    <cfRule type="expression" dxfId="464" priority="4844" stopIfTrue="1">
      <formula>J214&lt;&gt;J1047273</formula>
    </cfRule>
  </conditionalFormatting>
  <conditionalFormatting sqref="J212">
    <cfRule type="expression" dxfId="463" priority="4843" stopIfTrue="1">
      <formula>J212&lt;&gt;J1047270</formula>
    </cfRule>
  </conditionalFormatting>
  <conditionalFormatting sqref="J362">
    <cfRule type="expression" dxfId="462" priority="4836" stopIfTrue="1">
      <formula>J362&lt;&gt;#REF!</formula>
    </cfRule>
  </conditionalFormatting>
  <conditionalFormatting sqref="J630">
    <cfRule type="expression" dxfId="461" priority="4835" stopIfTrue="1">
      <formula>J630&lt;&gt;J271</formula>
    </cfRule>
  </conditionalFormatting>
  <conditionalFormatting sqref="J1185:J1186">
    <cfRule type="expression" dxfId="460" priority="4834" stopIfTrue="1">
      <formula>J1185&lt;&gt;J623</formula>
    </cfRule>
  </conditionalFormatting>
  <conditionalFormatting sqref="J1627 J964:J965 J961:J962 J1425:J1427 AQ1563">
    <cfRule type="expression" dxfId="459" priority="62149" stopIfTrue="1">
      <formula>J961&lt;&gt;#REF!</formula>
    </cfRule>
  </conditionalFormatting>
  <conditionalFormatting sqref="J1319">
    <cfRule type="expression" dxfId="458" priority="62819" stopIfTrue="1">
      <formula>J1319&lt;&gt;J612</formula>
    </cfRule>
  </conditionalFormatting>
  <conditionalFormatting sqref="J1464">
    <cfRule type="expression" dxfId="457" priority="62844" stopIfTrue="1">
      <formula>J1464&lt;&gt;J870</formula>
    </cfRule>
  </conditionalFormatting>
  <conditionalFormatting sqref="J58:J63">
    <cfRule type="expression" dxfId="456" priority="62853" stopIfTrue="1">
      <formula>J58&lt;&gt;J1047277</formula>
    </cfRule>
  </conditionalFormatting>
  <conditionalFormatting sqref="J1345">
    <cfRule type="expression" dxfId="455" priority="62871" stopIfTrue="1">
      <formula>J1345&lt;&gt;J705</formula>
    </cfRule>
  </conditionalFormatting>
  <conditionalFormatting sqref="J175">
    <cfRule type="expression" dxfId="454" priority="4812" stopIfTrue="1">
      <formula>J175&lt;&gt;J7</formula>
    </cfRule>
  </conditionalFormatting>
  <conditionalFormatting sqref="J175">
    <cfRule type="expression" dxfId="453" priority="4811" stopIfTrue="1">
      <formula>J175&lt;&gt;J7</formula>
    </cfRule>
  </conditionalFormatting>
  <conditionalFormatting sqref="J596:J597">
    <cfRule type="expression" dxfId="452" priority="4809" stopIfTrue="1">
      <formula>J596&lt;&gt;#REF!</formula>
    </cfRule>
  </conditionalFormatting>
  <conditionalFormatting sqref="J596:J597">
    <cfRule type="expression" dxfId="451" priority="4807" stopIfTrue="1">
      <formula>J596&lt;&gt;J292</formula>
    </cfRule>
  </conditionalFormatting>
  <conditionalFormatting sqref="J963 J971">
    <cfRule type="expression" dxfId="450" priority="4804" stopIfTrue="1">
      <formula>J963&lt;&gt;#REF!</formula>
    </cfRule>
  </conditionalFormatting>
  <conditionalFormatting sqref="J981">
    <cfRule type="expression" dxfId="449" priority="4801" stopIfTrue="1">
      <formula>J981&lt;&gt;J533</formula>
    </cfRule>
  </conditionalFormatting>
  <conditionalFormatting sqref="J974 J981 J997">
    <cfRule type="expression" dxfId="448" priority="4800" stopIfTrue="1">
      <formula>J974&lt;&gt;#REF!</formula>
    </cfRule>
  </conditionalFormatting>
  <conditionalFormatting sqref="J981">
    <cfRule type="expression" dxfId="447" priority="4797" stopIfTrue="1">
      <formula>J981&lt;&gt;J533</formula>
    </cfRule>
  </conditionalFormatting>
  <conditionalFormatting sqref="J997">
    <cfRule type="expression" dxfId="446" priority="4792" stopIfTrue="1">
      <formula>J997&lt;&gt;J540</formula>
    </cfRule>
  </conditionalFormatting>
  <conditionalFormatting sqref="J990 J983 J997:J998">
    <cfRule type="expression" dxfId="445" priority="4791" stopIfTrue="1">
      <formula>J983&lt;&gt;#REF!</formula>
    </cfRule>
  </conditionalFormatting>
  <conditionalFormatting sqref="J997">
    <cfRule type="expression" dxfId="444" priority="4789" stopIfTrue="1">
      <formula>J997&lt;&gt;J541</formula>
    </cfRule>
  </conditionalFormatting>
  <conditionalFormatting sqref="J997">
    <cfRule type="expression" dxfId="443" priority="4786" stopIfTrue="1">
      <formula>J997&lt;&gt;J579</formula>
    </cfRule>
  </conditionalFormatting>
  <conditionalFormatting sqref="J997">
    <cfRule type="expression" dxfId="442" priority="4785" stopIfTrue="1">
      <formula>J997&lt;&gt;J541</formula>
    </cfRule>
  </conditionalFormatting>
  <conditionalFormatting sqref="J997">
    <cfRule type="expression" dxfId="441" priority="4782" stopIfTrue="1">
      <formula>J997&lt;&gt;J579</formula>
    </cfRule>
  </conditionalFormatting>
  <conditionalFormatting sqref="J997 J1006:J1007">
    <cfRule type="expression" dxfId="440" priority="4781" stopIfTrue="1">
      <formula>J997&lt;&gt;#REF!</formula>
    </cfRule>
  </conditionalFormatting>
  <conditionalFormatting sqref="J997">
    <cfRule type="expression" dxfId="439" priority="4780" stopIfTrue="1">
      <formula>J997&lt;&gt;J540</formula>
    </cfRule>
  </conditionalFormatting>
  <conditionalFormatting sqref="J997">
    <cfRule type="expression" dxfId="438" priority="4777" stopIfTrue="1">
      <formula>J997&lt;&gt;J541</formula>
    </cfRule>
  </conditionalFormatting>
  <conditionalFormatting sqref="J997">
    <cfRule type="expression" dxfId="437" priority="4774" stopIfTrue="1">
      <formula>J997&lt;&gt;J579</formula>
    </cfRule>
  </conditionalFormatting>
  <conditionalFormatting sqref="J997">
    <cfRule type="expression" dxfId="436" priority="4773" stopIfTrue="1">
      <formula>J997&lt;&gt;J541</formula>
    </cfRule>
  </conditionalFormatting>
  <conditionalFormatting sqref="J997">
    <cfRule type="expression" dxfId="435" priority="4770" stopIfTrue="1">
      <formula>J997&lt;&gt;J579</formula>
    </cfRule>
  </conditionalFormatting>
  <conditionalFormatting sqref="J1006">
    <cfRule type="expression" dxfId="434" priority="4768" stopIfTrue="1">
      <formula>J1006&lt;&gt;J541</formula>
    </cfRule>
  </conditionalFormatting>
  <conditionalFormatting sqref="J1006">
    <cfRule type="expression" dxfId="433" priority="4766" stopIfTrue="1">
      <formula>J1006&lt;&gt;J545</formula>
    </cfRule>
  </conditionalFormatting>
  <conditionalFormatting sqref="J1187">
    <cfRule type="expression" dxfId="432" priority="4761" stopIfTrue="1">
      <formula>J1187&lt;&gt;J623</formula>
    </cfRule>
  </conditionalFormatting>
  <conditionalFormatting sqref="J1006 J979">
    <cfRule type="expression" dxfId="431" priority="4760" stopIfTrue="1">
      <formula>J979&lt;&gt;#REF!</formula>
    </cfRule>
  </conditionalFormatting>
  <conditionalFormatting sqref="J1006">
    <cfRule type="expression" dxfId="430" priority="4759" stopIfTrue="1">
      <formula>J1006&lt;&gt;J586</formula>
    </cfRule>
  </conditionalFormatting>
  <conditionalFormatting sqref="J982 J1006:J1007 J970:J972 J1390:J1391">
    <cfRule type="expression" dxfId="429" priority="4758" stopIfTrue="1">
      <formula>J970&lt;&gt;#REF!</formula>
    </cfRule>
  </conditionalFormatting>
  <conditionalFormatting sqref="J1006">
    <cfRule type="expression" dxfId="428" priority="4755" stopIfTrue="1">
      <formula>J1006&lt;&gt;J586</formula>
    </cfRule>
  </conditionalFormatting>
  <conditionalFormatting sqref="J1006">
    <cfRule type="expression" dxfId="427" priority="4754" stopIfTrue="1">
      <formula>J1006&lt;&gt;J545</formula>
    </cfRule>
  </conditionalFormatting>
  <conditionalFormatting sqref="J1006">
    <cfRule type="expression" dxfId="426" priority="4747" stopIfTrue="1">
      <formula>J1006&lt;&gt;J586</formula>
    </cfRule>
  </conditionalFormatting>
  <conditionalFormatting sqref="J1006">
    <cfRule type="expression" dxfId="425" priority="4743" stopIfTrue="1">
      <formula>J1006&lt;&gt;J586</formula>
    </cfRule>
  </conditionalFormatting>
  <conditionalFormatting sqref="J1006">
    <cfRule type="expression" dxfId="424" priority="4741" stopIfTrue="1">
      <formula>J1006&lt;&gt;J541</formula>
    </cfRule>
  </conditionalFormatting>
  <conditionalFormatting sqref="J1006">
    <cfRule type="expression" dxfId="423" priority="4739" stopIfTrue="1">
      <formula>J1006&lt;&gt;J545</formula>
    </cfRule>
  </conditionalFormatting>
  <conditionalFormatting sqref="J1006">
    <cfRule type="expression" dxfId="422" priority="4732" stopIfTrue="1">
      <formula>J1006&lt;&gt;J586</formula>
    </cfRule>
  </conditionalFormatting>
  <conditionalFormatting sqref="J1006">
    <cfRule type="expression" dxfId="421" priority="4728" stopIfTrue="1">
      <formula>J1006&lt;&gt;J586</formula>
    </cfRule>
  </conditionalFormatting>
  <conditionalFormatting sqref="J1006">
    <cfRule type="expression" dxfId="420" priority="4727" stopIfTrue="1">
      <formula>J1006&lt;&gt;J545</formula>
    </cfRule>
  </conditionalFormatting>
  <conditionalFormatting sqref="J1006">
    <cfRule type="expression" dxfId="419" priority="4720" stopIfTrue="1">
      <formula>J1006&lt;&gt;J586</formula>
    </cfRule>
  </conditionalFormatting>
  <conditionalFormatting sqref="J1006">
    <cfRule type="expression" dxfId="418" priority="4716" stopIfTrue="1">
      <formula>J1006&lt;&gt;J586</formula>
    </cfRule>
  </conditionalFormatting>
  <conditionalFormatting sqref="J982">
    <cfRule type="expression" dxfId="417" priority="4709" stopIfTrue="1">
      <formula>J982&lt;&gt;J533</formula>
    </cfRule>
  </conditionalFormatting>
  <conditionalFormatting sqref="J1056">
    <cfRule type="expression" dxfId="416" priority="4705" stopIfTrue="1">
      <formula>J1056&lt;&gt;J566</formula>
    </cfRule>
  </conditionalFormatting>
  <conditionalFormatting sqref="J998">
    <cfRule type="expression" dxfId="415" priority="4703" stopIfTrue="1">
      <formula>J998&lt;&gt;J540</formula>
    </cfRule>
  </conditionalFormatting>
  <conditionalFormatting sqref="J998">
    <cfRule type="expression" dxfId="414" priority="4701" stopIfTrue="1">
      <formula>J998&lt;&gt;J541</formula>
    </cfRule>
  </conditionalFormatting>
  <conditionalFormatting sqref="J998">
    <cfRule type="expression" dxfId="413" priority="4699" stopIfTrue="1">
      <formula>J998&lt;&gt;J580</formula>
    </cfRule>
  </conditionalFormatting>
  <conditionalFormatting sqref="J998">
    <cfRule type="expression" dxfId="412" priority="4698" stopIfTrue="1">
      <formula>J998&lt;&gt;J580</formula>
    </cfRule>
  </conditionalFormatting>
  <conditionalFormatting sqref="J998">
    <cfRule type="expression" dxfId="411" priority="4697" stopIfTrue="1">
      <formula>J998&lt;&gt;J541</formula>
    </cfRule>
  </conditionalFormatting>
  <conditionalFormatting sqref="J998">
    <cfRule type="expression" dxfId="410" priority="4695" stopIfTrue="1">
      <formula>J998&lt;&gt;J580</formula>
    </cfRule>
  </conditionalFormatting>
  <conditionalFormatting sqref="J998">
    <cfRule type="expression" dxfId="409" priority="4694" stopIfTrue="1">
      <formula>J998&lt;&gt;J580</formula>
    </cfRule>
  </conditionalFormatting>
  <conditionalFormatting sqref="J652">
    <cfRule type="expression" dxfId="408" priority="4693" stopIfTrue="1">
      <formula>J652&lt;&gt;J248</formula>
    </cfRule>
  </conditionalFormatting>
  <conditionalFormatting sqref="J998">
    <cfRule type="expression" dxfId="407" priority="4692" stopIfTrue="1">
      <formula>J998&lt;&gt;#REF!</formula>
    </cfRule>
  </conditionalFormatting>
  <conditionalFormatting sqref="J998">
    <cfRule type="expression" dxfId="406" priority="4691" stopIfTrue="1">
      <formula>J998&lt;&gt;J540</formula>
    </cfRule>
  </conditionalFormatting>
  <conditionalFormatting sqref="J998">
    <cfRule type="expression" dxfId="405" priority="4689" stopIfTrue="1">
      <formula>J998&lt;&gt;J541</formula>
    </cfRule>
  </conditionalFormatting>
  <conditionalFormatting sqref="J998">
    <cfRule type="expression" dxfId="404" priority="4687" stopIfTrue="1">
      <formula>J998&lt;&gt;J580</formula>
    </cfRule>
  </conditionalFormatting>
  <conditionalFormatting sqref="J998">
    <cfRule type="expression" dxfId="403" priority="4686" stopIfTrue="1">
      <formula>J998&lt;&gt;J580</formula>
    </cfRule>
  </conditionalFormatting>
  <conditionalFormatting sqref="J998">
    <cfRule type="expression" dxfId="402" priority="4685" stopIfTrue="1">
      <formula>J998&lt;&gt;J541</formula>
    </cfRule>
  </conditionalFormatting>
  <conditionalFormatting sqref="J998">
    <cfRule type="expression" dxfId="401" priority="4683" stopIfTrue="1">
      <formula>J998&lt;&gt;J580</formula>
    </cfRule>
  </conditionalFormatting>
  <conditionalFormatting sqref="J998">
    <cfRule type="expression" dxfId="400" priority="4682" stopIfTrue="1">
      <formula>J998&lt;&gt;J580</formula>
    </cfRule>
  </conditionalFormatting>
  <conditionalFormatting sqref="J1007">
    <cfRule type="expression" dxfId="399" priority="4680" stopIfTrue="1">
      <formula>J1007&lt;&gt;J541</formula>
    </cfRule>
  </conditionalFormatting>
  <conditionalFormatting sqref="J1007">
    <cfRule type="expression" dxfId="398" priority="4677" stopIfTrue="1">
      <formula>J1007&lt;&gt;J545</formula>
    </cfRule>
  </conditionalFormatting>
  <conditionalFormatting sqref="J1007">
    <cfRule type="expression" dxfId="397" priority="4676" stopIfTrue="1">
      <formula>J1007&lt;&gt;#REF!</formula>
    </cfRule>
  </conditionalFormatting>
  <conditionalFormatting sqref="J1543">
    <cfRule type="expression" dxfId="396" priority="4673" stopIfTrue="1">
      <formula>J1543&lt;&gt;J856</formula>
    </cfRule>
  </conditionalFormatting>
  <conditionalFormatting sqref="J1007">
    <cfRule type="expression" dxfId="395" priority="4672" stopIfTrue="1">
      <formula>J1007&lt;&gt;J587</formula>
    </cfRule>
  </conditionalFormatting>
  <conditionalFormatting sqref="J1007">
    <cfRule type="expression" dxfId="394" priority="4671" stopIfTrue="1">
      <formula>J1007&lt;&gt;J587</formula>
    </cfRule>
  </conditionalFormatting>
  <conditionalFormatting sqref="J1188">
    <cfRule type="expression" dxfId="393" priority="4669" stopIfTrue="1">
      <formula>J1188&lt;&gt;J623</formula>
    </cfRule>
  </conditionalFormatting>
  <conditionalFormatting sqref="J1007">
    <cfRule type="expression" dxfId="392" priority="4668" stopIfTrue="1">
      <formula>J1007&lt;&gt;J587</formula>
    </cfRule>
  </conditionalFormatting>
  <conditionalFormatting sqref="J1007">
    <cfRule type="expression" dxfId="391" priority="4667" stopIfTrue="1">
      <formula>J1007&lt;&gt;J587</formula>
    </cfRule>
  </conditionalFormatting>
  <conditionalFormatting sqref="J1007">
    <cfRule type="expression" dxfId="390" priority="4665" stopIfTrue="1">
      <formula>J1007&lt;&gt;J545</formula>
    </cfRule>
  </conditionalFormatting>
  <conditionalFormatting sqref="J1007">
    <cfRule type="expression" dxfId="389" priority="4660" stopIfTrue="1">
      <formula>J1007&lt;&gt;J587</formula>
    </cfRule>
  </conditionalFormatting>
  <conditionalFormatting sqref="J1007">
    <cfRule type="expression" dxfId="388" priority="4659" stopIfTrue="1">
      <formula>J1007&lt;&gt;J587</formula>
    </cfRule>
  </conditionalFormatting>
  <conditionalFormatting sqref="J1007">
    <cfRule type="expression" dxfId="387" priority="4656" stopIfTrue="1">
      <formula>J1007&lt;&gt;J587</formula>
    </cfRule>
  </conditionalFormatting>
  <conditionalFormatting sqref="J1007">
    <cfRule type="expression" dxfId="386" priority="4655" stopIfTrue="1">
      <formula>J1007&lt;&gt;J587</formula>
    </cfRule>
  </conditionalFormatting>
  <conditionalFormatting sqref="J1007">
    <cfRule type="expression" dxfId="385" priority="4653" stopIfTrue="1">
      <formula>J1007&lt;&gt;J541</formula>
    </cfRule>
  </conditionalFormatting>
  <conditionalFormatting sqref="J1007">
    <cfRule type="expression" dxfId="384" priority="4650" stopIfTrue="1">
      <formula>J1007&lt;&gt;J545</formula>
    </cfRule>
  </conditionalFormatting>
  <conditionalFormatting sqref="J1007">
    <cfRule type="expression" dxfId="383" priority="4645" stopIfTrue="1">
      <formula>J1007&lt;&gt;J587</formula>
    </cfRule>
  </conditionalFormatting>
  <conditionalFormatting sqref="J1007">
    <cfRule type="expression" dxfId="382" priority="4644" stopIfTrue="1">
      <formula>J1007&lt;&gt;J587</formula>
    </cfRule>
  </conditionalFormatting>
  <conditionalFormatting sqref="J1007">
    <cfRule type="expression" dxfId="381" priority="4641" stopIfTrue="1">
      <formula>J1007&lt;&gt;J587</formula>
    </cfRule>
  </conditionalFormatting>
  <conditionalFormatting sqref="J1007">
    <cfRule type="expression" dxfId="380" priority="4640" stopIfTrue="1">
      <formula>J1007&lt;&gt;J587</formula>
    </cfRule>
  </conditionalFormatting>
  <conditionalFormatting sqref="J1007">
    <cfRule type="expression" dxfId="379" priority="4638" stopIfTrue="1">
      <formula>J1007&lt;&gt;J545</formula>
    </cfRule>
  </conditionalFormatting>
  <conditionalFormatting sqref="J1007">
    <cfRule type="expression" dxfId="378" priority="4633" stopIfTrue="1">
      <formula>J1007&lt;&gt;J587</formula>
    </cfRule>
  </conditionalFormatting>
  <conditionalFormatting sqref="J1007">
    <cfRule type="expression" dxfId="377" priority="4632" stopIfTrue="1">
      <formula>J1007&lt;&gt;J587</formula>
    </cfRule>
  </conditionalFormatting>
  <conditionalFormatting sqref="J1007">
    <cfRule type="expression" dxfId="376" priority="4629" stopIfTrue="1">
      <formula>J1007&lt;&gt;J587</formula>
    </cfRule>
  </conditionalFormatting>
  <conditionalFormatting sqref="J1007">
    <cfRule type="expression" dxfId="375" priority="4628" stopIfTrue="1">
      <formula>J1007&lt;&gt;J587</formula>
    </cfRule>
  </conditionalFormatting>
  <conditionalFormatting sqref="J983">
    <cfRule type="expression" dxfId="374" priority="4626" stopIfTrue="1">
      <formula>J983&lt;&gt;J533</formula>
    </cfRule>
  </conditionalFormatting>
  <conditionalFormatting sqref="J973 J983 J999">
    <cfRule type="expression" dxfId="373" priority="4625" stopIfTrue="1">
      <formula>J973&lt;&gt;#REF!</formula>
    </cfRule>
  </conditionalFormatting>
  <conditionalFormatting sqref="J983">
    <cfRule type="expression" dxfId="372" priority="4624" stopIfTrue="1">
      <formula>J983&lt;&gt;J533</formula>
    </cfRule>
  </conditionalFormatting>
  <conditionalFormatting sqref="J983">
    <cfRule type="expression" dxfId="371" priority="4622" stopIfTrue="1">
      <formula>J983&lt;&gt;J533</formula>
    </cfRule>
  </conditionalFormatting>
  <conditionalFormatting sqref="J983">
    <cfRule type="expression" dxfId="370" priority="4620" stopIfTrue="1">
      <formula>J983&lt;&gt;J533</formula>
    </cfRule>
  </conditionalFormatting>
  <conditionalFormatting sqref="J983">
    <cfRule type="expression" dxfId="369" priority="4619" stopIfTrue="1">
      <formula>J983&lt;&gt;J533</formula>
    </cfRule>
  </conditionalFormatting>
  <conditionalFormatting sqref="J999">
    <cfRule type="expression" dxfId="368" priority="4616" stopIfTrue="1">
      <formula>J999&lt;&gt;J534</formula>
    </cfRule>
  </conditionalFormatting>
  <conditionalFormatting sqref="J999">
    <cfRule type="expression" dxfId="367" priority="4613" stopIfTrue="1">
      <formula>J999&lt;&gt;J540</formula>
    </cfRule>
  </conditionalFormatting>
  <conditionalFormatting sqref="J999">
    <cfRule type="expression" dxfId="366" priority="4611" stopIfTrue="1">
      <formula>J999&lt;&gt;J541</formula>
    </cfRule>
  </conditionalFormatting>
  <conditionalFormatting sqref="J999">
    <cfRule type="expression" dxfId="365" priority="4609" stopIfTrue="1">
      <formula>J999&lt;&gt;J541</formula>
    </cfRule>
  </conditionalFormatting>
  <conditionalFormatting sqref="J999">
    <cfRule type="expression" dxfId="364" priority="4608" stopIfTrue="1">
      <formula>J999&lt;&gt;J541</formula>
    </cfRule>
  </conditionalFormatting>
  <conditionalFormatting sqref="J999">
    <cfRule type="expression" dxfId="363" priority="4606" stopIfTrue="1">
      <formula>J999&lt;&gt;J541</formula>
    </cfRule>
  </conditionalFormatting>
  <conditionalFormatting sqref="J999">
    <cfRule type="expression" dxfId="362" priority="4605" stopIfTrue="1">
      <formula>J999&lt;&gt;J541</formula>
    </cfRule>
  </conditionalFormatting>
  <conditionalFormatting sqref="J1008">
    <cfRule type="expression" dxfId="361" priority="4604" stopIfTrue="1">
      <formula>J1008&lt;&gt;J541</formula>
    </cfRule>
  </conditionalFormatting>
  <conditionalFormatting sqref="J1186">
    <cfRule type="expression" dxfId="360" priority="4603" stopIfTrue="1">
      <formula>J1186&lt;&gt;J645</formula>
    </cfRule>
  </conditionalFormatting>
  <conditionalFormatting sqref="J1005 J1008">
    <cfRule type="expression" dxfId="359" priority="4602" stopIfTrue="1">
      <formula>J1005&lt;&gt;#REF!</formula>
    </cfRule>
  </conditionalFormatting>
  <conditionalFormatting sqref="J1008">
    <cfRule type="expression" dxfId="358" priority="4599" stopIfTrue="1">
      <formula>J1008&lt;&gt;J537</formula>
    </cfRule>
  </conditionalFormatting>
  <conditionalFormatting sqref="J1008">
    <cfRule type="expression" dxfId="357" priority="4596" stopIfTrue="1">
      <formula>J1008&lt;&gt;J545</formula>
    </cfRule>
  </conditionalFormatting>
  <conditionalFormatting sqref="J1008 J990:J991">
    <cfRule type="expression" dxfId="356" priority="4595" stopIfTrue="1">
      <formula>J990&lt;&gt;#REF!</formula>
    </cfRule>
  </conditionalFormatting>
  <conditionalFormatting sqref="J1008">
    <cfRule type="expression" dxfId="355" priority="4586" stopIfTrue="1">
      <formula>J1008&lt;&gt;J541</formula>
    </cfRule>
  </conditionalFormatting>
  <conditionalFormatting sqref="J1008">
    <cfRule type="expression" dxfId="354" priority="4581" stopIfTrue="1">
      <formula>J1008&lt;&gt;J537</formula>
    </cfRule>
  </conditionalFormatting>
  <conditionalFormatting sqref="J1008">
    <cfRule type="expression" dxfId="353" priority="4578" stopIfTrue="1">
      <formula>J1008&lt;&gt;J545</formula>
    </cfRule>
  </conditionalFormatting>
  <conditionalFormatting sqref="J991">
    <cfRule type="expression" dxfId="352" priority="4565" stopIfTrue="1">
      <formula>J991&lt;&gt;J541</formula>
    </cfRule>
  </conditionalFormatting>
  <conditionalFormatting sqref="J1318">
    <cfRule type="expression" dxfId="351" priority="4564" stopIfTrue="1">
      <formula>J1318&lt;&gt;J612</formula>
    </cfRule>
  </conditionalFormatting>
  <conditionalFormatting sqref="J1318">
    <cfRule type="expression" dxfId="350" priority="4563" stopIfTrue="1">
      <formula>J1318&lt;&gt;J612</formula>
    </cfRule>
  </conditionalFormatting>
  <conditionalFormatting sqref="J1307:J1308">
    <cfRule type="expression" dxfId="349" priority="63152" stopIfTrue="1">
      <formula>J1307&lt;&gt;J572</formula>
    </cfRule>
  </conditionalFormatting>
  <conditionalFormatting sqref="J663:J664">
    <cfRule type="expression" dxfId="348" priority="63307" stopIfTrue="1">
      <formula>J663&lt;&gt;J246</formula>
    </cfRule>
  </conditionalFormatting>
  <conditionalFormatting sqref="J1544 J1557 J602:J609 J306 AQ1560">
    <cfRule type="expression" dxfId="347" priority="63493" stopIfTrue="1">
      <formula>J306&lt;&gt;#REF!</formula>
    </cfRule>
  </conditionalFormatting>
  <conditionalFormatting sqref="J571:J572">
    <cfRule type="expression" dxfId="346" priority="4559" stopIfTrue="1">
      <formula>J571&lt;&gt;J98</formula>
    </cfRule>
  </conditionalFormatting>
  <conditionalFormatting sqref="J817">
    <cfRule type="expression" dxfId="345" priority="4557" stopIfTrue="1">
      <formula>J817&lt;&gt;J467</formula>
    </cfRule>
  </conditionalFormatting>
  <conditionalFormatting sqref="J817">
    <cfRule type="expression" dxfId="344" priority="4556" stopIfTrue="1">
      <formula>J817&lt;&gt;J467</formula>
    </cfRule>
  </conditionalFormatting>
  <conditionalFormatting sqref="J857">
    <cfRule type="expression" dxfId="343" priority="4553" stopIfTrue="1">
      <formula>J857&lt;&gt;J518</formula>
    </cfRule>
  </conditionalFormatting>
  <conditionalFormatting sqref="J857">
    <cfRule type="expression" dxfId="342" priority="4552" stopIfTrue="1">
      <formula>J857&lt;&gt;J518</formula>
    </cfRule>
  </conditionalFormatting>
  <conditionalFormatting sqref="J857">
    <cfRule type="expression" dxfId="341" priority="4551" stopIfTrue="1">
      <formula>J857&lt;&gt;#REF!</formula>
    </cfRule>
  </conditionalFormatting>
  <conditionalFormatting sqref="J857">
    <cfRule type="expression" dxfId="340" priority="4550" stopIfTrue="1">
      <formula>J857&lt;&gt;J518</formula>
    </cfRule>
  </conditionalFormatting>
  <conditionalFormatting sqref="J857">
    <cfRule type="expression" dxfId="339" priority="4549" stopIfTrue="1">
      <formula>J857&lt;&gt;J518</formula>
    </cfRule>
  </conditionalFormatting>
  <conditionalFormatting sqref="J908">
    <cfRule type="expression" dxfId="338" priority="4548" stopIfTrue="1">
      <formula>J908&lt;&gt;J477</formula>
    </cfRule>
  </conditionalFormatting>
  <conditionalFormatting sqref="J908">
    <cfRule type="expression" dxfId="337" priority="4547" stopIfTrue="1">
      <formula>J908&lt;&gt;J479</formula>
    </cfRule>
  </conditionalFormatting>
  <conditionalFormatting sqref="J310:J313">
    <cfRule type="expression" dxfId="336" priority="4545" stopIfTrue="1">
      <formula>J310&lt;&gt;J4</formula>
    </cfRule>
  </conditionalFormatting>
  <conditionalFormatting sqref="J908">
    <cfRule type="expression" dxfId="335" priority="4544" stopIfTrue="1">
      <formula>J908&lt;&gt;#REF!</formula>
    </cfRule>
  </conditionalFormatting>
  <conditionalFormatting sqref="J908">
    <cfRule type="expression" dxfId="334" priority="4543" stopIfTrue="1">
      <formula>J908&lt;&gt;J479</formula>
    </cfRule>
  </conditionalFormatting>
  <conditionalFormatting sqref="J908 J938">
    <cfRule type="expression" dxfId="333" priority="4542" stopIfTrue="1">
      <formula>J908&lt;&gt;#REF!</formula>
    </cfRule>
  </conditionalFormatting>
  <conditionalFormatting sqref="J908">
    <cfRule type="expression" dxfId="332" priority="4540" stopIfTrue="1">
      <formula>J908&lt;&gt;J477</formula>
    </cfRule>
  </conditionalFormatting>
  <conditionalFormatting sqref="J908">
    <cfRule type="expression" dxfId="331" priority="4539" stopIfTrue="1">
      <formula>J908&lt;&gt;J479</formula>
    </cfRule>
  </conditionalFormatting>
  <conditionalFormatting sqref="J908">
    <cfRule type="expression" dxfId="330" priority="4536" stopIfTrue="1">
      <formula>J908&lt;&gt;J479</formula>
    </cfRule>
  </conditionalFormatting>
  <conditionalFormatting sqref="J933">
    <cfRule type="expression" dxfId="329" priority="4533" stopIfTrue="1">
      <formula>J933&lt;&gt;J610</formula>
    </cfRule>
  </conditionalFormatting>
  <conditionalFormatting sqref="J933">
    <cfRule type="expression" dxfId="328" priority="4532" stopIfTrue="1">
      <formula>J933&lt;&gt;#REF!</formula>
    </cfRule>
  </conditionalFormatting>
  <conditionalFormatting sqref="J933">
    <cfRule type="expression" dxfId="327" priority="4529" stopIfTrue="1">
      <formula>J933&lt;&gt;J628</formula>
    </cfRule>
  </conditionalFormatting>
  <conditionalFormatting sqref="J933">
    <cfRule type="expression" dxfId="326" priority="4528" stopIfTrue="1">
      <formula>J933&lt;&gt;J628</formula>
    </cfRule>
  </conditionalFormatting>
  <conditionalFormatting sqref="J933 J879:J882 J1394 J1399">
    <cfRule type="expression" dxfId="325" priority="4527" stopIfTrue="1">
      <formula>J879&lt;&gt;#REF!</formula>
    </cfRule>
  </conditionalFormatting>
  <conditionalFormatting sqref="J933">
    <cfRule type="expression" dxfId="324" priority="4526" stopIfTrue="1">
      <formula>J933&lt;&gt;J628</formula>
    </cfRule>
  </conditionalFormatting>
  <conditionalFormatting sqref="J933">
    <cfRule type="expression" dxfId="323" priority="4525" stopIfTrue="1">
      <formula>J933&lt;&gt;J628</formula>
    </cfRule>
  </conditionalFormatting>
  <conditionalFormatting sqref="J933">
    <cfRule type="expression" dxfId="322" priority="4522" stopIfTrue="1">
      <formula>J933&lt;&gt;J628</formula>
    </cfRule>
  </conditionalFormatting>
  <conditionalFormatting sqref="J933">
    <cfRule type="expression" dxfId="321" priority="4521" stopIfTrue="1">
      <formula>J933&lt;&gt;J628</formula>
    </cfRule>
  </conditionalFormatting>
  <conditionalFormatting sqref="J933">
    <cfRule type="expression" dxfId="320" priority="4519" stopIfTrue="1">
      <formula>J933&lt;&gt;J628</formula>
    </cfRule>
  </conditionalFormatting>
  <conditionalFormatting sqref="J933">
    <cfRule type="expression" dxfId="319" priority="4518" stopIfTrue="1">
      <formula>J933&lt;&gt;J628</formula>
    </cfRule>
  </conditionalFormatting>
  <conditionalFormatting sqref="J933">
    <cfRule type="expression" dxfId="318" priority="4517" stopIfTrue="1">
      <formula>J933&lt;&gt;J610</formula>
    </cfRule>
  </conditionalFormatting>
  <conditionalFormatting sqref="J933">
    <cfRule type="expression" dxfId="317" priority="4514" stopIfTrue="1">
      <formula>J933&lt;&gt;J628</formula>
    </cfRule>
  </conditionalFormatting>
  <conditionalFormatting sqref="J933">
    <cfRule type="expression" dxfId="316" priority="4513" stopIfTrue="1">
      <formula>J933&lt;&gt;J628</formula>
    </cfRule>
  </conditionalFormatting>
  <conditionalFormatting sqref="J933">
    <cfRule type="expression" dxfId="315" priority="4511" stopIfTrue="1">
      <formula>J933&lt;&gt;J628</formula>
    </cfRule>
  </conditionalFormatting>
  <conditionalFormatting sqref="J933">
    <cfRule type="expression" dxfId="314" priority="4510" stopIfTrue="1">
      <formula>J933&lt;&gt;J628</formula>
    </cfRule>
  </conditionalFormatting>
  <conditionalFormatting sqref="J933">
    <cfRule type="expression" dxfId="313" priority="4507" stopIfTrue="1">
      <formula>J933&lt;&gt;J628</formula>
    </cfRule>
  </conditionalFormatting>
  <conditionalFormatting sqref="J933">
    <cfRule type="expression" dxfId="312" priority="4506" stopIfTrue="1">
      <formula>J933&lt;&gt;J628</formula>
    </cfRule>
  </conditionalFormatting>
  <conditionalFormatting sqref="J933">
    <cfRule type="expression" dxfId="311" priority="4504" stopIfTrue="1">
      <formula>J933&lt;&gt;J628</formula>
    </cfRule>
  </conditionalFormatting>
  <conditionalFormatting sqref="J933">
    <cfRule type="expression" dxfId="310" priority="4503" stopIfTrue="1">
      <formula>J933&lt;&gt;J628</formula>
    </cfRule>
  </conditionalFormatting>
  <conditionalFormatting sqref="J1544">
    <cfRule type="expression" dxfId="309" priority="4496" stopIfTrue="1">
      <formula>J1544&lt;&gt;J856</formula>
    </cfRule>
  </conditionalFormatting>
  <conditionalFormatting sqref="J1541">
    <cfRule type="expression" dxfId="308" priority="4495" stopIfTrue="1">
      <formula>J1541&lt;&gt;J855</formula>
    </cfRule>
  </conditionalFormatting>
  <conditionalFormatting sqref="J1541">
    <cfRule type="expression" dxfId="307" priority="4494" stopIfTrue="1">
      <formula>J1541&lt;&gt;J854</formula>
    </cfRule>
  </conditionalFormatting>
  <conditionalFormatting sqref="J1241">
    <cfRule type="expression" dxfId="306" priority="4485" stopIfTrue="1">
      <formula>J1241&lt;&gt;J579</formula>
    </cfRule>
  </conditionalFormatting>
  <conditionalFormatting sqref="J1241">
    <cfRule type="expression" dxfId="305" priority="4484" stopIfTrue="1">
      <formula>J1241&lt;&gt;J579</formula>
    </cfRule>
  </conditionalFormatting>
  <conditionalFormatting sqref="J210 J1298">
    <cfRule type="expression" dxfId="304" priority="4483" stopIfTrue="1">
      <formula>J210&lt;&gt;#REF!</formula>
    </cfRule>
  </conditionalFormatting>
  <conditionalFormatting sqref="J662 J470:J472">
    <cfRule type="expression" dxfId="303" priority="64046" stopIfTrue="1">
      <formula>J470&lt;&gt;J55</formula>
    </cfRule>
  </conditionalFormatting>
  <conditionalFormatting sqref="J1180">
    <cfRule type="expression" dxfId="302" priority="64204" stopIfTrue="1">
      <formula>J1180&lt;&gt;J623</formula>
    </cfRule>
  </conditionalFormatting>
  <conditionalFormatting sqref="J1007">
    <cfRule type="expression" dxfId="301" priority="64495" stopIfTrue="1">
      <formula>J1007&lt;&gt;J537</formula>
    </cfRule>
  </conditionalFormatting>
  <conditionalFormatting sqref="J666:J668">
    <cfRule type="expression" dxfId="300" priority="4480" stopIfTrue="1">
      <formula>J666&lt;&gt;J250</formula>
    </cfRule>
  </conditionalFormatting>
  <conditionalFormatting sqref="J116:J119">
    <cfRule type="expression" dxfId="299" priority="64519" stopIfTrue="1">
      <formula>J116&lt;&gt;J1047279</formula>
    </cfRule>
  </conditionalFormatting>
  <conditionalFormatting sqref="J1199:J1200 J1202:J1204">
    <cfRule type="expression" dxfId="298" priority="64676" stopIfTrue="1">
      <formula>J1199&lt;&gt;#REF!</formula>
    </cfRule>
  </conditionalFormatting>
  <conditionalFormatting sqref="J651:J652">
    <cfRule type="expression" dxfId="297" priority="4473" stopIfTrue="1">
      <formula>J651&lt;&gt;J230</formula>
    </cfRule>
  </conditionalFormatting>
  <conditionalFormatting sqref="J652">
    <cfRule type="expression" dxfId="296" priority="4472" stopIfTrue="1">
      <formula>J652&lt;&gt;J232</formula>
    </cfRule>
  </conditionalFormatting>
  <conditionalFormatting sqref="J652">
    <cfRule type="expression" dxfId="295" priority="4470" stopIfTrue="1">
      <formula>J652&lt;&gt;J231</formula>
    </cfRule>
  </conditionalFormatting>
  <conditionalFormatting sqref="J652">
    <cfRule type="expression" dxfId="294" priority="4469" stopIfTrue="1">
      <formula>J652&lt;&gt;J232</formula>
    </cfRule>
  </conditionalFormatting>
  <conditionalFormatting sqref="J669:J670">
    <cfRule type="expression" dxfId="293" priority="64986" stopIfTrue="1">
      <formula>J669&lt;&gt;J248</formula>
    </cfRule>
  </conditionalFormatting>
  <conditionalFormatting sqref="J1170">
    <cfRule type="expression" dxfId="292" priority="65184" stopIfTrue="1">
      <formula>J1170&lt;&gt;J746</formula>
    </cfRule>
  </conditionalFormatting>
  <conditionalFormatting sqref="J627:J628 J609">
    <cfRule type="expression" dxfId="291" priority="65193" stopIfTrue="1">
      <formula>J609&lt;&gt;J224</formula>
    </cfRule>
  </conditionalFormatting>
  <conditionalFormatting sqref="J909 J1009">
    <cfRule type="expression" dxfId="290" priority="65431" stopIfTrue="1">
      <formula>J909&lt;&gt;#REF!</formula>
    </cfRule>
  </conditionalFormatting>
  <conditionalFormatting sqref="J758">
    <cfRule type="expression" dxfId="289" priority="65851" stopIfTrue="1">
      <formula>J758&lt;&gt;J160</formula>
    </cfRule>
  </conditionalFormatting>
  <conditionalFormatting sqref="J1555">
    <cfRule type="expression" dxfId="288" priority="66742" stopIfTrue="1">
      <formula>J1555&lt;&gt;J856</formula>
    </cfRule>
  </conditionalFormatting>
  <conditionalFormatting sqref="J1791 J884 J876:J879 J863:J864 J858:J861 J602">
    <cfRule type="expression" dxfId="287" priority="66756" stopIfTrue="1">
      <formula>J602&lt;&gt;#REF!</formula>
    </cfRule>
  </conditionalFormatting>
  <conditionalFormatting sqref="J46 J65">
    <cfRule type="expression" dxfId="286" priority="67007" stopIfTrue="1">
      <formula>J46&lt;&gt;J1047254</formula>
    </cfRule>
  </conditionalFormatting>
  <conditionalFormatting sqref="J412:J414">
    <cfRule type="expression" dxfId="285" priority="67010" stopIfTrue="1">
      <formula>J412&lt;&gt;J21</formula>
    </cfRule>
  </conditionalFormatting>
  <conditionalFormatting sqref="J318:J320">
    <cfRule type="expression" dxfId="284" priority="67170" stopIfTrue="1">
      <formula>J318&lt;&gt;J5</formula>
    </cfRule>
  </conditionalFormatting>
  <conditionalFormatting sqref="J596:J597">
    <cfRule type="expression" dxfId="283" priority="67212" stopIfTrue="1">
      <formula>J596&lt;&gt;J223</formula>
    </cfRule>
  </conditionalFormatting>
  <conditionalFormatting sqref="J1297 J487 J1301">
    <cfRule type="expression" dxfId="282" priority="67235" stopIfTrue="1">
      <formula>J487&lt;&gt;#REF!</formula>
    </cfRule>
  </conditionalFormatting>
  <conditionalFormatting sqref="J121:J122">
    <cfRule type="expression" dxfId="281" priority="67320" stopIfTrue="1">
      <formula>J121&lt;&gt;J1047278</formula>
    </cfRule>
  </conditionalFormatting>
  <conditionalFormatting sqref="J692">
    <cfRule type="expression" dxfId="280" priority="67336" stopIfTrue="1">
      <formula>J692&lt;&gt;J121</formula>
    </cfRule>
  </conditionalFormatting>
  <conditionalFormatting sqref="J1422:J1424">
    <cfRule type="expression" dxfId="279" priority="67432" stopIfTrue="1">
      <formula>J1422&lt;&gt;J853</formula>
    </cfRule>
  </conditionalFormatting>
  <conditionalFormatting sqref="J667:J668">
    <cfRule type="expression" dxfId="278" priority="67433" stopIfTrue="1">
      <formula>J667&lt;&gt;J247</formula>
    </cfRule>
  </conditionalFormatting>
  <conditionalFormatting sqref="J626">
    <cfRule type="expression" dxfId="277" priority="67539" stopIfTrue="1">
      <formula>J626&lt;&gt;J221</formula>
    </cfRule>
  </conditionalFormatting>
  <conditionalFormatting sqref="J665:J668">
    <cfRule type="expression" dxfId="276" priority="67658" stopIfTrue="1">
      <formula>J665&lt;&gt;J246</formula>
    </cfRule>
  </conditionalFormatting>
  <conditionalFormatting sqref="J633:J636">
    <cfRule type="expression" dxfId="275" priority="3126" stopIfTrue="1">
      <formula>J633&lt;&gt;J276</formula>
    </cfRule>
  </conditionalFormatting>
  <conditionalFormatting sqref="J816">
    <cfRule type="expression" dxfId="274" priority="3124" stopIfTrue="1">
      <formula>J816&lt;&gt;J373</formula>
    </cfRule>
  </conditionalFormatting>
  <conditionalFormatting sqref="J1166:J1167">
    <cfRule type="expression" dxfId="273" priority="3017" stopIfTrue="1">
      <formula>J1166&lt;&gt;J708</formula>
    </cfRule>
  </conditionalFormatting>
  <conditionalFormatting sqref="J1517:J1519">
    <cfRule type="expression" dxfId="272" priority="67848" stopIfTrue="1">
      <formula>J1517&lt;&gt;J876</formula>
    </cfRule>
  </conditionalFormatting>
  <conditionalFormatting sqref="J1722:J1723">
    <cfRule type="expression" dxfId="271" priority="2975" stopIfTrue="1">
      <formula>J1722&lt;&gt;J847</formula>
    </cfRule>
  </conditionalFormatting>
  <conditionalFormatting sqref="J853:J855">
    <cfRule type="expression" dxfId="270" priority="67914" stopIfTrue="1">
      <formula>J853&lt;&gt;#REF!</formula>
    </cfRule>
  </conditionalFormatting>
  <conditionalFormatting sqref="J778">
    <cfRule type="expression" dxfId="269" priority="68037" stopIfTrue="1">
      <formula>J778&lt;&gt;J252</formula>
    </cfRule>
  </conditionalFormatting>
  <conditionalFormatting sqref="J640">
    <cfRule type="expression" dxfId="268" priority="68157" stopIfTrue="1">
      <formula>J640&lt;&gt;J248</formula>
    </cfRule>
  </conditionalFormatting>
  <conditionalFormatting sqref="J1384">
    <cfRule type="expression" dxfId="267" priority="2659" stopIfTrue="1">
      <formula>J1384&lt;&gt;J809</formula>
    </cfRule>
  </conditionalFormatting>
  <conditionalFormatting sqref="J647:J650">
    <cfRule type="expression" dxfId="266" priority="68199" stopIfTrue="1">
      <formula>J647&lt;&gt;J246</formula>
    </cfRule>
  </conditionalFormatting>
  <conditionalFormatting sqref="J1286 J481">
    <cfRule type="expression" dxfId="265" priority="68271" stopIfTrue="1">
      <formula>J481&lt;&gt;#REF!</formula>
    </cfRule>
  </conditionalFormatting>
  <conditionalFormatting sqref="J636 J630 J626">
    <cfRule type="expression" dxfId="264" priority="68423" stopIfTrue="1">
      <formula>J626&lt;&gt;J242</formula>
    </cfRule>
  </conditionalFormatting>
  <conditionalFormatting sqref="J605">
    <cfRule type="expression" dxfId="263" priority="68434" stopIfTrue="1">
      <formula>J605&lt;&gt;J224</formula>
    </cfRule>
  </conditionalFormatting>
  <conditionalFormatting sqref="J1283">
    <cfRule type="expression" dxfId="262" priority="68628" stopIfTrue="1">
      <formula>J1283&lt;&gt;#REF!</formula>
    </cfRule>
  </conditionalFormatting>
  <conditionalFormatting sqref="J608">
    <cfRule type="expression" dxfId="261" priority="68668" stopIfTrue="1">
      <formula>J608&lt;&gt;J227</formula>
    </cfRule>
  </conditionalFormatting>
  <conditionalFormatting sqref="J607 J604">
    <cfRule type="expression" dxfId="260" priority="68785" stopIfTrue="1">
      <formula>J604&lt;&gt;J224</formula>
    </cfRule>
  </conditionalFormatting>
  <conditionalFormatting sqref="J605:J606">
    <cfRule type="expression" dxfId="259" priority="2546" stopIfTrue="1">
      <formula>J605&lt;&gt;J228</formula>
    </cfRule>
  </conditionalFormatting>
  <conditionalFormatting sqref="J605:J606">
    <cfRule type="expression" dxfId="258" priority="2544" stopIfTrue="1">
      <formula>J605&lt;&gt;J225</formula>
    </cfRule>
  </conditionalFormatting>
  <conditionalFormatting sqref="J491:J492 J608:J609 J606">
    <cfRule type="expression" dxfId="257" priority="2538" stopIfTrue="1">
      <formula>J491&lt;&gt;#REF!</formula>
    </cfRule>
  </conditionalFormatting>
  <conditionalFormatting sqref="J609">
    <cfRule type="expression" dxfId="256" priority="2535" stopIfTrue="1">
      <formula>J609&lt;&gt;J231</formula>
    </cfRule>
  </conditionalFormatting>
  <conditionalFormatting sqref="J609">
    <cfRule type="expression" dxfId="255" priority="2534" stopIfTrue="1">
      <formula>J609&lt;&gt;J261</formula>
    </cfRule>
  </conditionalFormatting>
  <conditionalFormatting sqref="J609">
    <cfRule type="expression" dxfId="254" priority="2533" stopIfTrue="1">
      <formula>J609&lt;&gt;J229</formula>
    </cfRule>
  </conditionalFormatting>
  <conditionalFormatting sqref="J608:J609 J623 J606">
    <cfRule type="expression" dxfId="253" priority="2527" stopIfTrue="1">
      <formula>J606&lt;&gt;J224</formula>
    </cfRule>
  </conditionalFormatting>
  <conditionalFormatting sqref="J608 J606">
    <cfRule type="expression" dxfId="252" priority="2521" stopIfTrue="1">
      <formula>J606&lt;&gt;J227</formula>
    </cfRule>
  </conditionalFormatting>
  <conditionalFormatting sqref="J608">
    <cfRule type="expression" dxfId="251" priority="2518" stopIfTrue="1">
      <formula>J608&lt;&gt;J230</formula>
    </cfRule>
  </conditionalFormatting>
  <conditionalFormatting sqref="J608">
    <cfRule type="expression" dxfId="250" priority="2516" stopIfTrue="1">
      <formula>J608&lt;&gt;J228</formula>
    </cfRule>
  </conditionalFormatting>
  <conditionalFormatting sqref="J635">
    <cfRule type="expression" dxfId="249" priority="68888" stopIfTrue="1">
      <formula>J635&lt;&gt;J248</formula>
    </cfRule>
  </conditionalFormatting>
  <conditionalFormatting sqref="J635:J636">
    <cfRule type="expression" dxfId="248" priority="2515" stopIfTrue="1">
      <formula>J635&lt;&gt;J245</formula>
    </cfRule>
  </conditionalFormatting>
  <conditionalFormatting sqref="J1052">
    <cfRule type="expression" dxfId="247" priority="2301" stopIfTrue="1">
      <formula>J1052&lt;&gt;J585</formula>
    </cfRule>
  </conditionalFormatting>
  <conditionalFormatting sqref="J1052">
    <cfRule type="expression" dxfId="246" priority="2300" stopIfTrue="1">
      <formula>J1052&lt;&gt;J635</formula>
    </cfRule>
  </conditionalFormatting>
  <conditionalFormatting sqref="J1052">
    <cfRule type="expression" dxfId="245" priority="2299" stopIfTrue="1">
      <formula>J1052&lt;&gt;J633</formula>
    </cfRule>
  </conditionalFormatting>
  <conditionalFormatting sqref="J1051:J1052">
    <cfRule type="expression" dxfId="244" priority="2298" stopIfTrue="1">
      <formula>J1051&lt;&gt;#REF!</formula>
    </cfRule>
  </conditionalFormatting>
  <conditionalFormatting sqref="J1052">
    <cfRule type="expression" dxfId="243" priority="2297" stopIfTrue="1">
      <formula>J1052&lt;&gt;J587</formula>
    </cfRule>
  </conditionalFormatting>
  <conditionalFormatting sqref="J1052">
    <cfRule type="expression" dxfId="242" priority="2296" stopIfTrue="1">
      <formula>J1052&lt;&gt;J652</formula>
    </cfRule>
  </conditionalFormatting>
  <conditionalFormatting sqref="J1052">
    <cfRule type="expression" dxfId="241" priority="2294" stopIfTrue="1">
      <formula>J1052&lt;&gt;J593</formula>
    </cfRule>
  </conditionalFormatting>
  <conditionalFormatting sqref="J1052">
    <cfRule type="expression" dxfId="240" priority="2293" stopIfTrue="1">
      <formula>J1052&lt;&gt;J650</formula>
    </cfRule>
  </conditionalFormatting>
  <conditionalFormatting sqref="J1052">
    <cfRule type="expression" dxfId="239" priority="2292" stopIfTrue="1">
      <formula>J1052&lt;&gt;J591</formula>
    </cfRule>
  </conditionalFormatting>
  <conditionalFormatting sqref="J1052">
    <cfRule type="expression" dxfId="238" priority="2291" stopIfTrue="1">
      <formula>J1052&lt;&gt;J651</formula>
    </cfRule>
  </conditionalFormatting>
  <conditionalFormatting sqref="J1052">
    <cfRule type="expression" dxfId="237" priority="2290" stopIfTrue="1">
      <formula>J1052&lt;&gt;J583</formula>
    </cfRule>
  </conditionalFormatting>
  <conditionalFormatting sqref="J1051">
    <cfRule type="expression" dxfId="236" priority="2288" stopIfTrue="1">
      <formula>J1051&lt;&gt;J584</formula>
    </cfRule>
  </conditionalFormatting>
  <conditionalFormatting sqref="J1051">
    <cfRule type="expression" dxfId="235" priority="2287" stopIfTrue="1">
      <formula>J1051&lt;&gt;J634</formula>
    </cfRule>
  </conditionalFormatting>
  <conditionalFormatting sqref="J1051">
    <cfRule type="expression" dxfId="234" priority="2286" stopIfTrue="1">
      <formula>J1051&lt;&gt;J632</formula>
    </cfRule>
  </conditionalFormatting>
  <conditionalFormatting sqref="J1051">
    <cfRule type="expression" dxfId="233" priority="2284" stopIfTrue="1">
      <formula>J1051&lt;&gt;J586</formula>
    </cfRule>
  </conditionalFormatting>
  <conditionalFormatting sqref="J1051">
    <cfRule type="expression" dxfId="232" priority="2282" stopIfTrue="1">
      <formula>J1051&lt;&gt;J651</formula>
    </cfRule>
  </conditionalFormatting>
  <conditionalFormatting sqref="J1051">
    <cfRule type="expression" dxfId="231" priority="2281" stopIfTrue="1">
      <formula>J1051&lt;&gt;J592</formula>
    </cfRule>
  </conditionalFormatting>
  <conditionalFormatting sqref="J1051">
    <cfRule type="expression" dxfId="230" priority="2280" stopIfTrue="1">
      <formula>J1051&lt;&gt;J649</formula>
    </cfRule>
  </conditionalFormatting>
  <conditionalFormatting sqref="J1051">
    <cfRule type="expression" dxfId="229" priority="2279" stopIfTrue="1">
      <formula>J1051&lt;&gt;J590</formula>
    </cfRule>
  </conditionalFormatting>
  <conditionalFormatting sqref="J1051">
    <cfRule type="expression" dxfId="228" priority="2278" stopIfTrue="1">
      <formula>J1051&lt;&gt;J650</formula>
    </cfRule>
  </conditionalFormatting>
  <conditionalFormatting sqref="J1051">
    <cfRule type="expression" dxfId="227" priority="2277" stopIfTrue="1">
      <formula>J1051&lt;&gt;J582</formula>
    </cfRule>
  </conditionalFormatting>
  <conditionalFormatting sqref="J636">
    <cfRule type="expression" dxfId="226" priority="69270" stopIfTrue="1">
      <formula>J636&lt;&gt;J248</formula>
    </cfRule>
  </conditionalFormatting>
  <conditionalFormatting sqref="A7:A425">
    <cfRule type="cellIs" dxfId="225" priority="1998" stopIfTrue="1" operator="equal">
      <formula>"GL"</formula>
    </cfRule>
  </conditionalFormatting>
  <conditionalFormatting sqref="A426:A799">
    <cfRule type="cellIs" dxfId="224" priority="1996" stopIfTrue="1" operator="equal">
      <formula>"Reg Asset"</formula>
    </cfRule>
  </conditionalFormatting>
  <conditionalFormatting sqref="A800:A1555 A1566">
    <cfRule type="cellIs" dxfId="223" priority="1994" stopIfTrue="1" operator="equal">
      <formula>"Def Tax"</formula>
    </cfRule>
  </conditionalFormatting>
  <conditionalFormatting sqref="J100">
    <cfRule type="expression" dxfId="222" priority="69295" stopIfTrue="1">
      <formula>J100&lt;&gt;J1047273</formula>
    </cfRule>
  </conditionalFormatting>
  <conditionalFormatting sqref="J631:J636">
    <cfRule type="expression" dxfId="221" priority="69337" stopIfTrue="1">
      <formula>J631&lt;&gt;J245</formula>
    </cfRule>
  </conditionalFormatting>
  <conditionalFormatting sqref="J612:J613 J466:J468 J480 J484:J485">
    <cfRule type="expression" dxfId="220" priority="69360" stopIfTrue="1">
      <formula>J466&lt;&gt;#REF!</formula>
    </cfRule>
  </conditionalFormatting>
  <conditionalFormatting sqref="J655:J657">
    <cfRule type="expression" dxfId="219" priority="69438" stopIfTrue="1">
      <formula>J655&lt;&gt;J249</formula>
    </cfRule>
  </conditionalFormatting>
  <conditionalFormatting sqref="J821">
    <cfRule type="expression" dxfId="218" priority="69492" stopIfTrue="1">
      <formula>J821&lt;&gt;J397</formula>
    </cfRule>
  </conditionalFormatting>
  <conditionalFormatting sqref="J1655">
    <cfRule type="expression" dxfId="217" priority="69550" stopIfTrue="1">
      <formula>J1655&lt;&gt;J815</formula>
    </cfRule>
  </conditionalFormatting>
  <conditionalFormatting sqref="J1490:J1491">
    <cfRule type="expression" dxfId="216" priority="69577" stopIfTrue="1">
      <formula>J1490&lt;&gt;J886</formula>
    </cfRule>
  </conditionalFormatting>
  <conditionalFormatting sqref="J1471:J1472">
    <cfRule type="expression" dxfId="215" priority="69609" stopIfTrue="1">
      <formula>J1471&lt;&gt;J860</formula>
    </cfRule>
  </conditionalFormatting>
  <conditionalFormatting sqref="J1520:J1521">
    <cfRule type="expression" dxfId="214" priority="69642" stopIfTrue="1">
      <formula>J1520&lt;&gt;#REF!</formula>
    </cfRule>
  </conditionalFormatting>
  <conditionalFormatting sqref="J1505">
    <cfRule type="expression" dxfId="213" priority="69849" stopIfTrue="1">
      <formula>J1505&lt;&gt;J862</formula>
    </cfRule>
  </conditionalFormatting>
  <conditionalFormatting sqref="J1504">
    <cfRule type="expression" dxfId="212" priority="8" stopIfTrue="1">
      <formula>J1504&lt;&gt;J882</formula>
    </cfRule>
  </conditionalFormatting>
  <conditionalFormatting sqref="J313">
    <cfRule type="expression" dxfId="211" priority="69914" stopIfTrue="1">
      <formula>J313&lt;&gt;J6</formula>
    </cfRule>
  </conditionalFormatting>
  <conditionalFormatting sqref="J25:J30">
    <cfRule type="expression" dxfId="210" priority="69915" stopIfTrue="1">
      <formula>J25&lt;&gt;J1047268</formula>
    </cfRule>
  </conditionalFormatting>
  <conditionalFormatting sqref="J24">
    <cfRule type="expression" dxfId="209" priority="69946" stopIfTrue="1">
      <formula>J24&lt;&gt;J1047266</formula>
    </cfRule>
  </conditionalFormatting>
  <conditionalFormatting sqref="J333:J334">
    <cfRule type="expression" dxfId="208" priority="69974" stopIfTrue="1">
      <formula>J333&lt;&gt;#REF!</formula>
    </cfRule>
  </conditionalFormatting>
  <conditionalFormatting sqref="J19">
    <cfRule type="expression" dxfId="207" priority="70002" stopIfTrue="1">
      <formula>J19&lt;&gt;J1047274</formula>
    </cfRule>
  </conditionalFormatting>
  <conditionalFormatting sqref="J415:J416">
    <cfRule type="expression" dxfId="206" priority="70007" stopIfTrue="1">
      <formula>J415&lt;&gt;#REF!</formula>
    </cfRule>
  </conditionalFormatting>
  <conditionalFormatting sqref="J397:J398">
    <cfRule type="expression" dxfId="205" priority="70008" stopIfTrue="1">
      <formula>J397&lt;&gt;J17</formula>
    </cfRule>
  </conditionalFormatting>
  <conditionalFormatting sqref="J16:J18">
    <cfRule type="expression" dxfId="204" priority="70044" stopIfTrue="1">
      <formula>J16&lt;&gt;J1047268</formula>
    </cfRule>
  </conditionalFormatting>
  <conditionalFormatting sqref="J378:J380">
    <cfRule type="expression" dxfId="203" priority="70048" stopIfTrue="1">
      <formula>J378&lt;&gt;J13</formula>
    </cfRule>
  </conditionalFormatting>
  <conditionalFormatting sqref="J381 J376">
    <cfRule type="expression" dxfId="202" priority="70050" stopIfTrue="1">
      <formula>J376&lt;&gt;#REF!</formula>
    </cfRule>
  </conditionalFormatting>
  <conditionalFormatting sqref="J301">
    <cfRule type="expression" dxfId="201" priority="70080" stopIfTrue="1">
      <formula>J301&lt;&gt;J11</formula>
    </cfRule>
  </conditionalFormatting>
  <conditionalFormatting sqref="J11:J15">
    <cfRule type="expression" dxfId="200" priority="70086" stopIfTrue="1">
      <formula>J11&lt;&gt;J1047262</formula>
    </cfRule>
  </conditionalFormatting>
  <conditionalFormatting sqref="J363">
    <cfRule type="expression" dxfId="199" priority="70111" stopIfTrue="1">
      <formula>J363&lt;&gt;J8</formula>
    </cfRule>
  </conditionalFormatting>
  <conditionalFormatting sqref="J321:J322">
    <cfRule type="expression" dxfId="198" priority="70114" stopIfTrue="1">
      <formula>J321&lt;&gt;J1</formula>
    </cfRule>
  </conditionalFormatting>
  <conditionalFormatting sqref="J367">
    <cfRule type="expression" dxfId="197" priority="70139" stopIfTrue="1">
      <formula>J367&lt;&gt;J9</formula>
    </cfRule>
  </conditionalFormatting>
  <conditionalFormatting sqref="J368">
    <cfRule type="expression" dxfId="196" priority="70141" stopIfTrue="1">
      <formula>J368&lt;&gt;#REF!</formula>
    </cfRule>
  </conditionalFormatting>
  <conditionalFormatting sqref="J364">
    <cfRule type="expression" dxfId="195" priority="70142" stopIfTrue="1">
      <formula>J364&lt;&gt;J8</formula>
    </cfRule>
  </conditionalFormatting>
  <conditionalFormatting sqref="J7:J9">
    <cfRule type="expression" dxfId="194" priority="70146" stopIfTrue="1">
      <formula>J7&lt;&gt;J1047276</formula>
    </cfRule>
  </conditionalFormatting>
  <conditionalFormatting sqref="J296:J298">
    <cfRule type="expression" dxfId="193" priority="70156" stopIfTrue="1">
      <formula>J296&lt;&gt;J2</formula>
    </cfRule>
  </conditionalFormatting>
  <conditionalFormatting sqref="J402">
    <cfRule type="expression" dxfId="192" priority="70159" stopIfTrue="1">
      <formula>J402&lt;&gt;J19</formula>
    </cfRule>
  </conditionalFormatting>
  <conditionalFormatting sqref="J32">
    <cfRule type="expression" dxfId="191" priority="70216" stopIfTrue="1">
      <formula>J32&lt;&gt;J1047279</formula>
    </cfRule>
  </conditionalFormatting>
  <conditionalFormatting sqref="J344">
    <cfRule type="expression" dxfId="190" priority="70218" stopIfTrue="1">
      <formula>J344&lt;&gt;J10</formula>
    </cfRule>
  </conditionalFormatting>
  <conditionalFormatting sqref="J179">
    <cfRule type="expression" dxfId="189" priority="70278" stopIfTrue="1">
      <formula>J179&lt;&gt;J2</formula>
    </cfRule>
  </conditionalFormatting>
  <conditionalFormatting sqref="J45">
    <cfRule type="expression" dxfId="188" priority="70279" stopIfTrue="1">
      <formula>J45&lt;&gt;J1047250</formula>
    </cfRule>
  </conditionalFormatting>
  <conditionalFormatting sqref="J38:J44">
    <cfRule type="expression" dxfId="187" priority="70311" stopIfTrue="1">
      <formula>J38&lt;&gt;J1047242</formula>
    </cfRule>
  </conditionalFormatting>
  <conditionalFormatting sqref="J47">
    <cfRule type="expression" dxfId="186" priority="70346" stopIfTrue="1">
      <formula>J47&lt;&gt;J1047262</formula>
    </cfRule>
  </conditionalFormatting>
  <conditionalFormatting sqref="J50">
    <cfRule type="expression" dxfId="185" priority="70378" stopIfTrue="1">
      <formula>J50&lt;&gt;J1047271</formula>
    </cfRule>
  </conditionalFormatting>
  <conditionalFormatting sqref="J483">
    <cfRule type="expression" dxfId="184" priority="70381" stopIfTrue="1">
      <formula>J483&lt;&gt;#REF!</formula>
    </cfRule>
  </conditionalFormatting>
  <conditionalFormatting sqref="J49">
    <cfRule type="expression" dxfId="183" priority="70415" stopIfTrue="1">
      <formula>J49&lt;&gt;J1047269</formula>
    </cfRule>
  </conditionalFormatting>
  <conditionalFormatting sqref="J48">
    <cfRule type="expression" dxfId="182" priority="70459" stopIfTrue="1">
      <formula>J48&lt;&gt;J1047267</formula>
    </cfRule>
  </conditionalFormatting>
  <conditionalFormatting sqref="J1645:J1646 J518:J522">
    <cfRule type="expression" dxfId="181" priority="70496" stopIfTrue="1">
      <formula>J518&lt;&gt;#REF!</formula>
    </cfRule>
  </conditionalFormatting>
  <conditionalFormatting sqref="J55:J56">
    <cfRule type="expression" dxfId="180" priority="70503" stopIfTrue="1">
      <formula>J55&lt;&gt;J1047242</formula>
    </cfRule>
  </conditionalFormatting>
  <conditionalFormatting sqref="J51:J52">
    <cfRule type="expression" dxfId="179" priority="70536" stopIfTrue="1">
      <formula>J51&lt;&gt;J1047276</formula>
    </cfRule>
  </conditionalFormatting>
  <conditionalFormatting sqref="J64">
    <cfRule type="expression" dxfId="178" priority="70577" stopIfTrue="1">
      <formula>J64&lt;&gt;J1047270</formula>
    </cfRule>
  </conditionalFormatting>
  <conditionalFormatting sqref="J430 J482:J484 J607:J608">
    <cfRule type="expression" dxfId="177" priority="70579" stopIfTrue="1">
      <formula>J430&lt;&gt;#REF!</formula>
    </cfRule>
  </conditionalFormatting>
  <conditionalFormatting sqref="J484:J486">
    <cfRule type="expression" dxfId="176" priority="70635" stopIfTrue="1">
      <formula>J484&lt;&gt;J64</formula>
    </cfRule>
  </conditionalFormatting>
  <conditionalFormatting sqref="J57">
    <cfRule type="expression" dxfId="175" priority="70676" stopIfTrue="1">
      <formula>J57&lt;&gt;J1047271</formula>
    </cfRule>
  </conditionalFormatting>
  <conditionalFormatting sqref="J1696:J1699 J557">
    <cfRule type="expression" dxfId="174" priority="70712" stopIfTrue="1">
      <formula>J557&lt;&gt;#REF!</formula>
    </cfRule>
  </conditionalFormatting>
  <conditionalFormatting sqref="J66">
    <cfRule type="expression" dxfId="173" priority="70757" stopIfTrue="1">
      <formula>J66&lt;&gt;J1047277</formula>
    </cfRule>
  </conditionalFormatting>
  <conditionalFormatting sqref="J71:J73">
    <cfRule type="expression" dxfId="172" priority="70795" stopIfTrue="1">
      <formula>J71&lt;&gt;J1047280</formula>
    </cfRule>
  </conditionalFormatting>
  <conditionalFormatting sqref="J87 J82">
    <cfRule type="expression" dxfId="171" priority="70832" stopIfTrue="1">
      <formula>J82&lt;&gt;J1047274</formula>
    </cfRule>
  </conditionalFormatting>
  <conditionalFormatting sqref="J444">
    <cfRule type="expression" dxfId="170" priority="70884" stopIfTrue="1">
      <formula>J444&lt;&gt;J87</formula>
    </cfRule>
  </conditionalFormatting>
  <conditionalFormatting sqref="J483:J486">
    <cfRule type="expression" dxfId="169" priority="70894" stopIfTrue="1">
      <formula>J483&lt;&gt;J64</formula>
    </cfRule>
  </conditionalFormatting>
  <conditionalFormatting sqref="J482:J486">
    <cfRule type="expression" dxfId="168" priority="70896" stopIfTrue="1">
      <formula>J482&lt;&gt;J64</formula>
    </cfRule>
  </conditionalFormatting>
  <conditionalFormatting sqref="J527">
    <cfRule type="expression" dxfId="167" priority="70900" stopIfTrue="1">
      <formula>J527&lt;&gt;J67</formula>
    </cfRule>
  </conditionalFormatting>
  <conditionalFormatting sqref="J451:J453">
    <cfRule type="expression" dxfId="166" priority="71073" stopIfTrue="1">
      <formula>J451&lt;&gt;J88</formula>
    </cfRule>
  </conditionalFormatting>
  <conditionalFormatting sqref="J575:J576">
    <cfRule type="expression" dxfId="165" priority="71113" stopIfTrue="1">
      <formula>J575&lt;&gt;#REF!</formula>
    </cfRule>
  </conditionalFormatting>
  <conditionalFormatting sqref="J96:J99">
    <cfRule type="expression" dxfId="164" priority="71116" stopIfTrue="1">
      <formula>J96&lt;&gt;J1047267</formula>
    </cfRule>
  </conditionalFormatting>
  <conditionalFormatting sqref="J80:J81">
    <cfRule type="expression" dxfId="163" priority="71120" stopIfTrue="1">
      <formula>J80&lt;&gt;J1047269</formula>
    </cfRule>
  </conditionalFormatting>
  <conditionalFormatting sqref="J314">
    <cfRule type="expression" dxfId="162" priority="71156" stopIfTrue="1">
      <formula>J314&lt;&gt;J6</formula>
    </cfRule>
  </conditionalFormatting>
  <conditionalFormatting sqref="J553:J556">
    <cfRule type="expression" dxfId="161" priority="71162" stopIfTrue="1">
      <formula>J553&lt;&gt;J67</formula>
    </cfRule>
  </conditionalFormatting>
  <conditionalFormatting sqref="J558:J561">
    <cfRule type="expression" dxfId="160" priority="71205" stopIfTrue="1">
      <formula>J558&lt;&gt;J71</formula>
    </cfRule>
  </conditionalFormatting>
  <conditionalFormatting sqref="J101">
    <cfRule type="expression" dxfId="159" priority="71241" stopIfTrue="1">
      <formula>J101&lt;&gt;J1047276</formula>
    </cfRule>
  </conditionalFormatting>
  <conditionalFormatting sqref="J110">
    <cfRule type="expression" dxfId="158" priority="71324" stopIfTrue="1">
      <formula>J110&lt;&gt;J1047279</formula>
    </cfRule>
  </conditionalFormatting>
  <conditionalFormatting sqref="J697">
    <cfRule type="expression" dxfId="157" priority="71375" stopIfTrue="1">
      <formula>J697&lt;&gt;#REF!</formula>
    </cfRule>
  </conditionalFormatting>
  <conditionalFormatting sqref="J123">
    <cfRule type="expression" dxfId="156" priority="71418" stopIfTrue="1">
      <formula>J123&lt;&gt;J1047279</formula>
    </cfRule>
  </conditionalFormatting>
  <conditionalFormatting sqref="J687:J688">
    <cfRule type="expression" dxfId="155" priority="71459" stopIfTrue="1">
      <formula>J687&lt;&gt;#REF!</formula>
    </cfRule>
  </conditionalFormatting>
  <conditionalFormatting sqref="J530:J531">
    <cfRule type="expression" dxfId="154" priority="71509" stopIfTrue="1">
      <formula>J530&lt;&gt;J116</formula>
    </cfRule>
  </conditionalFormatting>
  <conditionalFormatting sqref="J532">
    <cfRule type="expression" dxfId="153" priority="71513" stopIfTrue="1">
      <formula>J532&lt;&gt;J118</formula>
    </cfRule>
  </conditionalFormatting>
  <conditionalFormatting sqref="J533">
    <cfRule type="expression" dxfId="152" priority="71516" stopIfTrue="1">
      <formula>J533&lt;&gt;J123</formula>
    </cfRule>
  </conditionalFormatting>
  <conditionalFormatting sqref="J1295:J1299 J709:J713 J1776 J565:J566">
    <cfRule type="expression" dxfId="151" priority="71525" stopIfTrue="1">
      <formula>J565&lt;&gt;#REF!</formula>
    </cfRule>
  </conditionalFormatting>
  <conditionalFormatting sqref="J536:J539">
    <cfRule type="expression" dxfId="150" priority="71630" stopIfTrue="1">
      <formula>J536&lt;&gt;J129</formula>
    </cfRule>
  </conditionalFormatting>
  <conditionalFormatting sqref="J693:J694">
    <cfRule type="expression" dxfId="149" priority="71737" stopIfTrue="1">
      <formula>J693&lt;&gt;J123</formula>
    </cfRule>
  </conditionalFormatting>
  <conditionalFormatting sqref="J148">
    <cfRule type="expression" dxfId="148" priority="71794" stopIfTrue="1">
      <formula>J148&lt;&gt;J4</formula>
    </cfRule>
  </conditionalFormatting>
  <conditionalFormatting sqref="J740">
    <cfRule type="expression" dxfId="147" priority="71849" stopIfTrue="1">
      <formula>J740&lt;&gt;#REF!</formula>
    </cfRule>
  </conditionalFormatting>
  <conditionalFormatting sqref="J188:J191">
    <cfRule type="expression" dxfId="146" priority="71896" stopIfTrue="1">
      <formula>J188&lt;&gt;J2</formula>
    </cfRule>
  </conditionalFormatting>
  <conditionalFormatting sqref="J149:J151">
    <cfRule type="expression" dxfId="145" priority="71897" stopIfTrue="1">
      <formula>J149&lt;&gt;J1047261</formula>
    </cfRule>
  </conditionalFormatting>
  <conditionalFormatting sqref="J714:J715">
    <cfRule type="expression" dxfId="144" priority="71910" stopIfTrue="1">
      <formula>J714&lt;&gt;J138</formula>
    </cfRule>
  </conditionalFormatting>
  <conditionalFormatting sqref="J765 J745:J746 J1750:J1751">
    <cfRule type="expression" dxfId="143" priority="71968" stopIfTrue="1">
      <formula>J745&lt;&gt;#REF!</formula>
    </cfRule>
  </conditionalFormatting>
  <conditionalFormatting sqref="J152:J157">
    <cfRule type="expression" dxfId="142" priority="72024" stopIfTrue="1">
      <formula>J152&lt;&gt;J1047265</formula>
    </cfRule>
  </conditionalFormatting>
  <conditionalFormatting sqref="J754">
    <cfRule type="expression" dxfId="141" priority="72026" stopIfTrue="1">
      <formula>J754&lt;&gt;#REF!</formula>
    </cfRule>
  </conditionalFormatting>
  <conditionalFormatting sqref="J158:J164">
    <cfRule type="expression" dxfId="140" priority="72029" stopIfTrue="1">
      <formula>J158&lt;&gt;J1047273</formula>
    </cfRule>
  </conditionalFormatting>
  <conditionalFormatting sqref="J720:J721">
    <cfRule type="expression" dxfId="139" priority="72033" stopIfTrue="1">
      <formula>J720&lt;&gt;J140</formula>
    </cfRule>
  </conditionalFormatting>
  <conditionalFormatting sqref="J600 J603 J595">
    <cfRule type="expression" dxfId="138" priority="72090" stopIfTrue="1">
      <formula>J595&lt;&gt;#REF!</formula>
    </cfRule>
  </conditionalFormatting>
  <conditionalFormatting sqref="J529">
    <cfRule type="expression" dxfId="137" priority="72225" stopIfTrue="1">
      <formula>J529&lt;&gt;J116</formula>
    </cfRule>
  </conditionalFormatting>
  <conditionalFormatting sqref="J212">
    <cfRule type="expression" dxfId="136" priority="72353" stopIfTrue="1">
      <formula>J212&lt;&gt;J1047268</formula>
    </cfRule>
  </conditionalFormatting>
  <conditionalFormatting sqref="J200">
    <cfRule type="expression" dxfId="135" priority="72412" stopIfTrue="1">
      <formula>J200&lt;&gt;J1047255</formula>
    </cfRule>
  </conditionalFormatting>
  <conditionalFormatting sqref="J741:J742">
    <cfRule type="expression" dxfId="134" priority="72416" stopIfTrue="1">
      <formula>J741&lt;&gt;J152</formula>
    </cfRule>
  </conditionalFormatting>
  <conditionalFormatting sqref="J192:J199">
    <cfRule type="expression" dxfId="133" priority="72475" stopIfTrue="1">
      <formula>J192&lt;&gt;J1047246</formula>
    </cfRule>
  </conditionalFormatting>
  <conditionalFormatting sqref="J206:J208">
    <cfRule type="expression" dxfId="132" priority="72484" stopIfTrue="1">
      <formula>J206&lt;&gt;J1047263</formula>
    </cfRule>
  </conditionalFormatting>
  <conditionalFormatting sqref="J607">
    <cfRule type="expression" dxfId="131" priority="72539" stopIfTrue="1">
      <formula>J607&lt;&gt;J224</formula>
    </cfRule>
  </conditionalFormatting>
  <conditionalFormatting sqref="J239:J241">
    <cfRule type="expression" dxfId="130" priority="72541" stopIfTrue="1">
      <formula>J239&lt;&gt;J1047271</formula>
    </cfRule>
  </conditionalFormatting>
  <conditionalFormatting sqref="J624:J625">
    <cfRule type="expression" dxfId="129" priority="72551" stopIfTrue="1">
      <formula>J624&lt;&gt;#REF!</formula>
    </cfRule>
  </conditionalFormatting>
  <conditionalFormatting sqref="J512:J514">
    <cfRule type="expression" dxfId="128" priority="72605" stopIfTrue="1">
      <formula>J512&lt;&gt;J57</formula>
    </cfRule>
  </conditionalFormatting>
  <conditionalFormatting sqref="J605">
    <cfRule type="expression" dxfId="127" priority="72619" stopIfTrue="1">
      <formula>J605&lt;&gt;J227</formula>
    </cfRule>
  </conditionalFormatting>
  <conditionalFormatting sqref="J485:J486">
    <cfRule type="expression" dxfId="126" priority="72621" stopIfTrue="1">
      <formula>J485&lt;&gt;J64</formula>
    </cfRule>
  </conditionalFormatting>
  <conditionalFormatting sqref="J577">
    <cfRule type="expression" dxfId="125" priority="72690" stopIfTrue="1">
      <formula>J577&lt;&gt;J257</formula>
    </cfRule>
  </conditionalFormatting>
  <conditionalFormatting sqref="J634:J636">
    <cfRule type="expression" dxfId="124" priority="72768" stopIfTrue="1">
      <formula>J634&lt;&gt;J252</formula>
    </cfRule>
  </conditionalFormatting>
  <conditionalFormatting sqref="J570">
    <cfRule type="expression" dxfId="123" priority="72828" stopIfTrue="1">
      <formula>J570&lt;&gt;J252</formula>
    </cfRule>
  </conditionalFormatting>
  <conditionalFormatting sqref="J678 J777 J633">
    <cfRule type="expression" dxfId="122" priority="72833" stopIfTrue="1">
      <formula>J633&lt;&gt;#REF!</formula>
    </cfRule>
  </conditionalFormatting>
  <conditionalFormatting sqref="J608">
    <cfRule type="expression" dxfId="121" priority="72922" stopIfTrue="1">
      <formula>J608&lt;&gt;J224</formula>
    </cfRule>
  </conditionalFormatting>
  <conditionalFormatting sqref="J513:J514">
    <cfRule type="expression" dxfId="120" priority="72923" stopIfTrue="1">
      <formula>J513&lt;&gt;J57</formula>
    </cfRule>
  </conditionalFormatting>
  <conditionalFormatting sqref="J755:J759">
    <cfRule type="expression" dxfId="119" priority="72947" stopIfTrue="1">
      <formula>J755&lt;&gt;J158</formula>
    </cfRule>
  </conditionalFormatting>
  <conditionalFormatting sqref="J229">
    <cfRule type="expression" dxfId="118" priority="73014" stopIfTrue="1">
      <formula>J229&lt;&gt;J1047277</formula>
    </cfRule>
  </conditionalFormatting>
  <conditionalFormatting sqref="J586">
    <cfRule type="expression" dxfId="117" priority="73086" stopIfTrue="1">
      <formula>J586&lt;&gt;J261</formula>
    </cfRule>
  </conditionalFormatting>
  <conditionalFormatting sqref="J1285">
    <cfRule type="expression" dxfId="116" priority="73093" stopIfTrue="1">
      <formula>J1285&lt;&gt;J569</formula>
    </cfRule>
  </conditionalFormatting>
  <conditionalFormatting sqref="J776">
    <cfRule type="expression" dxfId="115" priority="73094" stopIfTrue="1">
      <formula>J776&lt;&gt;J251</formula>
    </cfRule>
  </conditionalFormatting>
  <conditionalFormatting sqref="J262:J264">
    <cfRule type="expression" dxfId="114" priority="73154" stopIfTrue="1">
      <formula>J262&lt;&gt;J1047213</formula>
    </cfRule>
  </conditionalFormatting>
  <conditionalFormatting sqref="J265:J266">
    <cfRule type="expression" dxfId="113" priority="73225" stopIfTrue="1">
      <formula>J265&lt;&gt;J1047231</formula>
    </cfRule>
  </conditionalFormatting>
  <conditionalFormatting sqref="J796">
    <cfRule type="expression" dxfId="112" priority="73289" stopIfTrue="1">
      <formula>J796&lt;&gt;#REF!</formula>
    </cfRule>
  </conditionalFormatting>
  <conditionalFormatting sqref="J269:J274">
    <cfRule type="expression" dxfId="111" priority="73297" stopIfTrue="1">
      <formula>J269&lt;&gt;J1047245</formula>
    </cfRule>
  </conditionalFormatting>
  <conditionalFormatting sqref="J261">
    <cfRule type="expression" dxfId="110" priority="73365" stopIfTrue="1">
      <formula>J261&lt;&gt;J1047210</formula>
    </cfRule>
  </conditionalFormatting>
  <conditionalFormatting sqref="J275:J276">
    <cfRule type="expression" dxfId="109" priority="73425" stopIfTrue="1">
      <formula>J275&lt;&gt;J1047252</formula>
    </cfRule>
  </conditionalFormatting>
  <conditionalFormatting sqref="J277:J278">
    <cfRule type="expression" dxfId="108" priority="73480" stopIfTrue="1">
      <formula>J277&lt;&gt;J1047258</formula>
    </cfRule>
  </conditionalFormatting>
  <conditionalFormatting sqref="J288:J290">
    <cfRule type="expression" dxfId="107" priority="73546" stopIfTrue="1">
      <formula>J288&lt;&gt;J1047273</formula>
    </cfRule>
  </conditionalFormatting>
  <conditionalFormatting sqref="J293:J295">
    <cfRule type="expression" dxfId="106" priority="73617" stopIfTrue="1">
      <formula>J293&lt;&gt;J1047283</formula>
    </cfRule>
  </conditionalFormatting>
  <conditionalFormatting sqref="J300">
    <cfRule type="expression" dxfId="105" priority="73622" stopIfTrue="1">
      <formula>J300&lt;&gt;J11</formula>
    </cfRule>
  </conditionalFormatting>
  <conditionalFormatting sqref="J299">
    <cfRule type="expression" dxfId="104" priority="73699" stopIfTrue="1">
      <formula>J299&lt;&gt;J6</formula>
    </cfRule>
  </conditionalFormatting>
  <conditionalFormatting sqref="J309">
    <cfRule type="expression" dxfId="103" priority="73832" stopIfTrue="1">
      <formula>J309&lt;&gt;J6</formula>
    </cfRule>
  </conditionalFormatting>
  <conditionalFormatting sqref="J279:J287">
    <cfRule type="expression" dxfId="102" priority="73909" stopIfTrue="1">
      <formula>J279&lt;&gt;J1047263</formula>
    </cfRule>
  </conditionalFormatting>
  <conditionalFormatting sqref="J329">
    <cfRule type="expression" dxfId="101" priority="73912" stopIfTrue="1">
      <formula>J329&lt;&gt;J17</formula>
    </cfRule>
  </conditionalFormatting>
  <conditionalFormatting sqref="J327:J328">
    <cfRule type="expression" dxfId="100" priority="73974" stopIfTrue="1">
      <formula>J327&lt;&gt;J11</formula>
    </cfRule>
  </conditionalFormatting>
  <conditionalFormatting sqref="J325:J326">
    <cfRule type="expression" dxfId="99" priority="74060" stopIfTrue="1">
      <formula>J325&lt;&gt;J8</formula>
    </cfRule>
  </conditionalFormatting>
  <conditionalFormatting sqref="J324">
    <cfRule type="expression" dxfId="98" priority="74143" stopIfTrue="1">
      <formula>J324&lt;&gt;J6</formula>
    </cfRule>
  </conditionalFormatting>
  <conditionalFormatting sqref="J323">
    <cfRule type="expression" dxfId="97" priority="74225" stopIfTrue="1">
      <formula>J323&lt;&gt;J4</formula>
    </cfRule>
  </conditionalFormatting>
  <conditionalFormatting sqref="J337:J339">
    <cfRule type="expression" dxfId="96" priority="74294" stopIfTrue="1">
      <formula>J337&lt;&gt;J3</formula>
    </cfRule>
  </conditionalFormatting>
  <conditionalFormatting sqref="J795">
    <cfRule type="expression" dxfId="95" priority="74431" stopIfTrue="1">
      <formula>J795&lt;&gt;J275</formula>
    </cfRule>
  </conditionalFormatting>
  <conditionalFormatting sqref="J441:J442">
    <cfRule type="expression" dxfId="94" priority="74491" stopIfTrue="1">
      <formula>J441&lt;&gt;J88</formula>
    </cfRule>
  </conditionalFormatting>
  <conditionalFormatting sqref="J362">
    <cfRule type="expression" dxfId="93" priority="74493" stopIfTrue="1">
      <formula>J362&lt;&gt;J8</formula>
    </cfRule>
  </conditionalFormatting>
  <conditionalFormatting sqref="J224:J229">
    <cfRule type="expression" dxfId="92" priority="74665" stopIfTrue="1">
      <formula>J224&lt;&gt;J1047276</formula>
    </cfRule>
  </conditionalFormatting>
  <conditionalFormatting sqref="J393:J396">
    <cfRule type="expression" dxfId="91" priority="74764" stopIfTrue="1">
      <formula>J393&lt;&gt;J17</formula>
    </cfRule>
  </conditionalFormatting>
  <conditionalFormatting sqref="J920">
    <cfRule type="expression" dxfId="90" priority="74853" stopIfTrue="1">
      <formula>J920&lt;&gt;#REF!</formula>
    </cfRule>
  </conditionalFormatting>
  <conditionalFormatting sqref="J482:J486">
    <cfRule type="expression" dxfId="89" priority="74957" stopIfTrue="1">
      <formula>J482&lt;&gt;J117</formula>
    </cfRule>
  </conditionalFormatting>
  <conditionalFormatting sqref="J482">
    <cfRule type="expression" dxfId="88" priority="74959" stopIfTrue="1">
      <formula>J482&lt;&gt;J66</formula>
    </cfRule>
  </conditionalFormatting>
  <conditionalFormatting sqref="J931">
    <cfRule type="expression" dxfId="87" priority="75064" stopIfTrue="1">
      <formula>J931&lt;&gt;#REF!</formula>
    </cfRule>
  </conditionalFormatting>
  <conditionalFormatting sqref="J633">
    <cfRule type="expression" dxfId="86" priority="75220" stopIfTrue="1">
      <formula>J633&lt;&gt;J267</formula>
    </cfRule>
  </conditionalFormatting>
  <conditionalFormatting sqref="J634:J635">
    <cfRule type="expression" dxfId="85" priority="75222" stopIfTrue="1">
      <formula>J634&lt;&gt;#REF!</formula>
    </cfRule>
  </conditionalFormatting>
  <conditionalFormatting sqref="J268">
    <cfRule type="expression" dxfId="84" priority="75846" stopIfTrue="1">
      <formula>J268&lt;&gt;J1047240</formula>
    </cfRule>
  </conditionalFormatting>
  <conditionalFormatting sqref="J1515 J1477">
    <cfRule type="expression" dxfId="83" priority="76404" stopIfTrue="1">
      <formula>J1477&lt;&gt;#REF!</formula>
    </cfRule>
  </conditionalFormatting>
  <conditionalFormatting sqref="J1532">
    <cfRule type="expression" dxfId="82" priority="76912" stopIfTrue="1">
      <formula>J1532&lt;&gt;J897</formula>
    </cfRule>
  </conditionalFormatting>
  <conditionalFormatting sqref="J1463">
    <cfRule type="expression" dxfId="81" priority="77412" stopIfTrue="1">
      <formula>J1463&lt;&gt;J866</formula>
    </cfRule>
  </conditionalFormatting>
  <conditionalFormatting sqref="J267">
    <cfRule type="expression" dxfId="80" priority="77434" stopIfTrue="1">
      <formula>J267&lt;&gt;J1047237</formula>
    </cfRule>
  </conditionalFormatting>
  <conditionalFormatting sqref="J1457:J1458 J1409 J1402">
    <cfRule type="expression" dxfId="79" priority="77461" stopIfTrue="1">
      <formula>J1402&lt;&gt;#REF!</formula>
    </cfRule>
  </conditionalFormatting>
  <conditionalFormatting sqref="J1384">
    <cfRule type="expression" dxfId="78" priority="78547" stopIfTrue="1">
      <formula>J1384&lt;&gt;J901</formula>
    </cfRule>
  </conditionalFormatting>
  <conditionalFormatting sqref="J1494:J1496">
    <cfRule type="expression" dxfId="77" priority="79096" stopIfTrue="1">
      <formula>J1494&lt;&gt;J889</formula>
    </cfRule>
  </conditionalFormatting>
  <conditionalFormatting sqref="J1353">
    <cfRule type="expression" dxfId="76" priority="79579" stopIfTrue="1">
      <formula>J1353&lt;&gt;J730</formula>
    </cfRule>
  </conditionalFormatting>
  <conditionalFormatting sqref="J1352">
    <cfRule type="expression" dxfId="75" priority="80062" stopIfTrue="1">
      <formula>J1352&lt;&gt;J728</formula>
    </cfRule>
  </conditionalFormatting>
  <conditionalFormatting sqref="J1331:J1332">
    <cfRule type="expression" dxfId="74" priority="80671" stopIfTrue="1">
      <formula>J1331&lt;&gt;#REF!</formula>
    </cfRule>
  </conditionalFormatting>
  <conditionalFormatting sqref="J1342">
    <cfRule type="expression" dxfId="73" priority="81065" stopIfTrue="1">
      <formula>J1342&lt;&gt;J695</formula>
    </cfRule>
  </conditionalFormatting>
  <conditionalFormatting sqref="J1309 J1273 J1194:J1196 J1113:J1118 J1124">
    <cfRule type="expression" dxfId="72" priority="81542" stopIfTrue="1">
      <formula>J1113&lt;&gt;#REF!</formula>
    </cfRule>
  </conditionalFormatting>
  <conditionalFormatting sqref="J1172">
    <cfRule type="expression" dxfId="71" priority="83235" stopIfTrue="1">
      <formula>J1172&lt;&gt;J623</formula>
    </cfRule>
  </conditionalFormatting>
  <conditionalFormatting sqref="J1010">
    <cfRule type="expression" dxfId="70" priority="83553" stopIfTrue="1">
      <formula>J1010&lt;&gt;#REF!</formula>
    </cfRule>
  </conditionalFormatting>
  <conditionalFormatting sqref="J989:J991">
    <cfRule type="expression" dxfId="69" priority="83857" stopIfTrue="1">
      <formula>J989&lt;&gt;J495</formula>
    </cfRule>
  </conditionalFormatting>
  <conditionalFormatting sqref="J904:J908 J902 J1492 J1489 J912:J917 J1291 J1465:J1466 J1507 J1766:J1773 J1500:J1501 J1503">
    <cfRule type="expression" dxfId="68" priority="84148" stopIfTrue="1">
      <formula>J902&lt;&gt;#REF!</formula>
    </cfRule>
  </conditionalFormatting>
  <conditionalFormatting sqref="J1747">
    <cfRule type="expression" dxfId="67" priority="87752" stopIfTrue="1">
      <formula>J1747&lt;&gt;J856</formula>
    </cfRule>
  </conditionalFormatting>
  <conditionalFormatting sqref="J1765">
    <cfRule type="expression" dxfId="66" priority="87759" stopIfTrue="1">
      <formula>J1765&lt;&gt;J861</formula>
    </cfRule>
  </conditionalFormatting>
  <conditionalFormatting sqref="J1410">
    <cfRule type="expression" dxfId="65" priority="87840" stopIfTrue="1">
      <formula>J1410&lt;&gt;#REF!</formula>
    </cfRule>
  </conditionalFormatting>
  <conditionalFormatting sqref="J1731:J1732">
    <cfRule type="expression" dxfId="64" priority="87848" stopIfTrue="1">
      <formula>J1731&lt;&gt;J851</formula>
    </cfRule>
  </conditionalFormatting>
  <conditionalFormatting sqref="J1467:J1468">
    <cfRule type="expression" dxfId="63" priority="87888" stopIfTrue="1">
      <formula>J1467&lt;&gt;#REF!</formula>
    </cfRule>
  </conditionalFormatting>
  <conditionalFormatting sqref="J1408">
    <cfRule type="expression" dxfId="62" priority="88123" stopIfTrue="1">
      <formula>J1408&lt;&gt;J832</formula>
    </cfRule>
  </conditionalFormatting>
  <conditionalFormatting sqref="J1740:J1741">
    <cfRule type="expression" dxfId="61" priority="88880" stopIfTrue="1">
      <formula>J1740&lt;&gt;J852</formula>
    </cfRule>
  </conditionalFormatting>
  <conditionalFormatting sqref="J1743 J967 J1421 J1738">
    <cfRule type="expression" dxfId="60" priority="89126" stopIfTrue="1">
      <formula>J967&lt;&gt;#REF!</formula>
    </cfRule>
  </conditionalFormatting>
  <conditionalFormatting sqref="J1739">
    <cfRule type="expression" dxfId="59" priority="89640" stopIfTrue="1">
      <formula>J1739&lt;&gt;J852</formula>
    </cfRule>
  </conditionalFormatting>
  <conditionalFormatting sqref="J1737">
    <cfRule type="expression" dxfId="58" priority="89899" stopIfTrue="1">
      <formula>J1737&lt;&gt;#REF!</formula>
    </cfRule>
  </conditionalFormatting>
  <conditionalFormatting sqref="J1442">
    <cfRule type="expression" dxfId="57" priority="89925" stopIfTrue="1">
      <formula>J1442&lt;&gt;J850</formula>
    </cfRule>
  </conditionalFormatting>
  <conditionalFormatting sqref="J1443:J1446 J1729:J1730 J1725:J1726 J1440">
    <cfRule type="expression" dxfId="56" priority="89927" stopIfTrue="1">
      <formula>J1440&lt;&gt;#REF!</formula>
    </cfRule>
  </conditionalFormatting>
  <conditionalFormatting sqref="J1719:J1722">
    <cfRule type="expression" dxfId="55" priority="91009" stopIfTrue="1">
      <formula>J1719&lt;&gt;J845</formula>
    </cfRule>
  </conditionalFormatting>
  <conditionalFormatting sqref="J1411:J1413 J1100:J1101 J1661">
    <cfRule type="expression" dxfId="54" priority="91438" stopIfTrue="1">
      <formula>J1100&lt;&gt;#REF!</formula>
    </cfRule>
  </conditionalFormatting>
  <conditionalFormatting sqref="J1666:J1667">
    <cfRule type="expression" dxfId="53" priority="91454" stopIfTrue="1">
      <formula>J1666&lt;&gt;J816</formula>
    </cfRule>
  </conditionalFormatting>
  <conditionalFormatting sqref="J1658:J1660">
    <cfRule type="expression" dxfId="52" priority="91699" stopIfTrue="1">
      <formula>J1658&lt;&gt;J815</formula>
    </cfRule>
  </conditionalFormatting>
  <conditionalFormatting sqref="J1704:J1707">
    <cfRule type="expression" dxfId="51" priority="91936" stopIfTrue="1">
      <formula>J1704&lt;&gt;J825</formula>
    </cfRule>
  </conditionalFormatting>
  <conditionalFormatting sqref="J1702">
    <cfRule type="expression" dxfId="50" priority="92415" stopIfTrue="1">
      <formula>J1702&lt;&gt;J824</formula>
    </cfRule>
  </conditionalFormatting>
  <conditionalFormatting sqref="J1701">
    <cfRule type="expression" dxfId="49" priority="92896" stopIfTrue="1">
      <formula>J1701&lt;&gt;#REF!</formula>
    </cfRule>
  </conditionalFormatting>
  <conditionalFormatting sqref="J1393">
    <cfRule type="expression" dxfId="48" priority="92949" stopIfTrue="1">
      <formula>J1393&lt;&gt;#REF!</formula>
    </cfRule>
  </conditionalFormatting>
  <conditionalFormatting sqref="J1695">
    <cfRule type="expression" dxfId="47" priority="93270" stopIfTrue="1">
      <formula>J1695&lt;&gt;J822</formula>
    </cfRule>
  </conditionalFormatting>
  <conditionalFormatting sqref="J1692:J1694 J1680 J1677">
    <cfRule type="expression" dxfId="46" priority="93746" stopIfTrue="1">
      <formula>J1677&lt;&gt;#REF!</formula>
    </cfRule>
  </conditionalFormatting>
  <conditionalFormatting sqref="J1678:J1679">
    <cfRule type="expression" dxfId="45" priority="94105" stopIfTrue="1">
      <formula>J1678&lt;&gt;J821</formula>
    </cfRule>
  </conditionalFormatting>
  <conditionalFormatting sqref="J976 J535">
    <cfRule type="expression" dxfId="44" priority="94115" stopIfTrue="1">
      <formula>J535&lt;&gt;J124</formula>
    </cfRule>
  </conditionalFormatting>
  <conditionalFormatting sqref="J1668:J1669">
    <cfRule type="expression" dxfId="43" priority="94478" stopIfTrue="1">
      <formula>J1668&lt;&gt;J816</formula>
    </cfRule>
  </conditionalFormatting>
  <conditionalFormatting sqref="J1664:J1665 J1656 J1649:J1653">
    <cfRule type="expression" dxfId="42" priority="94947" stopIfTrue="1">
      <formula>J1649&lt;&gt;#REF!</formula>
    </cfRule>
  </conditionalFormatting>
  <conditionalFormatting sqref="J1654">
    <cfRule type="expression" dxfId="41" priority="95319" stopIfTrue="1">
      <formula>J1654&lt;&gt;J815</formula>
    </cfRule>
  </conditionalFormatting>
  <conditionalFormatting sqref="J1637">
    <cfRule type="expression" dxfId="40" priority="95328" stopIfTrue="1">
      <formula>J1637&lt;&gt;#REF!</formula>
    </cfRule>
  </conditionalFormatting>
  <conditionalFormatting sqref="J1636">
    <cfRule type="expression" dxfId="39" priority="95557" stopIfTrue="1">
      <formula>J1636&lt;&gt;J809</formula>
    </cfRule>
  </conditionalFormatting>
  <conditionalFormatting sqref="J1588 J1285">
    <cfRule type="expression" dxfId="38" priority="95568" stopIfTrue="1">
      <formula>J1285&lt;&gt;#REF!</formula>
    </cfRule>
  </conditionalFormatting>
  <conditionalFormatting sqref="J750:J751">
    <cfRule type="expression" dxfId="37" priority="96124" stopIfTrue="1">
      <formula>J750&lt;&gt;J162</formula>
    </cfRule>
  </conditionalFormatting>
  <conditionalFormatting sqref="J1075:J1078 J1006 J1210 J1165:J1166 J1096:J1097 J1293:J1294">
    <cfRule type="expression" dxfId="36" priority="96343" stopIfTrue="1">
      <formula>J1006&lt;&gt;#REF!</formula>
    </cfRule>
  </conditionalFormatting>
  <conditionalFormatting sqref="J593:J594">
    <cfRule type="expression" dxfId="35" priority="97233" stopIfTrue="1">
      <formula>J593&lt;&gt;J222</formula>
    </cfRule>
  </conditionalFormatting>
  <conditionalFormatting sqref="J1263">
    <cfRule type="expression" dxfId="34" priority="97394" stopIfTrue="1">
      <formula>J1263&lt;&gt;J569</formula>
    </cfRule>
  </conditionalFormatting>
  <conditionalFormatting sqref="J1218:J1236">
    <cfRule type="expression" dxfId="33" priority="97489" stopIfTrue="1">
      <formula>J1218&lt;&gt;#REF!</formula>
    </cfRule>
  </conditionalFormatting>
  <conditionalFormatting sqref="J1300">
    <cfRule type="expression" dxfId="32" priority="97677" stopIfTrue="1">
      <formula>J1300&lt;&gt;J569</formula>
    </cfRule>
  </conditionalFormatting>
  <conditionalFormatting sqref="J1139 J1120">
    <cfRule type="expression" dxfId="31" priority="97684" stopIfTrue="1">
      <formula>J1120&lt;&gt;#REF!</formula>
    </cfRule>
  </conditionalFormatting>
  <conditionalFormatting sqref="J689:J691">
    <cfRule type="expression" dxfId="30" priority="97708" stopIfTrue="1">
      <formula>J689&lt;&gt;J116</formula>
    </cfRule>
  </conditionalFormatting>
  <conditionalFormatting sqref="J1235">
    <cfRule type="expression" dxfId="29" priority="97726" stopIfTrue="1">
      <formula>J1235&lt;&gt;J569</formula>
    </cfRule>
  </conditionalFormatting>
  <conditionalFormatting sqref="J1092:J1094 J1278:J1284 J1057:J1060 J1044 J1048:J1050">
    <cfRule type="expression" dxfId="28" priority="97736" stopIfTrue="1">
      <formula>J1044&lt;&gt;#REF!</formula>
    </cfRule>
  </conditionalFormatting>
  <conditionalFormatting sqref="J760:J764">
    <cfRule type="expression" dxfId="27" priority="98162" stopIfTrue="1">
      <formula>J760&lt;&gt;J160</formula>
    </cfRule>
  </conditionalFormatting>
  <conditionalFormatting sqref="J1053:J1054 J1013 J1029:J1031 J989 J1023 J997 J1017:J1018 J966:J971 J980">
    <cfRule type="expression" dxfId="26" priority="98184" stopIfTrue="1">
      <formula>J966&lt;&gt;#REF!</formula>
    </cfRule>
  </conditionalFormatting>
  <conditionalFormatting sqref="J808">
    <cfRule type="expression" dxfId="25" priority="99133" stopIfTrue="1">
      <formula>J808&lt;&gt;J370</formula>
    </cfRule>
  </conditionalFormatting>
  <conditionalFormatting sqref="J945">
    <cfRule type="expression" dxfId="24" priority="99144" stopIfTrue="1">
      <formula>J945&lt;&gt;#REF!</formula>
    </cfRule>
  </conditionalFormatting>
  <conditionalFormatting sqref="J937">
    <cfRule type="expression" dxfId="23" priority="99233" stopIfTrue="1">
      <formula>J937&lt;&gt;J498</formula>
    </cfRule>
  </conditionalFormatting>
  <conditionalFormatting sqref="J638:J640">
    <cfRule type="expression" dxfId="22" priority="99282" stopIfTrue="1">
      <formula>J638&lt;&gt;J247</formula>
    </cfRule>
  </conditionalFormatting>
  <conditionalFormatting sqref="J957">
    <cfRule type="expression" dxfId="21" priority="99320" stopIfTrue="1">
      <formula>J957&lt;&gt;J518</formula>
    </cfRule>
  </conditionalFormatting>
  <conditionalFormatting sqref="J676:J677">
    <cfRule type="expression" dxfId="20" priority="99321" stopIfTrue="1">
      <formula>J676&lt;&gt;J250</formula>
    </cfRule>
  </conditionalFormatting>
  <conditionalFormatting sqref="J954:J956">
    <cfRule type="expression" dxfId="19" priority="99437" stopIfTrue="1">
      <formula>J954&lt;&gt;#REF!</formula>
    </cfRule>
  </conditionalFormatting>
  <conditionalFormatting sqref="J614:J615">
    <cfRule type="expression" dxfId="18" priority="99451" stopIfTrue="1">
      <formula>J614&lt;&gt;J139</formula>
    </cfRule>
  </conditionalFormatting>
  <conditionalFormatting sqref="J1040 J1038">
    <cfRule type="expression" dxfId="17" priority="99455" stopIfTrue="1">
      <formula>J1038&lt;&gt;#REF!</formula>
    </cfRule>
  </conditionalFormatting>
  <conditionalFormatting sqref="J1039">
    <cfRule type="expression" dxfId="16" priority="99587" stopIfTrue="1">
      <formula>J1039&lt;&gt;J518</formula>
    </cfRule>
  </conditionalFormatting>
  <conditionalFormatting sqref="J567">
    <cfRule type="expression" dxfId="15" priority="99594" stopIfTrue="1">
      <formula>J567&lt;&gt;J138</formula>
    </cfRule>
  </conditionalFormatting>
  <conditionalFormatting sqref="J817:J819">
    <cfRule type="expression" dxfId="14" priority="99719" stopIfTrue="1">
      <formula>J817&lt;&gt;J380</formula>
    </cfRule>
  </conditionalFormatting>
  <conditionalFormatting sqref="J645:J646">
    <cfRule type="expression" dxfId="13" priority="99823" stopIfTrue="1">
      <formula>J645&lt;&gt;J245</formula>
    </cfRule>
  </conditionalFormatting>
  <conditionalFormatting sqref="J512:J514">
    <cfRule type="expression" dxfId="12" priority="99824" stopIfTrue="1">
      <formula>J512&lt;&gt;J58</formula>
    </cfRule>
  </conditionalFormatting>
  <conditionalFormatting sqref="J542">
    <cfRule type="expression" dxfId="11" priority="99928" stopIfTrue="1">
      <formula>J542&lt;&gt;J140</formula>
    </cfRule>
  </conditionalFormatting>
  <conditionalFormatting sqref="J820">
    <cfRule type="expression" dxfId="10" priority="100049" stopIfTrue="1">
      <formula>J820&lt;&gt;J384</formula>
    </cfRule>
  </conditionalFormatting>
  <conditionalFormatting sqref="J420">
    <cfRule type="expression" dxfId="9" priority="100088" stopIfTrue="1">
      <formula>J420&lt;&gt;J22</formula>
    </cfRule>
  </conditionalFormatting>
  <conditionalFormatting sqref="J75:J76">
    <cfRule type="expression" dxfId="8" priority="100118" stopIfTrue="1">
      <formula>J75&lt;&gt;J1047275</formula>
    </cfRule>
  </conditionalFormatting>
  <conditionalFormatting sqref="A5:A6">
    <cfRule type="cellIs" dxfId="7" priority="3" stopIfTrue="1" operator="equal">
      <formula>"Reg Asset"</formula>
    </cfRule>
    <cfRule type="cellIs" dxfId="6" priority="4" stopIfTrue="1" operator="equal">
      <formula>"Reg Liability"</formula>
    </cfRule>
  </conditionalFormatting>
  <pageMargins left="0.17" right="0.17" top="0.41" bottom="0.34" header="0.2" footer="0.17"/>
  <pageSetup scale="50" fitToWidth="3" orientation="landscape" r:id="rId1"/>
  <headerFooter alignWithMargins="0">
    <oddHeader>&amp;R&amp;P of &amp;N</oddHeader>
  </headerFooter>
  <rowBreaks count="4" manualBreakCount="4">
    <brk id="46" max="40" man="1"/>
    <brk id="86" max="40" man="1"/>
    <brk id="126" max="40" man="1"/>
    <brk id="166" max="40" man="1"/>
  </rowBreaks>
  <colBreaks count="1" manualBreakCount="1">
    <brk id="24" max="1864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R1333"/>
  <sheetViews>
    <sheetView view="pageBreakPreview" zoomScale="60" zoomScaleNormal="90" workbookViewId="0">
      <pane ySplit="7" topLeftCell="A8" activePane="bottomLeft" state="frozen"/>
      <selection pane="bottomLeft" activeCell="A8" sqref="A8"/>
    </sheetView>
  </sheetViews>
  <sheetFormatPr defaultRowHeight="15"/>
  <cols>
    <col min="1" max="1" width="4.28515625" style="128" customWidth="1"/>
    <col min="2" max="2" width="9.140625" style="203"/>
    <col min="3" max="3" width="3" style="128" customWidth="1"/>
    <col min="4" max="4" width="19.5703125" style="203" bestFit="1" customWidth="1"/>
    <col min="5" max="5" width="3" style="128" customWidth="1"/>
    <col min="6" max="6" width="18.7109375" style="203" bestFit="1" customWidth="1"/>
    <col min="7" max="7" width="3" style="128" customWidth="1"/>
    <col min="8" max="8" width="26.5703125" style="166" bestFit="1" customWidth="1"/>
    <col min="9" max="9" width="3" style="128" customWidth="1"/>
    <col min="10" max="10" width="35.42578125" style="166" customWidth="1"/>
    <col min="11" max="12" width="3" style="128" customWidth="1"/>
    <col min="13" max="13" width="12.140625" style="128" customWidth="1"/>
    <col min="14" max="14" width="9.140625" style="166"/>
    <col min="15" max="15" width="9.140625" style="128"/>
    <col min="16" max="16" width="14.5703125" style="168" customWidth="1"/>
    <col min="17" max="17" width="3.140625" style="128" customWidth="1"/>
    <col min="18" max="18" width="9.140625" style="166"/>
    <col min="19" max="16384" width="9.140625" style="128"/>
  </cols>
  <sheetData>
    <row r="1" spans="1:18" ht="15.75">
      <c r="A1" s="332" t="s">
        <v>1646</v>
      </c>
      <c r="P1" s="333"/>
    </row>
    <row r="2" spans="1:18">
      <c r="A2" s="332" t="s">
        <v>3161</v>
      </c>
    </row>
    <row r="3" spans="1:18">
      <c r="A3" s="332"/>
    </row>
    <row r="5" spans="1:18">
      <c r="A5" s="332"/>
    </row>
    <row r="6" spans="1:18" ht="51.75">
      <c r="P6" s="334" t="str">
        <f>+'Balance Sheet Detail'!U1</f>
        <v>Monthly Average - Year Ended December 2014</v>
      </c>
    </row>
    <row r="7" spans="1:18">
      <c r="B7" s="335" t="s">
        <v>1960</v>
      </c>
      <c r="C7" s="336"/>
      <c r="D7" s="335" t="s">
        <v>2009</v>
      </c>
      <c r="E7" s="336"/>
      <c r="F7" s="335" t="s">
        <v>3179</v>
      </c>
      <c r="G7" s="336"/>
      <c r="H7" s="337" t="s">
        <v>3182</v>
      </c>
      <c r="I7" s="336"/>
      <c r="J7" s="337" t="s">
        <v>3183</v>
      </c>
      <c r="K7" s="336"/>
      <c r="L7" s="336"/>
      <c r="M7" s="332"/>
      <c r="N7" s="338" t="s">
        <v>4302</v>
      </c>
      <c r="O7" s="332"/>
      <c r="P7" s="339"/>
    </row>
    <row r="8" spans="1:18">
      <c r="B8" s="340"/>
      <c r="C8" s="336"/>
      <c r="D8" s="340"/>
      <c r="E8" s="336"/>
      <c r="F8" s="340"/>
      <c r="G8" s="336"/>
      <c r="H8" s="341"/>
      <c r="I8" s="336"/>
      <c r="J8" s="342"/>
      <c r="K8" s="336"/>
      <c r="L8" s="336"/>
      <c r="M8" s="332"/>
      <c r="N8" s="338"/>
      <c r="O8" s="332"/>
      <c r="P8" s="343"/>
    </row>
    <row r="9" spans="1:18">
      <c r="A9" s="127" t="s">
        <v>1364</v>
      </c>
      <c r="B9" s="344"/>
      <c r="C9" s="345"/>
      <c r="D9" s="344"/>
      <c r="E9" s="345"/>
      <c r="F9" s="344"/>
      <c r="G9" s="345"/>
      <c r="H9" s="346"/>
      <c r="I9" s="345"/>
      <c r="J9" s="347"/>
      <c r="K9" s="345"/>
      <c r="L9" s="345"/>
      <c r="P9" s="343"/>
    </row>
    <row r="10" spans="1:18">
      <c r="A10" s="127"/>
      <c r="B10" s="203">
        <v>282110</v>
      </c>
      <c r="D10" s="348" t="s">
        <v>401</v>
      </c>
      <c r="F10" s="348" t="s">
        <v>2631</v>
      </c>
      <c r="H10" s="349" t="s">
        <v>1364</v>
      </c>
      <c r="J10" s="166" t="s">
        <v>2632</v>
      </c>
      <c r="N10" s="166" t="s">
        <v>928</v>
      </c>
      <c r="P10" s="168">
        <f>SUMIF('Balance Sheet Detail'!$B:$B,$R10,'Balance Sheet Detail'!W:W)</f>
        <v>6.62</v>
      </c>
      <c r="R10" s="166" t="s">
        <v>3243</v>
      </c>
    </row>
    <row r="11" spans="1:18">
      <c r="A11" s="127"/>
      <c r="B11" s="203">
        <v>282230</v>
      </c>
      <c r="D11" s="348" t="s">
        <v>1323</v>
      </c>
      <c r="F11" s="348" t="s">
        <v>978</v>
      </c>
      <c r="H11" s="349" t="s">
        <v>1364</v>
      </c>
      <c r="J11" s="166" t="s">
        <v>272</v>
      </c>
      <c r="N11" s="166" t="s">
        <v>928</v>
      </c>
      <c r="P11" s="168">
        <f>SUMIF('Balance Sheet Detail'!$B:$B,$R11,'Balance Sheet Detail'!W:W)</f>
        <v>-8094.5280000000002</v>
      </c>
      <c r="R11" s="166" t="s">
        <v>3244</v>
      </c>
    </row>
    <row r="12" spans="1:18">
      <c r="A12" s="127"/>
      <c r="B12" s="203">
        <v>282230</v>
      </c>
      <c r="D12" s="348" t="s">
        <v>2254</v>
      </c>
      <c r="F12" s="348" t="s">
        <v>843</v>
      </c>
      <c r="H12" s="349">
        <v>0</v>
      </c>
      <c r="J12" s="166" t="s">
        <v>4504</v>
      </c>
      <c r="N12" s="166" t="s">
        <v>928</v>
      </c>
      <c r="P12" s="168">
        <f>SUMIF('Balance Sheet Detail'!$B:$B,$R12,'Balance Sheet Detail'!W:W)</f>
        <v>-1410.723</v>
      </c>
      <c r="R12" s="166" t="s">
        <v>4666</v>
      </c>
    </row>
    <row r="13" spans="1:18">
      <c r="A13" s="127"/>
      <c r="D13" s="348"/>
      <c r="F13" s="348"/>
      <c r="H13" s="349"/>
      <c r="P13" s="350"/>
    </row>
    <row r="14" spans="1:18" s="332" customFormat="1" ht="14.25">
      <c r="A14" s="127"/>
      <c r="B14" s="351" t="s">
        <v>3242</v>
      </c>
      <c r="C14" s="352"/>
      <c r="D14" s="340"/>
      <c r="E14" s="352"/>
      <c r="F14" s="340"/>
      <c r="G14" s="352"/>
      <c r="H14" s="341"/>
      <c r="I14" s="352"/>
      <c r="J14" s="342"/>
      <c r="K14" s="352"/>
      <c r="L14" s="352"/>
      <c r="N14" s="338"/>
      <c r="P14" s="353">
        <f>SUM(P10:P13)</f>
        <v>-9498.6310000000012</v>
      </c>
      <c r="R14" s="338"/>
    </row>
    <row r="15" spans="1:18">
      <c r="A15" s="127"/>
      <c r="B15" s="344"/>
      <c r="C15" s="345"/>
      <c r="D15" s="344"/>
      <c r="E15" s="345"/>
      <c r="F15" s="344"/>
      <c r="G15" s="345"/>
      <c r="H15" s="346"/>
      <c r="I15" s="345"/>
      <c r="J15" s="347"/>
      <c r="K15" s="345"/>
      <c r="L15" s="345"/>
      <c r="P15" s="343"/>
    </row>
    <row r="16" spans="1:18">
      <c r="A16" s="127" t="s">
        <v>521</v>
      </c>
      <c r="B16" s="344"/>
      <c r="C16" s="345"/>
      <c r="D16" s="344"/>
      <c r="E16" s="345"/>
      <c r="F16" s="344"/>
      <c r="G16" s="345"/>
      <c r="H16" s="346"/>
      <c r="I16" s="345"/>
      <c r="J16" s="347"/>
      <c r="K16" s="345"/>
      <c r="L16" s="345"/>
      <c r="P16" s="343"/>
    </row>
    <row r="17" spans="1:18">
      <c r="A17" s="127"/>
      <c r="B17" s="203">
        <v>242355</v>
      </c>
      <c r="D17" s="348"/>
      <c r="F17" s="348"/>
      <c r="H17" s="349" t="s">
        <v>521</v>
      </c>
      <c r="N17" s="166" t="s">
        <v>2817</v>
      </c>
      <c r="P17" s="168">
        <f>SUMIF('Balance Sheet Detail'!$B:$B,$R17,'Balance Sheet Detail'!W:W)</f>
        <v>0</v>
      </c>
      <c r="R17" s="166" t="s">
        <v>3277</v>
      </c>
    </row>
    <row r="18" spans="1:18">
      <c r="A18" s="127"/>
      <c r="B18" s="203">
        <v>242356</v>
      </c>
      <c r="D18" s="348"/>
      <c r="F18" s="348"/>
      <c r="H18" s="349" t="s">
        <v>521</v>
      </c>
      <c r="N18" s="166" t="s">
        <v>2817</v>
      </c>
      <c r="P18" s="168">
        <f>SUMIF('Balance Sheet Detail'!$B:$B,$R18,'Balance Sheet Detail'!W:W)</f>
        <v>0</v>
      </c>
      <c r="R18" s="166" t="s">
        <v>3278</v>
      </c>
    </row>
    <row r="19" spans="1:18">
      <c r="A19" s="127"/>
      <c r="B19" s="203">
        <v>182045</v>
      </c>
      <c r="D19" s="348">
        <v>0</v>
      </c>
      <c r="F19" s="348" t="s">
        <v>1199</v>
      </c>
      <c r="H19" s="349" t="s">
        <v>521</v>
      </c>
      <c r="J19" s="166" t="s">
        <v>520</v>
      </c>
      <c r="N19" s="166" t="s">
        <v>2817</v>
      </c>
      <c r="P19" s="168">
        <f>SUMIF('Balance Sheet Detail'!$B:$B,$R19,'Balance Sheet Detail'!W:W)</f>
        <v>0</v>
      </c>
      <c r="R19" s="166" t="s">
        <v>3837</v>
      </c>
    </row>
    <row r="20" spans="1:18">
      <c r="A20" s="127"/>
      <c r="B20" s="203">
        <v>182344</v>
      </c>
      <c r="D20" s="348">
        <v>0</v>
      </c>
      <c r="F20" s="348" t="s">
        <v>1199</v>
      </c>
      <c r="H20" s="349" t="s">
        <v>521</v>
      </c>
      <c r="J20" s="166" t="s">
        <v>520</v>
      </c>
      <c r="N20" s="166" t="s">
        <v>2817</v>
      </c>
      <c r="P20" s="168">
        <f>SUMIF('Balance Sheet Detail'!$B:$B,$R20,'Balance Sheet Detail'!W:W)</f>
        <v>0</v>
      </c>
      <c r="R20" s="166" t="s">
        <v>3838</v>
      </c>
    </row>
    <row r="21" spans="1:18">
      <c r="A21" s="127"/>
      <c r="B21" s="203">
        <v>254270</v>
      </c>
      <c r="D21" s="348" t="s">
        <v>3245</v>
      </c>
      <c r="F21" s="348" t="s">
        <v>1245</v>
      </c>
      <c r="H21" s="349" t="s">
        <v>521</v>
      </c>
      <c r="J21" s="166" t="s">
        <v>335</v>
      </c>
      <c r="N21" s="166" t="s">
        <v>2817</v>
      </c>
      <c r="P21" s="168">
        <f>SUMIF('Balance Sheet Detail'!$B:$B,$R21,'Balance Sheet Detail'!W:W)</f>
        <v>805.75924999999995</v>
      </c>
      <c r="R21" s="166" t="s">
        <v>3839</v>
      </c>
    </row>
    <row r="22" spans="1:18">
      <c r="A22" s="127"/>
      <c r="B22" s="203">
        <v>254270</v>
      </c>
      <c r="D22" s="348" t="s">
        <v>3245</v>
      </c>
      <c r="F22" s="348" t="s">
        <v>2382</v>
      </c>
      <c r="H22" s="349" t="s">
        <v>521</v>
      </c>
      <c r="J22" s="166" t="s">
        <v>854</v>
      </c>
      <c r="N22" s="166" t="s">
        <v>2817</v>
      </c>
      <c r="P22" s="168">
        <f>SUMIF('Balance Sheet Detail'!$B:$B,$R22,'Balance Sheet Detail'!W:W)</f>
        <v>4592.3349500000004</v>
      </c>
      <c r="R22" s="166" t="s">
        <v>3840</v>
      </c>
    </row>
    <row r="23" spans="1:18">
      <c r="A23" s="127"/>
      <c r="B23" s="203">
        <v>254270</v>
      </c>
      <c r="D23" s="348" t="s">
        <v>3246</v>
      </c>
      <c r="F23" s="348" t="s">
        <v>2831</v>
      </c>
      <c r="H23" s="349" t="s">
        <v>521</v>
      </c>
      <c r="J23" s="166" t="s">
        <v>855</v>
      </c>
      <c r="N23" s="166" t="s">
        <v>2817</v>
      </c>
      <c r="P23" s="168">
        <f>SUMIF('Balance Sheet Detail'!$B:$B,$R23,'Balance Sheet Detail'!W:W)</f>
        <v>101.79339</v>
      </c>
      <c r="R23" s="166" t="s">
        <v>3841</v>
      </c>
    </row>
    <row r="24" spans="1:18">
      <c r="A24" s="127"/>
      <c r="B24" s="203">
        <v>254270</v>
      </c>
      <c r="D24" s="348" t="s">
        <v>3246</v>
      </c>
      <c r="F24" s="348" t="s">
        <v>1298</v>
      </c>
      <c r="H24" s="349" t="s">
        <v>521</v>
      </c>
      <c r="J24" s="166" t="s">
        <v>855</v>
      </c>
      <c r="N24" s="166" t="s">
        <v>2817</v>
      </c>
      <c r="P24" s="168">
        <f>SUMIF('Balance Sheet Detail'!$B:$B,$R24,'Balance Sheet Detail'!W:W)</f>
        <v>2597.7181799999998</v>
      </c>
      <c r="R24" s="166" t="s">
        <v>3842</v>
      </c>
    </row>
    <row r="25" spans="1:18">
      <c r="A25" s="127"/>
      <c r="B25" s="203">
        <v>254270</v>
      </c>
      <c r="D25" s="348" t="s">
        <v>3245</v>
      </c>
      <c r="F25" s="348" t="s">
        <v>1008</v>
      </c>
      <c r="H25" s="349" t="s">
        <v>521</v>
      </c>
      <c r="J25" s="166" t="s">
        <v>856</v>
      </c>
      <c r="N25" s="166" t="s">
        <v>2817</v>
      </c>
      <c r="P25" s="168">
        <f>SUMIF('Balance Sheet Detail'!$B:$B,$R25,'Balance Sheet Detail'!W:W)</f>
        <v>375.35788000000002</v>
      </c>
      <c r="R25" s="166" t="s">
        <v>3843</v>
      </c>
    </row>
    <row r="26" spans="1:18">
      <c r="A26" s="127"/>
      <c r="B26" s="203">
        <v>254270</v>
      </c>
      <c r="D26" s="348" t="s">
        <v>3247</v>
      </c>
      <c r="F26" s="348" t="s">
        <v>2828</v>
      </c>
      <c r="H26" s="349" t="s">
        <v>521</v>
      </c>
      <c r="J26" s="166" t="s">
        <v>1135</v>
      </c>
      <c r="N26" s="166" t="s">
        <v>2817</v>
      </c>
      <c r="P26" s="168">
        <f>SUMIF('Balance Sheet Detail'!$B:$B,$R26,'Balance Sheet Detail'!W:W)</f>
        <v>151.79003</v>
      </c>
      <c r="R26" s="166" t="s">
        <v>3844</v>
      </c>
    </row>
    <row r="27" spans="1:18">
      <c r="A27" s="127"/>
      <c r="B27" s="203">
        <v>254270</v>
      </c>
      <c r="D27" s="348" t="s">
        <v>3248</v>
      </c>
      <c r="F27" s="348" t="s">
        <v>1572</v>
      </c>
      <c r="H27" s="349" t="s">
        <v>521</v>
      </c>
      <c r="J27" s="166" t="s">
        <v>624</v>
      </c>
      <c r="N27" s="166" t="s">
        <v>2817</v>
      </c>
      <c r="P27" s="168">
        <f>SUMIF('Balance Sheet Detail'!$B:$B,$R27,'Balance Sheet Detail'!W:W)</f>
        <v>-5632</v>
      </c>
      <c r="R27" s="166" t="s">
        <v>3845</v>
      </c>
    </row>
    <row r="28" spans="1:18">
      <c r="A28" s="127"/>
      <c r="B28" s="203">
        <v>254270</v>
      </c>
      <c r="D28" s="348" t="s">
        <v>3248</v>
      </c>
      <c r="F28" s="348" t="s">
        <v>1574</v>
      </c>
      <c r="H28" s="349" t="s">
        <v>521</v>
      </c>
      <c r="J28" s="166" t="s">
        <v>624</v>
      </c>
      <c r="N28" s="166" t="s">
        <v>2817</v>
      </c>
      <c r="P28" s="168">
        <f>SUMIF('Balance Sheet Detail'!$B:$B,$R28,'Balance Sheet Detail'!W:W)</f>
        <v>-6090.2788099999998</v>
      </c>
      <c r="R28" s="166" t="s">
        <v>3846</v>
      </c>
    </row>
    <row r="29" spans="1:18">
      <c r="A29" s="127"/>
      <c r="B29" s="203">
        <v>254270</v>
      </c>
      <c r="D29" s="348" t="s">
        <v>3248</v>
      </c>
      <c r="F29" s="348" t="s">
        <v>550</v>
      </c>
      <c r="H29" s="349" t="s">
        <v>521</v>
      </c>
      <c r="J29" s="166" t="s">
        <v>624</v>
      </c>
      <c r="N29" s="166" t="s">
        <v>2817</v>
      </c>
      <c r="P29" s="168">
        <f>SUMIF('Balance Sheet Detail'!$B:$B,$R29,'Balance Sheet Detail'!W:W)</f>
        <v>-8076</v>
      </c>
      <c r="R29" s="166" t="s">
        <v>3847</v>
      </c>
    </row>
    <row r="30" spans="1:18">
      <c r="A30" s="127"/>
      <c r="B30" s="203">
        <v>254270</v>
      </c>
      <c r="D30" s="348" t="s">
        <v>3248</v>
      </c>
      <c r="F30" s="348" t="s">
        <v>313</v>
      </c>
      <c r="H30" s="349" t="s">
        <v>521</v>
      </c>
      <c r="J30" s="166" t="s">
        <v>510</v>
      </c>
      <c r="N30" s="166" t="s">
        <v>2817</v>
      </c>
      <c r="P30" s="168">
        <f>SUMIF('Balance Sheet Detail'!$B:$B,$R30,'Balance Sheet Detail'!W:W)</f>
        <v>-29160</v>
      </c>
      <c r="R30" s="166" t="s">
        <v>3848</v>
      </c>
    </row>
    <row r="31" spans="1:18">
      <c r="A31" s="127"/>
      <c r="B31" s="203">
        <v>254270</v>
      </c>
      <c r="D31" s="348" t="s">
        <v>3249</v>
      </c>
      <c r="F31" s="348" t="s">
        <v>1716</v>
      </c>
      <c r="H31" s="349" t="s">
        <v>521</v>
      </c>
      <c r="J31" s="166" t="s">
        <v>5</v>
      </c>
      <c r="N31" s="166" t="s">
        <v>2817</v>
      </c>
      <c r="P31" s="168">
        <f>SUMIF('Balance Sheet Detail'!$B:$B,$R31,'Balance Sheet Detail'!W:W)</f>
        <v>-4829.9305599999998</v>
      </c>
      <c r="R31" s="166" t="s">
        <v>3849</v>
      </c>
    </row>
    <row r="32" spans="1:18">
      <c r="A32" s="127"/>
      <c r="B32" s="203">
        <v>254270</v>
      </c>
      <c r="D32" s="348" t="s">
        <v>3249</v>
      </c>
      <c r="F32" s="348" t="s">
        <v>3033</v>
      </c>
      <c r="H32" s="349" t="s">
        <v>521</v>
      </c>
      <c r="J32" s="166" t="s">
        <v>511</v>
      </c>
      <c r="N32" s="166" t="s">
        <v>2817</v>
      </c>
      <c r="P32" s="168">
        <f>SUMIF('Balance Sheet Detail'!$B:$B,$R32,'Balance Sheet Detail'!W:W)</f>
        <v>-459.10800999999998</v>
      </c>
      <c r="R32" s="166" t="s">
        <v>3850</v>
      </c>
    </row>
    <row r="33" spans="1:18">
      <c r="A33" s="127"/>
      <c r="B33" s="203">
        <v>254270</v>
      </c>
      <c r="D33" s="348" t="s">
        <v>3250</v>
      </c>
      <c r="F33" s="348" t="s">
        <v>430</v>
      </c>
      <c r="H33" s="349" t="s">
        <v>521</v>
      </c>
      <c r="J33" s="166" t="s">
        <v>431</v>
      </c>
      <c r="N33" s="166" t="s">
        <v>2817</v>
      </c>
      <c r="P33" s="168">
        <f>SUMIF('Balance Sheet Detail'!$B:$B,$R33,'Balance Sheet Detail'!W:W)</f>
        <v>-73626.332519999996</v>
      </c>
      <c r="R33" s="166" t="s">
        <v>3851</v>
      </c>
    </row>
    <row r="34" spans="1:18">
      <c r="A34" s="127"/>
      <c r="B34" s="203">
        <v>254270</v>
      </c>
      <c r="D34" s="348" t="s">
        <v>1124</v>
      </c>
      <c r="F34" s="348" t="s">
        <v>817</v>
      </c>
      <c r="H34" s="349" t="s">
        <v>521</v>
      </c>
      <c r="J34" s="166" t="s">
        <v>818</v>
      </c>
      <c r="N34" s="166" t="s">
        <v>2817</v>
      </c>
      <c r="P34" s="168">
        <f>SUMIF('Balance Sheet Detail'!$B:$B,$R34,'Balance Sheet Detail'!W:W)</f>
        <v>-5780.8666624999996</v>
      </c>
      <c r="R34" s="166" t="s">
        <v>3852</v>
      </c>
    </row>
    <row r="35" spans="1:18">
      <c r="A35" s="127"/>
      <c r="B35" s="203">
        <v>254270</v>
      </c>
      <c r="D35" s="348" t="s">
        <v>1831</v>
      </c>
      <c r="F35" s="348" t="s">
        <v>819</v>
      </c>
      <c r="H35" s="349" t="s">
        <v>521</v>
      </c>
      <c r="J35" s="166" t="s">
        <v>820</v>
      </c>
      <c r="N35" s="166" t="s">
        <v>2817</v>
      </c>
      <c r="P35" s="168">
        <f>SUMIF('Balance Sheet Detail'!$B:$B,$R35,'Balance Sheet Detail'!W:W)</f>
        <v>-29247.821522083301</v>
      </c>
      <c r="R35" s="166" t="s">
        <v>3853</v>
      </c>
    </row>
    <row r="36" spans="1:18">
      <c r="A36" s="127"/>
      <c r="B36" s="203">
        <v>254270</v>
      </c>
      <c r="D36" s="348" t="s">
        <v>3251</v>
      </c>
      <c r="F36" s="348" t="s">
        <v>1768</v>
      </c>
      <c r="H36" s="349" t="s">
        <v>521</v>
      </c>
      <c r="J36" s="166" t="s">
        <v>2499</v>
      </c>
      <c r="N36" s="166" t="s">
        <v>2817</v>
      </c>
      <c r="P36" s="168">
        <f>SUMIF('Balance Sheet Detail'!$B:$B,$R36,'Balance Sheet Detail'!W:W)</f>
        <v>45800</v>
      </c>
      <c r="R36" s="166" t="s">
        <v>3854</v>
      </c>
    </row>
    <row r="37" spans="1:18">
      <c r="A37" s="127"/>
      <c r="B37" s="203">
        <v>254270</v>
      </c>
      <c r="D37" s="348" t="s">
        <v>3252</v>
      </c>
      <c r="F37" s="348" t="s">
        <v>2500</v>
      </c>
      <c r="H37" s="349" t="s">
        <v>521</v>
      </c>
      <c r="J37" s="166" t="s">
        <v>2377</v>
      </c>
      <c r="N37" s="166" t="s">
        <v>2817</v>
      </c>
      <c r="P37" s="168">
        <f>SUMIF('Balance Sheet Detail'!$B:$B,$R37,'Balance Sheet Detail'!W:W)</f>
        <v>-1844.7483500000001</v>
      </c>
      <c r="R37" s="166" t="s">
        <v>3855</v>
      </c>
    </row>
    <row r="38" spans="1:18">
      <c r="A38" s="127"/>
      <c r="B38" s="203">
        <v>254270</v>
      </c>
      <c r="D38" s="348" t="s">
        <v>3253</v>
      </c>
      <c r="F38" s="348" t="s">
        <v>2378</v>
      </c>
      <c r="H38" s="349" t="s">
        <v>521</v>
      </c>
      <c r="J38" s="166" t="s">
        <v>1734</v>
      </c>
      <c r="N38" s="166" t="s">
        <v>2817</v>
      </c>
      <c r="P38" s="168">
        <f>SUMIF('Balance Sheet Detail'!$B:$B,$R38,'Balance Sheet Detail'!W:W)</f>
        <v>767.79499999999996</v>
      </c>
      <c r="R38" s="166" t="s">
        <v>3856</v>
      </c>
    </row>
    <row r="39" spans="1:18">
      <c r="A39" s="127"/>
      <c r="B39" s="203">
        <v>254270</v>
      </c>
      <c r="D39" s="348" t="s">
        <v>3254</v>
      </c>
      <c r="F39" s="348" t="s">
        <v>1735</v>
      </c>
      <c r="H39" s="349" t="s">
        <v>521</v>
      </c>
      <c r="J39" s="166" t="s">
        <v>1550</v>
      </c>
      <c r="N39" s="166" t="s">
        <v>2817</v>
      </c>
      <c r="P39" s="168">
        <f>SUMIF('Balance Sheet Detail'!$B:$B,$R39,'Balance Sheet Detail'!W:W)</f>
        <v>43244.717349999999</v>
      </c>
      <c r="R39" s="166" t="s">
        <v>3857</v>
      </c>
    </row>
    <row r="40" spans="1:18">
      <c r="A40" s="127"/>
      <c r="B40" s="203">
        <v>254270</v>
      </c>
      <c r="D40" s="348" t="s">
        <v>3255</v>
      </c>
      <c r="F40" s="348" t="s">
        <v>1056</v>
      </c>
      <c r="H40" s="349" t="s">
        <v>521</v>
      </c>
      <c r="J40" s="166" t="s">
        <v>2198</v>
      </c>
      <c r="N40" s="166" t="s">
        <v>2817</v>
      </c>
      <c r="P40" s="168">
        <f>SUMIF('Balance Sheet Detail'!$B:$B,$R40,'Balance Sheet Detail'!W:W)</f>
        <v>11846.23315</v>
      </c>
      <c r="R40" s="166" t="s">
        <v>3858</v>
      </c>
    </row>
    <row r="41" spans="1:18">
      <c r="A41" s="127"/>
      <c r="B41" s="203">
        <v>254270</v>
      </c>
      <c r="D41" s="348" t="s">
        <v>3246</v>
      </c>
      <c r="F41" s="348" t="s">
        <v>432</v>
      </c>
      <c r="H41" s="349" t="s">
        <v>521</v>
      </c>
      <c r="J41" s="166" t="s">
        <v>433</v>
      </c>
      <c r="N41" s="166" t="s">
        <v>2817</v>
      </c>
      <c r="P41" s="168">
        <f>SUMIF('Balance Sheet Detail'!$B:$B,$R41,'Balance Sheet Detail'!W:W)</f>
        <v>-83.08896</v>
      </c>
      <c r="R41" s="166" t="s">
        <v>3859</v>
      </c>
    </row>
    <row r="42" spans="1:18">
      <c r="A42" s="127"/>
      <c r="B42" s="203">
        <v>254270</v>
      </c>
      <c r="D42" s="348" t="s">
        <v>3246</v>
      </c>
      <c r="F42" s="348" t="s">
        <v>633</v>
      </c>
      <c r="H42" s="349" t="s">
        <v>521</v>
      </c>
      <c r="J42" s="166" t="s">
        <v>1525</v>
      </c>
      <c r="N42" s="166" t="s">
        <v>2817</v>
      </c>
      <c r="P42" s="168">
        <f>SUMIF('Balance Sheet Detail'!$B:$B,$R42,'Balance Sheet Detail'!W:W)</f>
        <v>5067.2268899999999</v>
      </c>
      <c r="R42" s="166" t="s">
        <v>3860</v>
      </c>
    </row>
    <row r="43" spans="1:18">
      <c r="A43" s="127"/>
      <c r="B43" s="203">
        <v>254270</v>
      </c>
      <c r="D43" s="348" t="s">
        <v>3245</v>
      </c>
      <c r="F43" s="348" t="s">
        <v>1526</v>
      </c>
      <c r="H43" s="349" t="s">
        <v>521</v>
      </c>
      <c r="J43" s="166" t="s">
        <v>149</v>
      </c>
      <c r="N43" s="166" t="s">
        <v>2817</v>
      </c>
      <c r="P43" s="168">
        <f>SUMIF('Balance Sheet Detail'!$B:$B,$R43,'Balance Sheet Detail'!W:W)</f>
        <v>5218.2415199999996</v>
      </c>
      <c r="R43" s="166" t="s">
        <v>3861</v>
      </c>
    </row>
    <row r="44" spans="1:18">
      <c r="A44" s="127"/>
      <c r="B44" s="203">
        <v>254270</v>
      </c>
      <c r="D44" s="348" t="s">
        <v>3256</v>
      </c>
      <c r="F44" s="348" t="s">
        <v>59</v>
      </c>
      <c r="H44" s="349" t="s">
        <v>521</v>
      </c>
      <c r="J44" s="166" t="s">
        <v>60</v>
      </c>
      <c r="N44" s="166" t="s">
        <v>2817</v>
      </c>
      <c r="P44" s="168">
        <f>SUMIF('Balance Sheet Detail'!$B:$B,$R44,'Balance Sheet Detail'!W:W)</f>
        <v>-6718.2734300000002</v>
      </c>
      <c r="R44" s="166" t="s">
        <v>3862</v>
      </c>
    </row>
    <row r="45" spans="1:18">
      <c r="A45" s="127"/>
      <c r="B45" s="203">
        <v>254270</v>
      </c>
      <c r="D45" s="348" t="s">
        <v>3257</v>
      </c>
      <c r="F45" s="348" t="s">
        <v>61</v>
      </c>
      <c r="H45" s="349" t="s">
        <v>521</v>
      </c>
      <c r="J45" s="166" t="s">
        <v>62</v>
      </c>
      <c r="N45" s="166" t="s">
        <v>2817</v>
      </c>
      <c r="P45" s="168">
        <f>SUMIF('Balance Sheet Detail'!$B:$B,$R45,'Balance Sheet Detail'!W:W)</f>
        <v>-7800</v>
      </c>
      <c r="R45" s="166" t="s">
        <v>3863</v>
      </c>
    </row>
    <row r="46" spans="1:18">
      <c r="A46" s="127"/>
      <c r="B46" s="203">
        <v>254270</v>
      </c>
      <c r="D46" s="348" t="s">
        <v>3246</v>
      </c>
      <c r="F46" s="348" t="s">
        <v>63</v>
      </c>
      <c r="H46" s="349" t="s">
        <v>521</v>
      </c>
      <c r="J46" s="166" t="s">
        <v>1910</v>
      </c>
      <c r="N46" s="166" t="s">
        <v>2817</v>
      </c>
      <c r="P46" s="168">
        <f>SUMIF('Balance Sheet Detail'!$B:$B,$R46,'Balance Sheet Detail'!W:W)</f>
        <v>2425.6906800000002</v>
      </c>
      <c r="R46" s="166" t="s">
        <v>3864</v>
      </c>
    </row>
    <row r="47" spans="1:18">
      <c r="A47" s="127"/>
      <c r="B47" s="203">
        <v>254270</v>
      </c>
      <c r="D47" s="348" t="s">
        <v>3258</v>
      </c>
      <c r="F47" s="348" t="s">
        <v>1911</v>
      </c>
      <c r="H47" s="349" t="s">
        <v>521</v>
      </c>
      <c r="J47" s="166" t="s">
        <v>1912</v>
      </c>
      <c r="N47" s="166" t="s">
        <v>2817</v>
      </c>
      <c r="P47" s="168">
        <f>SUMIF('Balance Sheet Detail'!$B:$B,$R47,'Balance Sheet Detail'!W:W)</f>
        <v>-4723.6850000000004</v>
      </c>
      <c r="R47" s="166" t="s">
        <v>3865</v>
      </c>
    </row>
    <row r="48" spans="1:18">
      <c r="A48" s="127"/>
      <c r="B48" s="203">
        <v>254270</v>
      </c>
      <c r="D48" s="348" t="s">
        <v>3258</v>
      </c>
      <c r="F48" s="348" t="s">
        <v>1687</v>
      </c>
      <c r="H48" s="349" t="s">
        <v>521</v>
      </c>
      <c r="J48" s="166" t="s">
        <v>1688</v>
      </c>
      <c r="N48" s="166" t="s">
        <v>2817</v>
      </c>
      <c r="P48" s="168">
        <f>SUMIF('Balance Sheet Detail'!$B:$B,$R48,'Balance Sheet Detail'!W:W)</f>
        <v>2199.7040000000002</v>
      </c>
      <c r="R48" s="166" t="s">
        <v>3866</v>
      </c>
    </row>
    <row r="49" spans="1:18">
      <c r="A49" s="127"/>
      <c r="B49" s="203">
        <v>254270</v>
      </c>
      <c r="D49" s="348" t="s">
        <v>3258</v>
      </c>
      <c r="F49" s="348" t="s">
        <v>1689</v>
      </c>
      <c r="H49" s="349" t="s">
        <v>521</v>
      </c>
      <c r="J49" s="166" t="s">
        <v>813</v>
      </c>
      <c r="N49" s="166" t="s">
        <v>2817</v>
      </c>
      <c r="P49" s="168">
        <f>SUMIF('Balance Sheet Detail'!$B:$B,$R49,'Balance Sheet Detail'!W:W)</f>
        <v>-18262.75</v>
      </c>
      <c r="R49" s="166" t="s">
        <v>3867</v>
      </c>
    </row>
    <row r="50" spans="1:18">
      <c r="A50" s="127"/>
      <c r="B50" s="203">
        <v>254270</v>
      </c>
      <c r="D50" s="348" t="s">
        <v>3259</v>
      </c>
      <c r="F50" s="348" t="s">
        <v>2278</v>
      </c>
      <c r="H50" s="349" t="s">
        <v>521</v>
      </c>
      <c r="J50" s="166" t="s">
        <v>1773</v>
      </c>
      <c r="N50" s="166" t="s">
        <v>2817</v>
      </c>
      <c r="P50" s="168">
        <f>SUMIF('Balance Sheet Detail'!$B:$B,$R50,'Balance Sheet Detail'!W:W)</f>
        <v>-16768.900000000001</v>
      </c>
      <c r="R50" s="166" t="s">
        <v>3868</v>
      </c>
    </row>
    <row r="51" spans="1:18">
      <c r="A51" s="127"/>
      <c r="B51" s="203">
        <v>254270</v>
      </c>
      <c r="D51" s="348" t="s">
        <v>3260</v>
      </c>
      <c r="F51" s="348" t="s">
        <v>1774</v>
      </c>
      <c r="H51" s="349" t="s">
        <v>521</v>
      </c>
      <c r="J51" s="166" t="s">
        <v>2931</v>
      </c>
      <c r="N51" s="166" t="s">
        <v>2817</v>
      </c>
      <c r="P51" s="168">
        <f>SUMIF('Balance Sheet Detail'!$B:$B,$R51,'Balance Sheet Detail'!W:W)</f>
        <v>-4949.5950000000003</v>
      </c>
      <c r="R51" s="166" t="s">
        <v>3869</v>
      </c>
    </row>
    <row r="52" spans="1:18">
      <c r="A52" s="127"/>
      <c r="B52" s="203">
        <v>254270</v>
      </c>
      <c r="D52" s="348" t="s">
        <v>1126</v>
      </c>
      <c r="F52" s="348" t="s">
        <v>2932</v>
      </c>
      <c r="H52" s="349" t="s">
        <v>521</v>
      </c>
      <c r="J52" s="166" t="s">
        <v>2933</v>
      </c>
      <c r="N52" s="166" t="s">
        <v>2817</v>
      </c>
      <c r="P52" s="168">
        <f>SUMIF('Balance Sheet Detail'!$B:$B,$R52,'Balance Sheet Detail'!W:W)</f>
        <v>-6977.3140000000003</v>
      </c>
      <c r="R52" s="166" t="s">
        <v>3870</v>
      </c>
    </row>
    <row r="53" spans="1:18">
      <c r="A53" s="127"/>
      <c r="B53" s="203">
        <v>254270</v>
      </c>
      <c r="D53" s="348" t="s">
        <v>3261</v>
      </c>
      <c r="F53" s="348" t="s">
        <v>1995</v>
      </c>
      <c r="H53" s="349" t="s">
        <v>521</v>
      </c>
      <c r="J53" s="166" t="s">
        <v>147</v>
      </c>
      <c r="N53" s="166" t="s">
        <v>2817</v>
      </c>
      <c r="P53" s="168">
        <f>SUMIF('Balance Sheet Detail'!$B:$B,$R53,'Balance Sheet Detail'!W:W)</f>
        <v>5204.5870000000004</v>
      </c>
      <c r="R53" s="166" t="s">
        <v>3871</v>
      </c>
    </row>
    <row r="54" spans="1:18">
      <c r="A54" s="127"/>
      <c r="B54" s="203">
        <v>254270</v>
      </c>
      <c r="D54" s="348" t="s">
        <v>3262</v>
      </c>
      <c r="F54" s="348" t="s">
        <v>1361</v>
      </c>
      <c r="H54" s="349" t="s">
        <v>521</v>
      </c>
      <c r="J54" s="166" t="s">
        <v>1362</v>
      </c>
      <c r="N54" s="166" t="s">
        <v>2817</v>
      </c>
      <c r="P54" s="168">
        <f>SUMIF('Balance Sheet Detail'!$B:$B,$R54,'Balance Sheet Detail'!W:W)</f>
        <v>-1235.779</v>
      </c>
      <c r="R54" s="166" t="s">
        <v>3872</v>
      </c>
    </row>
    <row r="55" spans="1:18">
      <c r="A55" s="127"/>
      <c r="B55" s="203">
        <v>254270</v>
      </c>
      <c r="D55" s="348" t="s">
        <v>3263</v>
      </c>
      <c r="F55" s="348" t="s">
        <v>2523</v>
      </c>
      <c r="H55" s="349" t="s">
        <v>521</v>
      </c>
      <c r="J55" s="166" t="s">
        <v>2524</v>
      </c>
      <c r="N55" s="166" t="s">
        <v>2817</v>
      </c>
      <c r="P55" s="168">
        <f>SUMIF('Balance Sheet Detail'!$B:$B,$R55,'Balance Sheet Detail'!W:W)</f>
        <v>-3404.989</v>
      </c>
      <c r="R55" s="166" t="s">
        <v>3873</v>
      </c>
    </row>
    <row r="56" spans="1:18">
      <c r="A56" s="127"/>
      <c r="B56" s="203">
        <v>254270</v>
      </c>
      <c r="D56" s="348" t="s">
        <v>1707</v>
      </c>
      <c r="F56" s="348" t="s">
        <v>2776</v>
      </c>
      <c r="H56" s="349" t="s">
        <v>521</v>
      </c>
      <c r="J56" s="166" t="s">
        <v>2994</v>
      </c>
      <c r="N56" s="166" t="s">
        <v>2817</v>
      </c>
      <c r="P56" s="168">
        <f>SUMIF('Balance Sheet Detail'!$B:$B,$R56,'Balance Sheet Detail'!W:W)</f>
        <v>9914.1092950000002</v>
      </c>
      <c r="R56" s="166" t="s">
        <v>3874</v>
      </c>
    </row>
    <row r="57" spans="1:18">
      <c r="A57" s="127"/>
      <c r="B57" s="203">
        <v>254270</v>
      </c>
      <c r="D57" s="348" t="s">
        <v>2637</v>
      </c>
      <c r="F57" s="348" t="s">
        <v>512</v>
      </c>
      <c r="H57" s="349" t="s">
        <v>521</v>
      </c>
      <c r="J57" s="166" t="s">
        <v>513</v>
      </c>
      <c r="N57" s="166" t="s">
        <v>2817</v>
      </c>
      <c r="P57" s="168">
        <f>SUMIF('Balance Sheet Detail'!$B:$B,$R57,'Balance Sheet Detail'!W:W)</f>
        <v>436.59300000000002</v>
      </c>
      <c r="R57" s="166" t="s">
        <v>3875</v>
      </c>
    </row>
    <row r="58" spans="1:18">
      <c r="A58" s="127"/>
      <c r="B58" s="203">
        <v>254270</v>
      </c>
      <c r="D58" s="348" t="s">
        <v>394</v>
      </c>
      <c r="F58" s="348" t="s">
        <v>2950</v>
      </c>
      <c r="H58" s="349" t="s">
        <v>521</v>
      </c>
      <c r="J58" s="166" t="s">
        <v>2951</v>
      </c>
      <c r="N58" s="166" t="s">
        <v>2817</v>
      </c>
      <c r="P58" s="168">
        <f>SUMIF('Balance Sheet Detail'!$B:$B,$R58,'Balance Sheet Detail'!W:W)</f>
        <v>398.75000999999997</v>
      </c>
      <c r="R58" s="166" t="s">
        <v>3876</v>
      </c>
    </row>
    <row r="59" spans="1:18">
      <c r="A59" s="127"/>
      <c r="B59" s="203">
        <v>254270</v>
      </c>
      <c r="D59" s="348" t="s">
        <v>3258</v>
      </c>
      <c r="F59" s="348" t="s">
        <v>2952</v>
      </c>
      <c r="H59" s="349" t="s">
        <v>521</v>
      </c>
      <c r="J59" s="166" t="s">
        <v>2953</v>
      </c>
      <c r="N59" s="166" t="s">
        <v>2817</v>
      </c>
      <c r="P59" s="168">
        <f>SUMIF('Balance Sheet Detail'!$B:$B,$R59,'Balance Sheet Detail'!W:W)</f>
        <v>-306.15800000000002</v>
      </c>
      <c r="R59" s="166" t="s">
        <v>3877</v>
      </c>
    </row>
    <row r="60" spans="1:18">
      <c r="A60" s="127"/>
      <c r="B60" s="203">
        <v>254270</v>
      </c>
      <c r="D60" s="348" t="s">
        <v>3264</v>
      </c>
      <c r="F60" s="348" t="s">
        <v>2209</v>
      </c>
      <c r="H60" s="349" t="s">
        <v>521</v>
      </c>
      <c r="J60" s="166" t="s">
        <v>2954</v>
      </c>
      <c r="N60" s="166" t="s">
        <v>2817</v>
      </c>
      <c r="P60" s="168">
        <f>SUMIF('Balance Sheet Detail'!$B:$B,$R60,'Balance Sheet Detail'!W:W)</f>
        <v>1763.6880000000001</v>
      </c>
      <c r="R60" s="166" t="s">
        <v>3878</v>
      </c>
    </row>
    <row r="61" spans="1:18">
      <c r="A61" s="127"/>
      <c r="B61" s="203">
        <v>254270</v>
      </c>
      <c r="D61" s="348" t="s">
        <v>3265</v>
      </c>
      <c r="F61" s="348" t="s">
        <v>2955</v>
      </c>
      <c r="H61" s="349" t="s">
        <v>521</v>
      </c>
      <c r="J61" s="166" t="s">
        <v>2855</v>
      </c>
      <c r="N61" s="166" t="s">
        <v>2817</v>
      </c>
      <c r="P61" s="168">
        <f>SUMIF('Balance Sheet Detail'!$B:$B,$R61,'Balance Sheet Detail'!W:W)</f>
        <v>3169.201</v>
      </c>
      <c r="R61" s="166" t="s">
        <v>3879</v>
      </c>
    </row>
    <row r="62" spans="1:18">
      <c r="A62" s="127"/>
      <c r="B62" s="203">
        <v>254270</v>
      </c>
      <c r="D62" s="348" t="s">
        <v>3266</v>
      </c>
      <c r="F62" s="348" t="s">
        <v>2450</v>
      </c>
      <c r="H62" s="349" t="s">
        <v>521</v>
      </c>
      <c r="J62" s="166" t="s">
        <v>836</v>
      </c>
      <c r="N62" s="166" t="s">
        <v>2817</v>
      </c>
      <c r="P62" s="168">
        <f>SUMIF('Balance Sheet Detail'!$B:$B,$R62,'Balance Sheet Detail'!W:W)</f>
        <v>3099.0822199999998</v>
      </c>
      <c r="R62" s="166" t="s">
        <v>3880</v>
      </c>
    </row>
    <row r="63" spans="1:18">
      <c r="A63" s="127"/>
      <c r="B63" s="203">
        <v>254270</v>
      </c>
      <c r="D63" s="348" t="s">
        <v>3267</v>
      </c>
      <c r="F63" s="348" t="s">
        <v>2249</v>
      </c>
      <c r="H63" s="349" t="s">
        <v>521</v>
      </c>
      <c r="J63" s="166" t="s">
        <v>2524</v>
      </c>
      <c r="N63" s="166" t="s">
        <v>2817</v>
      </c>
      <c r="P63" s="168">
        <f>SUMIF('Balance Sheet Detail'!$B:$B,$R63,'Balance Sheet Detail'!W:W)</f>
        <v>8101.7359999999999</v>
      </c>
      <c r="R63" s="166" t="s">
        <v>3881</v>
      </c>
    </row>
    <row r="64" spans="1:18">
      <c r="A64" s="127"/>
      <c r="B64" s="203">
        <v>254270</v>
      </c>
      <c r="D64" s="348" t="s">
        <v>3247</v>
      </c>
      <c r="F64" s="348" t="s">
        <v>2010</v>
      </c>
      <c r="H64" s="349" t="s">
        <v>521</v>
      </c>
      <c r="J64" s="166" t="s">
        <v>2897</v>
      </c>
      <c r="N64" s="166" t="s">
        <v>2817</v>
      </c>
      <c r="P64" s="168">
        <f>SUMIF('Balance Sheet Detail'!$B:$B,$R64,'Balance Sheet Detail'!W:W)</f>
        <v>-1101.9963749999999</v>
      </c>
      <c r="R64" s="166" t="s">
        <v>3882</v>
      </c>
    </row>
    <row r="65" spans="1:18">
      <c r="A65" s="127"/>
      <c r="B65" s="203">
        <v>254270</v>
      </c>
      <c r="D65" s="348" t="s">
        <v>3248</v>
      </c>
      <c r="F65" s="348">
        <v>800135</v>
      </c>
      <c r="H65" s="349" t="s">
        <v>521</v>
      </c>
      <c r="J65" s="166" t="s">
        <v>1545</v>
      </c>
      <c r="N65" s="166" t="s">
        <v>2817</v>
      </c>
      <c r="P65" s="168">
        <f>SUMIF('Balance Sheet Detail'!$B:$B,$R65,'Balance Sheet Detail'!W:W)</f>
        <v>-10494.964250000001</v>
      </c>
      <c r="R65" s="166" t="s">
        <v>3883</v>
      </c>
    </row>
    <row r="66" spans="1:18">
      <c r="A66" s="127"/>
      <c r="B66" s="203">
        <v>254270</v>
      </c>
      <c r="D66" s="348" t="s">
        <v>3246</v>
      </c>
      <c r="F66" s="348">
        <v>800136</v>
      </c>
      <c r="H66" s="349" t="s">
        <v>521</v>
      </c>
      <c r="J66" s="166" t="s">
        <v>1546</v>
      </c>
      <c r="N66" s="166" t="s">
        <v>2817</v>
      </c>
      <c r="P66" s="168">
        <f>SUMIF('Balance Sheet Detail'!$B:$B,$R66,'Balance Sheet Detail'!W:W)</f>
        <v>2500</v>
      </c>
      <c r="R66" s="166" t="s">
        <v>3884</v>
      </c>
    </row>
    <row r="67" spans="1:18">
      <c r="A67" s="127"/>
      <c r="B67" s="203">
        <v>254270</v>
      </c>
      <c r="D67" s="348" t="s">
        <v>3245</v>
      </c>
      <c r="F67" s="348">
        <v>800137</v>
      </c>
      <c r="H67" s="349" t="s">
        <v>521</v>
      </c>
      <c r="J67" s="166" t="s">
        <v>1547</v>
      </c>
      <c r="N67" s="166" t="s">
        <v>2817</v>
      </c>
      <c r="P67" s="168">
        <f>SUMIF('Balance Sheet Detail'!$B:$B,$R67,'Balance Sheet Detail'!W:W)</f>
        <v>6207.4048700000003</v>
      </c>
      <c r="R67" s="166" t="s">
        <v>3885</v>
      </c>
    </row>
    <row r="68" spans="1:18">
      <c r="A68" s="127"/>
      <c r="B68" s="203">
        <v>254270</v>
      </c>
      <c r="D68" s="348" t="s">
        <v>3248</v>
      </c>
      <c r="F68" s="348">
        <v>800143</v>
      </c>
      <c r="H68" s="349" t="s">
        <v>521</v>
      </c>
      <c r="J68" s="166" t="s">
        <v>2995</v>
      </c>
      <c r="N68" s="166" t="s">
        <v>2817</v>
      </c>
      <c r="P68" s="168">
        <f>SUMIF('Balance Sheet Detail'!$B:$B,$R68,'Balance Sheet Detail'!W:W)</f>
        <v>-1652.7967699999999</v>
      </c>
      <c r="R68" s="166" t="s">
        <v>3886</v>
      </c>
    </row>
    <row r="69" spans="1:18">
      <c r="A69" s="127"/>
      <c r="B69" s="203">
        <v>254270</v>
      </c>
      <c r="D69" s="348" t="s">
        <v>3248</v>
      </c>
      <c r="F69" s="348">
        <v>800144</v>
      </c>
      <c r="H69" s="349" t="s">
        <v>521</v>
      </c>
      <c r="J69" s="166" t="s">
        <v>564</v>
      </c>
      <c r="N69" s="166" t="s">
        <v>2817</v>
      </c>
      <c r="P69" s="168">
        <f>SUMIF('Balance Sheet Detail'!$B:$B,$R69,'Balance Sheet Detail'!W:W)</f>
        <v>-2655.9602399999999</v>
      </c>
      <c r="R69" s="166" t="s">
        <v>3887</v>
      </c>
    </row>
    <row r="70" spans="1:18">
      <c r="A70" s="127"/>
      <c r="B70" s="203">
        <v>254270</v>
      </c>
      <c r="D70" s="348" t="s">
        <v>3247</v>
      </c>
      <c r="F70" s="348">
        <v>800145</v>
      </c>
      <c r="H70" s="349" t="s">
        <v>521</v>
      </c>
      <c r="J70" s="166" t="s">
        <v>514</v>
      </c>
      <c r="N70" s="166" t="s">
        <v>2817</v>
      </c>
      <c r="P70" s="168">
        <f>SUMIF('Balance Sheet Detail'!$B:$B,$R70,'Balance Sheet Detail'!W:W)</f>
        <v>120.6044</v>
      </c>
      <c r="R70" s="166" t="s">
        <v>3888</v>
      </c>
    </row>
    <row r="71" spans="1:18">
      <c r="A71" s="127"/>
      <c r="B71" s="203">
        <v>254270</v>
      </c>
      <c r="D71" s="348" t="s">
        <v>3247</v>
      </c>
      <c r="F71" s="348">
        <v>800146</v>
      </c>
      <c r="H71" s="349" t="s">
        <v>521</v>
      </c>
      <c r="J71" s="166" t="s">
        <v>675</v>
      </c>
      <c r="N71" s="166" t="s">
        <v>2817</v>
      </c>
      <c r="P71" s="168">
        <f>SUMIF('Balance Sheet Detail'!$B:$B,$R71,'Balance Sheet Detail'!W:W)</f>
        <v>-1522.46417</v>
      </c>
      <c r="R71" s="166" t="s">
        <v>3889</v>
      </c>
    </row>
    <row r="72" spans="1:18">
      <c r="A72" s="127"/>
      <c r="B72" s="203">
        <v>254270</v>
      </c>
      <c r="D72" s="348" t="s">
        <v>3247</v>
      </c>
      <c r="F72" s="348" t="s">
        <v>131</v>
      </c>
      <c r="H72" s="349" t="s">
        <v>521</v>
      </c>
      <c r="J72" s="166" t="s">
        <v>716</v>
      </c>
      <c r="N72" s="166" t="s">
        <v>2817</v>
      </c>
      <c r="P72" s="168">
        <f>SUMIF('Balance Sheet Detail'!$B:$B,$R72,'Balance Sheet Detail'!W:W)</f>
        <v>0</v>
      </c>
      <c r="R72" s="166" t="s">
        <v>3890</v>
      </c>
    </row>
    <row r="73" spans="1:18">
      <c r="A73" s="127"/>
      <c r="B73" s="203">
        <v>254270</v>
      </c>
      <c r="D73" s="348" t="s">
        <v>3268</v>
      </c>
      <c r="F73" s="348">
        <v>800165</v>
      </c>
      <c r="H73" s="349" t="s">
        <v>521</v>
      </c>
      <c r="J73" s="166" t="s">
        <v>586</v>
      </c>
      <c r="N73" s="166" t="s">
        <v>2817</v>
      </c>
      <c r="P73" s="168">
        <f>SUMIF('Balance Sheet Detail'!$B:$B,$R73,'Balance Sheet Detail'!W:W)</f>
        <v>-2750</v>
      </c>
      <c r="R73" s="166" t="s">
        <v>3891</v>
      </c>
    </row>
    <row r="74" spans="1:18">
      <c r="A74" s="127"/>
      <c r="B74" s="203">
        <v>254270</v>
      </c>
      <c r="D74" s="348" t="s">
        <v>3269</v>
      </c>
      <c r="F74" s="348">
        <v>800170</v>
      </c>
      <c r="H74" s="349" t="s">
        <v>521</v>
      </c>
      <c r="J74" s="166" t="s">
        <v>676</v>
      </c>
      <c r="N74" s="166" t="s">
        <v>2817</v>
      </c>
      <c r="P74" s="168">
        <f>SUMIF('Balance Sheet Detail'!$B:$B,$R74,'Balance Sheet Detail'!W:W)</f>
        <v>33776.969669999999</v>
      </c>
      <c r="R74" s="166" t="s">
        <v>3892</v>
      </c>
    </row>
    <row r="75" spans="1:18">
      <c r="A75" s="127"/>
      <c r="B75" s="203">
        <v>254270</v>
      </c>
      <c r="D75" s="348" t="s">
        <v>3248</v>
      </c>
      <c r="F75" s="348" t="s">
        <v>2276</v>
      </c>
      <c r="H75" s="349" t="s">
        <v>521</v>
      </c>
      <c r="J75" s="166" t="s">
        <v>1594</v>
      </c>
      <c r="N75" s="166" t="s">
        <v>2817</v>
      </c>
      <c r="P75" s="168">
        <f>SUMIF('Balance Sheet Detail'!$B:$B,$R75,'Balance Sheet Detail'!W:W)</f>
        <v>540.76097000000004</v>
      </c>
      <c r="R75" s="166" t="s">
        <v>3893</v>
      </c>
    </row>
    <row r="76" spans="1:18">
      <c r="A76" s="127"/>
      <c r="B76" s="203">
        <v>254270</v>
      </c>
      <c r="D76" s="348" t="s">
        <v>3269</v>
      </c>
      <c r="F76" s="348" t="s">
        <v>1595</v>
      </c>
      <c r="H76" s="349" t="s">
        <v>521</v>
      </c>
      <c r="J76" s="166" t="s">
        <v>1596</v>
      </c>
      <c r="N76" s="166" t="s">
        <v>2817</v>
      </c>
      <c r="P76" s="168">
        <f>SUMIF('Balance Sheet Detail'!$B:$B,$R76,'Balance Sheet Detail'!W:W)</f>
        <v>-260</v>
      </c>
      <c r="R76" s="166" t="s">
        <v>3894</v>
      </c>
    </row>
    <row r="77" spans="1:18">
      <c r="A77" s="127"/>
      <c r="B77" s="203">
        <v>254270</v>
      </c>
      <c r="D77" s="348" t="s">
        <v>1730</v>
      </c>
      <c r="F77" s="348" t="s">
        <v>1477</v>
      </c>
      <c r="H77" s="349" t="s">
        <v>521</v>
      </c>
      <c r="J77" s="166" t="s">
        <v>1478</v>
      </c>
      <c r="N77" s="166" t="s">
        <v>2817</v>
      </c>
      <c r="P77" s="168">
        <f>SUMIF('Balance Sheet Detail'!$B:$B,$R77,'Balance Sheet Detail'!W:W)</f>
        <v>194.30972</v>
      </c>
      <c r="R77" s="166" t="s">
        <v>3895</v>
      </c>
    </row>
    <row r="78" spans="1:18">
      <c r="A78" s="127"/>
      <c r="B78" s="203">
        <v>254270</v>
      </c>
      <c r="D78" s="348" t="s">
        <v>1730</v>
      </c>
      <c r="F78" s="348" t="s">
        <v>1479</v>
      </c>
      <c r="H78" s="349" t="s">
        <v>521</v>
      </c>
      <c r="J78" s="166" t="s">
        <v>1479</v>
      </c>
      <c r="N78" s="166" t="s">
        <v>2817</v>
      </c>
      <c r="P78" s="168">
        <f>SUMIF('Balance Sheet Detail'!$B:$B,$R78,'Balance Sheet Detail'!W:W)</f>
        <v>-154.33602999999999</v>
      </c>
      <c r="R78" s="166" t="s">
        <v>3896</v>
      </c>
    </row>
    <row r="79" spans="1:18">
      <c r="A79" s="127"/>
      <c r="B79" s="203">
        <v>254270</v>
      </c>
      <c r="D79" s="348" t="s">
        <v>3270</v>
      </c>
      <c r="F79" s="348" t="s">
        <v>1576</v>
      </c>
      <c r="H79" s="349" t="s">
        <v>521</v>
      </c>
      <c r="J79" s="166" t="s">
        <v>1577</v>
      </c>
      <c r="N79" s="166" t="s">
        <v>2817</v>
      </c>
      <c r="P79" s="168">
        <f>SUMIF('Balance Sheet Detail'!$B:$B,$R79,'Balance Sheet Detail'!W:W)</f>
        <v>-4452.0695299999998</v>
      </c>
      <c r="R79" s="166" t="s">
        <v>3897</v>
      </c>
    </row>
    <row r="80" spans="1:18">
      <c r="A80" s="127"/>
      <c r="B80" s="203">
        <v>254270</v>
      </c>
      <c r="D80" s="348" t="s">
        <v>2772</v>
      </c>
      <c r="F80" s="348" t="s">
        <v>2773</v>
      </c>
      <c r="H80" s="349" t="s">
        <v>521</v>
      </c>
      <c r="J80" s="166" t="s">
        <v>1480</v>
      </c>
      <c r="N80" s="166" t="s">
        <v>2817</v>
      </c>
      <c r="P80" s="168">
        <f>SUMIF('Balance Sheet Detail'!$B:$B,$R80,'Balance Sheet Detail'!W:W)</f>
        <v>-14606</v>
      </c>
      <c r="R80" s="166" t="s">
        <v>3898</v>
      </c>
    </row>
    <row r="81" spans="1:18">
      <c r="A81" s="127"/>
      <c r="B81" s="203">
        <v>254270</v>
      </c>
      <c r="D81" s="348" t="s">
        <v>3267</v>
      </c>
      <c r="F81" s="348" t="s">
        <v>1578</v>
      </c>
      <c r="H81" s="349" t="s">
        <v>521</v>
      </c>
      <c r="J81" s="166" t="s">
        <v>1130</v>
      </c>
      <c r="N81" s="166" t="s">
        <v>2817</v>
      </c>
      <c r="P81" s="168">
        <f>SUMIF('Balance Sheet Detail'!$B:$B,$R81,'Balance Sheet Detail'!W:W)</f>
        <v>440.29599999999999</v>
      </c>
      <c r="R81" s="166" t="s">
        <v>3899</v>
      </c>
    </row>
    <row r="82" spans="1:18">
      <c r="A82" s="127"/>
      <c r="B82" s="203">
        <v>254270</v>
      </c>
      <c r="D82" s="348" t="s">
        <v>3269</v>
      </c>
      <c r="F82" s="348" t="s">
        <v>1131</v>
      </c>
      <c r="H82" s="349" t="s">
        <v>521</v>
      </c>
      <c r="J82" s="166" t="s">
        <v>1132</v>
      </c>
      <c r="N82" s="166" t="s">
        <v>2817</v>
      </c>
      <c r="P82" s="168">
        <f>SUMIF('Balance Sheet Detail'!$B:$B,$R82,'Balance Sheet Detail'!W:W)</f>
        <v>43362.726280000003</v>
      </c>
      <c r="R82" s="166" t="s">
        <v>3900</v>
      </c>
    </row>
    <row r="83" spans="1:18">
      <c r="A83" s="127"/>
      <c r="B83" s="203">
        <v>254270</v>
      </c>
      <c r="D83" s="348" t="s">
        <v>3271</v>
      </c>
      <c r="F83" s="348" t="s">
        <v>1133</v>
      </c>
      <c r="H83" s="349" t="s">
        <v>521</v>
      </c>
      <c r="J83" s="166" t="s">
        <v>1134</v>
      </c>
      <c r="N83" s="166" t="s">
        <v>2817</v>
      </c>
      <c r="P83" s="168">
        <f>SUMIF('Balance Sheet Detail'!$B:$B,$R83,'Balance Sheet Detail'!W:W)</f>
        <v>-138.84032999999999</v>
      </c>
      <c r="R83" s="166" t="s">
        <v>3901</v>
      </c>
    </row>
    <row r="84" spans="1:18">
      <c r="A84" s="127"/>
      <c r="B84" s="203">
        <v>254270</v>
      </c>
      <c r="D84" s="348" t="s">
        <v>3248</v>
      </c>
      <c r="F84" s="348">
        <v>808018</v>
      </c>
      <c r="H84" s="349" t="s">
        <v>521</v>
      </c>
      <c r="J84" s="166" t="s">
        <v>1371</v>
      </c>
      <c r="N84" s="166" t="s">
        <v>2817</v>
      </c>
      <c r="P84" s="168">
        <f>SUMIF('Balance Sheet Detail'!$B:$B,$R84,'Balance Sheet Detail'!W:W)</f>
        <v>-3274.5709999999999</v>
      </c>
      <c r="R84" s="166" t="s">
        <v>3902</v>
      </c>
    </row>
    <row r="85" spans="1:18">
      <c r="A85" s="127"/>
      <c r="B85" s="203">
        <v>254270</v>
      </c>
      <c r="D85" s="348" t="s">
        <v>3248</v>
      </c>
      <c r="F85" s="348" t="s">
        <v>1481</v>
      </c>
      <c r="H85" s="349" t="s">
        <v>521</v>
      </c>
      <c r="J85" s="166" t="s">
        <v>554</v>
      </c>
      <c r="N85" s="166" t="s">
        <v>2817</v>
      </c>
      <c r="P85" s="168">
        <f>SUMIF('Balance Sheet Detail'!$B:$B,$R85,'Balance Sheet Detail'!W:W)</f>
        <v>-1958</v>
      </c>
      <c r="R85" s="166" t="s">
        <v>3903</v>
      </c>
    </row>
    <row r="86" spans="1:18">
      <c r="A86" s="127"/>
      <c r="B86" s="203">
        <v>254270</v>
      </c>
      <c r="D86" s="348" t="s">
        <v>3248</v>
      </c>
      <c r="F86" s="348" t="s">
        <v>1482</v>
      </c>
      <c r="H86" s="349" t="s">
        <v>521</v>
      </c>
      <c r="J86" s="166" t="s">
        <v>555</v>
      </c>
      <c r="N86" s="166" t="s">
        <v>2817</v>
      </c>
      <c r="P86" s="168">
        <f>SUMIF('Balance Sheet Detail'!$B:$B,$R86,'Balance Sheet Detail'!W:W)</f>
        <v>-393.18441000000001</v>
      </c>
      <c r="R86" s="166" t="s">
        <v>3904</v>
      </c>
    </row>
    <row r="87" spans="1:18">
      <c r="A87" s="127"/>
      <c r="B87" s="203">
        <v>254270</v>
      </c>
      <c r="D87" s="348" t="s">
        <v>2772</v>
      </c>
      <c r="F87" s="348" t="s">
        <v>849</v>
      </c>
      <c r="H87" s="349" t="s">
        <v>521</v>
      </c>
      <c r="J87" s="166" t="s">
        <v>438</v>
      </c>
      <c r="N87" s="166" t="s">
        <v>2817</v>
      </c>
      <c r="P87" s="168">
        <f>SUMIF('Balance Sheet Detail'!$B:$B,$R87,'Balance Sheet Detail'!W:W)</f>
        <v>-19632</v>
      </c>
      <c r="R87" s="166" t="s">
        <v>3905</v>
      </c>
    </row>
    <row r="88" spans="1:18">
      <c r="A88" s="127"/>
      <c r="B88" s="203">
        <v>254270</v>
      </c>
      <c r="D88" s="348" t="s">
        <v>2771</v>
      </c>
      <c r="F88" s="348" t="s">
        <v>851</v>
      </c>
      <c r="H88" s="349" t="s">
        <v>521</v>
      </c>
      <c r="J88" s="166" t="s">
        <v>439</v>
      </c>
      <c r="N88" s="166" t="s">
        <v>2817</v>
      </c>
      <c r="P88" s="168">
        <f>SUMIF('Balance Sheet Detail'!$B:$B,$R88,'Balance Sheet Detail'!W:W)</f>
        <v>5000.0000399999999</v>
      </c>
      <c r="R88" s="166" t="s">
        <v>3906</v>
      </c>
    </row>
    <row r="89" spans="1:18">
      <c r="A89" s="127"/>
      <c r="B89" s="203">
        <v>254270</v>
      </c>
      <c r="D89" s="348" t="s">
        <v>3272</v>
      </c>
      <c r="F89" s="348" t="s">
        <v>437</v>
      </c>
      <c r="H89" s="349" t="s">
        <v>521</v>
      </c>
      <c r="J89" s="166" t="s">
        <v>2964</v>
      </c>
      <c r="N89" s="166" t="s">
        <v>2817</v>
      </c>
      <c r="P89" s="168">
        <f>SUMIF('Balance Sheet Detail'!$B:$B,$R89,'Balance Sheet Detail'!W:W)</f>
        <v>214.16813999999999</v>
      </c>
      <c r="R89" s="166" t="s">
        <v>3907</v>
      </c>
    </row>
    <row r="90" spans="1:18">
      <c r="A90" s="127"/>
      <c r="B90" s="203">
        <v>254270</v>
      </c>
      <c r="D90" s="348" t="s">
        <v>3272</v>
      </c>
      <c r="F90" s="348" t="s">
        <v>469</v>
      </c>
      <c r="H90" s="349" t="s">
        <v>521</v>
      </c>
      <c r="J90" s="166" t="s">
        <v>2470</v>
      </c>
      <c r="N90" s="166" t="s">
        <v>2817</v>
      </c>
      <c r="P90" s="168">
        <f>SUMIF('Balance Sheet Detail'!$B:$B,$R90,'Balance Sheet Detail'!W:W)</f>
        <v>183.08647999999999</v>
      </c>
      <c r="R90" s="166" t="s">
        <v>3908</v>
      </c>
    </row>
    <row r="91" spans="1:18">
      <c r="A91" s="127"/>
      <c r="B91" s="203">
        <v>254270</v>
      </c>
      <c r="D91" s="348" t="s">
        <v>1831</v>
      </c>
      <c r="F91" s="348" t="s">
        <v>440</v>
      </c>
      <c r="H91" s="349" t="s">
        <v>521</v>
      </c>
      <c r="J91" s="166" t="s">
        <v>1479</v>
      </c>
      <c r="N91" s="166" t="s">
        <v>2817</v>
      </c>
      <c r="P91" s="168">
        <f>SUMIF('Balance Sheet Detail'!$B:$B,$R91,'Balance Sheet Detail'!W:W)</f>
        <v>0</v>
      </c>
      <c r="R91" s="166" t="s">
        <v>3909</v>
      </c>
    </row>
    <row r="92" spans="1:18">
      <c r="A92" s="127"/>
      <c r="B92" s="203">
        <v>254270</v>
      </c>
      <c r="D92" s="348" t="s">
        <v>3271</v>
      </c>
      <c r="F92" s="348" t="s">
        <v>441</v>
      </c>
      <c r="H92" s="349" t="s">
        <v>521</v>
      </c>
      <c r="J92" s="166" t="s">
        <v>1479</v>
      </c>
      <c r="N92" s="166" t="s">
        <v>2817</v>
      </c>
      <c r="P92" s="168">
        <f>SUMIF('Balance Sheet Detail'!$B:$B,$R92,'Balance Sheet Detail'!W:W)</f>
        <v>0</v>
      </c>
      <c r="R92" s="166" t="s">
        <v>3910</v>
      </c>
    </row>
    <row r="93" spans="1:18">
      <c r="A93" s="127"/>
      <c r="B93" s="203">
        <v>254270</v>
      </c>
      <c r="D93" s="348" t="s">
        <v>3273</v>
      </c>
      <c r="F93" s="348" t="s">
        <v>408</v>
      </c>
      <c r="H93" s="349" t="s">
        <v>521</v>
      </c>
      <c r="J93" s="166" t="s">
        <v>2199</v>
      </c>
      <c r="N93" s="166" t="s">
        <v>2817</v>
      </c>
      <c r="P93" s="168">
        <f>SUMIF('Balance Sheet Detail'!$B:$B,$R93,'Balance Sheet Detail'!W:W)</f>
        <v>-10309.40206</v>
      </c>
      <c r="R93" s="166" t="s">
        <v>3911</v>
      </c>
    </row>
    <row r="94" spans="1:18">
      <c r="A94" s="127"/>
      <c r="B94" s="203">
        <v>254270</v>
      </c>
      <c r="D94" s="348" t="s">
        <v>3274</v>
      </c>
      <c r="F94" s="348" t="s">
        <v>2466</v>
      </c>
      <c r="H94" s="349" t="s">
        <v>521</v>
      </c>
      <c r="J94" s="166" t="s">
        <v>2468</v>
      </c>
      <c r="N94" s="166" t="s">
        <v>2817</v>
      </c>
      <c r="P94" s="168">
        <f>SUMIF('Balance Sheet Detail'!$B:$B,$R94,'Balance Sheet Detail'!W:W)</f>
        <v>79.23</v>
      </c>
      <c r="R94" s="166" t="s">
        <v>3912</v>
      </c>
    </row>
    <row r="95" spans="1:18">
      <c r="A95" s="127"/>
      <c r="B95" s="203">
        <v>254270</v>
      </c>
      <c r="D95" s="348" t="s">
        <v>1625</v>
      </c>
      <c r="F95" s="348" t="s">
        <v>2200</v>
      </c>
      <c r="H95" s="349" t="s">
        <v>521</v>
      </c>
      <c r="J95" s="166" t="s">
        <v>772</v>
      </c>
      <c r="N95" s="166" t="s">
        <v>2817</v>
      </c>
      <c r="P95" s="168">
        <f>SUMIF('Balance Sheet Detail'!$B:$B,$R95,'Balance Sheet Detail'!W:W)</f>
        <v>26023.986000000001</v>
      </c>
      <c r="R95" s="166" t="s">
        <v>3913</v>
      </c>
    </row>
    <row r="96" spans="1:18">
      <c r="A96" s="127"/>
      <c r="B96" s="203">
        <v>254270</v>
      </c>
      <c r="D96" s="348" t="s">
        <v>3248</v>
      </c>
      <c r="F96" s="348" t="s">
        <v>2201</v>
      </c>
      <c r="H96" s="349" t="s">
        <v>521</v>
      </c>
      <c r="J96" s="166" t="s">
        <v>1798</v>
      </c>
      <c r="N96" s="166" t="s">
        <v>2817</v>
      </c>
      <c r="P96" s="168">
        <f>SUMIF('Balance Sheet Detail'!$B:$B,$R96,'Balance Sheet Detail'!W:W)</f>
        <v>-57.887419999999999</v>
      </c>
      <c r="R96" s="166" t="s">
        <v>3914</v>
      </c>
    </row>
    <row r="97" spans="1:18">
      <c r="A97" s="127"/>
      <c r="B97" s="203">
        <v>254270</v>
      </c>
      <c r="D97" s="348" t="s">
        <v>3265</v>
      </c>
      <c r="F97" s="348" t="s">
        <v>1122</v>
      </c>
      <c r="H97" s="349" t="s">
        <v>521</v>
      </c>
      <c r="J97" s="166" t="s">
        <v>818</v>
      </c>
      <c r="N97" s="166" t="s">
        <v>2817</v>
      </c>
      <c r="P97" s="168">
        <f>SUMIF('Balance Sheet Detail'!$B:$B,$R97,'Balance Sheet Detail'!W:W)</f>
        <v>3565.1620800000001</v>
      </c>
      <c r="R97" s="166" t="s">
        <v>3915</v>
      </c>
    </row>
    <row r="98" spans="1:18">
      <c r="A98" s="127"/>
      <c r="B98" s="203">
        <v>254270</v>
      </c>
      <c r="D98" s="348" t="s">
        <v>1707</v>
      </c>
      <c r="F98" s="348" t="s">
        <v>1123</v>
      </c>
      <c r="H98" s="349" t="s">
        <v>521</v>
      </c>
      <c r="J98" s="166" t="s">
        <v>818</v>
      </c>
      <c r="N98" s="166" t="s">
        <v>2817</v>
      </c>
      <c r="P98" s="168">
        <f>SUMIF('Balance Sheet Detail'!$B:$B,$R98,'Balance Sheet Detail'!W:W)</f>
        <v>2778.2576104166701</v>
      </c>
      <c r="R98" s="166" t="s">
        <v>3916</v>
      </c>
    </row>
    <row r="99" spans="1:18">
      <c r="A99" s="127"/>
      <c r="B99" s="203">
        <v>254270</v>
      </c>
      <c r="D99" s="348" t="s">
        <v>1124</v>
      </c>
      <c r="F99" s="348" t="s">
        <v>122</v>
      </c>
      <c r="H99" s="349" t="s">
        <v>521</v>
      </c>
      <c r="J99" s="166" t="s">
        <v>818</v>
      </c>
      <c r="N99" s="166" t="s">
        <v>2817</v>
      </c>
      <c r="P99" s="168">
        <f>SUMIF('Balance Sheet Detail'!$B:$B,$R99,'Balance Sheet Detail'!W:W)</f>
        <v>1978.7956300000001</v>
      </c>
      <c r="R99" s="166" t="s">
        <v>3917</v>
      </c>
    </row>
    <row r="100" spans="1:18">
      <c r="A100" s="127"/>
      <c r="B100" s="203">
        <v>254270</v>
      </c>
      <c r="D100" s="348" t="s">
        <v>1707</v>
      </c>
      <c r="F100" s="348"/>
      <c r="H100" s="349" t="s">
        <v>521</v>
      </c>
      <c r="J100" s="166" t="s">
        <v>3136</v>
      </c>
      <c r="N100" s="166" t="s">
        <v>2817</v>
      </c>
      <c r="P100" s="168">
        <f>SUMIF('Balance Sheet Detail'!$B:$B,$R100,'Balance Sheet Detail'!W:W)</f>
        <v>989.51924750000001</v>
      </c>
      <c r="R100" s="166" t="s">
        <v>4700</v>
      </c>
    </row>
    <row r="101" spans="1:18">
      <c r="A101" s="127"/>
      <c r="B101" s="203">
        <v>254270</v>
      </c>
      <c r="D101" s="348" t="s">
        <v>1124</v>
      </c>
      <c r="F101" s="348"/>
      <c r="H101" s="349" t="s">
        <v>521</v>
      </c>
      <c r="J101" s="166" t="s">
        <v>3137</v>
      </c>
      <c r="N101" s="166" t="s">
        <v>2817</v>
      </c>
      <c r="P101" s="168">
        <f>SUMIF('Balance Sheet Detail'!$B:$B,$R101,'Balance Sheet Detail'!W:W)</f>
        <v>7361.5764300000001</v>
      </c>
      <c r="R101" s="166" t="s">
        <v>4701</v>
      </c>
    </row>
    <row r="102" spans="1:18">
      <c r="A102" s="127"/>
      <c r="B102" s="203">
        <v>254270</v>
      </c>
      <c r="D102" s="348" t="s">
        <v>1241</v>
      </c>
      <c r="F102" s="348"/>
      <c r="H102" s="349" t="s">
        <v>521</v>
      </c>
      <c r="J102" s="166" t="s">
        <v>3138</v>
      </c>
      <c r="N102" s="166" t="s">
        <v>2817</v>
      </c>
      <c r="P102" s="168">
        <f>SUMIF('Balance Sheet Detail'!$B:$B,$R102,'Balance Sheet Detail'!W:W)</f>
        <v>-9478.9712858333296</v>
      </c>
      <c r="R102" s="166" t="s">
        <v>3930</v>
      </c>
    </row>
    <row r="103" spans="1:18">
      <c r="A103" s="127"/>
      <c r="B103" s="203">
        <v>254270</v>
      </c>
      <c r="D103" s="348" t="s">
        <v>394</v>
      </c>
      <c r="F103" s="348" t="s">
        <v>123</v>
      </c>
      <c r="H103" s="349" t="s">
        <v>521</v>
      </c>
      <c r="J103" s="166" t="s">
        <v>124</v>
      </c>
      <c r="N103" s="166" t="s">
        <v>2817</v>
      </c>
      <c r="P103" s="168">
        <f>SUMIF('Balance Sheet Detail'!$B:$B,$R103,'Balance Sheet Detail'!W:W)</f>
        <v>56.459090000000003</v>
      </c>
      <c r="R103" s="166" t="s">
        <v>3918</v>
      </c>
    </row>
    <row r="104" spans="1:18">
      <c r="A104" s="127"/>
      <c r="B104" s="203">
        <v>254270</v>
      </c>
      <c r="D104" s="348" t="s">
        <v>3248</v>
      </c>
      <c r="F104" s="348">
        <v>809012</v>
      </c>
      <c r="H104" s="349" t="s">
        <v>521</v>
      </c>
      <c r="J104" s="166" t="s">
        <v>1733</v>
      </c>
      <c r="N104" s="166" t="s">
        <v>2817</v>
      </c>
      <c r="P104" s="168">
        <f>SUMIF('Balance Sheet Detail'!$B:$B,$R104,'Balance Sheet Detail'!W:W)</f>
        <v>129.76517000000001</v>
      </c>
      <c r="R104" s="166" t="s">
        <v>3919</v>
      </c>
    </row>
    <row r="105" spans="1:18">
      <c r="A105" s="127"/>
      <c r="B105" s="203">
        <v>254270</v>
      </c>
      <c r="D105" s="348" t="s">
        <v>3248</v>
      </c>
      <c r="F105" s="348" t="s">
        <v>562</v>
      </c>
      <c r="H105" s="349" t="s">
        <v>521</v>
      </c>
      <c r="J105" s="166" t="s">
        <v>563</v>
      </c>
      <c r="N105" s="166" t="s">
        <v>2817</v>
      </c>
      <c r="P105" s="168">
        <f>SUMIF('Balance Sheet Detail'!$B:$B,$R105,'Balance Sheet Detail'!W:W)</f>
        <v>580.30101000000002</v>
      </c>
      <c r="R105" s="166" t="s">
        <v>3920</v>
      </c>
    </row>
    <row r="106" spans="1:18">
      <c r="A106" s="127"/>
      <c r="B106" s="203">
        <v>254270</v>
      </c>
      <c r="D106" s="348" t="s">
        <v>3248</v>
      </c>
      <c r="F106" s="348" t="s">
        <v>1497</v>
      </c>
      <c r="H106" s="349" t="s">
        <v>521</v>
      </c>
      <c r="J106" s="166" t="s">
        <v>1502</v>
      </c>
      <c r="N106" s="166" t="s">
        <v>2817</v>
      </c>
      <c r="P106" s="168">
        <f>SUMIF('Balance Sheet Detail'!$B:$B,$R106,'Balance Sheet Detail'!W:W)</f>
        <v>257.52026000000001</v>
      </c>
      <c r="R106" s="166" t="s">
        <v>3921</v>
      </c>
    </row>
    <row r="107" spans="1:18">
      <c r="A107" s="127"/>
      <c r="B107" s="203">
        <v>254270</v>
      </c>
      <c r="D107" s="348" t="s">
        <v>3248</v>
      </c>
      <c r="F107" s="348" t="s">
        <v>1498</v>
      </c>
      <c r="H107" s="349" t="s">
        <v>521</v>
      </c>
      <c r="J107" s="166" t="s">
        <v>558</v>
      </c>
      <c r="N107" s="166" t="s">
        <v>2817</v>
      </c>
      <c r="P107" s="168">
        <f>SUMIF('Balance Sheet Detail'!$B:$B,$R107,'Balance Sheet Detail'!W:W)</f>
        <v>-368.57499999999999</v>
      </c>
      <c r="R107" s="166" t="s">
        <v>3922</v>
      </c>
    </row>
    <row r="108" spans="1:18">
      <c r="A108" s="127"/>
      <c r="B108" s="203">
        <v>254270</v>
      </c>
      <c r="D108" s="348" t="s">
        <v>3248</v>
      </c>
      <c r="F108" s="348" t="s">
        <v>1499</v>
      </c>
      <c r="H108" s="349" t="s">
        <v>521</v>
      </c>
      <c r="J108" s="166" t="s">
        <v>559</v>
      </c>
      <c r="N108" s="166" t="s">
        <v>2817</v>
      </c>
      <c r="P108" s="168">
        <f>SUMIF('Balance Sheet Detail'!$B:$B,$R108,'Balance Sheet Detail'!W:W)</f>
        <v>59</v>
      </c>
      <c r="R108" s="166" t="s">
        <v>3923</v>
      </c>
    </row>
    <row r="109" spans="1:18">
      <c r="A109" s="127"/>
      <c r="B109" s="203">
        <v>254270</v>
      </c>
      <c r="D109" s="348" t="s">
        <v>3248</v>
      </c>
      <c r="F109" s="348" t="s">
        <v>1500</v>
      </c>
      <c r="H109" s="349" t="s">
        <v>521</v>
      </c>
      <c r="J109" s="166" t="s">
        <v>560</v>
      </c>
      <c r="N109" s="166" t="s">
        <v>2817</v>
      </c>
      <c r="P109" s="168">
        <f>SUMIF('Balance Sheet Detail'!$B:$B,$R109,'Balance Sheet Detail'!W:W)</f>
        <v>2119.6330499999999</v>
      </c>
      <c r="R109" s="166" t="s">
        <v>3924</v>
      </c>
    </row>
    <row r="110" spans="1:18">
      <c r="A110" s="127"/>
      <c r="B110" s="203">
        <v>254270</v>
      </c>
      <c r="D110" s="348" t="s">
        <v>3248</v>
      </c>
      <c r="F110" s="348" t="s">
        <v>1501</v>
      </c>
      <c r="H110" s="349" t="s">
        <v>521</v>
      </c>
      <c r="J110" s="166" t="s">
        <v>561</v>
      </c>
      <c r="N110" s="166" t="s">
        <v>2817</v>
      </c>
      <c r="P110" s="168">
        <f>SUMIF('Balance Sheet Detail'!$B:$B,$R110,'Balance Sheet Detail'!W:W)</f>
        <v>1091.5597399999999</v>
      </c>
      <c r="R110" s="166" t="s">
        <v>3925</v>
      </c>
    </row>
    <row r="111" spans="1:18">
      <c r="A111" s="127"/>
      <c r="B111" s="203">
        <v>254270</v>
      </c>
      <c r="D111" s="348" t="s">
        <v>3248</v>
      </c>
      <c r="F111" s="348" t="s">
        <v>2462</v>
      </c>
      <c r="H111" s="349" t="s">
        <v>521</v>
      </c>
      <c r="J111" s="166" t="s">
        <v>2463</v>
      </c>
      <c r="N111" s="166" t="s">
        <v>2817</v>
      </c>
      <c r="P111" s="168">
        <f>SUMIF('Balance Sheet Detail'!$B:$B,$R111,'Balance Sheet Detail'!W:W)</f>
        <v>-48.720469999999999</v>
      </c>
      <c r="R111" s="166" t="s">
        <v>3926</v>
      </c>
    </row>
    <row r="112" spans="1:18">
      <c r="A112" s="127"/>
      <c r="B112" s="203">
        <v>254270</v>
      </c>
      <c r="D112" s="348" t="s">
        <v>3275</v>
      </c>
      <c r="F112" s="348" t="s">
        <v>2464</v>
      </c>
      <c r="H112" s="349" t="s">
        <v>521</v>
      </c>
      <c r="J112" s="166" t="s">
        <v>2467</v>
      </c>
      <c r="N112" s="166" t="s">
        <v>2817</v>
      </c>
      <c r="P112" s="168">
        <f>SUMIF('Balance Sheet Detail'!$B:$B,$R112,'Balance Sheet Detail'!W:W)</f>
        <v>-200</v>
      </c>
      <c r="R112" s="166" t="s">
        <v>3927</v>
      </c>
    </row>
    <row r="113" spans="1:18">
      <c r="A113" s="127"/>
      <c r="B113" s="203">
        <v>254270</v>
      </c>
      <c r="D113" s="348" t="s">
        <v>3248</v>
      </c>
      <c r="F113" s="348" t="s">
        <v>2465</v>
      </c>
      <c r="H113" s="349" t="s">
        <v>521</v>
      </c>
      <c r="J113" s="166" t="s">
        <v>2469</v>
      </c>
      <c r="N113" s="166" t="s">
        <v>2817</v>
      </c>
      <c r="P113" s="168">
        <f>SUMIF('Balance Sheet Detail'!$B:$B,$R113,'Balance Sheet Detail'!W:W)</f>
        <v>-1560.3986199999999</v>
      </c>
      <c r="R113" s="166" t="s">
        <v>3928</v>
      </c>
    </row>
    <row r="114" spans="1:18">
      <c r="A114" s="127"/>
      <c r="B114" s="203">
        <v>254270</v>
      </c>
      <c r="D114" s="348" t="s">
        <v>1241</v>
      </c>
      <c r="F114" s="348" t="s">
        <v>1242</v>
      </c>
      <c r="H114" s="349" t="s">
        <v>521</v>
      </c>
      <c r="J114" s="166" t="s">
        <v>1243</v>
      </c>
      <c r="N114" s="166" t="s">
        <v>2817</v>
      </c>
      <c r="P114" s="168">
        <f>SUMIF('Balance Sheet Detail'!$B:$B,$R114,'Balance Sheet Detail'!W:W)</f>
        <v>-6.8000000000000001E-14</v>
      </c>
      <c r="R114" s="166" t="s">
        <v>3929</v>
      </c>
    </row>
    <row r="115" spans="1:18">
      <c r="A115" s="127"/>
      <c r="B115" s="203">
        <v>254270</v>
      </c>
      <c r="D115" s="348" t="s">
        <v>2637</v>
      </c>
      <c r="F115" s="348" t="s">
        <v>2637</v>
      </c>
      <c r="H115" s="349" t="s">
        <v>521</v>
      </c>
      <c r="J115" s="166" t="s">
        <v>777</v>
      </c>
      <c r="N115" s="166" t="s">
        <v>2817</v>
      </c>
      <c r="P115" s="168">
        <f>SUMIF('Balance Sheet Detail'!$B:$B,$R115,'Balance Sheet Detail'!W:W)</f>
        <v>382.49129625</v>
      </c>
      <c r="R115" s="166" t="s">
        <v>4493</v>
      </c>
    </row>
    <row r="116" spans="1:18">
      <c r="A116" s="127"/>
      <c r="B116" s="203">
        <v>254270</v>
      </c>
      <c r="D116" s="348" t="s">
        <v>1241</v>
      </c>
      <c r="F116" s="348" t="s">
        <v>3139</v>
      </c>
      <c r="H116" s="349" t="s">
        <v>521</v>
      </c>
      <c r="J116" s="166" t="s">
        <v>3140</v>
      </c>
      <c r="N116" s="166" t="s">
        <v>2817</v>
      </c>
      <c r="P116" s="168">
        <f>SUMIF('Balance Sheet Detail'!$B:$B,$R116,'Balance Sheet Detail'!W:W)</f>
        <v>33405.405279999999</v>
      </c>
      <c r="R116" s="166" t="s">
        <v>3931</v>
      </c>
    </row>
    <row r="117" spans="1:18">
      <c r="A117" s="127"/>
      <c r="B117" s="203">
        <v>254996</v>
      </c>
      <c r="D117" s="348" t="s">
        <v>3276</v>
      </c>
      <c r="F117" s="348">
        <v>800170</v>
      </c>
      <c r="H117" s="349" t="s">
        <v>521</v>
      </c>
      <c r="J117" s="166" t="s">
        <v>1431</v>
      </c>
      <c r="N117" s="166" t="s">
        <v>2817</v>
      </c>
      <c r="P117" s="168">
        <f>SUMIF('Balance Sheet Detail'!$B:$B,$R117,'Balance Sheet Detail'!W:W)</f>
        <v>0</v>
      </c>
      <c r="R117" s="166" t="s">
        <v>3932</v>
      </c>
    </row>
    <row r="118" spans="1:18">
      <c r="A118" s="127"/>
      <c r="B118" s="203">
        <v>190006</v>
      </c>
      <c r="D118" s="348"/>
      <c r="F118" s="348">
        <v>807170</v>
      </c>
      <c r="H118" s="349" t="s">
        <v>521</v>
      </c>
      <c r="J118" s="166" t="s">
        <v>76</v>
      </c>
      <c r="N118" s="166" t="s">
        <v>2817</v>
      </c>
      <c r="P118" s="168">
        <f>SUMIF('Balance Sheet Detail'!$B:$B,$R118,'Balance Sheet Detail'!W:W)</f>
        <v>0</v>
      </c>
      <c r="R118" s="166" t="s">
        <v>3279</v>
      </c>
    </row>
    <row r="119" spans="1:18">
      <c r="A119" s="127"/>
      <c r="B119" s="203">
        <v>190016</v>
      </c>
      <c r="D119" s="348"/>
      <c r="F119" s="348">
        <v>807170</v>
      </c>
      <c r="H119" s="349" t="s">
        <v>521</v>
      </c>
      <c r="J119" s="166" t="s">
        <v>76</v>
      </c>
      <c r="N119" s="166" t="s">
        <v>2817</v>
      </c>
      <c r="P119" s="168">
        <f>SUMIF('Balance Sheet Detail'!$B:$B,$R119,'Balance Sheet Detail'!W:W)</f>
        <v>0</v>
      </c>
      <c r="R119" s="166" t="s">
        <v>3280</v>
      </c>
    </row>
    <row r="120" spans="1:18">
      <c r="A120" s="127"/>
      <c r="B120" s="203">
        <v>190501</v>
      </c>
      <c r="D120" s="348" t="s">
        <v>1124</v>
      </c>
      <c r="F120" s="348" t="s">
        <v>2363</v>
      </c>
      <c r="H120" s="349" t="s">
        <v>521</v>
      </c>
      <c r="J120" s="166" t="s">
        <v>1374</v>
      </c>
      <c r="N120" s="166" t="s">
        <v>2817</v>
      </c>
      <c r="P120" s="168">
        <f>SUMIF('Balance Sheet Detail'!$B:$B,$R120,'Balance Sheet Detail'!W:W)</f>
        <v>-20558.299052499999</v>
      </c>
      <c r="R120" s="166" t="s">
        <v>3281</v>
      </c>
    </row>
    <row r="121" spans="1:18">
      <c r="A121" s="127"/>
      <c r="B121" s="203">
        <v>190501</v>
      </c>
      <c r="D121" s="348" t="s">
        <v>1124</v>
      </c>
      <c r="F121" s="348" t="s">
        <v>2364</v>
      </c>
      <c r="H121" s="349" t="s">
        <v>521</v>
      </c>
      <c r="J121" s="166" t="s">
        <v>1119</v>
      </c>
      <c r="N121" s="166" t="s">
        <v>2817</v>
      </c>
      <c r="P121" s="168">
        <f>SUMIF('Balance Sheet Detail'!$B:$B,$R121,'Balance Sheet Detail'!W:W)</f>
        <v>0</v>
      </c>
      <c r="R121" s="166" t="s">
        <v>3282</v>
      </c>
    </row>
    <row r="122" spans="1:18">
      <c r="A122" s="127"/>
      <c r="B122" s="203">
        <v>190511</v>
      </c>
      <c r="D122" s="348" t="s">
        <v>1124</v>
      </c>
      <c r="F122" s="348" t="s">
        <v>2363</v>
      </c>
      <c r="H122" s="349" t="s">
        <v>521</v>
      </c>
      <c r="J122" s="166" t="s">
        <v>1374</v>
      </c>
      <c r="N122" s="166" t="s">
        <v>2817</v>
      </c>
      <c r="P122" s="168">
        <f>SUMIF('Balance Sheet Detail'!$B:$B,$R122,'Balance Sheet Detail'!W:W)</f>
        <v>-4489.1260904166702</v>
      </c>
      <c r="R122" s="166" t="s">
        <v>3283</v>
      </c>
    </row>
    <row r="123" spans="1:18">
      <c r="A123" s="127"/>
      <c r="B123" s="203">
        <v>190511</v>
      </c>
      <c r="D123" s="348" t="s">
        <v>1124</v>
      </c>
      <c r="F123" s="348" t="s">
        <v>2364</v>
      </c>
      <c r="H123" s="349" t="s">
        <v>521</v>
      </c>
      <c r="J123" s="166" t="s">
        <v>7</v>
      </c>
      <c r="N123" s="166" t="s">
        <v>2817</v>
      </c>
      <c r="P123" s="168">
        <f>SUMIF('Balance Sheet Detail'!$B:$B,$R123,'Balance Sheet Detail'!W:W)</f>
        <v>0</v>
      </c>
      <c r="R123" s="166" t="s">
        <v>3284</v>
      </c>
    </row>
    <row r="124" spans="1:18">
      <c r="A124" s="127"/>
      <c r="B124" s="203">
        <v>283000</v>
      </c>
      <c r="D124" s="348" t="s">
        <v>1124</v>
      </c>
      <c r="F124" s="348">
        <v>800170</v>
      </c>
      <c r="H124" s="349" t="s">
        <v>521</v>
      </c>
      <c r="J124" s="166" t="s">
        <v>2237</v>
      </c>
      <c r="N124" s="166" t="s">
        <v>2817</v>
      </c>
      <c r="P124" s="168">
        <f>SUMIF('Balance Sheet Detail'!$B:$B,$R124,'Balance Sheet Detail'!W:W)</f>
        <v>0</v>
      </c>
      <c r="R124" s="166" t="s">
        <v>3285</v>
      </c>
    </row>
    <row r="125" spans="1:18">
      <c r="A125" s="127"/>
      <c r="B125" s="203">
        <v>283000</v>
      </c>
      <c r="D125" s="348" t="s">
        <v>42</v>
      </c>
      <c r="F125" s="348" t="s">
        <v>1093</v>
      </c>
      <c r="H125" s="349" t="s">
        <v>521</v>
      </c>
      <c r="J125" s="166" t="s">
        <v>152</v>
      </c>
      <c r="N125" s="166" t="s">
        <v>2817</v>
      </c>
      <c r="P125" s="168">
        <f>SUMIF('Balance Sheet Detail'!$B:$B,$R125,'Balance Sheet Detail'!W:W)</f>
        <v>0</v>
      </c>
      <c r="R125" s="166" t="s">
        <v>3286</v>
      </c>
    </row>
    <row r="126" spans="1:18">
      <c r="A126" s="127"/>
      <c r="B126" s="203">
        <v>283006</v>
      </c>
      <c r="D126" s="348" t="s">
        <v>879</v>
      </c>
      <c r="F126" s="348" t="s">
        <v>1755</v>
      </c>
      <c r="H126" s="349" t="s">
        <v>521</v>
      </c>
      <c r="J126" s="166" t="s">
        <v>1757</v>
      </c>
      <c r="N126" s="166" t="s">
        <v>2817</v>
      </c>
      <c r="P126" s="168">
        <f>SUMIF('Balance Sheet Detail'!$B:$B,$R126,'Balance Sheet Detail'!W:W)</f>
        <v>-16517.62</v>
      </c>
      <c r="R126" s="166" t="s">
        <v>3287</v>
      </c>
    </row>
    <row r="127" spans="1:18">
      <c r="A127" s="127"/>
      <c r="B127" s="203">
        <v>283008</v>
      </c>
      <c r="D127" s="348" t="s">
        <v>879</v>
      </c>
      <c r="F127" s="348" t="s">
        <v>1755</v>
      </c>
      <c r="H127" s="349" t="s">
        <v>521</v>
      </c>
      <c r="J127" s="166" t="s">
        <v>923</v>
      </c>
      <c r="N127" s="166" t="s">
        <v>2817</v>
      </c>
      <c r="P127" s="168">
        <f>SUMIF('Balance Sheet Detail'!$B:$B,$R127,'Balance Sheet Detail'!W:W)</f>
        <v>16517.62</v>
      </c>
      <c r="R127" s="166" t="s">
        <v>3288</v>
      </c>
    </row>
    <row r="128" spans="1:18">
      <c r="A128" s="127"/>
      <c r="B128" s="203">
        <v>283016</v>
      </c>
      <c r="D128" s="348" t="s">
        <v>879</v>
      </c>
      <c r="F128" s="348" t="s">
        <v>1755</v>
      </c>
      <c r="H128" s="349" t="s">
        <v>521</v>
      </c>
      <c r="J128" s="166" t="s">
        <v>1757</v>
      </c>
      <c r="N128" s="166" t="s">
        <v>2817</v>
      </c>
      <c r="P128" s="168">
        <f>SUMIF('Balance Sheet Detail'!$B:$B,$R128,'Balance Sheet Detail'!W:W)</f>
        <v>-3606.8</v>
      </c>
      <c r="R128" s="166" t="s">
        <v>3289</v>
      </c>
    </row>
    <row r="129" spans="1:18">
      <c r="A129" s="127"/>
      <c r="B129" s="203">
        <v>283018</v>
      </c>
      <c r="D129" s="348" t="s">
        <v>879</v>
      </c>
      <c r="F129" s="348" t="s">
        <v>1755</v>
      </c>
      <c r="H129" s="349" t="s">
        <v>521</v>
      </c>
      <c r="J129" s="166" t="s">
        <v>1757</v>
      </c>
      <c r="N129" s="166" t="s">
        <v>2817</v>
      </c>
      <c r="P129" s="350">
        <f>SUMIF('Balance Sheet Detail'!$B:$B,$R129,'Balance Sheet Detail'!W:W)</f>
        <v>3606.8</v>
      </c>
      <c r="R129" s="166" t="s">
        <v>3290</v>
      </c>
    </row>
    <row r="130" spans="1:18" s="332" customFormat="1" ht="14.25">
      <c r="A130" s="127"/>
      <c r="B130" s="351" t="s">
        <v>3184</v>
      </c>
      <c r="C130" s="352"/>
      <c r="D130" s="340"/>
      <c r="E130" s="352"/>
      <c r="F130" s="340"/>
      <c r="G130" s="352"/>
      <c r="H130" s="341"/>
      <c r="I130" s="352"/>
      <c r="J130" s="342"/>
      <c r="K130" s="352"/>
      <c r="L130" s="352"/>
      <c r="N130" s="338"/>
      <c r="P130" s="353">
        <f>SUM(P17:P129)</f>
        <v>-17415.084669166648</v>
      </c>
      <c r="R130" s="338"/>
    </row>
    <row r="131" spans="1:18">
      <c r="A131" s="127"/>
      <c r="B131" s="344"/>
      <c r="C131" s="345"/>
      <c r="D131" s="344"/>
      <c r="E131" s="345"/>
      <c r="F131" s="344"/>
      <c r="G131" s="345"/>
      <c r="H131" s="346"/>
      <c r="I131" s="345"/>
      <c r="J131" s="347"/>
      <c r="K131" s="345"/>
      <c r="L131" s="345"/>
      <c r="P131" s="343"/>
    </row>
    <row r="132" spans="1:18">
      <c r="A132" s="127" t="s">
        <v>972</v>
      </c>
      <c r="B132" s="344"/>
      <c r="C132" s="345"/>
      <c r="D132" s="344"/>
      <c r="E132" s="345"/>
      <c r="F132" s="344"/>
      <c r="G132" s="345"/>
      <c r="H132" s="346"/>
      <c r="I132" s="345"/>
      <c r="J132" s="347"/>
      <c r="K132" s="345"/>
      <c r="L132" s="345"/>
      <c r="P132" s="343"/>
    </row>
    <row r="133" spans="1:18">
      <c r="B133" s="203">
        <v>118010</v>
      </c>
      <c r="D133" s="348"/>
      <c r="F133" s="348"/>
      <c r="H133" s="349" t="s">
        <v>972</v>
      </c>
      <c r="J133" s="166" t="s">
        <v>1324</v>
      </c>
      <c r="P133" s="168">
        <f>SUMIF('Balance Sheet Detail'!$B:$B,$R133,'Balance Sheet Detail'!W:W)</f>
        <v>1726.1722199999999</v>
      </c>
      <c r="R133" s="166" t="s">
        <v>4320</v>
      </c>
    </row>
    <row r="134" spans="1:18">
      <c r="B134" s="203">
        <v>118030</v>
      </c>
      <c r="D134" s="348"/>
      <c r="F134" s="348"/>
      <c r="H134" s="349" t="s">
        <v>972</v>
      </c>
      <c r="J134" s="166" t="s">
        <v>1325</v>
      </c>
      <c r="P134" s="168">
        <f>SUMIF('Balance Sheet Detail'!$B:$B,$R134,'Balance Sheet Detail'!W:W)</f>
        <v>-419.54592374999999</v>
      </c>
      <c r="R134" s="166" t="s">
        <v>4321</v>
      </c>
    </row>
    <row r="135" spans="1:18">
      <c r="B135" s="203">
        <v>119010</v>
      </c>
      <c r="D135" s="348"/>
      <c r="F135" s="348"/>
      <c r="H135" s="349" t="s">
        <v>972</v>
      </c>
      <c r="J135" s="166" t="s">
        <v>1326</v>
      </c>
      <c r="P135" s="168">
        <f>SUMIF('Balance Sheet Detail'!$B:$B,$R135,'Balance Sheet Detail'!W:W)</f>
        <v>-843.484465</v>
      </c>
      <c r="R135" s="166" t="s">
        <v>4322</v>
      </c>
    </row>
    <row r="136" spans="1:18">
      <c r="B136" s="203">
        <v>119030</v>
      </c>
      <c r="D136" s="348"/>
      <c r="F136" s="348"/>
      <c r="H136" s="349" t="s">
        <v>972</v>
      </c>
      <c r="J136" s="166" t="s">
        <v>291</v>
      </c>
      <c r="P136" s="168">
        <f>SUMIF('Balance Sheet Detail'!$B:$B,$R136,'Balance Sheet Detail'!W:W)</f>
        <v>-678.91777416666696</v>
      </c>
      <c r="R136" s="166" t="s">
        <v>4323</v>
      </c>
    </row>
    <row r="137" spans="1:18">
      <c r="B137" s="203">
        <v>228460</v>
      </c>
      <c r="D137" s="348"/>
      <c r="F137" s="348"/>
      <c r="H137" s="349" t="s">
        <v>972</v>
      </c>
      <c r="J137" s="166" t="s">
        <v>971</v>
      </c>
      <c r="P137" s="168">
        <f>SUMIF('Balance Sheet Detail'!$B:$B,$R137,'Balance Sheet Detail'!W:W)</f>
        <v>2089.9270112499999</v>
      </c>
      <c r="R137" s="166" t="s">
        <v>4324</v>
      </c>
    </row>
    <row r="138" spans="1:18">
      <c r="B138" s="203">
        <v>230010</v>
      </c>
      <c r="D138" s="348"/>
      <c r="F138" s="348"/>
      <c r="H138" s="349" t="s">
        <v>972</v>
      </c>
      <c r="J138" s="166" t="s">
        <v>323</v>
      </c>
      <c r="P138" s="168">
        <f>SUMIF('Balance Sheet Detail'!$B:$B,$R138,'Balance Sheet Detail'!W:W)</f>
        <v>-6842.8277591666701</v>
      </c>
      <c r="R138" s="166" t="s">
        <v>4325</v>
      </c>
    </row>
    <row r="139" spans="1:18">
      <c r="B139" s="203">
        <v>230030</v>
      </c>
      <c r="D139" s="348"/>
      <c r="F139" s="348"/>
      <c r="H139" s="349" t="s">
        <v>972</v>
      </c>
      <c r="J139" s="166" t="s">
        <v>971</v>
      </c>
      <c r="P139" s="168">
        <f>SUMIF('Balance Sheet Detail'!$B:$B,$R139,'Balance Sheet Detail'!W:W)</f>
        <v>-8997.9112616666698</v>
      </c>
      <c r="R139" s="166" t="s">
        <v>4326</v>
      </c>
    </row>
    <row r="140" spans="1:18">
      <c r="B140" s="203">
        <v>182090</v>
      </c>
      <c r="D140" s="348">
        <v>0</v>
      </c>
      <c r="F140" s="348">
        <v>800125</v>
      </c>
      <c r="H140" s="349" t="s">
        <v>972</v>
      </c>
      <c r="J140" s="166" t="s">
        <v>1004</v>
      </c>
      <c r="P140" s="168">
        <f>SUMIF('Balance Sheet Detail'!$B:$B,$R140,'Balance Sheet Detail'!W:W)</f>
        <v>0</v>
      </c>
      <c r="R140" s="166" t="s">
        <v>4327</v>
      </c>
    </row>
    <row r="141" spans="1:18">
      <c r="B141" s="203">
        <v>182090</v>
      </c>
      <c r="D141" s="348">
        <v>0</v>
      </c>
      <c r="F141" s="348">
        <v>800176</v>
      </c>
      <c r="H141" s="349" t="s">
        <v>972</v>
      </c>
      <c r="J141" s="166" t="s">
        <v>1082</v>
      </c>
      <c r="P141" s="168">
        <f>SUMIF('Balance Sheet Detail'!$B:$B,$R141,'Balance Sheet Detail'!W:W)</f>
        <v>0</v>
      </c>
      <c r="R141" s="166" t="s">
        <v>4328</v>
      </c>
    </row>
    <row r="142" spans="1:18">
      <c r="B142" s="203">
        <v>182130</v>
      </c>
      <c r="D142" s="348">
        <v>0</v>
      </c>
      <c r="F142" s="348" t="s">
        <v>324</v>
      </c>
      <c r="H142" s="349" t="s">
        <v>972</v>
      </c>
      <c r="J142" s="166" t="s">
        <v>325</v>
      </c>
      <c r="P142" s="168">
        <f>SUMIF('Balance Sheet Detail'!$B:$B,$R142,'Balance Sheet Detail'!W:W)</f>
        <v>0</v>
      </c>
      <c r="R142" s="166" t="s">
        <v>4329</v>
      </c>
    </row>
    <row r="143" spans="1:18">
      <c r="B143" s="203">
        <v>182355</v>
      </c>
      <c r="D143" s="348" t="s">
        <v>3185</v>
      </c>
      <c r="F143" s="348">
        <v>800125</v>
      </c>
      <c r="H143" s="349" t="s">
        <v>972</v>
      </c>
      <c r="J143" s="166" t="s">
        <v>737</v>
      </c>
      <c r="P143" s="168">
        <f>SUMIF('Balance Sheet Detail'!$B:$B,$R143,'Balance Sheet Detail'!W:W)</f>
        <v>5960.1400041666702</v>
      </c>
      <c r="R143" s="166" t="s">
        <v>4330</v>
      </c>
    </row>
    <row r="144" spans="1:18">
      <c r="B144" s="203">
        <v>182355</v>
      </c>
      <c r="D144" s="348" t="e">
        <v>#N/A</v>
      </c>
      <c r="F144" s="348" t="s">
        <v>3121</v>
      </c>
      <c r="H144" s="349" t="s">
        <v>972</v>
      </c>
      <c r="J144" s="166" t="s">
        <v>737</v>
      </c>
      <c r="P144" s="168">
        <f>SUMIF('Balance Sheet Detail'!$B:$B,$R144,'Balance Sheet Detail'!W:W)</f>
        <v>0</v>
      </c>
      <c r="R144" s="166" t="s">
        <v>4331</v>
      </c>
    </row>
    <row r="145" spans="2:18">
      <c r="B145" s="203">
        <v>182355</v>
      </c>
      <c r="D145" s="348" t="e">
        <v>#N/A</v>
      </c>
      <c r="F145" s="348" t="s">
        <v>3123</v>
      </c>
      <c r="H145" s="349" t="s">
        <v>972</v>
      </c>
      <c r="J145" s="166" t="s">
        <v>737</v>
      </c>
      <c r="P145" s="168">
        <f>SUMIF('Balance Sheet Detail'!$B:$B,$R145,'Balance Sheet Detail'!W:W)</f>
        <v>0</v>
      </c>
      <c r="R145" s="166" t="s">
        <v>4332</v>
      </c>
    </row>
    <row r="146" spans="2:18">
      <c r="B146" s="203">
        <v>182356</v>
      </c>
      <c r="D146" s="348" t="s">
        <v>3186</v>
      </c>
      <c r="F146" s="348" t="s">
        <v>324</v>
      </c>
      <c r="H146" s="349" t="s">
        <v>972</v>
      </c>
      <c r="J146" s="166" t="s">
        <v>1670</v>
      </c>
      <c r="P146" s="168">
        <f>SUMIF('Balance Sheet Detail'!$B:$B,$R146,'Balance Sheet Detail'!W:W)</f>
        <v>0</v>
      </c>
      <c r="R146" s="166" t="s">
        <v>4333</v>
      </c>
    </row>
    <row r="147" spans="2:18">
      <c r="B147" s="203">
        <v>182356</v>
      </c>
      <c r="D147" s="348" t="s">
        <v>3186</v>
      </c>
      <c r="F147" s="348">
        <v>800176</v>
      </c>
      <c r="H147" s="349" t="s">
        <v>972</v>
      </c>
      <c r="J147" s="166" t="s">
        <v>1082</v>
      </c>
      <c r="P147" s="168">
        <f>SUMIF('Balance Sheet Detail'!$B:$B,$R147,'Balance Sheet Detail'!W:W)</f>
        <v>11007.4357783333</v>
      </c>
      <c r="R147" s="166" t="s">
        <v>4334</v>
      </c>
    </row>
    <row r="148" spans="2:18">
      <c r="B148" s="203">
        <v>254670</v>
      </c>
      <c r="D148" s="348" t="s">
        <v>3187</v>
      </c>
      <c r="F148" s="348" t="s">
        <v>2479</v>
      </c>
      <c r="H148" s="349" t="s">
        <v>972</v>
      </c>
      <c r="J148" s="166" t="s">
        <v>1226</v>
      </c>
      <c r="P148" s="168">
        <f>SUMIF('Balance Sheet Detail'!$B:$B,$R148,'Balance Sheet Detail'!W:W)</f>
        <v>-3000.98783</v>
      </c>
      <c r="R148" s="166" t="s">
        <v>4335</v>
      </c>
    </row>
    <row r="149" spans="2:18">
      <c r="B149" s="203">
        <v>190001</v>
      </c>
      <c r="D149" s="348" t="s">
        <v>994</v>
      </c>
      <c r="F149" s="348" t="s">
        <v>993</v>
      </c>
      <c r="H149" s="349" t="s">
        <v>972</v>
      </c>
      <c r="J149" s="166" t="s">
        <v>992</v>
      </c>
      <c r="P149" s="168">
        <f>SUMIF('Balance Sheet Detail'!$B:$B,$R149,'Balance Sheet Detail'!W:W)</f>
        <v>2224.9454616666699</v>
      </c>
      <c r="R149" s="166" t="s">
        <v>4336</v>
      </c>
    </row>
    <row r="150" spans="2:18">
      <c r="B150" s="203">
        <v>190002</v>
      </c>
      <c r="D150" s="348" t="s">
        <v>994</v>
      </c>
      <c r="F150" s="348" t="s">
        <v>993</v>
      </c>
      <c r="H150" s="349" t="s">
        <v>972</v>
      </c>
      <c r="J150" s="166" t="s">
        <v>659</v>
      </c>
      <c r="P150" s="168">
        <f>SUMIF('Balance Sheet Detail'!$B:$B,$R150,'Balance Sheet Detail'!W:W)</f>
        <v>2925.6708441666701</v>
      </c>
      <c r="R150" s="166" t="s">
        <v>4337</v>
      </c>
    </row>
    <row r="151" spans="2:18">
      <c r="B151" s="203">
        <v>190011</v>
      </c>
      <c r="D151" s="348" t="s">
        <v>994</v>
      </c>
      <c r="F151" s="348" t="s">
        <v>993</v>
      </c>
      <c r="H151" s="349" t="s">
        <v>972</v>
      </c>
      <c r="J151" s="166" t="s">
        <v>660</v>
      </c>
      <c r="P151" s="168">
        <f>SUMIF('Balance Sheet Detail'!$B:$B,$R151,'Balance Sheet Detail'!W:W)</f>
        <v>485.84076875</v>
      </c>
      <c r="R151" s="166" t="s">
        <v>4338</v>
      </c>
    </row>
    <row r="152" spans="2:18">
      <c r="B152" s="203">
        <v>190012</v>
      </c>
      <c r="D152" s="348" t="s">
        <v>994</v>
      </c>
      <c r="F152" s="348" t="s">
        <v>993</v>
      </c>
      <c r="H152" s="349" t="s">
        <v>972</v>
      </c>
      <c r="J152" s="166" t="s">
        <v>661</v>
      </c>
      <c r="P152" s="168">
        <f>SUMIF('Balance Sheet Detail'!$B:$B,$R152,'Balance Sheet Detail'!W:W)</f>
        <v>638.85171208333395</v>
      </c>
      <c r="R152" s="166" t="s">
        <v>4339</v>
      </c>
    </row>
    <row r="153" spans="2:18">
      <c r="B153" s="203">
        <v>190502</v>
      </c>
      <c r="D153" s="348" t="s">
        <v>67</v>
      </c>
      <c r="F153" s="348" t="s">
        <v>993</v>
      </c>
      <c r="H153" s="349" t="s">
        <v>972</v>
      </c>
      <c r="J153" s="166" t="s">
        <v>1046</v>
      </c>
      <c r="P153" s="168">
        <f>SUMIF('Balance Sheet Detail'!$B:$B,$R153,'Balance Sheet Detail'!W:W)</f>
        <v>975.77119000000005</v>
      </c>
      <c r="R153" s="166" t="s">
        <v>4340</v>
      </c>
    </row>
    <row r="154" spans="2:18">
      <c r="B154" s="203">
        <v>190512</v>
      </c>
      <c r="D154" s="348" t="s">
        <v>67</v>
      </c>
      <c r="F154" s="348" t="s">
        <v>993</v>
      </c>
      <c r="H154" s="349" t="s">
        <v>972</v>
      </c>
      <c r="J154" s="166" t="s">
        <v>68</v>
      </c>
      <c r="P154" s="168">
        <f>SUMIF('Balance Sheet Detail'!$B:$B,$R154,'Balance Sheet Detail'!W:W)</f>
        <v>213.07014000000001</v>
      </c>
      <c r="R154" s="166" t="s">
        <v>4341</v>
      </c>
    </row>
    <row r="155" spans="2:18">
      <c r="B155" s="203">
        <v>282200</v>
      </c>
      <c r="D155" s="348" t="s">
        <v>70</v>
      </c>
      <c r="F155" s="348" t="s">
        <v>993</v>
      </c>
      <c r="H155" s="349" t="s">
        <v>972</v>
      </c>
      <c r="J155" s="166" t="s">
        <v>69</v>
      </c>
      <c r="P155" s="168">
        <f>SUMIF('Balance Sheet Detail'!$B:$B,$R155,'Balance Sheet Detail'!W:W)</f>
        <v>-287.891405416667</v>
      </c>
      <c r="R155" s="166" t="s">
        <v>4342</v>
      </c>
    </row>
    <row r="156" spans="2:18">
      <c r="B156" s="203">
        <v>282210</v>
      </c>
      <c r="D156" s="348" t="s">
        <v>70</v>
      </c>
      <c r="F156" s="348" t="s">
        <v>993</v>
      </c>
      <c r="H156" s="349" t="s">
        <v>972</v>
      </c>
      <c r="J156" s="166" t="s">
        <v>69</v>
      </c>
      <c r="P156" s="168">
        <f>SUMIF('Balance Sheet Detail'!$B:$B,$R156,'Balance Sheet Detail'!W:W)</f>
        <v>359.20118250000002</v>
      </c>
      <c r="R156" s="166" t="s">
        <v>4343</v>
      </c>
    </row>
    <row r="157" spans="2:18">
      <c r="B157" s="203">
        <v>282240</v>
      </c>
      <c r="D157" s="348" t="s">
        <v>70</v>
      </c>
      <c r="F157" s="348" t="s">
        <v>993</v>
      </c>
      <c r="H157" s="349" t="s">
        <v>972</v>
      </c>
      <c r="J157" s="166" t="s">
        <v>71</v>
      </c>
      <c r="P157" s="168">
        <f>SUMIF('Balance Sheet Detail'!$B:$B,$R157,'Balance Sheet Detail'!W:W)</f>
        <v>-62.864192499999902</v>
      </c>
      <c r="R157" s="166" t="s">
        <v>4344</v>
      </c>
    </row>
    <row r="158" spans="2:18">
      <c r="B158" s="203">
        <v>282250</v>
      </c>
      <c r="D158" s="348" t="s">
        <v>70</v>
      </c>
      <c r="F158" s="348" t="s">
        <v>993</v>
      </c>
      <c r="H158" s="349" t="s">
        <v>972</v>
      </c>
      <c r="J158" s="166" t="s">
        <v>71</v>
      </c>
      <c r="P158" s="168">
        <f>SUMIF('Balance Sheet Detail'!$B:$B,$R158,'Balance Sheet Detail'!W:W)</f>
        <v>78.435442500000093</v>
      </c>
      <c r="R158" s="166" t="s">
        <v>4345</v>
      </c>
    </row>
    <row r="159" spans="2:18">
      <c r="B159" s="203">
        <v>283500</v>
      </c>
      <c r="D159" s="348" t="s">
        <v>1197</v>
      </c>
      <c r="F159" s="348" t="s">
        <v>993</v>
      </c>
      <c r="H159" s="349" t="s">
        <v>972</v>
      </c>
      <c r="J159" s="166" t="s">
        <v>1196</v>
      </c>
      <c r="P159" s="168">
        <f>SUMIF('Balance Sheet Detail'!$B:$B,$R159,'Balance Sheet Detail'!W:W)</f>
        <v>-1937.0540354166701</v>
      </c>
      <c r="R159" s="166" t="s">
        <v>4346</v>
      </c>
    </row>
    <row r="160" spans="2:18">
      <c r="B160" s="203">
        <v>283510</v>
      </c>
      <c r="D160" s="348" t="s">
        <v>1197</v>
      </c>
      <c r="F160" s="348" t="s">
        <v>993</v>
      </c>
      <c r="H160" s="349" t="s">
        <v>972</v>
      </c>
      <c r="J160" s="166" t="s">
        <v>1196</v>
      </c>
      <c r="P160" s="168">
        <f>SUMIF('Balance Sheet Detail'!$B:$B,$R160,'Balance Sheet Detail'!W:W)</f>
        <v>-4260.6432175</v>
      </c>
      <c r="R160" s="166" t="s">
        <v>4347</v>
      </c>
    </row>
    <row r="161" spans="1:18">
      <c r="B161" s="203">
        <v>283550</v>
      </c>
      <c r="D161" s="348" t="s">
        <v>1197</v>
      </c>
      <c r="F161" s="348"/>
      <c r="H161" s="349" t="s">
        <v>972</v>
      </c>
      <c r="J161" s="166" t="s">
        <v>1196</v>
      </c>
      <c r="P161" s="168">
        <f>SUMIF('Balance Sheet Detail'!$B:$B,$R161,'Balance Sheet Detail'!W:W)</f>
        <v>-422.97658541666698</v>
      </c>
      <c r="R161" s="166" t="s">
        <v>4348</v>
      </c>
    </row>
    <row r="162" spans="1:18">
      <c r="B162" s="203">
        <v>283560</v>
      </c>
      <c r="D162" s="348" t="s">
        <v>1197</v>
      </c>
      <c r="F162" s="348" t="s">
        <v>993</v>
      </c>
      <c r="H162" s="349" t="s">
        <v>972</v>
      </c>
      <c r="J162" s="166" t="s">
        <v>1196</v>
      </c>
      <c r="P162" s="350">
        <f>SUMIF('Balance Sheet Detail'!$B:$B,$R162,'Balance Sheet Detail'!W:W)</f>
        <v>-930.357284166667</v>
      </c>
      <c r="R162" s="166" t="s">
        <v>4349</v>
      </c>
    </row>
    <row r="163" spans="1:18" s="332" customFormat="1" ht="14.25">
      <c r="A163" s="127"/>
      <c r="B163" s="351" t="s">
        <v>3188</v>
      </c>
      <c r="C163" s="352"/>
      <c r="D163" s="340"/>
      <c r="E163" s="352"/>
      <c r="F163" s="340"/>
      <c r="G163" s="352"/>
      <c r="H163" s="341"/>
      <c r="I163" s="352"/>
      <c r="J163" s="342"/>
      <c r="K163" s="352"/>
      <c r="L163" s="352"/>
      <c r="N163" s="338"/>
      <c r="P163" s="353">
        <f>SUM(P133:P162)</f>
        <v>2.1249965925562719E-5</v>
      </c>
      <c r="R163" s="338"/>
    </row>
    <row r="164" spans="1:18">
      <c r="A164" s="127"/>
      <c r="B164" s="344"/>
      <c r="C164" s="345"/>
      <c r="D164" s="344"/>
      <c r="E164" s="345"/>
      <c r="F164" s="344"/>
      <c r="G164" s="345"/>
      <c r="H164" s="346"/>
      <c r="I164" s="345"/>
      <c r="J164" s="347"/>
      <c r="K164" s="345"/>
      <c r="L164" s="345"/>
      <c r="P164" s="343"/>
    </row>
    <row r="165" spans="1:18">
      <c r="A165" s="127" t="s">
        <v>1244</v>
      </c>
      <c r="B165" s="344"/>
      <c r="C165" s="345"/>
      <c r="D165" s="344"/>
      <c r="E165" s="345"/>
      <c r="F165" s="344"/>
      <c r="G165" s="345"/>
      <c r="H165" s="346"/>
      <c r="I165" s="345"/>
      <c r="J165" s="347"/>
      <c r="K165" s="345"/>
      <c r="L165" s="345"/>
      <c r="P165" s="343"/>
    </row>
    <row r="166" spans="1:18">
      <c r="B166" s="203">
        <v>182303</v>
      </c>
      <c r="D166" s="348" t="s">
        <v>1918</v>
      </c>
      <c r="F166" s="348" t="s">
        <v>1961</v>
      </c>
      <c r="H166" s="349" t="s">
        <v>507</v>
      </c>
      <c r="J166" s="166" t="s">
        <v>1244</v>
      </c>
      <c r="N166" s="166" t="s">
        <v>928</v>
      </c>
      <c r="P166" s="168">
        <f>SUMIF('Balance Sheet Detail'!$B:$B,$R166,'Balance Sheet Detail'!W:W)</f>
        <v>0</v>
      </c>
      <c r="R166" s="166" t="s">
        <v>3933</v>
      </c>
    </row>
    <row r="167" spans="1:18">
      <c r="B167" s="203">
        <v>182320</v>
      </c>
      <c r="D167" s="348" t="s">
        <v>3292</v>
      </c>
      <c r="F167" s="348" t="s">
        <v>1961</v>
      </c>
      <c r="H167" s="349" t="s">
        <v>507</v>
      </c>
      <c r="J167" s="166" t="s">
        <v>2384</v>
      </c>
      <c r="N167" s="166" t="s">
        <v>928</v>
      </c>
      <c r="P167" s="168">
        <f>SUMIF('Balance Sheet Detail'!$B:$B,$R167,'Balance Sheet Detail'!W:W)</f>
        <v>0</v>
      </c>
      <c r="R167" s="166" t="s">
        <v>3934</v>
      </c>
    </row>
    <row r="168" spans="1:18">
      <c r="B168" s="203">
        <v>182370</v>
      </c>
      <c r="D168" s="348" t="s">
        <v>1918</v>
      </c>
      <c r="F168" s="348" t="s">
        <v>1961</v>
      </c>
      <c r="H168" s="349" t="s">
        <v>507</v>
      </c>
      <c r="J168" s="166" t="s">
        <v>1244</v>
      </c>
      <c r="N168" s="166" t="s">
        <v>928</v>
      </c>
      <c r="P168" s="168">
        <f>SUMIF('Balance Sheet Detail'!$B:$B,$R168,'Balance Sheet Detail'!W:W)</f>
        <v>1311.3923462499999</v>
      </c>
      <c r="R168" s="166" t="s">
        <v>4728</v>
      </c>
    </row>
    <row r="169" spans="1:18">
      <c r="B169" s="203">
        <v>182371</v>
      </c>
      <c r="D169" s="348" t="s">
        <v>1918</v>
      </c>
      <c r="F169" s="348" t="s">
        <v>1961</v>
      </c>
      <c r="H169" s="349" t="s">
        <v>507</v>
      </c>
      <c r="J169" s="166" t="s">
        <v>1244</v>
      </c>
      <c r="N169" s="166" t="s">
        <v>928</v>
      </c>
      <c r="P169" s="168">
        <f>SUMIF('Balance Sheet Detail'!$B:$B,$R169,'Balance Sheet Detail'!W:W)</f>
        <v>0</v>
      </c>
      <c r="R169" s="166" t="s">
        <v>3935</v>
      </c>
    </row>
    <row r="170" spans="1:18">
      <c r="B170" s="203">
        <v>254010</v>
      </c>
      <c r="D170" s="348">
        <v>0</v>
      </c>
      <c r="F170" s="348" t="s">
        <v>607</v>
      </c>
      <c r="H170" s="349" t="s">
        <v>507</v>
      </c>
      <c r="J170" s="166" t="s">
        <v>348</v>
      </c>
      <c r="N170" s="166" t="s">
        <v>928</v>
      </c>
      <c r="P170" s="168">
        <f>SUMIF('Balance Sheet Detail'!$B:$B,$R170,'Balance Sheet Detail'!W:W)</f>
        <v>0</v>
      </c>
      <c r="R170" s="166" t="s">
        <v>3936</v>
      </c>
    </row>
    <row r="171" spans="1:18">
      <c r="B171" s="203">
        <v>254012</v>
      </c>
      <c r="D171" s="348" t="s">
        <v>3291</v>
      </c>
      <c r="F171" s="348" t="s">
        <v>1961</v>
      </c>
      <c r="H171" s="349" t="s">
        <v>507</v>
      </c>
      <c r="J171" s="166" t="s">
        <v>1244</v>
      </c>
      <c r="N171" s="166" t="s">
        <v>928</v>
      </c>
      <c r="P171" s="168">
        <f>SUMIF('Balance Sheet Detail'!$B:$B,$R171,'Balance Sheet Detail'!W:W)</f>
        <v>0</v>
      </c>
      <c r="R171" s="166" t="s">
        <v>3937</v>
      </c>
    </row>
    <row r="172" spans="1:18">
      <c r="B172" s="203">
        <v>254015</v>
      </c>
      <c r="D172" s="348" t="s">
        <v>3293</v>
      </c>
      <c r="F172" s="348" t="s">
        <v>607</v>
      </c>
      <c r="H172" s="349" t="s">
        <v>507</v>
      </c>
      <c r="J172" s="166" t="s">
        <v>348</v>
      </c>
      <c r="N172" s="166" t="s">
        <v>928</v>
      </c>
      <c r="P172" s="168">
        <f>SUMIF('Balance Sheet Detail'!$B:$B,$R172,'Balance Sheet Detail'!W:W)</f>
        <v>0</v>
      </c>
      <c r="R172" s="166" t="s">
        <v>3938</v>
      </c>
    </row>
    <row r="173" spans="1:18">
      <c r="B173" s="203">
        <v>254015</v>
      </c>
      <c r="D173" s="348" t="s">
        <v>1918</v>
      </c>
      <c r="F173" s="348" t="s">
        <v>1961</v>
      </c>
      <c r="H173" s="349" t="s">
        <v>507</v>
      </c>
      <c r="J173" s="166" t="s">
        <v>2484</v>
      </c>
      <c r="N173" s="166" t="s">
        <v>928</v>
      </c>
      <c r="P173" s="168">
        <f>SUMIF('Balance Sheet Detail'!$B:$B,$R173,'Balance Sheet Detail'!W:W)</f>
        <v>-1161.9292704166669</v>
      </c>
      <c r="R173" s="166" t="s">
        <v>3939</v>
      </c>
    </row>
    <row r="174" spans="1:18">
      <c r="B174" s="203">
        <v>254017</v>
      </c>
      <c r="D174" s="348" t="s">
        <v>1918</v>
      </c>
      <c r="F174" s="348" t="s">
        <v>1961</v>
      </c>
      <c r="H174" s="349" t="s">
        <v>507</v>
      </c>
      <c r="J174" s="166" t="s">
        <v>1244</v>
      </c>
      <c r="N174" s="166" t="s">
        <v>928</v>
      </c>
      <c r="P174" s="168">
        <f>SUMIF('Balance Sheet Detail'!$B:$B,$R174,'Balance Sheet Detail'!W:W)</f>
        <v>0</v>
      </c>
      <c r="R174" s="166" t="s">
        <v>3941</v>
      </c>
    </row>
    <row r="175" spans="1:18">
      <c r="B175" s="203">
        <v>254025</v>
      </c>
      <c r="D175" s="348" t="s">
        <v>3194</v>
      </c>
      <c r="F175" s="348" t="s">
        <v>1961</v>
      </c>
      <c r="H175" s="349" t="s">
        <v>507</v>
      </c>
      <c r="J175" s="166" t="s">
        <v>1244</v>
      </c>
      <c r="N175" s="166" t="s">
        <v>928</v>
      </c>
      <c r="P175" s="168">
        <f>SUMIF('Balance Sheet Detail'!$B:$B,$R175,'Balance Sheet Detail'!W:W)</f>
        <v>0</v>
      </c>
      <c r="R175" s="166" t="s">
        <v>3942</v>
      </c>
    </row>
    <row r="176" spans="1:18">
      <c r="B176" s="203">
        <v>254170</v>
      </c>
      <c r="D176" s="348" t="s">
        <v>3291</v>
      </c>
      <c r="F176" s="348" t="s">
        <v>1961</v>
      </c>
      <c r="H176" s="349" t="s">
        <v>507</v>
      </c>
      <c r="J176" s="166" t="s">
        <v>1244</v>
      </c>
      <c r="N176" s="166" t="s">
        <v>928</v>
      </c>
      <c r="P176" s="168">
        <f>SUMIF('Balance Sheet Detail'!$B:$B,$R176,'Balance Sheet Detail'!W:W)</f>
        <v>0</v>
      </c>
      <c r="R176" s="166" t="s">
        <v>3943</v>
      </c>
    </row>
    <row r="177" spans="1:18">
      <c r="B177" s="203">
        <v>254171</v>
      </c>
      <c r="D177" s="348" t="s">
        <v>3291</v>
      </c>
      <c r="F177" s="348" t="s">
        <v>1961</v>
      </c>
      <c r="H177" s="349" t="s">
        <v>507</v>
      </c>
      <c r="J177" s="166" t="s">
        <v>1244</v>
      </c>
      <c r="N177" s="166" t="s">
        <v>928</v>
      </c>
      <c r="P177" s="168">
        <f>SUMIF('Balance Sheet Detail'!$B:$B,$R177,'Balance Sheet Detail'!W:W)</f>
        <v>0</v>
      </c>
      <c r="R177" s="166" t="s">
        <v>3944</v>
      </c>
    </row>
    <row r="178" spans="1:18">
      <c r="B178" s="203">
        <v>254210</v>
      </c>
      <c r="D178" s="348">
        <v>0</v>
      </c>
      <c r="F178" s="348" t="s">
        <v>1621</v>
      </c>
      <c r="H178" s="349" t="s">
        <v>507</v>
      </c>
      <c r="J178" s="166" t="s">
        <v>1621</v>
      </c>
      <c r="N178" s="166" t="s">
        <v>928</v>
      </c>
      <c r="P178" s="350">
        <f>SUMIF('Balance Sheet Detail'!$B:$B,$R178,'Balance Sheet Detail'!W:W)</f>
        <v>0</v>
      </c>
      <c r="R178" s="166" t="s">
        <v>3945</v>
      </c>
    </row>
    <row r="179" spans="1:18">
      <c r="A179" s="127"/>
      <c r="B179" s="351" t="s">
        <v>3189</v>
      </c>
      <c r="C179" s="352"/>
      <c r="D179" s="344"/>
      <c r="E179" s="352"/>
      <c r="F179" s="344"/>
      <c r="G179" s="352"/>
      <c r="H179" s="346"/>
      <c r="I179" s="352"/>
      <c r="J179" s="347"/>
      <c r="K179" s="352"/>
      <c r="L179" s="352"/>
      <c r="P179" s="353">
        <f>SUM(P166:P178)</f>
        <v>149.46307583333305</v>
      </c>
    </row>
    <row r="180" spans="1:18">
      <c r="A180" s="127"/>
      <c r="B180" s="344"/>
      <c r="C180" s="345"/>
      <c r="D180" s="344"/>
      <c r="E180" s="345"/>
      <c r="F180" s="344"/>
      <c r="G180" s="345"/>
      <c r="H180" s="346"/>
      <c r="I180" s="345"/>
      <c r="J180" s="347"/>
      <c r="K180" s="345"/>
      <c r="L180" s="345"/>
      <c r="P180" s="343"/>
    </row>
    <row r="181" spans="1:18">
      <c r="A181" s="127" t="s">
        <v>4585</v>
      </c>
      <c r="B181" s="344"/>
      <c r="C181" s="345"/>
      <c r="D181" s="344"/>
      <c r="E181" s="345"/>
      <c r="F181" s="344"/>
      <c r="G181" s="345"/>
      <c r="H181" s="346"/>
      <c r="I181" s="345"/>
      <c r="J181" s="347"/>
      <c r="K181" s="345"/>
      <c r="L181" s="345"/>
      <c r="P181" s="343"/>
    </row>
    <row r="182" spans="1:18">
      <c r="B182" s="203">
        <v>254016</v>
      </c>
      <c r="D182" s="348" t="s">
        <v>1156</v>
      </c>
      <c r="F182" s="348">
        <v>601139</v>
      </c>
      <c r="H182" s="349" t="s">
        <v>891</v>
      </c>
      <c r="J182" s="166" t="s">
        <v>1157</v>
      </c>
      <c r="N182" s="349" t="s">
        <v>2821</v>
      </c>
      <c r="P182" s="168">
        <f>SUMIF('Balance Sheet Detail'!$B:$B,$R182,'Balance Sheet Detail'!W:W)</f>
        <v>-15013.3382470833</v>
      </c>
      <c r="R182" s="166" t="s">
        <v>3946</v>
      </c>
    </row>
    <row r="183" spans="1:18">
      <c r="B183" s="203">
        <v>254017</v>
      </c>
      <c r="D183" s="348" t="s">
        <v>1162</v>
      </c>
      <c r="F183" s="348">
        <v>601140</v>
      </c>
      <c r="H183" s="349" t="s">
        <v>891</v>
      </c>
      <c r="J183" s="166" t="s">
        <v>1163</v>
      </c>
      <c r="N183" s="349" t="s">
        <v>2821</v>
      </c>
      <c r="P183" s="168">
        <f>SUMIF('Balance Sheet Detail'!$B:$B,$R183,'Balance Sheet Detail'!W:W)</f>
        <v>-3011.7109479166702</v>
      </c>
      <c r="R183" s="166" t="s">
        <v>3947</v>
      </c>
    </row>
    <row r="184" spans="1:18">
      <c r="B184" s="203">
        <v>254022</v>
      </c>
      <c r="D184" s="348" t="s">
        <v>1156</v>
      </c>
      <c r="F184" s="348">
        <v>601139</v>
      </c>
      <c r="H184" s="349" t="s">
        <v>891</v>
      </c>
      <c r="J184" s="166" t="s">
        <v>1157</v>
      </c>
      <c r="N184" s="349" t="s">
        <v>2821</v>
      </c>
      <c r="P184" s="168">
        <f>SUMIF('Balance Sheet Detail'!$B:$B,$R184,'Balance Sheet Detail'!W:W)</f>
        <v>-15097.70795625</v>
      </c>
      <c r="R184" s="166" t="s">
        <v>4782</v>
      </c>
    </row>
    <row r="185" spans="1:18">
      <c r="B185" s="203">
        <v>254022</v>
      </c>
      <c r="D185" s="348" t="s">
        <v>4779</v>
      </c>
      <c r="F185" s="348">
        <v>601140</v>
      </c>
      <c r="H185" s="349" t="s">
        <v>891</v>
      </c>
      <c r="J185" s="166" t="s">
        <v>1163</v>
      </c>
      <c r="N185" s="349" t="s">
        <v>2821</v>
      </c>
      <c r="P185" s="168">
        <f>SUMIF('Balance Sheet Detail'!$B:$B,$R185,'Balance Sheet Detail'!W:W)</f>
        <v>-3140.5095820833299</v>
      </c>
      <c r="R185" s="166" t="s">
        <v>4783</v>
      </c>
    </row>
    <row r="186" spans="1:18">
      <c r="B186" s="203">
        <v>283500</v>
      </c>
      <c r="D186" s="348" t="s">
        <v>1156</v>
      </c>
      <c r="F186" s="348" t="s">
        <v>1452</v>
      </c>
      <c r="H186" s="349" t="s">
        <v>891</v>
      </c>
      <c r="J186" s="166" t="s">
        <v>1936</v>
      </c>
      <c r="N186" s="349" t="s">
        <v>2821</v>
      </c>
      <c r="P186" s="168">
        <f>SUMIF('Balance Sheet Detail'!$B:$B,$R186,'Balance Sheet Detail'!W:W)</f>
        <v>9790.6066800000008</v>
      </c>
      <c r="R186" s="166" t="s">
        <v>3294</v>
      </c>
    </row>
    <row r="187" spans="1:18">
      <c r="B187" s="203">
        <v>283510</v>
      </c>
      <c r="D187" s="348" t="s">
        <v>1156</v>
      </c>
      <c r="F187" s="348" t="s">
        <v>1452</v>
      </c>
      <c r="H187" s="349" t="s">
        <v>891</v>
      </c>
      <c r="J187" s="166" t="s">
        <v>1936</v>
      </c>
      <c r="N187" s="349" t="s">
        <v>2821</v>
      </c>
      <c r="P187" s="168">
        <f>SUMIF('Balance Sheet Detail'!$B:$B,$R187,'Balance Sheet Detail'!W:W)</f>
        <v>2000.3945062499999</v>
      </c>
      <c r="R187" s="166" t="s">
        <v>3295</v>
      </c>
    </row>
    <row r="188" spans="1:18">
      <c r="B188" s="203">
        <v>283550</v>
      </c>
      <c r="D188" s="348" t="s">
        <v>1156</v>
      </c>
      <c r="F188" s="348" t="s">
        <v>1452</v>
      </c>
      <c r="H188" s="349" t="s">
        <v>891</v>
      </c>
      <c r="J188" s="166" t="s">
        <v>1936</v>
      </c>
      <c r="N188" s="349" t="s">
        <v>2821</v>
      </c>
      <c r="P188" s="168">
        <f>SUMIF('Balance Sheet Detail'!$B:$B,$R188,'Balance Sheet Detail'!W:W)</f>
        <v>2137.88428833333</v>
      </c>
      <c r="R188" s="166" t="s">
        <v>3296</v>
      </c>
    </row>
    <row r="189" spans="1:18">
      <c r="B189" s="203">
        <v>283560</v>
      </c>
      <c r="D189" s="348" t="s">
        <v>1156</v>
      </c>
      <c r="F189" s="348" t="s">
        <v>1452</v>
      </c>
      <c r="H189" s="349" t="s">
        <v>891</v>
      </c>
      <c r="J189" s="166" t="s">
        <v>1936</v>
      </c>
      <c r="N189" s="349" t="s">
        <v>2821</v>
      </c>
      <c r="P189" s="350">
        <f>SUMIF('Balance Sheet Detail'!$B:$B,$R189,'Balance Sheet Detail'!W:W)</f>
        <v>436.80765666666701</v>
      </c>
      <c r="R189" s="166" t="s">
        <v>3297</v>
      </c>
    </row>
    <row r="190" spans="1:18">
      <c r="A190" s="127"/>
      <c r="B190" s="351" t="s">
        <v>3190</v>
      </c>
      <c r="C190" s="352"/>
      <c r="D190" s="344"/>
      <c r="E190" s="352"/>
      <c r="F190" s="344"/>
      <c r="G190" s="352"/>
      <c r="H190" s="346"/>
      <c r="I190" s="352"/>
      <c r="J190" s="347"/>
      <c r="K190" s="352"/>
      <c r="L190" s="352"/>
      <c r="P190" s="353">
        <f>SUM(P182:P189)</f>
        <v>-21897.573602083303</v>
      </c>
    </row>
    <row r="191" spans="1:18">
      <c r="A191" s="127"/>
      <c r="B191" s="344"/>
      <c r="C191" s="345"/>
      <c r="D191" s="344"/>
      <c r="E191" s="345"/>
      <c r="F191" s="344"/>
      <c r="G191" s="345"/>
      <c r="H191" s="346"/>
      <c r="I191" s="345"/>
      <c r="J191" s="347"/>
      <c r="K191" s="345"/>
      <c r="L191" s="345"/>
      <c r="P191" s="343"/>
    </row>
    <row r="192" spans="1:18">
      <c r="A192" s="127" t="s">
        <v>3191</v>
      </c>
      <c r="B192" s="344"/>
      <c r="C192" s="345"/>
      <c r="D192" s="344"/>
      <c r="E192" s="345"/>
      <c r="F192" s="344"/>
      <c r="G192" s="345"/>
      <c r="H192" s="346"/>
      <c r="I192" s="345"/>
      <c r="J192" s="347"/>
      <c r="K192" s="345"/>
      <c r="L192" s="345"/>
      <c r="P192" s="343"/>
    </row>
    <row r="193" spans="1:18">
      <c r="B193" s="203">
        <v>182301</v>
      </c>
      <c r="D193" s="348" t="s">
        <v>1935</v>
      </c>
      <c r="F193" s="348">
        <v>801215</v>
      </c>
      <c r="H193" s="349" t="s">
        <v>2574</v>
      </c>
      <c r="J193" s="166" t="s">
        <v>4312</v>
      </c>
      <c r="N193" s="349" t="s">
        <v>2821</v>
      </c>
      <c r="P193" s="168">
        <f>SUMIF('Balance Sheet Detail'!$B:$B,$R193,'Balance Sheet Detail'!W:W)</f>
        <v>83.062450833333301</v>
      </c>
      <c r="R193" s="166" t="s">
        <v>4319</v>
      </c>
    </row>
    <row r="194" spans="1:18">
      <c r="B194" s="203">
        <v>190501</v>
      </c>
      <c r="D194" s="348" t="s">
        <v>1935</v>
      </c>
      <c r="F194" s="348" t="s">
        <v>653</v>
      </c>
      <c r="H194" s="349" t="s">
        <v>2574</v>
      </c>
      <c r="J194" s="166" t="s">
        <v>1934</v>
      </c>
      <c r="N194" s="349" t="s">
        <v>2821</v>
      </c>
      <c r="P194" s="168">
        <f>SUMIF('Balance Sheet Detail'!$B:$B,$R194,'Balance Sheet Detail'!W:W)</f>
        <v>-25.847027916666701</v>
      </c>
      <c r="R194" s="166" t="s">
        <v>3298</v>
      </c>
    </row>
    <row r="195" spans="1:18">
      <c r="B195" s="203">
        <v>190511</v>
      </c>
      <c r="D195" s="348" t="s">
        <v>1935</v>
      </c>
      <c r="F195" s="348"/>
      <c r="H195" s="349" t="s">
        <v>2574</v>
      </c>
      <c r="J195" s="166" t="s">
        <v>1934</v>
      </c>
      <c r="N195" s="349" t="s">
        <v>2821</v>
      </c>
      <c r="P195" s="168">
        <f>SUMIF('Balance Sheet Detail'!$B:$B,$R195,'Balance Sheet Detail'!W:W)</f>
        <v>-5.2526333333333302</v>
      </c>
      <c r="R195" s="166" t="s">
        <v>4552</v>
      </c>
    </row>
    <row r="196" spans="1:18">
      <c r="B196" s="203">
        <v>283500</v>
      </c>
      <c r="D196" s="348" t="s">
        <v>1935</v>
      </c>
      <c r="F196" s="348"/>
      <c r="H196" s="349" t="s">
        <v>2574</v>
      </c>
      <c r="J196" s="166" t="s">
        <v>4543</v>
      </c>
      <c r="N196" s="349" t="s">
        <v>2821</v>
      </c>
      <c r="P196" s="168">
        <f>SUMIF('Balance Sheet Detail'!$B:$B,$R196,'Balance Sheet Detail'!W:W)</f>
        <v>-1.1607208333333301</v>
      </c>
      <c r="R196" s="166" t="s">
        <v>4890</v>
      </c>
    </row>
    <row r="197" spans="1:18">
      <c r="B197" s="203">
        <v>283550</v>
      </c>
      <c r="D197" s="348" t="s">
        <v>1935</v>
      </c>
      <c r="F197" s="348"/>
      <c r="H197" s="349" t="s">
        <v>2574</v>
      </c>
      <c r="J197" s="166" t="s">
        <v>4543</v>
      </c>
      <c r="N197" s="349" t="s">
        <v>2821</v>
      </c>
      <c r="P197" s="350">
        <f>SUMIF('Balance Sheet Detail'!$B:$B,$R197,'Balance Sheet Detail'!W:W)</f>
        <v>-0.25345583333333299</v>
      </c>
      <c r="R197" s="166" t="s">
        <v>4889</v>
      </c>
    </row>
    <row r="198" spans="1:18">
      <c r="A198" s="127"/>
      <c r="B198" s="351" t="s">
        <v>3192</v>
      </c>
      <c r="C198" s="352"/>
      <c r="D198" s="344"/>
      <c r="E198" s="352"/>
      <c r="F198" s="344"/>
      <c r="G198" s="352"/>
      <c r="H198" s="346"/>
      <c r="I198" s="352"/>
      <c r="J198" s="347"/>
      <c r="K198" s="352"/>
      <c r="L198" s="352"/>
      <c r="P198" s="353">
        <f>SUM(P193:P197)</f>
        <v>50.548612916666606</v>
      </c>
    </row>
    <row r="199" spans="1:18">
      <c r="A199" s="127"/>
      <c r="B199" s="344"/>
      <c r="C199" s="345"/>
      <c r="D199" s="344"/>
      <c r="E199" s="345"/>
      <c r="F199" s="344"/>
      <c r="G199" s="345"/>
      <c r="H199" s="346"/>
      <c r="I199" s="345"/>
      <c r="J199" s="347"/>
      <c r="K199" s="345"/>
      <c r="L199" s="345"/>
      <c r="P199" s="343"/>
    </row>
    <row r="200" spans="1:18">
      <c r="A200" s="127" t="s">
        <v>2698</v>
      </c>
      <c r="B200" s="344"/>
      <c r="C200" s="345"/>
      <c r="D200" s="344"/>
      <c r="E200" s="345"/>
      <c r="F200" s="344"/>
      <c r="G200" s="345"/>
      <c r="H200" s="346"/>
      <c r="I200" s="345"/>
      <c r="J200" s="347"/>
      <c r="K200" s="345"/>
      <c r="L200" s="345"/>
      <c r="P200" s="343"/>
    </row>
    <row r="201" spans="1:18">
      <c r="B201" s="203">
        <v>254016</v>
      </c>
      <c r="D201" s="348" t="s">
        <v>1998</v>
      </c>
      <c r="F201" s="348">
        <v>801254</v>
      </c>
      <c r="H201" s="349" t="s">
        <v>2698</v>
      </c>
      <c r="J201" s="166" t="s">
        <v>2001</v>
      </c>
      <c r="N201" s="166" t="s">
        <v>928</v>
      </c>
      <c r="P201" s="168">
        <f>SUMIF('Balance Sheet Detail'!$B:$B,$R201,'Balance Sheet Detail'!W:W)</f>
        <v>-6800</v>
      </c>
      <c r="R201" s="166" t="s">
        <v>3948</v>
      </c>
    </row>
    <row r="202" spans="1:18">
      <c r="B202" s="203">
        <v>190501</v>
      </c>
      <c r="D202" s="348" t="s">
        <v>1998</v>
      </c>
      <c r="F202" s="348"/>
      <c r="H202" s="349" t="s">
        <v>2698</v>
      </c>
      <c r="J202" s="166" t="s">
        <v>4386</v>
      </c>
      <c r="N202" s="166" t="s">
        <v>928</v>
      </c>
      <c r="P202" s="168">
        <f>SUMIF('Balance Sheet Detail'!$B:$B,$R202,'Balance Sheet Detail'!W:W)</f>
        <v>-49.422800000000002</v>
      </c>
      <c r="R202" s="166" t="s">
        <v>4439</v>
      </c>
    </row>
    <row r="203" spans="1:18">
      <c r="B203" s="203">
        <v>190511</v>
      </c>
      <c r="D203" s="348" t="s">
        <v>1998</v>
      </c>
      <c r="F203" s="348"/>
      <c r="H203" s="349" t="s">
        <v>2698</v>
      </c>
      <c r="J203" s="166" t="s">
        <v>4386</v>
      </c>
      <c r="N203" s="166" t="s">
        <v>928</v>
      </c>
      <c r="P203" s="168">
        <f>SUMIF('Balance Sheet Detail'!$B:$B,$R203,'Balance Sheet Detail'!W:W)</f>
        <v>-10.792</v>
      </c>
      <c r="R203" s="166" t="s">
        <v>4443</v>
      </c>
    </row>
    <row r="204" spans="1:18">
      <c r="D204" s="348"/>
      <c r="F204" s="348"/>
      <c r="H204" s="349"/>
      <c r="P204" s="350"/>
    </row>
    <row r="205" spans="1:18">
      <c r="A205" s="127"/>
      <c r="B205" s="351" t="s">
        <v>3193</v>
      </c>
      <c r="C205" s="352"/>
      <c r="D205" s="344"/>
      <c r="E205" s="352"/>
      <c r="F205" s="344"/>
      <c r="G205" s="352"/>
      <c r="H205" s="346"/>
      <c r="I205" s="352"/>
      <c r="J205" s="347"/>
      <c r="K205" s="352"/>
      <c r="L205" s="352"/>
      <c r="P205" s="353">
        <f>SUM(P201:P204)</f>
        <v>-6860.2148000000007</v>
      </c>
    </row>
    <row r="206" spans="1:18">
      <c r="A206" s="127"/>
      <c r="B206" s="344"/>
      <c r="C206" s="345"/>
      <c r="D206" s="344"/>
      <c r="E206" s="345"/>
      <c r="F206" s="344"/>
      <c r="G206" s="345"/>
      <c r="H206" s="346"/>
      <c r="I206" s="345"/>
      <c r="J206" s="347"/>
      <c r="K206" s="345"/>
      <c r="L206" s="345"/>
      <c r="P206" s="343"/>
    </row>
    <row r="207" spans="1:18">
      <c r="A207" s="127" t="s">
        <v>2697</v>
      </c>
      <c r="B207" s="344"/>
      <c r="C207" s="345"/>
      <c r="D207" s="344"/>
      <c r="E207" s="345"/>
      <c r="F207" s="344"/>
      <c r="G207" s="345"/>
      <c r="H207" s="346"/>
      <c r="I207" s="345"/>
      <c r="J207" s="347"/>
      <c r="K207" s="345"/>
      <c r="L207" s="345"/>
      <c r="P207" s="343"/>
    </row>
    <row r="208" spans="1:18">
      <c r="B208" s="203">
        <v>182301</v>
      </c>
      <c r="D208" s="348" t="s">
        <v>1998</v>
      </c>
      <c r="F208" s="348">
        <v>801255</v>
      </c>
      <c r="H208" s="349" t="s">
        <v>2697</v>
      </c>
      <c r="J208" s="166" t="s">
        <v>2002</v>
      </c>
      <c r="N208" s="166" t="s">
        <v>928</v>
      </c>
      <c r="P208" s="168">
        <f>SUMIF('Balance Sheet Detail'!$B:$B,$R208,'Balance Sheet Detail'!W:W)</f>
        <v>10581.25</v>
      </c>
      <c r="R208" s="166" t="s">
        <v>3949</v>
      </c>
    </row>
    <row r="209" spans="1:18">
      <c r="D209" s="348"/>
      <c r="F209" s="348"/>
      <c r="H209" s="349"/>
    </row>
    <row r="210" spans="1:18">
      <c r="D210" s="348"/>
      <c r="F210" s="348"/>
      <c r="H210" s="349"/>
      <c r="P210" s="350"/>
    </row>
    <row r="211" spans="1:18">
      <c r="A211" s="127"/>
      <c r="B211" s="351" t="s">
        <v>3299</v>
      </c>
      <c r="C211" s="352"/>
      <c r="D211" s="344"/>
      <c r="E211" s="352"/>
      <c r="F211" s="344"/>
      <c r="G211" s="352"/>
      <c r="H211" s="346"/>
      <c r="I211" s="352"/>
      <c r="J211" s="347"/>
      <c r="K211" s="352"/>
      <c r="L211" s="352"/>
      <c r="P211" s="353">
        <f>SUM(P208:P210)</f>
        <v>10581.25</v>
      </c>
    </row>
    <row r="212" spans="1:18">
      <c r="A212" s="127"/>
      <c r="B212" s="351"/>
      <c r="C212" s="352"/>
      <c r="D212" s="344"/>
      <c r="E212" s="352"/>
      <c r="F212" s="344"/>
      <c r="G212" s="352"/>
      <c r="H212" s="346"/>
      <c r="I212" s="352"/>
      <c r="J212" s="347"/>
      <c r="K212" s="352"/>
      <c r="L212" s="352"/>
      <c r="P212" s="353"/>
    </row>
    <row r="213" spans="1:18">
      <c r="A213" s="127" t="s">
        <v>4663</v>
      </c>
      <c r="B213" s="344"/>
      <c r="C213" s="345"/>
      <c r="D213" s="344"/>
      <c r="E213" s="345"/>
      <c r="F213" s="344"/>
      <c r="G213" s="345"/>
      <c r="H213" s="346"/>
      <c r="I213" s="345"/>
      <c r="J213" s="347"/>
      <c r="K213" s="345"/>
      <c r="L213" s="345"/>
      <c r="P213" s="343"/>
    </row>
    <row r="214" spans="1:18">
      <c r="B214" s="203">
        <v>253355</v>
      </c>
      <c r="D214" s="348"/>
      <c r="F214" s="348"/>
      <c r="H214" s="349"/>
      <c r="J214" s="166" t="s">
        <v>4387</v>
      </c>
      <c r="N214" s="166" t="s">
        <v>928</v>
      </c>
      <c r="P214" s="168">
        <f>SUMIF('Balance Sheet Detail'!$B:$B,$R214,'Balance Sheet Detail'!W:W)</f>
        <v>-2400</v>
      </c>
      <c r="R214" s="166" t="s">
        <v>4664</v>
      </c>
    </row>
    <row r="215" spans="1:18">
      <c r="B215" s="203">
        <v>190002</v>
      </c>
      <c r="D215" s="348" t="s">
        <v>4706</v>
      </c>
      <c r="F215" s="348"/>
      <c r="H215" s="349"/>
      <c r="J215" s="166" t="s">
        <v>4861</v>
      </c>
      <c r="N215" s="166" t="s">
        <v>928</v>
      </c>
      <c r="P215" s="168">
        <f>SUMIF('Balance Sheet Detail'!$B:$B,$R215,'Balance Sheet Detail'!W:W)</f>
        <v>0</v>
      </c>
      <c r="R215" s="166" t="s">
        <v>4863</v>
      </c>
    </row>
    <row r="216" spans="1:18">
      <c r="B216" s="203">
        <v>190012</v>
      </c>
      <c r="D216" s="348" t="s">
        <v>4706</v>
      </c>
      <c r="F216" s="348"/>
      <c r="H216" s="349"/>
      <c r="J216" s="166" t="s">
        <v>4861</v>
      </c>
      <c r="N216" s="166" t="s">
        <v>928</v>
      </c>
      <c r="P216" s="168">
        <f>SUMIF('Balance Sheet Detail'!$B:$B,$R216,'Balance Sheet Detail'!W:W)</f>
        <v>0</v>
      </c>
      <c r="R216" s="166" t="s">
        <v>4862</v>
      </c>
    </row>
    <row r="217" spans="1:18">
      <c r="D217" s="348"/>
      <c r="F217" s="348"/>
      <c r="H217" s="349"/>
      <c r="P217" s="350"/>
    </row>
    <row r="218" spans="1:18">
      <c r="A218" s="127"/>
      <c r="B218" s="351" t="s">
        <v>4665</v>
      </c>
      <c r="C218" s="352"/>
      <c r="D218" s="344"/>
      <c r="E218" s="352"/>
      <c r="F218" s="344"/>
      <c r="G218" s="352"/>
      <c r="H218" s="346"/>
      <c r="I218" s="352"/>
      <c r="J218" s="347"/>
      <c r="K218" s="352"/>
      <c r="L218" s="352"/>
      <c r="P218" s="353">
        <f>SUM(P214:P217)</f>
        <v>-2400</v>
      </c>
    </row>
    <row r="219" spans="1:18">
      <c r="A219" s="127"/>
      <c r="B219" s="351"/>
      <c r="C219" s="352"/>
      <c r="D219" s="344"/>
      <c r="E219" s="352"/>
      <c r="F219" s="344"/>
      <c r="G219" s="352"/>
      <c r="H219" s="346"/>
      <c r="I219" s="352"/>
      <c r="J219" s="347"/>
      <c r="K219" s="352"/>
      <c r="L219" s="352"/>
      <c r="P219" s="353"/>
    </row>
    <row r="220" spans="1:18">
      <c r="A220" s="127" t="s">
        <v>310</v>
      </c>
      <c r="B220" s="344"/>
      <c r="C220" s="345"/>
      <c r="D220" s="344"/>
      <c r="E220" s="345"/>
      <c r="F220" s="344"/>
      <c r="G220" s="345"/>
      <c r="H220" s="346"/>
      <c r="I220" s="345"/>
      <c r="J220" s="347"/>
      <c r="K220" s="345"/>
      <c r="L220" s="345"/>
      <c r="P220" s="343"/>
    </row>
    <row r="221" spans="1:18">
      <c r="B221" s="203">
        <v>182090</v>
      </c>
      <c r="D221" s="348">
        <v>0</v>
      </c>
      <c r="F221" s="348" t="s">
        <v>305</v>
      </c>
      <c r="H221" s="349" t="s">
        <v>310</v>
      </c>
      <c r="J221" s="166" t="s">
        <v>309</v>
      </c>
      <c r="N221" s="166" t="s">
        <v>928</v>
      </c>
      <c r="P221" s="168">
        <f>SUMIF('Balance Sheet Detail'!$B:$B,$R221,'Balance Sheet Detail'!W:W)</f>
        <v>0</v>
      </c>
      <c r="R221" s="166" t="s">
        <v>3950</v>
      </c>
    </row>
    <row r="222" spans="1:18">
      <c r="B222" s="203">
        <v>182090</v>
      </c>
      <c r="D222" s="348">
        <v>0</v>
      </c>
      <c r="F222" s="348" t="s">
        <v>311</v>
      </c>
      <c r="H222" s="349" t="s">
        <v>310</v>
      </c>
      <c r="J222" s="166" t="s">
        <v>312</v>
      </c>
      <c r="N222" s="166" t="s">
        <v>928</v>
      </c>
      <c r="P222" s="168">
        <f>SUMIF('Balance Sheet Detail'!$B:$B,$R222,'Balance Sheet Detail'!W:W)</f>
        <v>0</v>
      </c>
      <c r="R222" s="166" t="s">
        <v>3951</v>
      </c>
    </row>
    <row r="223" spans="1:18">
      <c r="B223" s="203">
        <v>182095</v>
      </c>
      <c r="D223" s="348">
        <v>0</v>
      </c>
      <c r="F223" s="348">
        <v>800160</v>
      </c>
      <c r="H223" s="349" t="s">
        <v>310</v>
      </c>
      <c r="J223" s="166" t="s">
        <v>963</v>
      </c>
      <c r="N223" s="166" t="s">
        <v>928</v>
      </c>
      <c r="P223" s="168">
        <f>SUMIF('Balance Sheet Detail'!$B:$B,$R223,'Balance Sheet Detail'!W:W)</f>
        <v>0</v>
      </c>
      <c r="R223" s="166" t="s">
        <v>3952</v>
      </c>
    </row>
    <row r="224" spans="1:18">
      <c r="B224" s="203">
        <v>182306</v>
      </c>
      <c r="D224" s="348" t="s">
        <v>2227</v>
      </c>
      <c r="F224" s="348">
        <v>810002</v>
      </c>
      <c r="H224" s="349" t="s">
        <v>310</v>
      </c>
      <c r="J224" s="166" t="s">
        <v>2912</v>
      </c>
      <c r="N224" s="166" t="s">
        <v>2821</v>
      </c>
      <c r="P224" s="168">
        <f>SUMIF('Balance Sheet Detail'!$B:$B,$R224,'Balance Sheet Detail'!W:W)</f>
        <v>0</v>
      </c>
      <c r="R224" s="166" t="s">
        <v>3953</v>
      </c>
    </row>
    <row r="225" spans="2:18">
      <c r="B225" s="203">
        <v>182306</v>
      </c>
      <c r="D225" s="348" t="s">
        <v>2227</v>
      </c>
      <c r="F225" s="348">
        <v>801232</v>
      </c>
      <c r="H225" s="349" t="s">
        <v>793</v>
      </c>
      <c r="J225" s="166" t="s">
        <v>2582</v>
      </c>
      <c r="N225" s="166" t="s">
        <v>2821</v>
      </c>
      <c r="P225" s="168">
        <f>SUMIF('Balance Sheet Detail'!$B:$B,$R225,'Balance Sheet Detail'!W:W)</f>
        <v>0</v>
      </c>
      <c r="R225" s="166" t="s">
        <v>3976</v>
      </c>
    </row>
    <row r="226" spans="2:18">
      <c r="B226" s="203">
        <v>254010</v>
      </c>
      <c r="D226" s="348">
        <v>0</v>
      </c>
      <c r="F226" s="348" t="s">
        <v>584</v>
      </c>
      <c r="H226" s="349" t="s">
        <v>310</v>
      </c>
      <c r="J226" s="166" t="s">
        <v>585</v>
      </c>
      <c r="N226" s="166" t="s">
        <v>928</v>
      </c>
      <c r="P226" s="168">
        <f>SUMIF('Balance Sheet Detail'!$B:$B,$R226,'Balance Sheet Detail'!W:W)</f>
        <v>0</v>
      </c>
      <c r="R226" s="166" t="s">
        <v>3954</v>
      </c>
    </row>
    <row r="227" spans="2:18">
      <c r="B227" s="203">
        <v>254017</v>
      </c>
      <c r="D227" s="348" t="s">
        <v>2227</v>
      </c>
      <c r="F227" s="348">
        <v>800182</v>
      </c>
      <c r="H227" s="349" t="s">
        <v>310</v>
      </c>
      <c r="J227" s="166" t="s">
        <v>2228</v>
      </c>
      <c r="N227" s="166" t="s">
        <v>928</v>
      </c>
      <c r="P227" s="168">
        <f>SUMIF('Balance Sheet Detail'!$B:$B,$R227,'Balance Sheet Detail'!W:W)</f>
        <v>0</v>
      </c>
      <c r="R227" s="166" t="s">
        <v>3955</v>
      </c>
    </row>
    <row r="228" spans="2:18">
      <c r="B228" s="203">
        <v>254025</v>
      </c>
      <c r="D228" s="348" t="s">
        <v>3194</v>
      </c>
      <c r="F228" s="348">
        <v>800127</v>
      </c>
      <c r="H228" s="349" t="s">
        <v>310</v>
      </c>
      <c r="J228" s="166" t="s">
        <v>2229</v>
      </c>
      <c r="N228" s="166" t="s">
        <v>2821</v>
      </c>
      <c r="P228" s="168">
        <f>SUMIF('Balance Sheet Detail'!$B:$B,$R228,'Balance Sheet Detail'!W:W)</f>
        <v>-2102.9870000000001</v>
      </c>
      <c r="R228" s="166" t="s">
        <v>3956</v>
      </c>
    </row>
    <row r="229" spans="2:18">
      <c r="B229" s="203">
        <v>254025</v>
      </c>
      <c r="D229" s="348" t="s">
        <v>3194</v>
      </c>
      <c r="F229" s="348">
        <v>800128</v>
      </c>
      <c r="H229" s="349" t="s">
        <v>310</v>
      </c>
      <c r="J229" s="166" t="s">
        <v>1297</v>
      </c>
      <c r="N229" s="166" t="s">
        <v>2821</v>
      </c>
      <c r="P229" s="168">
        <f>SUMIF('Balance Sheet Detail'!$B:$B,$R229,'Balance Sheet Detail'!W:W)</f>
        <v>-828.91777999999999</v>
      </c>
      <c r="R229" s="166" t="s">
        <v>3957</v>
      </c>
    </row>
    <row r="230" spans="2:18">
      <c r="B230" s="203">
        <v>254025</v>
      </c>
      <c r="D230" s="348" t="s">
        <v>3194</v>
      </c>
      <c r="F230" s="348">
        <v>800129</v>
      </c>
      <c r="H230" s="349" t="s">
        <v>310</v>
      </c>
      <c r="J230" s="166" t="s">
        <v>2194</v>
      </c>
      <c r="N230" s="166" t="s">
        <v>2821</v>
      </c>
      <c r="P230" s="168">
        <f>SUMIF('Balance Sheet Detail'!$B:$B,$R230,'Balance Sheet Detail'!W:W)</f>
        <v>-1280.6543899999999</v>
      </c>
      <c r="R230" s="166" t="s">
        <v>3958</v>
      </c>
    </row>
    <row r="231" spans="2:18">
      <c r="B231" s="203">
        <v>254025</v>
      </c>
      <c r="D231" s="348" t="s">
        <v>3194</v>
      </c>
      <c r="F231" s="348">
        <v>800160</v>
      </c>
      <c r="H231" s="349" t="s">
        <v>310</v>
      </c>
      <c r="J231" s="166" t="s">
        <v>2195</v>
      </c>
      <c r="N231" s="166" t="s">
        <v>2821</v>
      </c>
      <c r="P231" s="168">
        <f>SUMIF('Balance Sheet Detail'!$B:$B,$R231,'Balance Sheet Detail'!W:W)</f>
        <v>-2721.17</v>
      </c>
      <c r="R231" s="166" t="s">
        <v>3959</v>
      </c>
    </row>
    <row r="232" spans="2:18">
      <c r="B232" s="203">
        <v>254025</v>
      </c>
      <c r="D232" s="348" t="s">
        <v>3194</v>
      </c>
      <c r="F232" s="348" t="s">
        <v>2307</v>
      </c>
      <c r="H232" s="349" t="s">
        <v>310</v>
      </c>
      <c r="J232" s="166" t="s">
        <v>2196</v>
      </c>
      <c r="N232" s="166" t="s">
        <v>2821</v>
      </c>
      <c r="P232" s="168">
        <f>SUMIF('Balance Sheet Detail'!$B:$B,$R232,'Balance Sheet Detail'!W:W)</f>
        <v>5689.25785</v>
      </c>
      <c r="R232" s="166" t="s">
        <v>3960</v>
      </c>
    </row>
    <row r="233" spans="2:18">
      <c r="B233" s="203">
        <v>254025</v>
      </c>
      <c r="D233" s="348" t="s">
        <v>3194</v>
      </c>
      <c r="F233" s="348" t="s">
        <v>436</v>
      </c>
      <c r="H233" s="349" t="s">
        <v>310</v>
      </c>
      <c r="J233" s="166" t="s">
        <v>2461</v>
      </c>
      <c r="N233" s="166" t="s">
        <v>2821</v>
      </c>
      <c r="P233" s="168">
        <f>SUMIF('Balance Sheet Detail'!$B:$B,$R233,'Balance Sheet Detail'!W:W)</f>
        <v>-9195.8144900000007</v>
      </c>
      <c r="R233" s="166" t="s">
        <v>3961</v>
      </c>
    </row>
    <row r="234" spans="2:18">
      <c r="B234" s="203">
        <v>254025</v>
      </c>
      <c r="D234" s="348" t="s">
        <v>3194</v>
      </c>
      <c r="F234" s="348" t="s">
        <v>1475</v>
      </c>
      <c r="H234" s="349" t="s">
        <v>310</v>
      </c>
      <c r="J234" s="166" t="s">
        <v>1476</v>
      </c>
      <c r="N234" s="166" t="s">
        <v>2821</v>
      </c>
      <c r="P234" s="168">
        <f>SUMIF('Balance Sheet Detail'!$B:$B,$R234,'Balance Sheet Detail'!W:W)</f>
        <v>2162.0169799999999</v>
      </c>
      <c r="R234" s="166" t="s">
        <v>3962</v>
      </c>
    </row>
    <row r="235" spans="2:18">
      <c r="B235" s="203">
        <v>254025</v>
      </c>
      <c r="D235" s="348" t="s">
        <v>3194</v>
      </c>
      <c r="F235" s="348" t="s">
        <v>2459</v>
      </c>
      <c r="H235" s="349" t="s">
        <v>310</v>
      </c>
      <c r="J235" s="166" t="s">
        <v>2460</v>
      </c>
      <c r="N235" s="166" t="s">
        <v>2821</v>
      </c>
      <c r="P235" s="168">
        <f>SUMIF('Balance Sheet Detail'!$B:$B,$R235,'Balance Sheet Detail'!W:W)</f>
        <v>-10634.741180000001</v>
      </c>
      <c r="R235" s="166" t="s">
        <v>3963</v>
      </c>
    </row>
    <row r="236" spans="2:18">
      <c r="B236" s="203">
        <v>254025</v>
      </c>
      <c r="D236" s="348" t="s">
        <v>3194</v>
      </c>
      <c r="F236" s="348">
        <v>801220</v>
      </c>
      <c r="H236" s="349" t="s">
        <v>310</v>
      </c>
      <c r="J236" s="166" t="s">
        <v>1240</v>
      </c>
      <c r="N236" s="166" t="s">
        <v>2821</v>
      </c>
      <c r="P236" s="168">
        <f>SUMIF('Balance Sheet Detail'!$B:$B,$R236,'Balance Sheet Detail'!W:W)</f>
        <v>-2935.0077312499998</v>
      </c>
      <c r="R236" s="166" t="s">
        <v>3964</v>
      </c>
    </row>
    <row r="237" spans="2:18">
      <c r="B237" s="203">
        <v>254025</v>
      </c>
      <c r="D237" s="348" t="s">
        <v>3194</v>
      </c>
      <c r="F237" s="348">
        <v>801262</v>
      </c>
      <c r="H237" s="349" t="s">
        <v>310</v>
      </c>
      <c r="J237" s="166" t="s">
        <v>3788</v>
      </c>
      <c r="N237" s="166" t="s">
        <v>2821</v>
      </c>
      <c r="P237" s="168">
        <f>SUMIF('Balance Sheet Detail'!$B:$B,$R237,'Balance Sheet Detail'!W:W)</f>
        <v>4999.9999799999996</v>
      </c>
      <c r="R237" s="166" t="s">
        <v>3965</v>
      </c>
    </row>
    <row r="238" spans="2:18">
      <c r="B238" s="203">
        <v>254025</v>
      </c>
      <c r="D238" s="348" t="s">
        <v>3194</v>
      </c>
      <c r="F238" s="348">
        <v>801263</v>
      </c>
      <c r="H238" s="349" t="s">
        <v>310</v>
      </c>
      <c r="J238" s="166" t="s">
        <v>3789</v>
      </c>
      <c r="N238" s="166" t="s">
        <v>2821</v>
      </c>
      <c r="P238" s="168">
        <f>SUMIF('Balance Sheet Detail'!$B:$B,$R238,'Balance Sheet Detail'!W:W)</f>
        <v>5176.9248545833298</v>
      </c>
      <c r="R238" s="166" t="s">
        <v>3966</v>
      </c>
    </row>
    <row r="239" spans="2:18">
      <c r="B239" s="203">
        <v>254025</v>
      </c>
      <c r="D239" s="348" t="s">
        <v>3194</v>
      </c>
      <c r="F239" s="348">
        <v>801269</v>
      </c>
      <c r="H239" s="349" t="s">
        <v>310</v>
      </c>
      <c r="J239" s="166" t="s">
        <v>4655</v>
      </c>
      <c r="N239" s="166" t="s">
        <v>2821</v>
      </c>
      <c r="P239" s="168">
        <f>SUMIF('Balance Sheet Detail'!$B:$B,$R239,'Balance Sheet Detail'!W:W)</f>
        <v>242.288920416667</v>
      </c>
      <c r="R239" s="166" t="s">
        <v>4657</v>
      </c>
    </row>
    <row r="240" spans="2:18">
      <c r="B240" s="203">
        <v>254025</v>
      </c>
      <c r="D240" s="348" t="s">
        <v>3194</v>
      </c>
      <c r="F240" s="348">
        <v>801247</v>
      </c>
      <c r="H240" s="349" t="s">
        <v>310</v>
      </c>
      <c r="J240" s="166" t="s">
        <v>828</v>
      </c>
      <c r="N240" s="166" t="s">
        <v>2821</v>
      </c>
      <c r="P240" s="168">
        <f>SUMIF('Balance Sheet Detail'!$B:$B,$R240,'Balance Sheet Detail'!W:W)</f>
        <v>-3817.6811308333299</v>
      </c>
      <c r="R240" s="166" t="s">
        <v>4696</v>
      </c>
    </row>
    <row r="241" spans="2:18">
      <c r="B241" s="203">
        <v>254025</v>
      </c>
      <c r="D241" s="348" t="s">
        <v>3194</v>
      </c>
      <c r="F241" s="348" t="s">
        <v>4851</v>
      </c>
      <c r="H241" s="349" t="s">
        <v>310</v>
      </c>
      <c r="J241" s="166" t="s">
        <v>4852</v>
      </c>
      <c r="N241" s="166" t="s">
        <v>2821</v>
      </c>
      <c r="P241" s="168">
        <f>SUMIF('Balance Sheet Detail'!$B:$B,$R241,'Balance Sheet Detail'!W:W)</f>
        <v>203.72609083333299</v>
      </c>
      <c r="R241" s="166" t="s">
        <v>4853</v>
      </c>
    </row>
    <row r="242" spans="2:18">
      <c r="B242" s="203">
        <v>254026</v>
      </c>
      <c r="D242" s="348" t="s">
        <v>2227</v>
      </c>
      <c r="F242" s="348" t="s">
        <v>811</v>
      </c>
      <c r="H242" s="349" t="s">
        <v>793</v>
      </c>
      <c r="J242" s="166" t="s">
        <v>812</v>
      </c>
      <c r="N242" s="166" t="s">
        <v>2821</v>
      </c>
      <c r="P242" s="168">
        <f>SUMIF('Balance Sheet Detail'!$B:$B,$R242,'Balance Sheet Detail'!W:W)</f>
        <v>-1264.6729154166701</v>
      </c>
      <c r="R242" s="166" t="s">
        <v>3977</v>
      </c>
    </row>
    <row r="243" spans="2:18">
      <c r="B243" s="203">
        <v>254026</v>
      </c>
      <c r="D243" s="348" t="s">
        <v>2227</v>
      </c>
      <c r="F243" s="348" t="s">
        <v>2480</v>
      </c>
      <c r="H243" s="349" t="s">
        <v>793</v>
      </c>
      <c r="J243" s="166" t="s">
        <v>812</v>
      </c>
      <c r="N243" s="166" t="s">
        <v>2821</v>
      </c>
      <c r="P243" s="168">
        <f>SUMIF('Balance Sheet Detail'!$B:$B,$R243,'Balance Sheet Detail'!W:W)</f>
        <v>64.101944166666698</v>
      </c>
      <c r="R243" s="166" t="s">
        <v>3978</v>
      </c>
    </row>
    <row r="244" spans="2:18">
      <c r="B244" s="203">
        <v>254026</v>
      </c>
      <c r="D244" s="348" t="s">
        <v>2227</v>
      </c>
      <c r="F244" s="348" t="s">
        <v>4697</v>
      </c>
      <c r="H244" s="349" t="s">
        <v>793</v>
      </c>
      <c r="J244" s="166" t="s">
        <v>4698</v>
      </c>
      <c r="N244" s="166" t="s">
        <v>2821</v>
      </c>
      <c r="P244" s="168">
        <f>SUMIF('Balance Sheet Detail'!$B:$B,$R244,'Balance Sheet Detail'!W:W)</f>
        <v>147.53268083333299</v>
      </c>
      <c r="R244" s="166" t="s">
        <v>4699</v>
      </c>
    </row>
    <row r="245" spans="2:18">
      <c r="B245" s="203">
        <v>190001</v>
      </c>
      <c r="D245" s="348"/>
      <c r="F245" s="348" t="s">
        <v>239</v>
      </c>
      <c r="H245" s="349" t="s">
        <v>310</v>
      </c>
      <c r="J245" s="166" t="s">
        <v>240</v>
      </c>
      <c r="N245" s="166" t="s">
        <v>928</v>
      </c>
      <c r="P245" s="168">
        <f>SUMIF('Balance Sheet Detail'!$B:$B,$R245,'Balance Sheet Detail'!W:W)</f>
        <v>0</v>
      </c>
      <c r="R245" s="166" t="s">
        <v>3967</v>
      </c>
    </row>
    <row r="246" spans="2:18">
      <c r="B246" s="203">
        <v>190001</v>
      </c>
      <c r="D246" s="348"/>
      <c r="F246" s="348" t="s">
        <v>1747</v>
      </c>
      <c r="H246" s="349" t="s">
        <v>310</v>
      </c>
      <c r="J246" s="166" t="s">
        <v>244</v>
      </c>
      <c r="N246" s="166" t="s">
        <v>928</v>
      </c>
      <c r="P246" s="168">
        <f>SUMIF('Balance Sheet Detail'!$B:$B,$R246,'Balance Sheet Detail'!W:W)</f>
        <v>0</v>
      </c>
      <c r="R246" s="166" t="s">
        <v>3968</v>
      </c>
    </row>
    <row r="247" spans="2:18">
      <c r="B247" s="203">
        <v>190011</v>
      </c>
      <c r="D247" s="348"/>
      <c r="F247" s="348" t="s">
        <v>239</v>
      </c>
      <c r="H247" s="349" t="s">
        <v>310</v>
      </c>
      <c r="J247" s="166" t="s">
        <v>240</v>
      </c>
      <c r="N247" s="166" t="s">
        <v>928</v>
      </c>
      <c r="P247" s="168">
        <f>SUMIF('Balance Sheet Detail'!$B:$B,$R247,'Balance Sheet Detail'!W:W)</f>
        <v>0</v>
      </c>
      <c r="R247" s="166" t="s">
        <v>3969</v>
      </c>
    </row>
    <row r="248" spans="2:18">
      <c r="B248" s="203">
        <v>190011</v>
      </c>
      <c r="D248" s="348"/>
      <c r="F248" s="348" t="s">
        <v>1748</v>
      </c>
      <c r="H248" s="349" t="s">
        <v>310</v>
      </c>
      <c r="J248" s="166" t="s">
        <v>244</v>
      </c>
      <c r="N248" s="166" t="s">
        <v>928</v>
      </c>
      <c r="P248" s="168">
        <f>SUMIF('Balance Sheet Detail'!$B:$B,$R248,'Balance Sheet Detail'!W:W)</f>
        <v>0</v>
      </c>
      <c r="R248" s="166" t="s">
        <v>3970</v>
      </c>
    </row>
    <row r="249" spans="2:18">
      <c r="B249" s="203">
        <v>190501</v>
      </c>
      <c r="D249" s="348"/>
      <c r="F249" s="348" t="s">
        <v>239</v>
      </c>
      <c r="H249" s="349" t="s">
        <v>310</v>
      </c>
      <c r="J249" s="166" t="s">
        <v>240</v>
      </c>
      <c r="N249" s="166" t="s">
        <v>928</v>
      </c>
      <c r="P249" s="168">
        <f>SUMIF('Balance Sheet Detail'!$B:$B,$R249,'Balance Sheet Detail'!W:W)</f>
        <v>0</v>
      </c>
      <c r="R249" s="166" t="s">
        <v>3971</v>
      </c>
    </row>
    <row r="250" spans="2:18">
      <c r="B250" s="203">
        <v>190501</v>
      </c>
      <c r="D250" s="348" t="s">
        <v>1125</v>
      </c>
      <c r="F250" s="348" t="s">
        <v>1747</v>
      </c>
      <c r="H250" s="349" t="s">
        <v>310</v>
      </c>
      <c r="J250" s="166" t="s">
        <v>244</v>
      </c>
      <c r="N250" s="166" t="s">
        <v>928</v>
      </c>
      <c r="P250" s="168">
        <f>SUMIF('Balance Sheet Detail'!$B:$B,$R250,'Balance Sheet Detail'!W:W)</f>
        <v>0</v>
      </c>
      <c r="R250" s="166" t="s">
        <v>3972</v>
      </c>
    </row>
    <row r="251" spans="2:18">
      <c r="B251" s="203">
        <v>190502</v>
      </c>
      <c r="D251" s="348" t="s">
        <v>1125</v>
      </c>
      <c r="F251" s="348" t="s">
        <v>239</v>
      </c>
      <c r="H251" s="349" t="s">
        <v>310</v>
      </c>
      <c r="J251" s="166" t="s">
        <v>240</v>
      </c>
      <c r="N251" s="166" t="s">
        <v>928</v>
      </c>
      <c r="P251" s="168">
        <f>SUMIF('Balance Sheet Detail'!$B:$B,$R251,'Balance Sheet Detail'!W:W)</f>
        <v>0</v>
      </c>
      <c r="R251" s="166" t="s">
        <v>3973</v>
      </c>
    </row>
    <row r="252" spans="2:18">
      <c r="B252" s="203">
        <v>190511</v>
      </c>
      <c r="D252" s="348" t="s">
        <v>1125</v>
      </c>
      <c r="F252" s="348" t="s">
        <v>1748</v>
      </c>
      <c r="H252" s="349" t="s">
        <v>310</v>
      </c>
      <c r="J252" s="166" t="s">
        <v>244</v>
      </c>
      <c r="N252" s="166" t="s">
        <v>928</v>
      </c>
      <c r="P252" s="168">
        <f>SUMIF('Balance Sheet Detail'!$B:$B,$R252,'Balance Sheet Detail'!W:W)</f>
        <v>0</v>
      </c>
      <c r="R252" s="166" t="s">
        <v>3974</v>
      </c>
    </row>
    <row r="253" spans="2:18">
      <c r="B253" s="203">
        <v>190512</v>
      </c>
      <c r="D253" s="348" t="s">
        <v>1125</v>
      </c>
      <c r="F253" s="348" t="s">
        <v>239</v>
      </c>
      <c r="H253" s="349" t="s">
        <v>310</v>
      </c>
      <c r="J253" s="166" t="s">
        <v>240</v>
      </c>
      <c r="N253" s="166" t="s">
        <v>928</v>
      </c>
      <c r="P253" s="168">
        <f>SUMIF('Balance Sheet Detail'!$B:$B,$R253,'Balance Sheet Detail'!W:W)</f>
        <v>0</v>
      </c>
      <c r="R253" s="166" t="s">
        <v>3975</v>
      </c>
    </row>
    <row r="254" spans="2:18">
      <c r="B254" s="203">
        <v>283500</v>
      </c>
      <c r="D254" s="348" t="s">
        <v>1125</v>
      </c>
      <c r="F254" s="348" t="s">
        <v>1747</v>
      </c>
      <c r="H254" s="349" t="s">
        <v>310</v>
      </c>
      <c r="J254" s="166" t="s">
        <v>244</v>
      </c>
      <c r="N254" s="166" t="s">
        <v>2821</v>
      </c>
      <c r="P254" s="168">
        <f>SUMIF('Balance Sheet Detail'!$B:$B,$R254,'Balance Sheet Detail'!W:W)</f>
        <v>4891.1533645833297</v>
      </c>
      <c r="R254" s="166" t="s">
        <v>3309</v>
      </c>
    </row>
    <row r="255" spans="2:18">
      <c r="B255" s="203">
        <v>283510</v>
      </c>
      <c r="D255" s="348" t="s">
        <v>1125</v>
      </c>
      <c r="F255" s="348" t="s">
        <v>239</v>
      </c>
      <c r="H255" s="349" t="s">
        <v>310</v>
      </c>
      <c r="J255" s="166" t="s">
        <v>240</v>
      </c>
      <c r="N255" s="166" t="s">
        <v>2821</v>
      </c>
      <c r="P255" s="168">
        <f>SUMIF('Balance Sheet Detail'!$B:$B,$R255,'Balance Sheet Detail'!W:W)</f>
        <v>337.40925625</v>
      </c>
      <c r="R255" s="166" t="s">
        <v>3310</v>
      </c>
    </row>
    <row r="256" spans="2:18">
      <c r="B256" s="203">
        <v>283550</v>
      </c>
      <c r="D256" s="348" t="s">
        <v>1125</v>
      </c>
      <c r="F256" s="348" t="s">
        <v>1748</v>
      </c>
      <c r="H256" s="349" t="s">
        <v>310</v>
      </c>
      <c r="J256" s="166" t="s">
        <v>244</v>
      </c>
      <c r="N256" s="166" t="s">
        <v>2821</v>
      </c>
      <c r="P256" s="168">
        <f>SUMIF('Balance Sheet Detail'!$B:$B,$R256,'Balance Sheet Detail'!W:W)</f>
        <v>1068.0364458333299</v>
      </c>
      <c r="R256" s="166" t="s">
        <v>3311</v>
      </c>
    </row>
    <row r="257" spans="1:18">
      <c r="B257" s="203">
        <v>283560</v>
      </c>
      <c r="D257" s="348" t="s">
        <v>1125</v>
      </c>
      <c r="F257" s="348" t="s">
        <v>239</v>
      </c>
      <c r="H257" s="349" t="s">
        <v>310</v>
      </c>
      <c r="J257" s="166" t="s">
        <v>240</v>
      </c>
      <c r="N257" s="166" t="s">
        <v>2821</v>
      </c>
      <c r="P257" s="168">
        <f>SUMIF('Balance Sheet Detail'!$B:$B,$R257,'Balance Sheet Detail'!W:W)</f>
        <v>73.676687916666694</v>
      </c>
      <c r="R257" s="166" t="s">
        <v>3312</v>
      </c>
    </row>
    <row r="258" spans="1:18">
      <c r="D258" s="348"/>
      <c r="F258" s="348"/>
      <c r="H258" s="349"/>
      <c r="P258" s="350"/>
    </row>
    <row r="259" spans="1:18">
      <c r="A259" s="127"/>
      <c r="B259" s="351" t="s">
        <v>3195</v>
      </c>
      <c r="C259" s="352"/>
      <c r="D259" s="344"/>
      <c r="E259" s="352"/>
      <c r="F259" s="344"/>
      <c r="G259" s="352"/>
      <c r="H259" s="346"/>
      <c r="I259" s="352"/>
      <c r="J259" s="347"/>
      <c r="K259" s="352"/>
      <c r="L259" s="352"/>
      <c r="P259" s="353">
        <f>SUM(P221:P258)</f>
        <v>-9725.5215620833442</v>
      </c>
    </row>
    <row r="260" spans="1:18">
      <c r="A260" s="127"/>
      <c r="B260" s="344"/>
      <c r="C260" s="345"/>
      <c r="D260" s="344"/>
      <c r="E260" s="345"/>
      <c r="F260" s="344"/>
      <c r="G260" s="345"/>
      <c r="H260" s="346"/>
      <c r="I260" s="345"/>
      <c r="J260" s="347"/>
      <c r="K260" s="345"/>
      <c r="L260" s="345"/>
      <c r="P260" s="343"/>
    </row>
    <row r="261" spans="1:18">
      <c r="A261" s="127" t="s">
        <v>1718</v>
      </c>
      <c r="B261" s="344"/>
      <c r="C261" s="345"/>
      <c r="D261" s="344"/>
      <c r="E261" s="345"/>
      <c r="F261" s="344"/>
      <c r="G261" s="345"/>
      <c r="H261" s="346"/>
      <c r="I261" s="345"/>
      <c r="J261" s="347"/>
      <c r="K261" s="345"/>
      <c r="L261" s="345"/>
      <c r="P261" s="343"/>
    </row>
    <row r="262" spans="1:18">
      <c r="B262" s="203">
        <v>182306</v>
      </c>
      <c r="D262" s="348" t="s">
        <v>3796</v>
      </c>
      <c r="F262" s="348">
        <v>808171</v>
      </c>
      <c r="H262" s="349" t="s">
        <v>1718</v>
      </c>
      <c r="J262" s="166" t="s">
        <v>2383</v>
      </c>
      <c r="P262" s="168">
        <f>SUMIF('Balance Sheet Detail'!$B:$B,$R262,'Balance Sheet Detail'!W:W)</f>
        <v>0</v>
      </c>
      <c r="R262" s="166" t="s">
        <v>3979</v>
      </c>
    </row>
    <row r="263" spans="1:18" ht="15" customHeight="1">
      <c r="B263" s="203">
        <v>182306</v>
      </c>
      <c r="D263" s="348" t="s">
        <v>3196</v>
      </c>
      <c r="F263" s="348">
        <v>808421</v>
      </c>
      <c r="H263" s="349" t="s">
        <v>1718</v>
      </c>
      <c r="J263" s="166" t="s">
        <v>2913</v>
      </c>
      <c r="N263" s="166" t="s">
        <v>928</v>
      </c>
      <c r="P263" s="168">
        <f>SUMIF('Balance Sheet Detail'!$B:$B,$R263,'Balance Sheet Detail'!W:W)</f>
        <v>19.971</v>
      </c>
      <c r="R263" s="166" t="s">
        <v>3980</v>
      </c>
    </row>
    <row r="264" spans="1:18" ht="15" customHeight="1">
      <c r="B264" s="203">
        <v>254016</v>
      </c>
      <c r="D264" s="348" t="s">
        <v>4788</v>
      </c>
      <c r="F264" s="348">
        <v>808220</v>
      </c>
      <c r="H264" s="349" t="s">
        <v>1718</v>
      </c>
      <c r="J264" s="166" t="s">
        <v>4793</v>
      </c>
      <c r="N264" s="166" t="s">
        <v>2821</v>
      </c>
      <c r="P264" s="168">
        <f>SUMIF('Balance Sheet Detail'!$B:$B,$R264,'Balance Sheet Detail'!W:W)</f>
        <v>-4628.1844870833302</v>
      </c>
      <c r="R264" s="166" t="s">
        <v>4797</v>
      </c>
    </row>
    <row r="265" spans="1:18" ht="15" customHeight="1">
      <c r="B265" s="203">
        <v>254016</v>
      </c>
      <c r="D265" s="348" t="s">
        <v>4788</v>
      </c>
      <c r="F265" s="348">
        <v>808320</v>
      </c>
      <c r="H265" s="349" t="s">
        <v>1718</v>
      </c>
      <c r="J265" s="166" t="s">
        <v>4794</v>
      </c>
      <c r="N265" s="166" t="s">
        <v>2821</v>
      </c>
      <c r="P265" s="168">
        <f>SUMIF('Balance Sheet Detail'!$B:$B,$R265,'Balance Sheet Detail'!W:W)</f>
        <v>-1035.7863387499999</v>
      </c>
      <c r="R265" s="166" t="s">
        <v>4798</v>
      </c>
    </row>
    <row r="266" spans="1:18" ht="15" customHeight="1">
      <c r="B266" s="203">
        <v>254017</v>
      </c>
      <c r="D266" s="348" t="s">
        <v>4799</v>
      </c>
      <c r="F266" s="348">
        <v>808221</v>
      </c>
      <c r="H266" s="349" t="s">
        <v>1718</v>
      </c>
      <c r="J266" s="166" t="s">
        <v>4801</v>
      </c>
      <c r="N266" s="166" t="s">
        <v>2821</v>
      </c>
      <c r="P266" s="168">
        <f>SUMIF('Balance Sheet Detail'!$B:$B,$R266,'Balance Sheet Detail'!W:W)</f>
        <v>120.572145833333</v>
      </c>
      <c r="R266" s="166" t="s">
        <v>4803</v>
      </c>
    </row>
    <row r="267" spans="1:18" ht="15" customHeight="1">
      <c r="B267" s="203">
        <v>254017</v>
      </c>
      <c r="D267" s="348" t="s">
        <v>4799</v>
      </c>
      <c r="F267" s="348">
        <v>808321</v>
      </c>
      <c r="H267" s="349" t="s">
        <v>1718</v>
      </c>
      <c r="J267" s="166" t="s">
        <v>4802</v>
      </c>
      <c r="N267" s="166" t="s">
        <v>2821</v>
      </c>
      <c r="P267" s="168">
        <f>SUMIF('Balance Sheet Detail'!$B:$B,$R267,'Balance Sheet Detail'!W:W)</f>
        <v>-1.66269166666667</v>
      </c>
      <c r="R267" s="166" t="s">
        <v>4804</v>
      </c>
    </row>
    <row r="268" spans="1:18" ht="15" customHeight="1">
      <c r="B268" s="203">
        <v>190501</v>
      </c>
      <c r="D268" s="348" t="s">
        <v>4814</v>
      </c>
      <c r="F268" s="348"/>
      <c r="H268" s="349" t="s">
        <v>1718</v>
      </c>
      <c r="J268" s="166" t="s">
        <v>4816</v>
      </c>
      <c r="N268" s="166" t="s">
        <v>2821</v>
      </c>
      <c r="P268" s="168">
        <f>SUMIF('Balance Sheet Detail'!$B:$B,$R268,'Balance Sheet Detail'!W:W)</f>
        <v>1783.24946</v>
      </c>
      <c r="R268" s="166" t="s">
        <v>4818</v>
      </c>
    </row>
    <row r="269" spans="1:18" ht="15" customHeight="1">
      <c r="B269" s="203">
        <v>190502</v>
      </c>
      <c r="D269" s="348" t="s">
        <v>4814</v>
      </c>
      <c r="F269" s="348"/>
      <c r="H269" s="349" t="s">
        <v>1718</v>
      </c>
      <c r="J269" s="166" t="s">
        <v>4816</v>
      </c>
      <c r="N269" s="166" t="s">
        <v>2821</v>
      </c>
      <c r="P269" s="168">
        <f>SUMIF('Balance Sheet Detail'!$B:$B,$R269,'Balance Sheet Detail'!W:W)</f>
        <v>-61.294305833333297</v>
      </c>
      <c r="R269" s="166" t="s">
        <v>4819</v>
      </c>
    </row>
    <row r="270" spans="1:18" ht="15" customHeight="1">
      <c r="B270" s="203">
        <v>190511</v>
      </c>
      <c r="D270" s="348" t="s">
        <v>4814</v>
      </c>
      <c r="F270" s="348"/>
      <c r="H270" s="349" t="s">
        <v>1718</v>
      </c>
      <c r="J270" s="166" t="s">
        <v>4816</v>
      </c>
      <c r="N270" s="166" t="s">
        <v>2821</v>
      </c>
      <c r="P270" s="168">
        <f>SUMIF('Balance Sheet Detail'!$B:$B,$R270,'Balance Sheet Detail'!W:W)</f>
        <v>389.39170124999998</v>
      </c>
      <c r="R270" s="166" t="s">
        <v>4820</v>
      </c>
    </row>
    <row r="271" spans="1:18" ht="15" customHeight="1">
      <c r="B271" s="203">
        <v>190512</v>
      </c>
      <c r="D271" s="348" t="s">
        <v>4814</v>
      </c>
      <c r="F271" s="348"/>
      <c r="H271" s="349" t="s">
        <v>1718</v>
      </c>
      <c r="J271" s="166" t="s">
        <v>4816</v>
      </c>
      <c r="N271" s="166" t="s">
        <v>2821</v>
      </c>
      <c r="P271" s="168">
        <f>SUMIF('Balance Sheet Detail'!$B:$B,$R271,'Balance Sheet Detail'!W:W)</f>
        <v>-13.384271249999999</v>
      </c>
      <c r="R271" s="166" t="s">
        <v>4822</v>
      </c>
    </row>
    <row r="272" spans="1:18" ht="15" customHeight="1">
      <c r="D272" s="348"/>
      <c r="F272" s="348"/>
      <c r="H272" s="349"/>
      <c r="P272" s="350"/>
    </row>
    <row r="273" spans="1:18">
      <c r="A273" s="127"/>
      <c r="B273" s="351" t="s">
        <v>3197</v>
      </c>
      <c r="C273" s="352"/>
      <c r="D273" s="344"/>
      <c r="E273" s="352"/>
      <c r="F273" s="344"/>
      <c r="G273" s="352"/>
      <c r="H273" s="346"/>
      <c r="I273" s="352"/>
      <c r="J273" s="347"/>
      <c r="K273" s="352"/>
      <c r="L273" s="352"/>
      <c r="P273" s="353">
        <f>SUM(P262:P272)</f>
        <v>-3427.1277874999978</v>
      </c>
    </row>
    <row r="274" spans="1:18">
      <c r="A274" s="127"/>
      <c r="B274" s="344"/>
      <c r="C274" s="345"/>
      <c r="D274" s="344"/>
      <c r="E274" s="345"/>
      <c r="F274" s="344"/>
      <c r="G274" s="345"/>
      <c r="H274" s="346"/>
      <c r="I274" s="345"/>
      <c r="J274" s="347"/>
      <c r="K274" s="345"/>
      <c r="L274" s="345"/>
      <c r="P274" s="343"/>
    </row>
    <row r="275" spans="1:18">
      <c r="A275" s="127" t="s">
        <v>2369</v>
      </c>
      <c r="B275" s="344"/>
      <c r="C275" s="345"/>
      <c r="D275" s="344"/>
      <c r="E275" s="345"/>
      <c r="F275" s="344"/>
      <c r="G275" s="345"/>
      <c r="H275" s="346"/>
      <c r="I275" s="345"/>
      <c r="J275" s="347"/>
      <c r="K275" s="345"/>
      <c r="L275" s="345"/>
      <c r="P275" s="343"/>
    </row>
    <row r="276" spans="1:18">
      <c r="B276" s="203">
        <v>182000</v>
      </c>
      <c r="D276" s="348"/>
      <c r="F276" s="348"/>
      <c r="H276" s="349" t="s">
        <v>2369</v>
      </c>
      <c r="J276" s="166" t="s">
        <v>518</v>
      </c>
      <c r="P276" s="168">
        <f>SUMIF('Balance Sheet Detail'!$B:$B,$R276,'Balance Sheet Detail'!W:W)</f>
        <v>0</v>
      </c>
      <c r="R276" s="166" t="s">
        <v>3981</v>
      </c>
    </row>
    <row r="277" spans="1:18">
      <c r="B277" s="203">
        <v>182301</v>
      </c>
      <c r="D277" s="348" t="s">
        <v>3791</v>
      </c>
      <c r="F277" s="348" t="s">
        <v>1597</v>
      </c>
      <c r="H277" s="349" t="s">
        <v>2369</v>
      </c>
      <c r="J277" s="166" t="s">
        <v>1743</v>
      </c>
      <c r="N277" s="166" t="s">
        <v>928</v>
      </c>
      <c r="P277" s="168">
        <f>SUMIF('Balance Sheet Detail'!$B:$B,$R277,'Balance Sheet Detail'!W:W)</f>
        <v>0</v>
      </c>
      <c r="R277" s="166" t="s">
        <v>3982</v>
      </c>
    </row>
    <row r="278" spans="1:18">
      <c r="B278" s="203">
        <v>182301</v>
      </c>
      <c r="D278" s="348" t="s">
        <v>3791</v>
      </c>
      <c r="F278" s="348">
        <v>800137</v>
      </c>
      <c r="H278" s="349" t="s">
        <v>2369</v>
      </c>
      <c r="J278" s="166" t="s">
        <v>964</v>
      </c>
      <c r="N278" s="166" t="s">
        <v>928</v>
      </c>
      <c r="P278" s="168">
        <f>SUMIF('Balance Sheet Detail'!$B:$B,$R278,'Balance Sheet Detail'!W:W)</f>
        <v>0</v>
      </c>
      <c r="R278" s="166" t="s">
        <v>3983</v>
      </c>
    </row>
    <row r="279" spans="1:18">
      <c r="B279" s="203">
        <v>182301</v>
      </c>
      <c r="D279" s="348" t="s">
        <v>3793</v>
      </c>
      <c r="F279" s="348">
        <v>800142</v>
      </c>
      <c r="H279" s="349" t="s">
        <v>2369</v>
      </c>
      <c r="J279" s="166" t="s">
        <v>1549</v>
      </c>
      <c r="N279" s="166" t="s">
        <v>928</v>
      </c>
      <c r="P279" s="168">
        <f>SUMIF('Balance Sheet Detail'!$B:$B,$R279,'Balance Sheet Detail'!W:W)</f>
        <v>0</v>
      </c>
      <c r="R279" s="166" t="s">
        <v>3984</v>
      </c>
    </row>
    <row r="280" spans="1:18">
      <c r="B280" s="203">
        <v>182320</v>
      </c>
      <c r="D280" s="348" t="s">
        <v>863</v>
      </c>
      <c r="F280" s="348">
        <v>801228</v>
      </c>
      <c r="H280" s="349" t="s">
        <v>2369</v>
      </c>
      <c r="J280" s="166" t="s">
        <v>22</v>
      </c>
      <c r="N280" s="166" t="s">
        <v>2821</v>
      </c>
      <c r="P280" s="168">
        <f>SUMIF('Balance Sheet Detail'!$B:$B,$R280,'Balance Sheet Detail'!W:W)</f>
        <v>-17249.823784583299</v>
      </c>
      <c r="R280" s="166" t="s">
        <v>3985</v>
      </c>
    </row>
    <row r="281" spans="1:18">
      <c r="B281" s="203">
        <v>182320</v>
      </c>
      <c r="D281" s="348" t="s">
        <v>1706</v>
      </c>
      <c r="F281" s="348">
        <v>801229</v>
      </c>
      <c r="H281" s="349" t="s">
        <v>2369</v>
      </c>
      <c r="J281" s="166" t="s">
        <v>23</v>
      </c>
      <c r="N281" s="166" t="s">
        <v>2821</v>
      </c>
      <c r="P281" s="168">
        <f>SUMIF('Balance Sheet Detail'!$B:$B,$R281,'Balance Sheet Detail'!W:W)</f>
        <v>-5893.6604170833298</v>
      </c>
      <c r="R281" s="166" t="s">
        <v>3986</v>
      </c>
    </row>
    <row r="282" spans="1:18">
      <c r="B282" s="203">
        <v>182320</v>
      </c>
      <c r="D282" s="348" t="s">
        <v>863</v>
      </c>
      <c r="F282" s="348">
        <v>801230</v>
      </c>
      <c r="H282" s="349" t="s">
        <v>2369</v>
      </c>
      <c r="J282" s="166" t="s">
        <v>24</v>
      </c>
      <c r="N282" s="166" t="s">
        <v>2821</v>
      </c>
      <c r="P282" s="168">
        <f>SUMIF('Balance Sheet Detail'!$B:$B,$R282,'Balance Sheet Detail'!W:W)</f>
        <v>-4195.3776241666701</v>
      </c>
      <c r="R282" s="166" t="s">
        <v>3987</v>
      </c>
    </row>
    <row r="283" spans="1:18">
      <c r="B283" s="203">
        <v>182320</v>
      </c>
      <c r="D283" s="348" t="s">
        <v>1706</v>
      </c>
      <c r="F283" s="348">
        <v>801231</v>
      </c>
      <c r="H283" s="349" t="s">
        <v>2369</v>
      </c>
      <c r="J283" s="166" t="s">
        <v>25</v>
      </c>
      <c r="N283" s="166" t="s">
        <v>2821</v>
      </c>
      <c r="P283" s="168">
        <f>SUMIF('Balance Sheet Detail'!$B:$B,$R283,'Balance Sheet Detail'!W:W)</f>
        <v>-3535.3592041666702</v>
      </c>
      <c r="R283" s="166" t="s">
        <v>3988</v>
      </c>
    </row>
    <row r="284" spans="1:18">
      <c r="B284" s="203">
        <v>182320</v>
      </c>
      <c r="D284" s="348" t="s">
        <v>863</v>
      </c>
      <c r="F284" s="348" t="s">
        <v>4677</v>
      </c>
      <c r="H284" s="349" t="s">
        <v>2369</v>
      </c>
      <c r="J284" s="166" t="s">
        <v>2326</v>
      </c>
      <c r="N284" s="166" t="s">
        <v>2821</v>
      </c>
      <c r="P284" s="168">
        <f>SUMIF('Balance Sheet Detail'!$B:$B,$R284,'Balance Sheet Detail'!W:W)</f>
        <v>-25282.715335000001</v>
      </c>
      <c r="R284" s="166" t="s">
        <v>4727</v>
      </c>
    </row>
    <row r="285" spans="1:18">
      <c r="B285" s="203">
        <v>182320</v>
      </c>
      <c r="D285" s="348" t="s">
        <v>1706</v>
      </c>
      <c r="F285" s="348" t="s">
        <v>3119</v>
      </c>
      <c r="H285" s="349" t="s">
        <v>2369</v>
      </c>
      <c r="J285" s="166" t="s">
        <v>3120</v>
      </c>
      <c r="N285" s="166" t="s">
        <v>2821</v>
      </c>
      <c r="P285" s="168">
        <f>SUMIF('Balance Sheet Detail'!$B:$B,$R285,'Balance Sheet Detail'!W:W)</f>
        <v>-3708.7830399999998</v>
      </c>
      <c r="R285" s="166" t="s">
        <v>3989</v>
      </c>
    </row>
    <row r="286" spans="1:18">
      <c r="B286" s="203">
        <v>182520</v>
      </c>
      <c r="D286" s="348">
        <v>0</v>
      </c>
      <c r="F286" s="348" t="s">
        <v>1245</v>
      </c>
      <c r="H286" s="349" t="s">
        <v>2369</v>
      </c>
      <c r="J286" s="166" t="s">
        <v>2830</v>
      </c>
      <c r="P286" s="168">
        <f>SUMIF('Balance Sheet Detail'!$B:$B,$R286,'Balance Sheet Detail'!W:W)</f>
        <v>0</v>
      </c>
      <c r="R286" s="166" t="s">
        <v>3990</v>
      </c>
    </row>
    <row r="287" spans="1:18">
      <c r="B287" s="203">
        <v>190000</v>
      </c>
      <c r="D287" s="348"/>
      <c r="F287" s="348" t="s">
        <v>1619</v>
      </c>
      <c r="H287" s="349" t="s">
        <v>2369</v>
      </c>
      <c r="J287" s="166" t="s">
        <v>1620</v>
      </c>
      <c r="N287" s="166" t="s">
        <v>928</v>
      </c>
      <c r="P287" s="168">
        <f>SUMIF('Balance Sheet Detail'!$B:$B,$R287,'Balance Sheet Detail'!W:W)</f>
        <v>0</v>
      </c>
      <c r="R287" s="166" t="s">
        <v>3991</v>
      </c>
    </row>
    <row r="288" spans="1:18">
      <c r="B288" s="203">
        <v>190000</v>
      </c>
      <c r="D288" s="348"/>
      <c r="F288" s="348" t="s">
        <v>1614</v>
      </c>
      <c r="H288" s="349" t="s">
        <v>2369</v>
      </c>
      <c r="J288" s="166" t="s">
        <v>1615</v>
      </c>
      <c r="N288" s="166" t="s">
        <v>928</v>
      </c>
      <c r="P288" s="168">
        <f>SUMIF('Balance Sheet Detail'!$B:$B,$R288,'Balance Sheet Detail'!W:W)</f>
        <v>0</v>
      </c>
      <c r="R288" s="166" t="s">
        <v>3992</v>
      </c>
    </row>
    <row r="289" spans="2:18">
      <c r="B289" s="203">
        <v>190000</v>
      </c>
      <c r="D289" s="348"/>
      <c r="F289" s="348" t="s">
        <v>1617</v>
      </c>
      <c r="H289" s="349" t="s">
        <v>2369</v>
      </c>
      <c r="J289" s="166" t="s">
        <v>1618</v>
      </c>
      <c r="N289" s="166" t="s">
        <v>928</v>
      </c>
      <c r="P289" s="168">
        <f>SUMIF('Balance Sheet Detail'!$B:$B,$R289,'Balance Sheet Detail'!W:W)</f>
        <v>0</v>
      </c>
      <c r="R289" s="166" t="s">
        <v>3993</v>
      </c>
    </row>
    <row r="290" spans="2:18">
      <c r="B290" s="203">
        <v>190001</v>
      </c>
      <c r="D290" s="348" t="s">
        <v>222</v>
      </c>
      <c r="F290" s="348" t="s">
        <v>75</v>
      </c>
      <c r="H290" s="349" t="s">
        <v>2369</v>
      </c>
      <c r="J290" s="166" t="s">
        <v>74</v>
      </c>
      <c r="N290" s="166" t="s">
        <v>928</v>
      </c>
      <c r="P290" s="168">
        <f>SUMIF('Balance Sheet Detail'!$B:$B,$R290,'Balance Sheet Detail'!W:W)</f>
        <v>42274.236154166698</v>
      </c>
      <c r="R290" s="166" t="s">
        <v>3316</v>
      </c>
    </row>
    <row r="291" spans="2:18">
      <c r="B291" s="203">
        <v>190001</v>
      </c>
      <c r="D291" s="348"/>
      <c r="F291" s="348" t="s">
        <v>1619</v>
      </c>
      <c r="H291" s="349" t="s">
        <v>2369</v>
      </c>
      <c r="J291" s="166" t="s">
        <v>1620</v>
      </c>
      <c r="N291" s="166" t="s">
        <v>928</v>
      </c>
      <c r="P291" s="168">
        <f>SUMIF('Balance Sheet Detail'!$B:$B,$R291,'Balance Sheet Detail'!W:W)</f>
        <v>0</v>
      </c>
      <c r="R291" s="166" t="s">
        <v>3994</v>
      </c>
    </row>
    <row r="292" spans="2:18">
      <c r="B292" s="203">
        <v>190001</v>
      </c>
      <c r="D292" s="348"/>
      <c r="F292" s="348" t="s">
        <v>1617</v>
      </c>
      <c r="H292" s="349" t="s">
        <v>2369</v>
      </c>
      <c r="J292" s="166" t="s">
        <v>1618</v>
      </c>
      <c r="N292" s="166" t="s">
        <v>928</v>
      </c>
      <c r="P292" s="168">
        <f>SUMIF('Balance Sheet Detail'!$B:$B,$R292,'Balance Sheet Detail'!W:W)</f>
        <v>0</v>
      </c>
      <c r="R292" s="166" t="s">
        <v>3995</v>
      </c>
    </row>
    <row r="293" spans="2:18">
      <c r="B293" s="203">
        <v>190001</v>
      </c>
      <c r="D293" s="348"/>
      <c r="F293" s="348" t="s">
        <v>2643</v>
      </c>
      <c r="H293" s="349" t="s">
        <v>2369</v>
      </c>
      <c r="J293" s="166" t="s">
        <v>2644</v>
      </c>
      <c r="N293" s="166" t="s">
        <v>928</v>
      </c>
      <c r="P293" s="168">
        <f>SUMIF('Balance Sheet Detail'!$B:$B,$R293,'Balance Sheet Detail'!W:W)</f>
        <v>0</v>
      </c>
      <c r="R293" s="166" t="s">
        <v>3996</v>
      </c>
    </row>
    <row r="294" spans="2:18">
      <c r="B294" s="203">
        <v>190002</v>
      </c>
      <c r="D294" s="348" t="s">
        <v>222</v>
      </c>
      <c r="F294" s="348" t="s">
        <v>75</v>
      </c>
      <c r="H294" s="349" t="s">
        <v>2369</v>
      </c>
      <c r="J294" s="166" t="s">
        <v>74</v>
      </c>
      <c r="N294" s="166" t="s">
        <v>928</v>
      </c>
      <c r="P294" s="168">
        <f>SUMIF('Balance Sheet Detail'!$B:$B,$R294,'Balance Sheet Detail'!W:W)</f>
        <v>6120.9666012500002</v>
      </c>
      <c r="R294" s="166" t="s">
        <v>3313</v>
      </c>
    </row>
    <row r="295" spans="2:18">
      <c r="B295" s="203">
        <v>190002</v>
      </c>
      <c r="D295" s="348"/>
      <c r="F295" s="348" t="s">
        <v>1614</v>
      </c>
      <c r="H295" s="349" t="s">
        <v>2369</v>
      </c>
      <c r="J295" s="166" t="s">
        <v>1615</v>
      </c>
      <c r="N295" s="166" t="s">
        <v>928</v>
      </c>
      <c r="P295" s="168">
        <f>SUMIF('Balance Sheet Detail'!$B:$B,$R295,'Balance Sheet Detail'!W:W)</f>
        <v>0</v>
      </c>
      <c r="R295" s="166" t="s">
        <v>3997</v>
      </c>
    </row>
    <row r="296" spans="2:18">
      <c r="B296" s="203">
        <v>190002</v>
      </c>
      <c r="D296" s="348"/>
      <c r="F296" s="348" t="s">
        <v>154</v>
      </c>
      <c r="H296" s="349" t="s">
        <v>2369</v>
      </c>
      <c r="J296" s="166" t="s">
        <v>1846</v>
      </c>
      <c r="N296" s="166" t="s">
        <v>928</v>
      </c>
      <c r="P296" s="168">
        <f>SUMIF('Balance Sheet Detail'!$B:$B,$R296,'Balance Sheet Detail'!W:W)</f>
        <v>0</v>
      </c>
      <c r="R296" s="166" t="s">
        <v>3998</v>
      </c>
    </row>
    <row r="297" spans="2:18">
      <c r="B297" s="203">
        <v>190006</v>
      </c>
      <c r="D297" s="348" t="s">
        <v>222</v>
      </c>
      <c r="F297" s="348" t="s">
        <v>75</v>
      </c>
      <c r="H297" s="349" t="s">
        <v>2369</v>
      </c>
      <c r="J297" s="166" t="s">
        <v>74</v>
      </c>
      <c r="N297" s="166" t="s">
        <v>928</v>
      </c>
      <c r="P297" s="168">
        <f>SUMIF('Balance Sheet Detail'!$B:$B,$R297,'Balance Sheet Detail'!W:W)</f>
        <v>1273.2926</v>
      </c>
      <c r="R297" s="166" t="s">
        <v>3314</v>
      </c>
    </row>
    <row r="298" spans="2:18">
      <c r="B298" s="203">
        <v>190007</v>
      </c>
      <c r="D298" s="348" t="s">
        <v>222</v>
      </c>
      <c r="F298" s="348" t="s">
        <v>75</v>
      </c>
      <c r="H298" s="349" t="s">
        <v>2369</v>
      </c>
      <c r="J298" s="166" t="s">
        <v>74</v>
      </c>
      <c r="N298" s="166" t="s">
        <v>928</v>
      </c>
      <c r="P298" s="168">
        <f>SUMIF('Balance Sheet Detail'!$B:$B,$R298,'Balance Sheet Detail'!W:W)</f>
        <v>188.58179999999999</v>
      </c>
      <c r="R298" s="166" t="s">
        <v>3315</v>
      </c>
    </row>
    <row r="299" spans="2:18">
      <c r="B299" s="203">
        <v>190010</v>
      </c>
      <c r="D299" s="348"/>
      <c r="F299" s="348" t="s">
        <v>2490</v>
      </c>
      <c r="H299" s="349" t="s">
        <v>2369</v>
      </c>
      <c r="J299" s="166" t="s">
        <v>1445</v>
      </c>
      <c r="N299" s="166" t="s">
        <v>928</v>
      </c>
      <c r="P299" s="168">
        <f>SUMIF('Balance Sheet Detail'!$B:$B,$R299,'Balance Sheet Detail'!W:W)</f>
        <v>0</v>
      </c>
      <c r="R299" s="166" t="s">
        <v>3999</v>
      </c>
    </row>
    <row r="300" spans="2:18">
      <c r="B300" s="203">
        <v>190010</v>
      </c>
      <c r="D300" s="348"/>
      <c r="F300" s="348" t="s">
        <v>1446</v>
      </c>
      <c r="H300" s="349" t="s">
        <v>2369</v>
      </c>
      <c r="J300" s="166" t="s">
        <v>1447</v>
      </c>
      <c r="N300" s="166" t="s">
        <v>928</v>
      </c>
      <c r="P300" s="168">
        <f>SUMIF('Balance Sheet Detail'!$B:$B,$R300,'Balance Sheet Detail'!W:W)</f>
        <v>0</v>
      </c>
      <c r="R300" s="166" t="s">
        <v>4000</v>
      </c>
    </row>
    <row r="301" spans="2:18">
      <c r="B301" s="203">
        <v>190010</v>
      </c>
      <c r="D301" s="348"/>
      <c r="F301" s="348" t="s">
        <v>2487</v>
      </c>
      <c r="H301" s="349" t="s">
        <v>2369</v>
      </c>
      <c r="J301" s="166" t="s">
        <v>1618</v>
      </c>
      <c r="N301" s="166" t="s">
        <v>928</v>
      </c>
      <c r="P301" s="168">
        <f>SUMIF('Balance Sheet Detail'!$B:$B,$R301,'Balance Sheet Detail'!W:W)</f>
        <v>0</v>
      </c>
      <c r="R301" s="166" t="s">
        <v>4001</v>
      </c>
    </row>
    <row r="302" spans="2:18">
      <c r="B302" s="203">
        <v>190010</v>
      </c>
      <c r="D302" s="348"/>
      <c r="F302" s="348" t="s">
        <v>2488</v>
      </c>
      <c r="H302" s="349" t="s">
        <v>2369</v>
      </c>
      <c r="J302" s="166" t="s">
        <v>2489</v>
      </c>
      <c r="N302" s="166" t="s">
        <v>928</v>
      </c>
      <c r="P302" s="168">
        <f>SUMIF('Balance Sheet Detail'!$B:$B,$R302,'Balance Sheet Detail'!W:W)</f>
        <v>0</v>
      </c>
      <c r="R302" s="166" t="s">
        <v>4002</v>
      </c>
    </row>
    <row r="303" spans="2:18">
      <c r="B303" s="203">
        <v>190011</v>
      </c>
      <c r="D303" s="348" t="s">
        <v>222</v>
      </c>
      <c r="F303" s="348" t="s">
        <v>75</v>
      </c>
      <c r="H303" s="349" t="s">
        <v>2369</v>
      </c>
      <c r="J303" s="166" t="s">
        <v>74</v>
      </c>
      <c r="N303" s="166" t="s">
        <v>928</v>
      </c>
      <c r="P303" s="168">
        <f>SUMIF('Balance Sheet Detail'!$B:$B,$R303,'Balance Sheet Detail'!W:W)</f>
        <v>9647.1929816666707</v>
      </c>
      <c r="R303" s="166" t="s">
        <v>3317</v>
      </c>
    </row>
    <row r="304" spans="2:18">
      <c r="B304" s="203">
        <v>190011</v>
      </c>
      <c r="D304" s="348"/>
      <c r="F304" s="348" t="s">
        <v>2490</v>
      </c>
      <c r="H304" s="349" t="s">
        <v>2369</v>
      </c>
      <c r="J304" s="166" t="s">
        <v>1445</v>
      </c>
      <c r="N304" s="166" t="s">
        <v>928</v>
      </c>
      <c r="P304" s="168">
        <f>SUMIF('Balance Sheet Detail'!$B:$B,$R304,'Balance Sheet Detail'!W:W)</f>
        <v>0</v>
      </c>
      <c r="R304" s="166" t="s">
        <v>4003</v>
      </c>
    </row>
    <row r="305" spans="2:18">
      <c r="B305" s="203">
        <v>190011</v>
      </c>
      <c r="D305" s="348"/>
      <c r="F305" s="348" t="s">
        <v>2487</v>
      </c>
      <c r="H305" s="349" t="s">
        <v>2369</v>
      </c>
      <c r="J305" s="166" t="s">
        <v>1618</v>
      </c>
      <c r="N305" s="166" t="s">
        <v>928</v>
      </c>
      <c r="P305" s="168">
        <f>SUMIF('Balance Sheet Detail'!$B:$B,$R305,'Balance Sheet Detail'!W:W)</f>
        <v>0</v>
      </c>
      <c r="R305" s="166" t="s">
        <v>4004</v>
      </c>
    </row>
    <row r="306" spans="2:18">
      <c r="B306" s="203">
        <v>190012</v>
      </c>
      <c r="D306" s="348" t="s">
        <v>222</v>
      </c>
      <c r="F306" s="348" t="s">
        <v>75</v>
      </c>
      <c r="H306" s="349" t="s">
        <v>2369</v>
      </c>
      <c r="J306" s="166" t="s">
        <v>74</v>
      </c>
      <c r="N306" s="166" t="s">
        <v>928</v>
      </c>
      <c r="P306" s="168">
        <f>SUMIF('Balance Sheet Detail'!$B:$B,$R306,'Balance Sheet Detail'!W:W)</f>
        <v>1404.32639791667</v>
      </c>
      <c r="R306" s="166" t="s">
        <v>3318</v>
      </c>
    </row>
    <row r="307" spans="2:18">
      <c r="B307" s="203">
        <v>190012</v>
      </c>
      <c r="D307" s="348"/>
      <c r="F307" s="348" t="s">
        <v>1446</v>
      </c>
      <c r="H307" s="349" t="s">
        <v>2369</v>
      </c>
      <c r="J307" s="166" t="s">
        <v>1447</v>
      </c>
      <c r="N307" s="166" t="s">
        <v>928</v>
      </c>
      <c r="P307" s="168">
        <f>SUMIF('Balance Sheet Detail'!$B:$B,$R307,'Balance Sheet Detail'!W:W)</f>
        <v>0</v>
      </c>
      <c r="R307" s="166" t="s">
        <v>4005</v>
      </c>
    </row>
    <row r="308" spans="2:18">
      <c r="B308" s="203">
        <v>190012</v>
      </c>
      <c r="D308" s="348"/>
      <c r="F308" s="348" t="s">
        <v>2488</v>
      </c>
      <c r="H308" s="349" t="s">
        <v>2369</v>
      </c>
      <c r="J308" s="166" t="s">
        <v>2489</v>
      </c>
      <c r="N308" s="166" t="s">
        <v>928</v>
      </c>
      <c r="P308" s="168">
        <f>SUMIF('Balance Sheet Detail'!$B:$B,$R308,'Balance Sheet Detail'!W:W)</f>
        <v>0</v>
      </c>
      <c r="R308" s="166" t="s">
        <v>4006</v>
      </c>
    </row>
    <row r="309" spans="2:18">
      <c r="B309" s="203">
        <v>190016</v>
      </c>
      <c r="D309" s="348" t="s">
        <v>222</v>
      </c>
      <c r="F309" s="348" t="s">
        <v>75</v>
      </c>
      <c r="H309" s="349" t="s">
        <v>2369</v>
      </c>
      <c r="J309" s="166" t="s">
        <v>74</v>
      </c>
      <c r="N309" s="166" t="s">
        <v>928</v>
      </c>
      <c r="P309" s="168">
        <f>SUMIF('Balance Sheet Detail'!$B:$B,$R309,'Balance Sheet Detail'!W:W)</f>
        <v>278.03714000000002</v>
      </c>
      <c r="R309" s="166" t="s">
        <v>3319</v>
      </c>
    </row>
    <row r="310" spans="2:18">
      <c r="B310" s="203">
        <v>190017</v>
      </c>
      <c r="D310" s="348" t="s">
        <v>222</v>
      </c>
      <c r="F310" s="348" t="s">
        <v>75</v>
      </c>
      <c r="H310" s="349" t="s">
        <v>2369</v>
      </c>
      <c r="J310" s="166" t="s">
        <v>74</v>
      </c>
      <c r="N310" s="166" t="s">
        <v>928</v>
      </c>
      <c r="P310" s="168">
        <f>SUMIF('Balance Sheet Detail'!$B:$B,$R310,'Balance Sheet Detail'!W:W)</f>
        <v>41.17886</v>
      </c>
      <c r="R310" s="166" t="s">
        <v>3320</v>
      </c>
    </row>
    <row r="311" spans="2:18">
      <c r="B311" s="203">
        <v>190501</v>
      </c>
      <c r="D311" s="348" t="s">
        <v>2988</v>
      </c>
      <c r="F311" s="348" t="s">
        <v>1619</v>
      </c>
      <c r="H311" s="349" t="s">
        <v>2369</v>
      </c>
      <c r="J311" s="166" t="s">
        <v>335</v>
      </c>
      <c r="N311" s="166" t="s">
        <v>928</v>
      </c>
      <c r="P311" s="168">
        <f>SUMIF('Balance Sheet Detail'!$B:$B,$R311,'Balance Sheet Detail'!W:W)</f>
        <v>5664.44</v>
      </c>
      <c r="R311" s="166" t="s">
        <v>3321</v>
      </c>
    </row>
    <row r="312" spans="2:18">
      <c r="B312" s="203">
        <v>190501</v>
      </c>
      <c r="D312" s="348" t="s">
        <v>1126</v>
      </c>
      <c r="F312" s="348" t="s">
        <v>1412</v>
      </c>
      <c r="H312" s="349" t="s">
        <v>2369</v>
      </c>
      <c r="J312" s="166" t="s">
        <v>1413</v>
      </c>
      <c r="N312" s="166" t="s">
        <v>928</v>
      </c>
      <c r="P312" s="168">
        <f>SUMIF('Balance Sheet Detail'!$B:$B,$R312,'Balance Sheet Detail'!W:W)</f>
        <v>540.89599999999996</v>
      </c>
      <c r="R312" s="166" t="s">
        <v>3322</v>
      </c>
    </row>
    <row r="313" spans="2:18">
      <c r="B313" s="203">
        <v>190501</v>
      </c>
      <c r="D313" s="348" t="s">
        <v>395</v>
      </c>
      <c r="F313" s="348" t="s">
        <v>1617</v>
      </c>
      <c r="H313" s="349" t="s">
        <v>2369</v>
      </c>
      <c r="J313" s="166" t="s">
        <v>1618</v>
      </c>
      <c r="N313" s="166" t="s">
        <v>928</v>
      </c>
      <c r="P313" s="168">
        <f>SUMIF('Balance Sheet Detail'!$B:$B,$R313,'Balance Sheet Detail'!W:W)</f>
        <v>1212.175</v>
      </c>
      <c r="R313" s="166" t="s">
        <v>3323</v>
      </c>
    </row>
    <row r="314" spans="2:18">
      <c r="B314" s="203">
        <v>190501</v>
      </c>
      <c r="D314" s="348" t="s">
        <v>396</v>
      </c>
      <c r="F314" s="348" t="s">
        <v>2643</v>
      </c>
      <c r="H314" s="349" t="s">
        <v>2369</v>
      </c>
      <c r="J314" s="166" t="s">
        <v>2644</v>
      </c>
      <c r="N314" s="166" t="s">
        <v>928</v>
      </c>
      <c r="P314" s="168">
        <f>SUMIF('Balance Sheet Detail'!$B:$B,$R314,'Balance Sheet Detail'!W:W)</f>
        <v>186.495</v>
      </c>
      <c r="R314" s="166" t="s">
        <v>3324</v>
      </c>
    </row>
    <row r="315" spans="2:18">
      <c r="B315" s="203">
        <v>190502</v>
      </c>
      <c r="D315" s="348" t="s">
        <v>2988</v>
      </c>
      <c r="F315" s="348" t="s">
        <v>1614</v>
      </c>
      <c r="H315" s="349" t="s">
        <v>2369</v>
      </c>
      <c r="J315" s="166" t="s">
        <v>1375</v>
      </c>
      <c r="N315" s="166" t="s">
        <v>928</v>
      </c>
      <c r="P315" s="168">
        <f>SUMIF('Balance Sheet Detail'!$B:$B,$R315,'Balance Sheet Detail'!W:W)</f>
        <v>649.452</v>
      </c>
      <c r="R315" s="166" t="s">
        <v>3325</v>
      </c>
    </row>
    <row r="316" spans="2:18">
      <c r="B316" s="203">
        <v>190502</v>
      </c>
      <c r="D316" s="348" t="s">
        <v>396</v>
      </c>
      <c r="F316" s="348" t="s">
        <v>154</v>
      </c>
      <c r="H316" s="349" t="s">
        <v>2369</v>
      </c>
      <c r="J316" s="166" t="s">
        <v>195</v>
      </c>
      <c r="N316" s="166" t="s">
        <v>928</v>
      </c>
      <c r="P316" s="168">
        <f>SUMIF('Balance Sheet Detail'!$B:$B,$R316,'Balance Sheet Detail'!W:W)</f>
        <v>26.164999999999999</v>
      </c>
      <c r="R316" s="166" t="s">
        <v>3326</v>
      </c>
    </row>
    <row r="317" spans="2:18">
      <c r="B317" s="203">
        <v>190502</v>
      </c>
      <c r="D317" s="348" t="s">
        <v>395</v>
      </c>
      <c r="F317" s="348" t="s">
        <v>154</v>
      </c>
      <c r="H317" s="349" t="s">
        <v>2369</v>
      </c>
      <c r="J317" s="166" t="s">
        <v>1846</v>
      </c>
      <c r="N317" s="166" t="s">
        <v>928</v>
      </c>
      <c r="P317" s="168">
        <f>SUMIF('Balance Sheet Detail'!$B:$B,$R317,'Balance Sheet Detail'!W:W)</f>
        <v>0.82399999999999995</v>
      </c>
      <c r="R317" s="166" t="s">
        <v>3327</v>
      </c>
    </row>
    <row r="318" spans="2:18">
      <c r="B318" s="203">
        <v>190511</v>
      </c>
      <c r="D318" s="348" t="s">
        <v>2988</v>
      </c>
      <c r="F318" s="348" t="s">
        <v>2490</v>
      </c>
      <c r="H318" s="349" t="s">
        <v>2369</v>
      </c>
      <c r="J318" s="166" t="s">
        <v>1375</v>
      </c>
      <c r="N318" s="166" t="s">
        <v>928</v>
      </c>
      <c r="P318" s="168">
        <f>SUMIF('Balance Sheet Detail'!$B:$B,$R318,'Balance Sheet Detail'!W:W)</f>
        <v>865.68700000000001</v>
      </c>
      <c r="R318" s="166" t="s">
        <v>3328</v>
      </c>
    </row>
    <row r="319" spans="2:18">
      <c r="B319" s="203">
        <v>190511</v>
      </c>
      <c r="D319" s="348" t="s">
        <v>1126</v>
      </c>
      <c r="F319" s="348" t="s">
        <v>3002</v>
      </c>
      <c r="H319" s="349" t="s">
        <v>2369</v>
      </c>
      <c r="J319" s="166" t="s">
        <v>1413</v>
      </c>
      <c r="N319" s="166" t="s">
        <v>928</v>
      </c>
      <c r="P319" s="168">
        <f>SUMIF('Balance Sheet Detail'!$B:$B,$R319,'Balance Sheet Detail'!W:W)</f>
        <v>108.82299999999999</v>
      </c>
      <c r="R319" s="166" t="s">
        <v>3329</v>
      </c>
    </row>
    <row r="320" spans="2:18">
      <c r="B320" s="203">
        <v>190511</v>
      </c>
      <c r="D320" s="348" t="s">
        <v>395</v>
      </c>
      <c r="F320" s="348" t="s">
        <v>2487</v>
      </c>
      <c r="H320" s="349" t="s">
        <v>2369</v>
      </c>
      <c r="J320" s="166" t="s">
        <v>1618</v>
      </c>
      <c r="N320" s="166" t="s">
        <v>928</v>
      </c>
      <c r="P320" s="168">
        <f>SUMIF('Balance Sheet Detail'!$B:$B,$R320,'Balance Sheet Detail'!W:W)</f>
        <v>281.94299999999998</v>
      </c>
      <c r="R320" s="166" t="s">
        <v>3330</v>
      </c>
    </row>
    <row r="321" spans="2:18">
      <c r="B321" s="203">
        <v>190512</v>
      </c>
      <c r="D321" s="348" t="s">
        <v>2988</v>
      </c>
      <c r="F321" s="348" t="s">
        <v>1446</v>
      </c>
      <c r="H321" s="349" t="s">
        <v>2369</v>
      </c>
      <c r="J321" s="166" t="s">
        <v>1375</v>
      </c>
      <c r="N321" s="166" t="s">
        <v>928</v>
      </c>
      <c r="P321" s="168">
        <f>SUMIF('Balance Sheet Detail'!$B:$B,$R321,'Balance Sheet Detail'!W:W)</f>
        <v>118.0234</v>
      </c>
      <c r="R321" s="166" t="s">
        <v>3331</v>
      </c>
    </row>
    <row r="322" spans="2:18">
      <c r="B322" s="203">
        <v>190512</v>
      </c>
      <c r="D322" s="348" t="s">
        <v>395</v>
      </c>
      <c r="F322" s="348" t="s">
        <v>2488</v>
      </c>
      <c r="H322" s="349" t="s">
        <v>2369</v>
      </c>
      <c r="J322" s="166" t="s">
        <v>2489</v>
      </c>
      <c r="N322" s="166" t="s">
        <v>928</v>
      </c>
      <c r="P322" s="168">
        <f>SUMIF('Balance Sheet Detail'!$B:$B,$R322,'Balance Sheet Detail'!W:W)</f>
        <v>41.756999999999998</v>
      </c>
      <c r="R322" s="166" t="s">
        <v>3332</v>
      </c>
    </row>
    <row r="323" spans="2:18">
      <c r="B323" s="203">
        <v>282200</v>
      </c>
      <c r="D323" s="348" t="s">
        <v>226</v>
      </c>
      <c r="F323" s="348" t="s">
        <v>1951</v>
      </c>
      <c r="H323" s="349" t="s">
        <v>2369</v>
      </c>
      <c r="J323" s="166" t="s">
        <v>2715</v>
      </c>
      <c r="N323" s="166" t="s">
        <v>928</v>
      </c>
      <c r="P323" s="168">
        <f>SUMIF('Balance Sheet Detail'!$B:$B,$R323,'Balance Sheet Detail'!W:W)</f>
        <v>-42.788499999999999</v>
      </c>
      <c r="R323" s="166" t="s">
        <v>4512</v>
      </c>
    </row>
    <row r="324" spans="2:18">
      <c r="B324" s="203">
        <v>282210</v>
      </c>
      <c r="D324" s="348" t="s">
        <v>226</v>
      </c>
      <c r="F324" s="348" t="s">
        <v>1565</v>
      </c>
      <c r="H324" s="349" t="s">
        <v>2369</v>
      </c>
      <c r="J324" s="166" t="s">
        <v>1630</v>
      </c>
      <c r="N324" s="166" t="s">
        <v>928</v>
      </c>
      <c r="P324" s="168">
        <f>SUMIF('Balance Sheet Detail'!$B:$B,$R324,'Balance Sheet Detail'!W:W)</f>
        <v>-9.5259999999999998</v>
      </c>
      <c r="R324" s="166" t="s">
        <v>4705</v>
      </c>
    </row>
    <row r="325" spans="2:18">
      <c r="B325" s="203">
        <v>283200</v>
      </c>
      <c r="D325" s="348" t="s">
        <v>226</v>
      </c>
      <c r="F325" s="348" t="s">
        <v>1951</v>
      </c>
      <c r="H325" s="349" t="s">
        <v>2369</v>
      </c>
      <c r="J325" s="166" t="s">
        <v>2715</v>
      </c>
      <c r="N325" s="166" t="s">
        <v>928</v>
      </c>
      <c r="P325" s="168">
        <f>SUMIF('Balance Sheet Detail'!$B:$B,$R325,'Balance Sheet Detail'!W:W)</f>
        <v>-42.788499999999999</v>
      </c>
      <c r="R325" s="166" t="s">
        <v>4512</v>
      </c>
    </row>
    <row r="326" spans="2:18">
      <c r="B326" s="203">
        <v>283200</v>
      </c>
      <c r="D326" s="348" t="s">
        <v>226</v>
      </c>
      <c r="F326" s="348" t="s">
        <v>1951</v>
      </c>
      <c r="H326" s="349" t="s">
        <v>2369</v>
      </c>
      <c r="J326" s="166" t="s">
        <v>2715</v>
      </c>
      <c r="N326" s="166" t="s">
        <v>928</v>
      </c>
      <c r="P326" s="168">
        <f>SUMIF('Balance Sheet Detail'!$B:$B,$R326,'Balance Sheet Detail'!W:W)</f>
        <v>-2.999999997E-6</v>
      </c>
      <c r="R326" s="166" t="s">
        <v>3333</v>
      </c>
    </row>
    <row r="327" spans="2:18">
      <c r="B327" s="203">
        <v>283200</v>
      </c>
      <c r="D327" s="348" t="s">
        <v>222</v>
      </c>
      <c r="F327" s="348" t="s">
        <v>75</v>
      </c>
      <c r="H327" s="349" t="s">
        <v>2369</v>
      </c>
      <c r="J327" s="166" t="s">
        <v>221</v>
      </c>
      <c r="N327" s="166" t="s">
        <v>928</v>
      </c>
      <c r="P327" s="168">
        <f>SUMIF('Balance Sheet Detail'!$B:$B,$R327,'Balance Sheet Detail'!W:W)</f>
        <v>8839.5056920833304</v>
      </c>
      <c r="R327" s="166" t="s">
        <v>3334</v>
      </c>
    </row>
    <row r="328" spans="2:18">
      <c r="B328" s="203">
        <v>283210</v>
      </c>
      <c r="D328" s="348" t="s">
        <v>495</v>
      </c>
      <c r="F328" s="348" t="s">
        <v>1565</v>
      </c>
      <c r="H328" s="349" t="s">
        <v>2369</v>
      </c>
      <c r="J328" s="166" t="s">
        <v>1630</v>
      </c>
      <c r="N328" s="166" t="s">
        <v>928</v>
      </c>
      <c r="P328" s="168">
        <f>SUMIF('Balance Sheet Detail'!$B:$B,$R328,'Balance Sheet Detail'!W:W)</f>
        <v>0</v>
      </c>
      <c r="R328" s="166" t="s">
        <v>3335</v>
      </c>
    </row>
    <row r="329" spans="2:18">
      <c r="B329" s="203">
        <v>283210</v>
      </c>
      <c r="D329" s="348" t="s">
        <v>222</v>
      </c>
      <c r="F329" s="348" t="s">
        <v>75</v>
      </c>
      <c r="H329" s="349" t="s">
        <v>2369</v>
      </c>
      <c r="J329" s="166" t="s">
        <v>221</v>
      </c>
      <c r="N329" s="166" t="s">
        <v>928</v>
      </c>
      <c r="P329" s="168">
        <f>SUMIF('Balance Sheet Detail'!$B:$B,$R329,'Balance Sheet Detail'!W:W)</f>
        <v>980.84243500000002</v>
      </c>
      <c r="R329" s="166" t="s">
        <v>3336</v>
      </c>
    </row>
    <row r="330" spans="2:18">
      <c r="B330" s="203">
        <v>283400</v>
      </c>
      <c r="D330" s="348" t="s">
        <v>222</v>
      </c>
      <c r="F330" s="348" t="s">
        <v>75</v>
      </c>
      <c r="H330" s="349" t="s">
        <v>2369</v>
      </c>
      <c r="J330" s="166" t="s">
        <v>221</v>
      </c>
      <c r="N330" s="166" t="s">
        <v>928</v>
      </c>
      <c r="P330" s="168">
        <f>SUMIF('Balance Sheet Detail'!$B:$B,$R330,'Balance Sheet Detail'!W:W)</f>
        <v>1930.2011495833301</v>
      </c>
      <c r="R330" s="166" t="s">
        <v>3337</v>
      </c>
    </row>
    <row r="331" spans="2:18">
      <c r="B331" s="203">
        <v>283410</v>
      </c>
      <c r="D331" s="348" t="s">
        <v>222</v>
      </c>
      <c r="F331" s="348" t="s">
        <v>75</v>
      </c>
      <c r="H331" s="349" t="s">
        <v>2369</v>
      </c>
      <c r="J331" s="166" t="s">
        <v>221</v>
      </c>
      <c r="N331" s="166" t="s">
        <v>928</v>
      </c>
      <c r="P331" s="168">
        <f>SUMIF('Balance Sheet Detail'!$B:$B,$R331,'Balance Sheet Detail'!W:W)</f>
        <v>214.17750708333301</v>
      </c>
      <c r="R331" s="166" t="s">
        <v>3338</v>
      </c>
    </row>
    <row r="332" spans="2:18">
      <c r="B332" s="203">
        <v>283500</v>
      </c>
      <c r="D332" s="348" t="s">
        <v>91</v>
      </c>
      <c r="F332" s="348" t="s">
        <v>2286</v>
      </c>
      <c r="H332" s="349" t="s">
        <v>2369</v>
      </c>
      <c r="J332" s="166" t="s">
        <v>2285</v>
      </c>
      <c r="N332" s="166" t="s">
        <v>928</v>
      </c>
      <c r="P332" s="168">
        <f>SUMIF('Balance Sheet Detail'!$B:$B,$R332,'Balance Sheet Detail'!W:W)</f>
        <v>-44690.185684166703</v>
      </c>
      <c r="R332" s="166" t="s">
        <v>3339</v>
      </c>
    </row>
    <row r="333" spans="2:18">
      <c r="B333" s="203">
        <v>283500</v>
      </c>
      <c r="D333" s="348" t="s">
        <v>869</v>
      </c>
      <c r="F333" s="348" t="s">
        <v>1108</v>
      </c>
      <c r="H333" s="349" t="s">
        <v>2369</v>
      </c>
      <c r="J333" s="166" t="s">
        <v>1756</v>
      </c>
      <c r="N333" s="166" t="s">
        <v>928</v>
      </c>
      <c r="P333" s="168">
        <f>SUMIF('Balance Sheet Detail'!$B:$B,$R333,'Balance Sheet Detail'!W:W)</f>
        <v>0</v>
      </c>
      <c r="R333" s="166" t="s">
        <v>4007</v>
      </c>
    </row>
    <row r="334" spans="2:18">
      <c r="B334" s="203">
        <v>283510</v>
      </c>
      <c r="D334" s="348" t="s">
        <v>91</v>
      </c>
      <c r="F334" s="348" t="s">
        <v>2286</v>
      </c>
      <c r="H334" s="349" t="s">
        <v>2369</v>
      </c>
      <c r="J334" s="166" t="s">
        <v>2285</v>
      </c>
      <c r="N334" s="166" t="s">
        <v>928</v>
      </c>
      <c r="P334" s="168">
        <f>SUMIF('Balance Sheet Detail'!$B:$B,$R334,'Balance Sheet Detail'!W:W)</f>
        <v>-2914.1699037500098</v>
      </c>
      <c r="R334" s="166" t="s">
        <v>3340</v>
      </c>
    </row>
    <row r="335" spans="2:18">
      <c r="B335" s="203">
        <v>283510</v>
      </c>
      <c r="D335" s="348" t="s">
        <v>1126</v>
      </c>
      <c r="F335" s="348" t="s">
        <v>764</v>
      </c>
      <c r="H335" s="349" t="s">
        <v>2369</v>
      </c>
      <c r="J335" s="166" t="s">
        <v>765</v>
      </c>
      <c r="N335" s="166" t="s">
        <v>928</v>
      </c>
      <c r="P335" s="168">
        <f>SUMIF('Balance Sheet Detail'!$B:$B,$R335,'Balance Sheet Detail'!W:W)</f>
        <v>-2.4999999998100001E-4</v>
      </c>
      <c r="R335" s="166" t="s">
        <v>3341</v>
      </c>
    </row>
    <row r="336" spans="2:18">
      <c r="B336" s="203">
        <v>283550</v>
      </c>
      <c r="D336" s="348" t="s">
        <v>91</v>
      </c>
      <c r="F336" s="348" t="s">
        <v>2286</v>
      </c>
      <c r="H336" s="349" t="s">
        <v>2369</v>
      </c>
      <c r="J336" s="166" t="s">
        <v>2285</v>
      </c>
      <c r="N336" s="166" t="s">
        <v>928</v>
      </c>
      <c r="P336" s="168">
        <f>SUMIF('Balance Sheet Detail'!$B:$B,$R336,'Balance Sheet Detail'!W:W)</f>
        <v>-10174.742128333301</v>
      </c>
      <c r="R336" s="166" t="s">
        <v>3342</v>
      </c>
    </row>
    <row r="337" spans="1:18">
      <c r="B337" s="203">
        <v>283550</v>
      </c>
      <c r="D337" s="348" t="s">
        <v>869</v>
      </c>
      <c r="F337" s="348" t="s">
        <v>1108</v>
      </c>
      <c r="H337" s="349" t="s">
        <v>2369</v>
      </c>
      <c r="J337" s="166" t="s">
        <v>1756</v>
      </c>
      <c r="N337" s="166" t="s">
        <v>928</v>
      </c>
      <c r="P337" s="168">
        <f>SUMIF('Balance Sheet Detail'!$B:$B,$R337,'Balance Sheet Detail'!W:W)</f>
        <v>1.4999999986E-4</v>
      </c>
      <c r="R337" s="166" t="s">
        <v>3343</v>
      </c>
    </row>
    <row r="338" spans="1:18">
      <c r="B338" s="203">
        <v>283560</v>
      </c>
      <c r="D338" s="348" t="s">
        <v>91</v>
      </c>
      <c r="F338" s="348" t="s">
        <v>2286</v>
      </c>
      <c r="H338" s="349" t="s">
        <v>2369</v>
      </c>
      <c r="J338" s="166" t="s">
        <v>2285</v>
      </c>
      <c r="N338" s="166" t="s">
        <v>928</v>
      </c>
      <c r="P338" s="168">
        <f>SUMIF('Balance Sheet Detail'!$B:$B,$R338,'Balance Sheet Detail'!W:W)</f>
        <v>-704.08745458333397</v>
      </c>
      <c r="R338" s="166" t="s">
        <v>3344</v>
      </c>
    </row>
    <row r="339" spans="1:18">
      <c r="B339" s="203">
        <v>283560</v>
      </c>
      <c r="D339" s="348" t="s">
        <v>1126</v>
      </c>
      <c r="F339" s="348" t="s">
        <v>764</v>
      </c>
      <c r="H339" s="349" t="s">
        <v>2369</v>
      </c>
      <c r="J339" s="166" t="s">
        <v>765</v>
      </c>
      <c r="N339" s="166" t="s">
        <v>928</v>
      </c>
      <c r="P339" s="168">
        <f>SUMIF('Balance Sheet Detail'!$B:$B,$R339,'Balance Sheet Detail'!W:W)</f>
        <v>-1.5100000000000001E-3</v>
      </c>
      <c r="R339" s="166" t="s">
        <v>3345</v>
      </c>
    </row>
    <row r="340" spans="1:18">
      <c r="B340" s="203">
        <v>283986</v>
      </c>
      <c r="D340" s="348" t="s">
        <v>222</v>
      </c>
      <c r="F340" s="348" t="s">
        <v>75</v>
      </c>
      <c r="H340" s="349" t="s">
        <v>2369</v>
      </c>
      <c r="J340" s="166" t="s">
        <v>925</v>
      </c>
      <c r="N340" s="166" t="s">
        <v>928</v>
      </c>
      <c r="P340" s="168">
        <f>SUMIF('Balance Sheet Detail'!$B:$B,$R340,'Balance Sheet Detail'!W:W)</f>
        <v>0</v>
      </c>
      <c r="R340" s="166" t="s">
        <v>3346</v>
      </c>
    </row>
    <row r="341" spans="1:18">
      <c r="B341" s="203">
        <v>283987</v>
      </c>
      <c r="D341" s="348" t="s">
        <v>222</v>
      </c>
      <c r="F341" s="348" t="s">
        <v>75</v>
      </c>
      <c r="H341" s="349" t="s">
        <v>2369</v>
      </c>
      <c r="J341" s="166" t="s">
        <v>925</v>
      </c>
      <c r="N341" s="166" t="s">
        <v>928</v>
      </c>
      <c r="P341" s="168">
        <f>SUMIF('Balance Sheet Detail'!$B:$B,$R341,'Balance Sheet Detail'!W:W)</f>
        <v>0</v>
      </c>
      <c r="R341" s="166" t="s">
        <v>3347</v>
      </c>
    </row>
    <row r="342" spans="1:18">
      <c r="B342" s="203">
        <v>283988</v>
      </c>
      <c r="D342" s="348" t="s">
        <v>222</v>
      </c>
      <c r="F342" s="348" t="s">
        <v>75</v>
      </c>
      <c r="H342" s="349" t="s">
        <v>2369</v>
      </c>
      <c r="J342" s="166" t="s">
        <v>925</v>
      </c>
      <c r="N342" s="166" t="s">
        <v>928</v>
      </c>
      <c r="P342" s="168">
        <f>SUMIF('Balance Sheet Detail'!$B:$B,$R342,'Balance Sheet Detail'!W:W)</f>
        <v>0</v>
      </c>
      <c r="R342" s="166" t="s">
        <v>3348</v>
      </c>
    </row>
    <row r="343" spans="1:18">
      <c r="B343" s="203">
        <v>283989</v>
      </c>
      <c r="D343" s="348" t="s">
        <v>222</v>
      </c>
      <c r="F343" s="348" t="s">
        <v>75</v>
      </c>
      <c r="H343" s="349" t="s">
        <v>2369</v>
      </c>
      <c r="J343" s="166" t="s">
        <v>925</v>
      </c>
      <c r="N343" s="166" t="s">
        <v>928</v>
      </c>
      <c r="P343" s="168">
        <f>SUMIF('Balance Sheet Detail'!$B:$B,$R343,'Balance Sheet Detail'!W:W)</f>
        <v>0</v>
      </c>
      <c r="R343" s="166" t="s">
        <v>3349</v>
      </c>
    </row>
    <row r="344" spans="1:18">
      <c r="D344" s="348"/>
      <c r="F344" s="348"/>
      <c r="H344" s="349"/>
    </row>
    <row r="345" spans="1:18">
      <c r="D345" s="348"/>
      <c r="F345" s="348"/>
      <c r="H345" s="349"/>
      <c r="P345" s="350"/>
    </row>
    <row r="346" spans="1:18">
      <c r="A346" s="127"/>
      <c r="B346" s="351" t="s">
        <v>3198</v>
      </c>
      <c r="C346" s="352"/>
      <c r="D346" s="344"/>
      <c r="E346" s="352"/>
      <c r="F346" s="344"/>
      <c r="G346" s="352"/>
      <c r="H346" s="346"/>
      <c r="I346" s="352"/>
      <c r="J346" s="347"/>
      <c r="K346" s="352"/>
      <c r="L346" s="352"/>
      <c r="P346" s="353">
        <f>SUM(P276:P345)</f>
        <v>-35554.789470083299</v>
      </c>
    </row>
    <row r="347" spans="1:18">
      <c r="A347" s="127"/>
      <c r="B347" s="344"/>
      <c r="C347" s="345"/>
      <c r="D347" s="344"/>
      <c r="E347" s="345"/>
      <c r="F347" s="344"/>
      <c r="G347" s="345"/>
      <c r="H347" s="346"/>
      <c r="I347" s="345"/>
      <c r="J347" s="347"/>
      <c r="K347" s="345"/>
      <c r="L347" s="345"/>
      <c r="P347" s="343"/>
    </row>
    <row r="348" spans="1:18">
      <c r="A348" s="127" t="s">
        <v>3199</v>
      </c>
      <c r="B348" s="344"/>
      <c r="C348" s="345"/>
      <c r="D348" s="344"/>
      <c r="E348" s="345"/>
      <c r="F348" s="344"/>
      <c r="G348" s="345"/>
      <c r="H348" s="346"/>
      <c r="I348" s="345"/>
      <c r="J348" s="347"/>
      <c r="K348" s="345"/>
      <c r="L348" s="345"/>
      <c r="P348" s="343"/>
    </row>
    <row r="349" spans="1:18">
      <c r="B349" s="203">
        <v>254010</v>
      </c>
      <c r="D349" s="348">
        <v>0</v>
      </c>
      <c r="F349" s="348" t="s">
        <v>350</v>
      </c>
      <c r="H349" s="349" t="s">
        <v>624</v>
      </c>
      <c r="J349" s="166" t="s">
        <v>351</v>
      </c>
      <c r="N349" s="166" t="s">
        <v>928</v>
      </c>
      <c r="P349" s="168">
        <f>SUMIF('Balance Sheet Detail'!$B:$B,$R349,'Balance Sheet Detail'!W:W)</f>
        <v>0</v>
      </c>
      <c r="R349" s="166" t="s">
        <v>4008</v>
      </c>
    </row>
    <row r="350" spans="1:18">
      <c r="B350" s="203">
        <v>254010</v>
      </c>
      <c r="D350" s="348">
        <v>0</v>
      </c>
      <c r="F350" s="348" t="s">
        <v>1572</v>
      </c>
      <c r="H350" s="349" t="s">
        <v>624</v>
      </c>
      <c r="J350" s="166" t="s">
        <v>1573</v>
      </c>
      <c r="N350" s="166" t="s">
        <v>928</v>
      </c>
      <c r="P350" s="168">
        <f>SUMIF('Balance Sheet Detail'!$B:$B,$R350,'Balance Sheet Detail'!W:W)</f>
        <v>0</v>
      </c>
      <c r="R350" s="166" t="s">
        <v>4009</v>
      </c>
    </row>
    <row r="351" spans="1:18">
      <c r="B351" s="203">
        <v>254010</v>
      </c>
      <c r="D351" s="348">
        <v>0</v>
      </c>
      <c r="F351" s="348" t="s">
        <v>1574</v>
      </c>
      <c r="H351" s="349" t="s">
        <v>624</v>
      </c>
      <c r="J351" s="166" t="s">
        <v>1575</v>
      </c>
      <c r="N351" s="166" t="s">
        <v>928</v>
      </c>
      <c r="P351" s="168">
        <f>SUMIF('Balance Sheet Detail'!$B:$B,$R351,'Balance Sheet Detail'!W:W)</f>
        <v>0</v>
      </c>
      <c r="R351" s="166" t="s">
        <v>4010</v>
      </c>
    </row>
    <row r="352" spans="1:18">
      <c r="B352" s="203">
        <v>254010</v>
      </c>
      <c r="D352" s="348">
        <v>0</v>
      </c>
      <c r="F352" s="348" t="s">
        <v>550</v>
      </c>
      <c r="H352" s="349" t="s">
        <v>624</v>
      </c>
      <c r="J352" s="166" t="s">
        <v>2870</v>
      </c>
      <c r="N352" s="166" t="s">
        <v>928</v>
      </c>
      <c r="P352" s="168">
        <f>SUMIF('Balance Sheet Detail'!$B:$B,$R352,'Balance Sheet Detail'!W:W)</f>
        <v>0</v>
      </c>
      <c r="R352" s="166" t="s">
        <v>4011</v>
      </c>
    </row>
    <row r="353" spans="1:18">
      <c r="B353" s="203">
        <v>254010</v>
      </c>
      <c r="D353" s="348">
        <v>0</v>
      </c>
      <c r="F353" s="348" t="s">
        <v>313</v>
      </c>
      <c r="H353" s="349" t="s">
        <v>624</v>
      </c>
      <c r="J353" s="166" t="s">
        <v>583</v>
      </c>
      <c r="N353" s="166" t="s">
        <v>928</v>
      </c>
      <c r="P353" s="168">
        <f>SUMIF('Balance Sheet Detail'!$B:$B,$R353,'Balance Sheet Detail'!W:W)</f>
        <v>0</v>
      </c>
      <c r="R353" s="166" t="s">
        <v>4012</v>
      </c>
    </row>
    <row r="354" spans="1:18">
      <c r="B354" s="203">
        <v>254010</v>
      </c>
      <c r="D354" s="348">
        <v>0</v>
      </c>
      <c r="F354" s="348" t="s">
        <v>2891</v>
      </c>
      <c r="H354" s="349" t="s">
        <v>624</v>
      </c>
      <c r="J354" s="166" t="s">
        <v>1715</v>
      </c>
      <c r="N354" s="166" t="s">
        <v>928</v>
      </c>
      <c r="P354" s="168">
        <f>SUMIF('Balance Sheet Detail'!$B:$B,$R354,'Balance Sheet Detail'!W:W)</f>
        <v>0</v>
      </c>
      <c r="R354" s="166" t="s">
        <v>4013</v>
      </c>
    </row>
    <row r="355" spans="1:18">
      <c r="B355" s="203">
        <v>254012</v>
      </c>
      <c r="D355" s="348"/>
      <c r="F355" s="348" t="s">
        <v>1572</v>
      </c>
      <c r="H355" s="349" t="s">
        <v>624</v>
      </c>
      <c r="J355" s="166" t="s">
        <v>2934</v>
      </c>
      <c r="N355" s="166" t="s">
        <v>928</v>
      </c>
      <c r="P355" s="168">
        <f>SUMIF('Balance Sheet Detail'!$B:$B,$R355,'Balance Sheet Detail'!W:W)</f>
        <v>0</v>
      </c>
      <c r="R355" s="166" t="s">
        <v>4014</v>
      </c>
    </row>
    <row r="356" spans="1:18">
      <c r="B356" s="203">
        <v>254012</v>
      </c>
      <c r="D356" s="348" t="s">
        <v>2771</v>
      </c>
      <c r="F356" s="348">
        <v>800135</v>
      </c>
      <c r="H356" s="349" t="s">
        <v>624</v>
      </c>
      <c r="J356" s="166" t="s">
        <v>2242</v>
      </c>
      <c r="N356" s="166" t="s">
        <v>928</v>
      </c>
      <c r="P356" s="168">
        <f>SUMIF('Balance Sheet Detail'!$B:$B,$R356,'Balance Sheet Detail'!W:W)</f>
        <v>0</v>
      </c>
      <c r="R356" s="166" t="s">
        <v>4015</v>
      </c>
    </row>
    <row r="357" spans="1:18">
      <c r="B357" s="203">
        <v>254012</v>
      </c>
      <c r="D357" s="348" t="s">
        <v>2772</v>
      </c>
      <c r="F357" s="348" t="s">
        <v>2773</v>
      </c>
      <c r="H357" s="349" t="s">
        <v>624</v>
      </c>
      <c r="J357" s="166" t="s">
        <v>1305</v>
      </c>
      <c r="N357" s="166" t="s">
        <v>928</v>
      </c>
      <c r="P357" s="168">
        <f>SUMIF('Balance Sheet Detail'!$B:$B,$R357,'Balance Sheet Detail'!W:W)</f>
        <v>0</v>
      </c>
      <c r="R357" s="166" t="s">
        <v>4016</v>
      </c>
    </row>
    <row r="358" spans="1:18">
      <c r="B358" s="203">
        <v>254012</v>
      </c>
      <c r="D358" s="348" t="s">
        <v>2772</v>
      </c>
      <c r="F358" s="348" t="s">
        <v>849</v>
      </c>
      <c r="H358" s="349" t="s">
        <v>624</v>
      </c>
      <c r="J358" s="166" t="s">
        <v>850</v>
      </c>
      <c r="N358" s="166" t="s">
        <v>928</v>
      </c>
      <c r="P358" s="168">
        <f>SUMIF('Balance Sheet Detail'!$B:$B,$R358,'Balance Sheet Detail'!W:W)</f>
        <v>0</v>
      </c>
      <c r="R358" s="166" t="s">
        <v>4017</v>
      </c>
    </row>
    <row r="359" spans="1:18">
      <c r="B359" s="203">
        <v>254012</v>
      </c>
      <c r="D359" s="348" t="s">
        <v>2771</v>
      </c>
      <c r="F359" s="348" t="s">
        <v>851</v>
      </c>
      <c r="H359" s="349" t="s">
        <v>624</v>
      </c>
      <c r="J359" s="166" t="s">
        <v>852</v>
      </c>
      <c r="N359" s="166" t="s">
        <v>928</v>
      </c>
      <c r="P359" s="168">
        <f>SUMIF('Balance Sheet Detail'!$B:$B,$R359,'Balance Sheet Detail'!W:W)</f>
        <v>0</v>
      </c>
      <c r="R359" s="166" t="s">
        <v>4018</v>
      </c>
    </row>
    <row r="360" spans="1:18">
      <c r="B360" s="203">
        <v>254012</v>
      </c>
      <c r="D360" s="348" t="s">
        <v>2772</v>
      </c>
      <c r="F360" s="348" t="s">
        <v>1543</v>
      </c>
      <c r="H360" s="349" t="s">
        <v>624</v>
      </c>
      <c r="J360" s="166" t="s">
        <v>1544</v>
      </c>
      <c r="N360" s="166" t="s">
        <v>928</v>
      </c>
      <c r="P360" s="168">
        <f>SUMIF('Balance Sheet Detail'!$B:$B,$R360,'Balance Sheet Detail'!W:W)</f>
        <v>0</v>
      </c>
      <c r="R360" s="166" t="s">
        <v>4019</v>
      </c>
    </row>
    <row r="361" spans="1:18">
      <c r="B361" s="203">
        <v>254012</v>
      </c>
      <c r="D361" s="348" t="s">
        <v>4678</v>
      </c>
      <c r="F361" s="348">
        <v>801202</v>
      </c>
      <c r="H361" s="349" t="s">
        <v>624</v>
      </c>
      <c r="J361" s="166" t="s">
        <v>2514</v>
      </c>
      <c r="N361" s="166" t="s">
        <v>928</v>
      </c>
      <c r="P361" s="168">
        <f>SUMIF('Balance Sheet Detail'!$B:$B,$R361,'Balance Sheet Detail'!W:W)</f>
        <v>-2708.9784941666699</v>
      </c>
      <c r="R361" s="166" t="s">
        <v>4726</v>
      </c>
    </row>
    <row r="362" spans="1:18">
      <c r="D362" s="348"/>
      <c r="F362" s="348"/>
      <c r="H362" s="349"/>
      <c r="P362" s="350"/>
    </row>
    <row r="363" spans="1:18">
      <c r="A363" s="127"/>
      <c r="B363" s="351" t="s">
        <v>3200</v>
      </c>
      <c r="C363" s="352"/>
      <c r="D363" s="344"/>
      <c r="E363" s="352"/>
      <c r="F363" s="344"/>
      <c r="G363" s="352"/>
      <c r="H363" s="346"/>
      <c r="I363" s="352"/>
      <c r="J363" s="347"/>
      <c r="K363" s="352"/>
      <c r="L363" s="352"/>
      <c r="P363" s="353">
        <f>SUM(P349:P362)</f>
        <v>-2708.9784941666699</v>
      </c>
    </row>
    <row r="364" spans="1:18">
      <c r="A364" s="127"/>
      <c r="B364" s="344"/>
      <c r="C364" s="345"/>
      <c r="D364" s="344"/>
      <c r="E364" s="345"/>
      <c r="F364" s="344"/>
      <c r="G364" s="345"/>
      <c r="H364" s="346"/>
      <c r="I364" s="345"/>
      <c r="J364" s="347"/>
      <c r="K364" s="345"/>
      <c r="L364" s="345"/>
      <c r="P364" s="343"/>
    </row>
    <row r="365" spans="1:18">
      <c r="A365" s="127" t="s">
        <v>790</v>
      </c>
      <c r="B365" s="344"/>
      <c r="C365" s="345"/>
      <c r="D365" s="344"/>
      <c r="E365" s="345"/>
      <c r="F365" s="344"/>
      <c r="G365" s="345"/>
      <c r="H365" s="346"/>
      <c r="I365" s="345"/>
      <c r="J365" s="347"/>
      <c r="K365" s="345"/>
      <c r="L365" s="345"/>
      <c r="P365" s="343"/>
    </row>
    <row r="366" spans="1:18">
      <c r="B366" s="203">
        <v>242035</v>
      </c>
      <c r="D366" s="348"/>
      <c r="F366" s="348"/>
      <c r="H366" s="349" t="s">
        <v>790</v>
      </c>
      <c r="J366" s="166" t="s">
        <v>1401</v>
      </c>
      <c r="N366" s="166" t="s">
        <v>928</v>
      </c>
      <c r="P366" s="168">
        <f>SUMIF('Balance Sheet Detail'!$B:$B,$R366,'Balance Sheet Detail'!W:W)</f>
        <v>-783.90245541666695</v>
      </c>
      <c r="R366" s="166" t="s">
        <v>3350</v>
      </c>
    </row>
    <row r="367" spans="1:18">
      <c r="B367" s="203">
        <v>242036</v>
      </c>
      <c r="D367" s="348"/>
      <c r="F367" s="348"/>
      <c r="H367" s="349" t="s">
        <v>790</v>
      </c>
      <c r="J367" s="166" t="s">
        <v>4846</v>
      </c>
      <c r="P367" s="168">
        <f>SUMIF('Balance Sheet Detail'!$B:$B,$R367,'Balance Sheet Detail'!W:W)</f>
        <v>-52.687017083333302</v>
      </c>
      <c r="R367" s="166" t="s">
        <v>4848</v>
      </c>
    </row>
    <row r="368" spans="1:18">
      <c r="B368" s="203">
        <v>242037</v>
      </c>
      <c r="D368" s="348"/>
      <c r="F368" s="348"/>
      <c r="H368" s="349" t="s">
        <v>790</v>
      </c>
      <c r="J368" s="166" t="s">
        <v>4847</v>
      </c>
      <c r="P368" s="168">
        <f>SUMIF('Balance Sheet Detail'!$B:$B,$R368,'Balance Sheet Detail'!W:W)</f>
        <v>-32.047437916666702</v>
      </c>
      <c r="R368" s="166" t="s">
        <v>4849</v>
      </c>
    </row>
    <row r="369" spans="2:18">
      <c r="B369" s="203">
        <v>242070</v>
      </c>
      <c r="D369" s="348"/>
      <c r="F369" s="348"/>
      <c r="H369" s="349" t="s">
        <v>790</v>
      </c>
      <c r="J369" s="166" t="s">
        <v>1402</v>
      </c>
      <c r="N369" s="166" t="s">
        <v>928</v>
      </c>
      <c r="P369" s="168">
        <f>SUMIF('Balance Sheet Detail'!$B:$B,$R369,'Balance Sheet Detail'!W:W)</f>
        <v>-467.01803333333299</v>
      </c>
      <c r="R369" s="166" t="s">
        <v>3351</v>
      </c>
    </row>
    <row r="370" spans="2:18">
      <c r="B370" s="203">
        <v>190000</v>
      </c>
      <c r="D370" s="348"/>
      <c r="F370" s="348" t="s">
        <v>1289</v>
      </c>
      <c r="H370" s="349" t="s">
        <v>790</v>
      </c>
      <c r="J370" s="166" t="s">
        <v>1290</v>
      </c>
      <c r="N370" s="166" t="s">
        <v>928</v>
      </c>
      <c r="P370" s="168">
        <f>SUMIF('Balance Sheet Detail'!$B:$B,$R370,'Balance Sheet Detail'!W:W)</f>
        <v>0</v>
      </c>
      <c r="R370" s="166" t="s">
        <v>4020</v>
      </c>
    </row>
    <row r="371" spans="2:18">
      <c r="B371" s="203">
        <v>190000</v>
      </c>
      <c r="D371" s="348"/>
      <c r="F371" s="348" t="s">
        <v>1291</v>
      </c>
      <c r="H371" s="349" t="s">
        <v>790</v>
      </c>
      <c r="J371" s="166" t="s">
        <v>1292</v>
      </c>
      <c r="N371" s="166" t="s">
        <v>928</v>
      </c>
      <c r="P371" s="168">
        <f>SUMIF('Balance Sheet Detail'!$B:$B,$R371,'Balance Sheet Detail'!W:W)</f>
        <v>0</v>
      </c>
      <c r="R371" s="166" t="s">
        <v>4021</v>
      </c>
    </row>
    <row r="372" spans="2:18">
      <c r="B372" s="203">
        <v>190001</v>
      </c>
      <c r="D372" s="348" t="s">
        <v>719</v>
      </c>
      <c r="F372" s="348" t="s">
        <v>1289</v>
      </c>
      <c r="H372" s="349" t="s">
        <v>790</v>
      </c>
      <c r="J372" s="166" t="s">
        <v>1290</v>
      </c>
      <c r="N372" s="166" t="s">
        <v>928</v>
      </c>
      <c r="P372" s="168">
        <f>SUMIF('Balance Sheet Detail'!$B:$B,$R372,'Balance Sheet Detail'!W:W)</f>
        <v>0</v>
      </c>
      <c r="R372" s="166" t="s">
        <v>3352</v>
      </c>
    </row>
    <row r="373" spans="2:18">
      <c r="B373" s="203">
        <v>190001</v>
      </c>
      <c r="D373" s="348" t="s">
        <v>2700</v>
      </c>
      <c r="F373" s="348" t="s">
        <v>1432</v>
      </c>
      <c r="H373" s="349" t="s">
        <v>790</v>
      </c>
      <c r="J373" s="166" t="s">
        <v>1009</v>
      </c>
      <c r="N373" s="166" t="s">
        <v>928</v>
      </c>
      <c r="P373" s="168">
        <f>SUMIF('Balance Sheet Detail'!$B:$B,$R373,'Balance Sheet Detail'!W:W)</f>
        <v>0</v>
      </c>
      <c r="R373" s="166" t="s">
        <v>3353</v>
      </c>
    </row>
    <row r="374" spans="2:18">
      <c r="B374" s="203">
        <v>190001</v>
      </c>
      <c r="D374" s="348" t="s">
        <v>2700</v>
      </c>
      <c r="F374" s="348" t="s">
        <v>2701</v>
      </c>
      <c r="H374" s="349" t="s">
        <v>790</v>
      </c>
      <c r="J374" s="166" t="s">
        <v>2702</v>
      </c>
      <c r="N374" s="166" t="s">
        <v>928</v>
      </c>
      <c r="P374" s="168">
        <f>SUMIF('Balance Sheet Detail'!$B:$B,$R374,'Balance Sheet Detail'!W:W)</f>
        <v>0</v>
      </c>
      <c r="R374" s="166" t="s">
        <v>3354</v>
      </c>
    </row>
    <row r="375" spans="2:18">
      <c r="B375" s="203">
        <v>190001</v>
      </c>
      <c r="D375" s="348"/>
      <c r="F375" s="348" t="s">
        <v>412</v>
      </c>
      <c r="H375" s="349" t="s">
        <v>790</v>
      </c>
      <c r="J375" s="166" t="s">
        <v>2673</v>
      </c>
      <c r="N375" s="166" t="s">
        <v>928</v>
      </c>
      <c r="P375" s="168">
        <f>SUMIF('Balance Sheet Detail'!$B:$B,$R375,'Balance Sheet Detail'!W:W)</f>
        <v>0</v>
      </c>
      <c r="R375" s="166" t="s">
        <v>4022</v>
      </c>
    </row>
    <row r="376" spans="2:18">
      <c r="B376" s="203">
        <v>190002</v>
      </c>
      <c r="D376" s="348" t="s">
        <v>719</v>
      </c>
      <c r="F376" s="348" t="s">
        <v>1291</v>
      </c>
      <c r="H376" s="349" t="s">
        <v>790</v>
      </c>
      <c r="J376" s="166" t="s">
        <v>1292</v>
      </c>
      <c r="N376" s="166" t="s">
        <v>928</v>
      </c>
      <c r="P376" s="168">
        <f>SUMIF('Balance Sheet Detail'!$B:$B,$R376,'Balance Sheet Detail'!W:W)</f>
        <v>0</v>
      </c>
      <c r="R376" s="166" t="s">
        <v>4023</v>
      </c>
    </row>
    <row r="377" spans="2:18">
      <c r="B377" s="203">
        <v>190002</v>
      </c>
      <c r="D377" s="348" t="s">
        <v>2700</v>
      </c>
      <c r="F377" s="348" t="s">
        <v>1432</v>
      </c>
      <c r="H377" s="349" t="s">
        <v>790</v>
      </c>
      <c r="J377" s="166" t="s">
        <v>1009</v>
      </c>
      <c r="N377" s="166" t="s">
        <v>928</v>
      </c>
      <c r="P377" s="168">
        <f>SUMIF('Balance Sheet Detail'!$B:$B,$R377,'Balance Sheet Detail'!W:W)</f>
        <v>0</v>
      </c>
      <c r="R377" s="166" t="s">
        <v>3355</v>
      </c>
    </row>
    <row r="378" spans="2:18">
      <c r="B378" s="203">
        <v>190002</v>
      </c>
      <c r="D378" s="348" t="s">
        <v>2700</v>
      </c>
      <c r="F378" s="348" t="s">
        <v>2701</v>
      </c>
      <c r="H378" s="349" t="s">
        <v>790</v>
      </c>
      <c r="J378" s="166" t="s">
        <v>2702</v>
      </c>
      <c r="N378" s="166" t="s">
        <v>928</v>
      </c>
      <c r="P378" s="168">
        <f>SUMIF('Balance Sheet Detail'!$B:$B,$R378,'Balance Sheet Detail'!W:W)</f>
        <v>0</v>
      </c>
      <c r="R378" s="166" t="s">
        <v>3356</v>
      </c>
    </row>
    <row r="379" spans="2:18">
      <c r="B379" s="203">
        <v>190002</v>
      </c>
      <c r="D379" s="348"/>
      <c r="F379" s="348" t="s">
        <v>1283</v>
      </c>
      <c r="H379" s="349" t="s">
        <v>790</v>
      </c>
      <c r="J379" s="166" t="s">
        <v>1616</v>
      </c>
      <c r="N379" s="166" t="s">
        <v>928</v>
      </c>
      <c r="P379" s="168">
        <f>SUMIF('Balance Sheet Detail'!$B:$B,$R379,'Balance Sheet Detail'!W:W)</f>
        <v>0</v>
      </c>
      <c r="R379" s="166" t="s">
        <v>4024</v>
      </c>
    </row>
    <row r="380" spans="2:18">
      <c r="B380" s="203">
        <v>190010</v>
      </c>
      <c r="D380" s="348"/>
      <c r="F380" s="348" t="s">
        <v>3021</v>
      </c>
      <c r="H380" s="349" t="s">
        <v>790</v>
      </c>
      <c r="J380" s="166" t="s">
        <v>1290</v>
      </c>
      <c r="N380" s="166" t="s">
        <v>928</v>
      </c>
      <c r="P380" s="168">
        <f>SUMIF('Balance Sheet Detail'!$B:$B,$R380,'Balance Sheet Detail'!W:W)</f>
        <v>0</v>
      </c>
      <c r="R380" s="166" t="s">
        <v>4025</v>
      </c>
    </row>
    <row r="381" spans="2:18">
      <c r="B381" s="203">
        <v>190010</v>
      </c>
      <c r="D381" s="348"/>
      <c r="F381" s="348" t="s">
        <v>3022</v>
      </c>
      <c r="H381" s="349" t="s">
        <v>790</v>
      </c>
      <c r="J381" s="166" t="s">
        <v>1292</v>
      </c>
      <c r="N381" s="166" t="s">
        <v>928</v>
      </c>
      <c r="P381" s="168">
        <f>SUMIF('Balance Sheet Detail'!$B:$B,$R381,'Balance Sheet Detail'!W:W)</f>
        <v>0</v>
      </c>
      <c r="R381" s="166" t="s">
        <v>4026</v>
      </c>
    </row>
    <row r="382" spans="2:18">
      <c r="B382" s="203">
        <v>190010</v>
      </c>
      <c r="D382" s="348"/>
      <c r="F382" s="348" t="s">
        <v>2241</v>
      </c>
      <c r="H382" s="349" t="s">
        <v>790</v>
      </c>
      <c r="J382" s="166" t="s">
        <v>2673</v>
      </c>
      <c r="N382" s="166" t="s">
        <v>928</v>
      </c>
      <c r="P382" s="168">
        <f>SUMIF('Balance Sheet Detail'!$B:$B,$R382,'Balance Sheet Detail'!W:W)</f>
        <v>0</v>
      </c>
      <c r="R382" s="166" t="s">
        <v>4027</v>
      </c>
    </row>
    <row r="383" spans="2:18">
      <c r="B383" s="203">
        <v>190010</v>
      </c>
      <c r="D383" s="348"/>
      <c r="F383" s="348" t="s">
        <v>2486</v>
      </c>
      <c r="H383" s="349" t="s">
        <v>790</v>
      </c>
      <c r="J383" s="166" t="s">
        <v>1616</v>
      </c>
      <c r="N383" s="166" t="s">
        <v>928</v>
      </c>
      <c r="P383" s="168">
        <f>SUMIF('Balance Sheet Detail'!$B:$B,$R383,'Balance Sheet Detail'!W:W)</f>
        <v>0</v>
      </c>
      <c r="R383" s="166" t="s">
        <v>4028</v>
      </c>
    </row>
    <row r="384" spans="2:18">
      <c r="B384" s="203">
        <v>190011</v>
      </c>
      <c r="D384" s="348" t="s">
        <v>719</v>
      </c>
      <c r="F384" s="348" t="s">
        <v>3021</v>
      </c>
      <c r="H384" s="349" t="s">
        <v>790</v>
      </c>
      <c r="J384" s="166" t="s">
        <v>1290</v>
      </c>
      <c r="N384" s="166" t="s">
        <v>928</v>
      </c>
      <c r="P384" s="168">
        <f>SUMIF('Balance Sheet Detail'!$B:$B,$R384,'Balance Sheet Detail'!W:W)</f>
        <v>0</v>
      </c>
      <c r="R384" s="166" t="s">
        <v>4029</v>
      </c>
    </row>
    <row r="385" spans="2:18">
      <c r="B385" s="203">
        <v>190011</v>
      </c>
      <c r="D385" s="348" t="s">
        <v>2700</v>
      </c>
      <c r="F385" s="348" t="s">
        <v>1432</v>
      </c>
      <c r="H385" s="349" t="s">
        <v>790</v>
      </c>
      <c r="J385" s="166" t="s">
        <v>1009</v>
      </c>
      <c r="N385" s="166" t="s">
        <v>928</v>
      </c>
      <c r="P385" s="168">
        <f>SUMIF('Balance Sheet Detail'!$B:$B,$R385,'Balance Sheet Detail'!W:W)</f>
        <v>0</v>
      </c>
      <c r="R385" s="166" t="s">
        <v>3357</v>
      </c>
    </row>
    <row r="386" spans="2:18">
      <c r="B386" s="203">
        <v>190011</v>
      </c>
      <c r="D386" s="348" t="s">
        <v>2700</v>
      </c>
      <c r="F386" s="348" t="s">
        <v>2701</v>
      </c>
      <c r="H386" s="349" t="s">
        <v>790</v>
      </c>
      <c r="J386" s="166" t="s">
        <v>2702</v>
      </c>
      <c r="N386" s="166" t="s">
        <v>928</v>
      </c>
      <c r="P386" s="168">
        <f>SUMIF('Balance Sheet Detail'!$B:$B,$R386,'Balance Sheet Detail'!W:W)</f>
        <v>0</v>
      </c>
      <c r="R386" s="166" t="s">
        <v>3358</v>
      </c>
    </row>
    <row r="387" spans="2:18">
      <c r="B387" s="203">
        <v>190012</v>
      </c>
      <c r="D387" s="348" t="s">
        <v>719</v>
      </c>
      <c r="F387" s="348" t="s">
        <v>3022</v>
      </c>
      <c r="H387" s="349" t="s">
        <v>790</v>
      </c>
      <c r="J387" s="166" t="s">
        <v>1292</v>
      </c>
      <c r="N387" s="166" t="s">
        <v>928</v>
      </c>
      <c r="P387" s="168">
        <f>SUMIF('Balance Sheet Detail'!$B:$B,$R387,'Balance Sheet Detail'!W:W)</f>
        <v>0</v>
      </c>
      <c r="R387" s="166" t="s">
        <v>4030</v>
      </c>
    </row>
    <row r="388" spans="2:18">
      <c r="B388" s="203">
        <v>190012</v>
      </c>
      <c r="D388" s="348" t="s">
        <v>2700</v>
      </c>
      <c r="F388" s="348" t="s">
        <v>1432</v>
      </c>
      <c r="H388" s="349" t="s">
        <v>790</v>
      </c>
      <c r="J388" s="166" t="s">
        <v>1009</v>
      </c>
      <c r="N388" s="166" t="s">
        <v>928</v>
      </c>
      <c r="P388" s="168">
        <f>SUMIF('Balance Sheet Detail'!$B:$B,$R388,'Balance Sheet Detail'!W:W)</f>
        <v>0</v>
      </c>
      <c r="R388" s="166" t="s">
        <v>3359</v>
      </c>
    </row>
    <row r="389" spans="2:18">
      <c r="B389" s="203">
        <v>190012</v>
      </c>
      <c r="D389" s="348" t="s">
        <v>2700</v>
      </c>
      <c r="F389" s="348" t="s">
        <v>2701</v>
      </c>
      <c r="H389" s="349" t="s">
        <v>790</v>
      </c>
      <c r="J389" s="166" t="s">
        <v>2702</v>
      </c>
      <c r="N389" s="166" t="s">
        <v>928</v>
      </c>
      <c r="P389" s="168">
        <f>SUMIF('Balance Sheet Detail'!$B:$B,$R389,'Balance Sheet Detail'!W:W)</f>
        <v>0</v>
      </c>
      <c r="R389" s="166" t="s">
        <v>3360</v>
      </c>
    </row>
    <row r="390" spans="2:18">
      <c r="B390" s="203">
        <v>190031</v>
      </c>
      <c r="D390" s="348" t="s">
        <v>719</v>
      </c>
      <c r="F390" s="348">
        <v>7</v>
      </c>
      <c r="H390" s="349" t="s">
        <v>790</v>
      </c>
      <c r="J390" s="166" t="s">
        <v>384</v>
      </c>
      <c r="N390" s="166" t="s">
        <v>928</v>
      </c>
      <c r="P390" s="168">
        <f>SUMIF('Balance Sheet Detail'!$B:$B,$R390,'Balance Sheet Detail'!W:W)</f>
        <v>0</v>
      </c>
      <c r="R390" s="166" t="s">
        <v>4031</v>
      </c>
    </row>
    <row r="391" spans="2:18">
      <c r="B391" s="203">
        <v>190031</v>
      </c>
      <c r="D391" s="348" t="s">
        <v>2700</v>
      </c>
      <c r="F391" s="348"/>
      <c r="H391" s="349" t="s">
        <v>790</v>
      </c>
      <c r="J391" s="166" t="s">
        <v>1009</v>
      </c>
      <c r="N391" s="166" t="s">
        <v>928</v>
      </c>
      <c r="P391" s="168">
        <f>SUMIF('Balance Sheet Detail'!$B:$B,$R391,'Balance Sheet Detail'!W:W)</f>
        <v>268.07665041666701</v>
      </c>
      <c r="R391" s="166" t="s">
        <v>4570</v>
      </c>
    </row>
    <row r="392" spans="2:18">
      <c r="B392" s="203">
        <v>190032</v>
      </c>
      <c r="D392" s="348" t="s">
        <v>719</v>
      </c>
      <c r="F392" s="348">
        <v>7</v>
      </c>
      <c r="H392" s="349" t="s">
        <v>790</v>
      </c>
      <c r="J392" s="166" t="s">
        <v>384</v>
      </c>
      <c r="N392" s="166" t="s">
        <v>928</v>
      </c>
      <c r="P392" s="168">
        <f>SUMIF('Balance Sheet Detail'!$B:$B,$R392,'Balance Sheet Detail'!W:W)</f>
        <v>0</v>
      </c>
      <c r="R392" s="166" t="s">
        <v>4032</v>
      </c>
    </row>
    <row r="393" spans="2:18">
      <c r="B393" s="203">
        <v>190032</v>
      </c>
      <c r="D393" s="348" t="s">
        <v>2700</v>
      </c>
      <c r="F393" s="348"/>
      <c r="H393" s="349" t="s">
        <v>790</v>
      </c>
      <c r="J393" s="166" t="s">
        <v>1009</v>
      </c>
      <c r="N393" s="166" t="s">
        <v>928</v>
      </c>
      <c r="P393" s="168">
        <f>SUMIF('Balance Sheet Detail'!$B:$B,$R393,'Balance Sheet Detail'!W:W)</f>
        <v>57.690635</v>
      </c>
      <c r="R393" s="166" t="s">
        <v>4571</v>
      </c>
    </row>
    <row r="394" spans="2:18">
      <c r="B394" s="203">
        <v>190036</v>
      </c>
      <c r="D394" s="348" t="s">
        <v>2700</v>
      </c>
      <c r="F394" s="348">
        <v>3</v>
      </c>
      <c r="H394" s="349" t="s">
        <v>790</v>
      </c>
      <c r="J394" s="166" t="s">
        <v>3148</v>
      </c>
      <c r="N394" s="166" t="s">
        <v>928</v>
      </c>
      <c r="P394" s="168">
        <f>SUMIF('Balance Sheet Detail'!$B:$B,$R394,'Balance Sheet Detail'!W:W)</f>
        <v>165.73695291666701</v>
      </c>
      <c r="R394" s="166" t="s">
        <v>4033</v>
      </c>
    </row>
    <row r="395" spans="2:18">
      <c r="B395" s="203">
        <v>190037</v>
      </c>
      <c r="D395" s="348" t="s">
        <v>2700</v>
      </c>
      <c r="F395" s="348">
        <v>3</v>
      </c>
      <c r="H395" s="349" t="s">
        <v>790</v>
      </c>
      <c r="J395" s="166" t="s">
        <v>3148</v>
      </c>
      <c r="N395" s="166" t="s">
        <v>928</v>
      </c>
      <c r="P395" s="168">
        <f>SUMIF('Balance Sheet Detail'!$B:$B,$R395,'Balance Sheet Detail'!W:W)</f>
        <v>29.499934166666701</v>
      </c>
      <c r="R395" s="166" t="s">
        <v>4034</v>
      </c>
    </row>
    <row r="396" spans="2:18">
      <c r="B396" s="203">
        <v>190041</v>
      </c>
      <c r="D396" s="348" t="s">
        <v>719</v>
      </c>
      <c r="F396" s="348">
        <v>7</v>
      </c>
      <c r="H396" s="349" t="s">
        <v>790</v>
      </c>
      <c r="J396" s="166" t="s">
        <v>384</v>
      </c>
      <c r="N396" s="166" t="s">
        <v>928</v>
      </c>
      <c r="P396" s="168">
        <f>SUMIF('Balance Sheet Detail'!$B:$B,$R396,'Balance Sheet Detail'!W:W)</f>
        <v>0</v>
      </c>
      <c r="R396" s="166" t="s">
        <v>4035</v>
      </c>
    </row>
    <row r="397" spans="2:18">
      <c r="B397" s="203">
        <v>190041</v>
      </c>
      <c r="D397" s="348" t="s">
        <v>2700</v>
      </c>
      <c r="F397" s="348"/>
      <c r="H397" s="349" t="s">
        <v>790</v>
      </c>
      <c r="J397" s="166" t="s">
        <v>1009</v>
      </c>
      <c r="N397" s="166" t="s">
        <v>928</v>
      </c>
      <c r="P397" s="168">
        <f>SUMIF('Balance Sheet Detail'!$B:$B,$R397,'Balance Sheet Detail'!W:W)</f>
        <v>58.537423750000002</v>
      </c>
      <c r="R397" s="166" t="s">
        <v>4572</v>
      </c>
    </row>
    <row r="398" spans="2:18">
      <c r="B398" s="203">
        <v>190042</v>
      </c>
      <c r="D398" s="348" t="s">
        <v>719</v>
      </c>
      <c r="F398" s="348">
        <v>7</v>
      </c>
      <c r="H398" s="349" t="s">
        <v>790</v>
      </c>
      <c r="J398" s="166" t="s">
        <v>384</v>
      </c>
      <c r="N398" s="166" t="s">
        <v>928</v>
      </c>
      <c r="P398" s="168">
        <f>SUMIF('Balance Sheet Detail'!$B:$B,$R398,'Balance Sheet Detail'!W:W)</f>
        <v>0</v>
      </c>
      <c r="R398" s="166" t="s">
        <v>4036</v>
      </c>
    </row>
    <row r="399" spans="2:18">
      <c r="B399" s="203">
        <v>190042</v>
      </c>
      <c r="D399" s="348" t="s">
        <v>2700</v>
      </c>
      <c r="F399" s="348"/>
      <c r="H399" s="349" t="s">
        <v>790</v>
      </c>
      <c r="J399" s="166" t="s">
        <v>1009</v>
      </c>
      <c r="N399" s="166" t="s">
        <v>928</v>
      </c>
      <c r="P399" s="168">
        <f>SUMIF('Balance Sheet Detail'!$B:$B,$R399,'Balance Sheet Detail'!W:W)</f>
        <v>12.597377083333299</v>
      </c>
      <c r="R399" s="166" t="s">
        <v>4573</v>
      </c>
    </row>
    <row r="400" spans="2:18">
      <c r="B400" s="203">
        <v>190046</v>
      </c>
      <c r="D400" s="348" t="s">
        <v>2700</v>
      </c>
      <c r="F400" s="348">
        <v>3</v>
      </c>
      <c r="H400" s="349" t="s">
        <v>790</v>
      </c>
      <c r="J400" s="166" t="s">
        <v>3148</v>
      </c>
      <c r="N400" s="166" t="s">
        <v>928</v>
      </c>
      <c r="P400" s="168">
        <f>SUMIF('Balance Sheet Detail'!$B:$B,$R400,'Balance Sheet Detail'!W:W)</f>
        <v>36.1904504166667</v>
      </c>
      <c r="R400" s="166" t="s">
        <v>4037</v>
      </c>
    </row>
    <row r="401" spans="1:18">
      <c r="B401" s="203">
        <v>190047</v>
      </c>
      <c r="D401" s="348" t="s">
        <v>2700</v>
      </c>
      <c r="F401" s="348">
        <v>3</v>
      </c>
      <c r="H401" s="349" t="s">
        <v>790</v>
      </c>
      <c r="J401" s="166" t="s">
        <v>3148</v>
      </c>
      <c r="N401" s="166" t="s">
        <v>928</v>
      </c>
      <c r="P401" s="168">
        <f>SUMIF('Balance Sheet Detail'!$B:$B,$R401,'Balance Sheet Detail'!W:W)</f>
        <v>0.22997000000000001</v>
      </c>
      <c r="R401" s="166" t="s">
        <v>4038</v>
      </c>
    </row>
    <row r="402" spans="1:18">
      <c r="B402" s="203">
        <v>283210</v>
      </c>
      <c r="D402" s="348" t="s">
        <v>719</v>
      </c>
      <c r="F402" s="348" t="s">
        <v>1291</v>
      </c>
      <c r="H402" s="349" t="s">
        <v>790</v>
      </c>
      <c r="J402" s="166" t="s">
        <v>384</v>
      </c>
      <c r="N402" s="166" t="s">
        <v>928</v>
      </c>
      <c r="P402" s="168">
        <f>SUMIF('Balance Sheet Detail'!$B:$B,$R402,'Balance Sheet Detail'!W:W)</f>
        <v>0</v>
      </c>
      <c r="R402" s="166" t="s">
        <v>3361</v>
      </c>
    </row>
    <row r="403" spans="1:18">
      <c r="B403" s="203">
        <v>283400</v>
      </c>
      <c r="D403" s="348" t="s">
        <v>719</v>
      </c>
      <c r="F403" s="348" t="s">
        <v>3021</v>
      </c>
      <c r="H403" s="349" t="s">
        <v>790</v>
      </c>
      <c r="J403" s="166" t="s">
        <v>92</v>
      </c>
      <c r="N403" s="166" t="s">
        <v>928</v>
      </c>
      <c r="P403" s="168">
        <f>SUMIF('Balance Sheet Detail'!$B:$B,$R403,'Balance Sheet Detail'!W:W)</f>
        <v>0</v>
      </c>
      <c r="R403" s="166" t="s">
        <v>3362</v>
      </c>
    </row>
    <row r="404" spans="1:18">
      <c r="B404" s="203">
        <v>283410</v>
      </c>
      <c r="D404" s="348" t="s">
        <v>719</v>
      </c>
      <c r="F404" s="348" t="s">
        <v>3022</v>
      </c>
      <c r="H404" s="349" t="s">
        <v>790</v>
      </c>
      <c r="J404" s="166" t="s">
        <v>92</v>
      </c>
      <c r="N404" s="166" t="s">
        <v>928</v>
      </c>
      <c r="P404" s="350">
        <f>SUMIF('Balance Sheet Detail'!$B:$B,$R404,'Balance Sheet Detail'!W:W)</f>
        <v>0</v>
      </c>
      <c r="R404" s="166" t="s">
        <v>3363</v>
      </c>
    </row>
    <row r="405" spans="1:18">
      <c r="A405" s="127"/>
      <c r="B405" s="351" t="s">
        <v>3201</v>
      </c>
      <c r="C405" s="352"/>
      <c r="D405" s="344"/>
      <c r="E405" s="352"/>
      <c r="F405" s="344"/>
      <c r="G405" s="352"/>
      <c r="H405" s="346"/>
      <c r="I405" s="352"/>
      <c r="J405" s="347"/>
      <c r="K405" s="352"/>
      <c r="L405" s="352"/>
      <c r="P405" s="353">
        <f>SUM(P366:P404)</f>
        <v>-707.09554999999921</v>
      </c>
    </row>
    <row r="406" spans="1:18">
      <c r="A406" s="127"/>
      <c r="B406" s="344"/>
      <c r="C406" s="345"/>
      <c r="D406" s="344"/>
      <c r="E406" s="345"/>
      <c r="F406" s="344"/>
      <c r="G406" s="345"/>
      <c r="H406" s="346"/>
      <c r="I406" s="345"/>
      <c r="J406" s="347"/>
      <c r="K406" s="345"/>
      <c r="L406" s="345"/>
      <c r="P406" s="343"/>
    </row>
    <row r="407" spans="1:18">
      <c r="A407" s="127" t="s">
        <v>596</v>
      </c>
      <c r="B407" s="351"/>
      <c r="C407" s="352"/>
      <c r="D407" s="348"/>
      <c r="E407" s="352"/>
      <c r="F407" s="348"/>
      <c r="G407" s="352"/>
      <c r="H407" s="349"/>
      <c r="I407" s="352"/>
      <c r="K407" s="352"/>
      <c r="L407" s="352"/>
      <c r="P407" s="353"/>
    </row>
    <row r="408" spans="1:18" ht="15" customHeight="1">
      <c r="B408" s="203">
        <v>237007</v>
      </c>
      <c r="D408" s="348"/>
      <c r="F408" s="348"/>
      <c r="H408" s="349" t="s">
        <v>596</v>
      </c>
      <c r="J408" s="166" t="s">
        <v>2626</v>
      </c>
      <c r="P408" s="168">
        <f>SUMIF('Balance Sheet Detail'!$B:$B,$R408,'Balance Sheet Detail'!W:W)</f>
        <v>-2844.3333333333298</v>
      </c>
      <c r="R408" s="166" t="s">
        <v>3364</v>
      </c>
    </row>
    <row r="409" spans="1:18" ht="15" customHeight="1">
      <c r="B409" s="203">
        <v>237008</v>
      </c>
      <c r="D409" s="348"/>
      <c r="F409" s="348"/>
      <c r="H409" s="349" t="s">
        <v>596</v>
      </c>
      <c r="J409" s="166" t="s">
        <v>595</v>
      </c>
      <c r="P409" s="168">
        <f>SUMIF('Balance Sheet Detail'!$B:$B,$R409,'Balance Sheet Detail'!W:W)</f>
        <v>-1922.0416666666699</v>
      </c>
      <c r="R409" s="166" t="s">
        <v>3365</v>
      </c>
    </row>
    <row r="410" spans="1:18" ht="15" customHeight="1">
      <c r="B410" s="203">
        <v>190001</v>
      </c>
      <c r="D410" s="348" t="s">
        <v>4591</v>
      </c>
      <c r="F410" s="348"/>
      <c r="H410" s="349" t="s">
        <v>596</v>
      </c>
      <c r="J410" s="166" t="s">
        <v>4590</v>
      </c>
      <c r="P410" s="168">
        <f>SUMIF('Balance Sheet Detail'!$B:$B,$R410,'Balance Sheet Detail'!W:W)</f>
        <v>-291.13118125</v>
      </c>
      <c r="R410" s="166" t="s">
        <v>4600</v>
      </c>
    </row>
    <row r="411" spans="1:18" ht="15" customHeight="1">
      <c r="B411" s="203">
        <v>190002</v>
      </c>
      <c r="D411" s="348" t="s">
        <v>4591</v>
      </c>
      <c r="F411" s="348"/>
      <c r="H411" s="349" t="s">
        <v>596</v>
      </c>
      <c r="J411" s="166" t="s">
        <v>4590</v>
      </c>
      <c r="P411" s="168">
        <f>SUMIF('Balance Sheet Detail'!$B:$B,$R411,'Balance Sheet Detail'!W:W)</f>
        <v>169.091547916667</v>
      </c>
      <c r="R411" s="166" t="s">
        <v>4601</v>
      </c>
    </row>
    <row r="412" spans="1:18" ht="15" customHeight="1">
      <c r="B412" s="203">
        <v>190011</v>
      </c>
      <c r="D412" s="348" t="s">
        <v>4591</v>
      </c>
      <c r="F412" s="348"/>
      <c r="H412" s="349" t="s">
        <v>596</v>
      </c>
      <c r="J412" s="166" t="s">
        <v>4590</v>
      </c>
      <c r="P412" s="168">
        <f>SUMIF('Balance Sheet Detail'!$B:$B,$R412,'Balance Sheet Detail'!W:W)</f>
        <v>-63.571624999999997</v>
      </c>
      <c r="R412" s="166" t="s">
        <v>4602</v>
      </c>
    </row>
    <row r="413" spans="1:18" ht="15" customHeight="1">
      <c r="B413" s="203">
        <v>190012</v>
      </c>
      <c r="D413" s="348" t="s">
        <v>4591</v>
      </c>
      <c r="F413" s="348"/>
      <c r="H413" s="349" t="s">
        <v>596</v>
      </c>
      <c r="J413" s="166" t="s">
        <v>4590</v>
      </c>
      <c r="P413" s="168">
        <f>SUMIF('Balance Sheet Detail'!$B:$B,$R413,'Balance Sheet Detail'!W:W)</f>
        <v>36.922958333333298</v>
      </c>
      <c r="R413" s="166" t="s">
        <v>4603</v>
      </c>
    </row>
    <row r="414" spans="1:18" ht="15" customHeight="1">
      <c r="B414" s="203">
        <v>283883</v>
      </c>
      <c r="D414" s="348">
        <v>0</v>
      </c>
      <c r="F414" s="348">
        <v>283883</v>
      </c>
      <c r="H414" s="349" t="s">
        <v>596</v>
      </c>
      <c r="J414" s="166" t="s">
        <v>2568</v>
      </c>
      <c r="N414" s="166" t="s">
        <v>928</v>
      </c>
      <c r="P414" s="168">
        <f>SUMIF('Balance Sheet Detail'!$B:$B,$R414,'Balance Sheet Detail'!W:W)</f>
        <v>-7681.3607549999997</v>
      </c>
      <c r="R414" s="166" t="s">
        <v>4717</v>
      </c>
    </row>
    <row r="415" spans="1:18" ht="15" customHeight="1">
      <c r="B415" s="203">
        <v>283884</v>
      </c>
      <c r="D415" s="348" t="s">
        <v>2692</v>
      </c>
      <c r="F415" s="348">
        <v>283884</v>
      </c>
      <c r="H415" s="349" t="s">
        <v>596</v>
      </c>
      <c r="J415" s="166" t="s">
        <v>2569</v>
      </c>
      <c r="N415" s="166" t="s">
        <v>928</v>
      </c>
      <c r="P415" s="168">
        <f>SUMIF('Balance Sheet Detail'!$B:$B,$R415,'Balance Sheet Detail'!W:W)</f>
        <v>-7442</v>
      </c>
      <c r="R415" s="166" t="s">
        <v>3366</v>
      </c>
    </row>
    <row r="416" spans="1:18" ht="15" customHeight="1">
      <c r="B416" s="203">
        <v>283884</v>
      </c>
      <c r="D416" s="348">
        <v>0</v>
      </c>
      <c r="F416" s="348"/>
      <c r="H416" s="349" t="s">
        <v>596</v>
      </c>
      <c r="J416" s="166" t="s">
        <v>1638</v>
      </c>
      <c r="N416" s="166" t="s">
        <v>928</v>
      </c>
      <c r="P416" s="168">
        <f>SUMIF('Balance Sheet Detail'!$B:$B,$R416,'Balance Sheet Detail'!W:W)</f>
        <v>-161.41682</v>
      </c>
      <c r="R416" s="166" t="s">
        <v>4718</v>
      </c>
    </row>
    <row r="417" spans="1:18" ht="15" customHeight="1">
      <c r="B417" s="203">
        <v>283983</v>
      </c>
      <c r="D417" s="348">
        <v>0</v>
      </c>
      <c r="F417" s="348">
        <v>283983</v>
      </c>
      <c r="H417" s="349" t="s">
        <v>596</v>
      </c>
      <c r="J417" s="166" t="s">
        <v>2568</v>
      </c>
      <c r="N417" s="166" t="s">
        <v>928</v>
      </c>
      <c r="P417" s="168">
        <f>SUMIF('Balance Sheet Detail'!$B:$B,$R417,'Balance Sheet Detail'!W:W)</f>
        <v>7681.3607549999997</v>
      </c>
      <c r="R417" s="166" t="s">
        <v>4719</v>
      </c>
    </row>
    <row r="418" spans="1:18" ht="15" customHeight="1">
      <c r="B418" s="203">
        <v>283984</v>
      </c>
      <c r="D418" s="348">
        <v>0</v>
      </c>
      <c r="F418" s="348"/>
      <c r="H418" s="349" t="s">
        <v>596</v>
      </c>
      <c r="J418" s="166" t="s">
        <v>603</v>
      </c>
      <c r="N418" s="166" t="s">
        <v>928</v>
      </c>
      <c r="P418" s="168">
        <f>SUMIF('Balance Sheet Detail'!$B:$B,$R418,'Balance Sheet Detail'!W:W)</f>
        <v>161.41682</v>
      </c>
      <c r="R418" s="166" t="s">
        <v>4720</v>
      </c>
    </row>
    <row r="419" spans="1:18" ht="15" customHeight="1">
      <c r="B419" s="203">
        <v>283984</v>
      </c>
      <c r="D419" s="348" t="s">
        <v>2692</v>
      </c>
      <c r="F419" s="348">
        <v>283984</v>
      </c>
      <c r="H419" s="349" t="s">
        <v>596</v>
      </c>
      <c r="J419" s="166" t="s">
        <v>2569</v>
      </c>
      <c r="N419" s="166" t="s">
        <v>928</v>
      </c>
      <c r="P419" s="350">
        <f>SUMIF('Balance Sheet Detail'!$B:$B,$R419,'Balance Sheet Detail'!W:W)</f>
        <v>7442</v>
      </c>
      <c r="R419" s="166" t="s">
        <v>3367</v>
      </c>
    </row>
    <row r="420" spans="1:18">
      <c r="A420" s="127"/>
      <c r="B420" s="351" t="s">
        <v>3368</v>
      </c>
      <c r="C420" s="352"/>
      <c r="D420" s="348"/>
      <c r="E420" s="352"/>
      <c r="F420" s="348"/>
      <c r="G420" s="352"/>
      <c r="H420" s="349"/>
      <c r="I420" s="352"/>
      <c r="K420" s="352"/>
      <c r="L420" s="352"/>
      <c r="P420" s="353">
        <f>SUM(P408:P419)</f>
        <v>-4915.063299999998</v>
      </c>
    </row>
    <row r="421" spans="1:18">
      <c r="A421" s="127"/>
      <c r="B421" s="351"/>
      <c r="C421" s="352"/>
      <c r="D421" s="348"/>
      <c r="E421" s="352"/>
      <c r="F421" s="348"/>
      <c r="G421" s="352"/>
      <c r="H421" s="349"/>
      <c r="I421" s="352"/>
      <c r="K421" s="352"/>
      <c r="L421" s="352"/>
      <c r="P421" s="353"/>
    </row>
    <row r="422" spans="1:18">
      <c r="A422" s="127" t="s">
        <v>3369</v>
      </c>
      <c r="B422" s="351"/>
      <c r="C422" s="352"/>
      <c r="D422" s="348"/>
      <c r="E422" s="352"/>
      <c r="F422" s="348"/>
      <c r="G422" s="352"/>
      <c r="H422" s="349"/>
      <c r="I422" s="352"/>
      <c r="K422" s="352"/>
      <c r="L422" s="352"/>
      <c r="P422" s="353"/>
    </row>
    <row r="423" spans="1:18" ht="15" customHeight="1">
      <c r="B423" s="203">
        <v>182090</v>
      </c>
      <c r="D423" s="348">
        <v>0</v>
      </c>
      <c r="F423" s="348">
        <v>800162</v>
      </c>
      <c r="H423" s="349" t="s">
        <v>620</v>
      </c>
      <c r="J423" s="166" t="s">
        <v>1649</v>
      </c>
      <c r="N423" s="166" t="s">
        <v>928</v>
      </c>
      <c r="P423" s="168">
        <f>SUMIF('Balance Sheet Detail'!$B:$B,$R423,'Balance Sheet Detail'!W:W)</f>
        <v>0</v>
      </c>
      <c r="R423" s="166" t="s">
        <v>4093</v>
      </c>
    </row>
    <row r="424" spans="1:18" ht="15" customHeight="1">
      <c r="B424" s="203">
        <v>182095</v>
      </c>
      <c r="D424" s="348">
        <v>0</v>
      </c>
      <c r="F424" s="348">
        <v>800161</v>
      </c>
      <c r="H424" s="349" t="s">
        <v>620</v>
      </c>
      <c r="J424" s="166" t="s">
        <v>424</v>
      </c>
      <c r="N424" s="166" t="s">
        <v>928</v>
      </c>
      <c r="P424" s="168">
        <f>SUMIF('Balance Sheet Detail'!$B:$B,$R424,'Balance Sheet Detail'!W:W)</f>
        <v>0</v>
      </c>
      <c r="R424" s="166" t="s">
        <v>4094</v>
      </c>
    </row>
    <row r="425" spans="1:18" ht="15" customHeight="1">
      <c r="B425" s="203">
        <v>182306</v>
      </c>
      <c r="D425" s="348" t="s">
        <v>529</v>
      </c>
      <c r="F425" s="348">
        <v>800162</v>
      </c>
      <c r="H425" s="349" t="s">
        <v>620</v>
      </c>
      <c r="J425" s="166" t="s">
        <v>1649</v>
      </c>
      <c r="N425" s="166" t="s">
        <v>2821</v>
      </c>
      <c r="P425" s="168">
        <f>SUMIF('Balance Sheet Detail'!$B:$B,$R425,'Balance Sheet Detail'!W:W)</f>
        <v>1738.01862291667</v>
      </c>
      <c r="R425" s="166" t="s">
        <v>4095</v>
      </c>
    </row>
    <row r="426" spans="1:18" ht="15" customHeight="1">
      <c r="B426" s="203">
        <v>182306</v>
      </c>
      <c r="D426" s="348" t="s">
        <v>529</v>
      </c>
      <c r="F426" s="348">
        <v>807030</v>
      </c>
      <c r="H426" s="349" t="s">
        <v>620</v>
      </c>
      <c r="J426" s="166" t="s">
        <v>501</v>
      </c>
      <c r="N426" s="166" t="s">
        <v>2821</v>
      </c>
      <c r="P426" s="168">
        <f>SUMIF('Balance Sheet Detail'!$B:$B,$R426,'Balance Sheet Detail'!W:W)</f>
        <v>569.07122249999998</v>
      </c>
      <c r="R426" s="166" t="s">
        <v>4096</v>
      </c>
    </row>
    <row r="427" spans="1:18" ht="15" customHeight="1">
      <c r="B427" s="203">
        <v>182306</v>
      </c>
      <c r="D427" s="348" t="s">
        <v>529</v>
      </c>
      <c r="F427" s="348">
        <v>809004</v>
      </c>
      <c r="H427" s="349" t="s">
        <v>620</v>
      </c>
      <c r="J427" s="166" t="s">
        <v>478</v>
      </c>
      <c r="N427" s="166" t="s">
        <v>2821</v>
      </c>
      <c r="P427" s="168">
        <f>SUMIF('Balance Sheet Detail'!$B:$B,$R427,'Balance Sheet Detail'!W:W)</f>
        <v>-2273.3969187500002</v>
      </c>
      <c r="R427" s="166" t="s">
        <v>4097</v>
      </c>
    </row>
    <row r="428" spans="1:18" ht="15" customHeight="1">
      <c r="B428" s="203">
        <v>283200</v>
      </c>
      <c r="D428" s="348" t="s">
        <v>284</v>
      </c>
      <c r="F428" s="348" t="s">
        <v>582</v>
      </c>
      <c r="H428" s="349" t="s">
        <v>620</v>
      </c>
      <c r="J428" s="166" t="s">
        <v>581</v>
      </c>
      <c r="N428" s="166" t="s">
        <v>928</v>
      </c>
      <c r="P428" s="168">
        <f>SUMIF('Balance Sheet Detail'!$B:$B,$R428,'Balance Sheet Detail'!W:W)</f>
        <v>-378.53699999999998</v>
      </c>
      <c r="R428" s="166" t="s">
        <v>3370</v>
      </c>
    </row>
    <row r="429" spans="1:18" ht="15" customHeight="1">
      <c r="B429" s="203">
        <v>283210</v>
      </c>
      <c r="D429" s="348" t="s">
        <v>284</v>
      </c>
      <c r="F429" s="348" t="s">
        <v>582</v>
      </c>
      <c r="H429" s="349" t="s">
        <v>620</v>
      </c>
      <c r="J429" s="166" t="s">
        <v>581</v>
      </c>
      <c r="N429" s="166" t="s">
        <v>2821</v>
      </c>
      <c r="P429" s="168">
        <f>SUMIF('Balance Sheet Detail'!$B:$B,$R429,'Balance Sheet Detail'!W:W)</f>
        <v>-17.97072</v>
      </c>
      <c r="R429" s="166" t="s">
        <v>3371</v>
      </c>
    </row>
    <row r="430" spans="1:18" ht="15" customHeight="1">
      <c r="B430" s="203">
        <v>283400</v>
      </c>
      <c r="D430" s="348" t="s">
        <v>278</v>
      </c>
      <c r="F430" s="348" t="s">
        <v>582</v>
      </c>
      <c r="H430" s="349" t="s">
        <v>620</v>
      </c>
      <c r="J430" s="166" t="s">
        <v>581</v>
      </c>
      <c r="N430" s="166" t="s">
        <v>928</v>
      </c>
      <c r="P430" s="168">
        <f>SUMIF('Balance Sheet Detail'!$B:$B,$R430,'Balance Sheet Detail'!W:W)</f>
        <v>-82.658000000000001</v>
      </c>
      <c r="R430" s="166" t="s">
        <v>3372</v>
      </c>
    </row>
    <row r="431" spans="1:18" ht="15" customHeight="1">
      <c r="B431" s="203">
        <v>283410</v>
      </c>
      <c r="D431" s="348" t="s">
        <v>284</v>
      </c>
      <c r="F431" s="348" t="s">
        <v>582</v>
      </c>
      <c r="H431" s="349" t="s">
        <v>620</v>
      </c>
      <c r="J431" s="166" t="s">
        <v>581</v>
      </c>
      <c r="N431" s="166" t="s">
        <v>2821</v>
      </c>
      <c r="P431" s="168">
        <f>SUMIF('Balance Sheet Detail'!$B:$B,$R431,'Balance Sheet Detail'!W:W)</f>
        <v>-3.9239099999999998</v>
      </c>
      <c r="R431" s="166" t="s">
        <v>3373</v>
      </c>
    </row>
    <row r="432" spans="1:18" ht="15" customHeight="1">
      <c r="B432" s="203">
        <v>283510</v>
      </c>
      <c r="D432" s="348" t="s">
        <v>529</v>
      </c>
      <c r="F432" s="348" t="s">
        <v>620</v>
      </c>
      <c r="H432" s="349" t="s">
        <v>620</v>
      </c>
      <c r="J432" s="166" t="s">
        <v>619</v>
      </c>
      <c r="N432" s="166" t="s">
        <v>2821</v>
      </c>
      <c r="P432" s="168">
        <f>SUMIF('Balance Sheet Detail'!$B:$B,$R432,'Balance Sheet Detail'!W:W)</f>
        <v>-10.9273783333329</v>
      </c>
      <c r="R432" s="166" t="s">
        <v>3374</v>
      </c>
    </row>
    <row r="433" spans="1:18" ht="15" customHeight="1">
      <c r="B433" s="203">
        <v>283560</v>
      </c>
      <c r="D433" s="348" t="s">
        <v>529</v>
      </c>
      <c r="F433" s="348" t="s">
        <v>620</v>
      </c>
      <c r="H433" s="349" t="s">
        <v>620</v>
      </c>
      <c r="J433" s="166" t="s">
        <v>619</v>
      </c>
      <c r="N433" s="166" t="s">
        <v>2821</v>
      </c>
      <c r="P433" s="350">
        <f>SUMIF('Balance Sheet Detail'!$B:$B,$R433,'Balance Sheet Detail'!W:W)</f>
        <v>-2.3856887499999302</v>
      </c>
      <c r="R433" s="166" t="s">
        <v>3375</v>
      </c>
    </row>
    <row r="434" spans="1:18">
      <c r="A434" s="127"/>
      <c r="B434" s="351" t="s">
        <v>3377</v>
      </c>
      <c r="C434" s="352"/>
      <c r="D434" s="348"/>
      <c r="E434" s="352"/>
      <c r="F434" s="348"/>
      <c r="G434" s="352"/>
      <c r="H434" s="349"/>
      <c r="I434" s="352"/>
      <c r="K434" s="352"/>
      <c r="L434" s="352"/>
      <c r="P434" s="353">
        <f>SUM(P423:P433)</f>
        <v>-462.70977041666299</v>
      </c>
    </row>
    <row r="435" spans="1:18" ht="15" customHeight="1">
      <c r="D435" s="348"/>
      <c r="F435" s="348"/>
      <c r="H435" s="349"/>
      <c r="P435" s="353"/>
    </row>
    <row r="436" spans="1:18" ht="15" customHeight="1">
      <c r="A436" s="127" t="s">
        <v>1050</v>
      </c>
      <c r="D436" s="348"/>
      <c r="F436" s="348"/>
      <c r="H436" s="349"/>
      <c r="P436" s="354"/>
    </row>
    <row r="437" spans="1:18" ht="15" customHeight="1">
      <c r="B437" s="203">
        <v>254017</v>
      </c>
      <c r="D437" s="348" t="s">
        <v>3376</v>
      </c>
      <c r="F437" s="348">
        <v>800123</v>
      </c>
      <c r="H437" s="349" t="s">
        <v>1050</v>
      </c>
      <c r="J437" s="166" t="s">
        <v>2272</v>
      </c>
      <c r="N437" s="166" t="s">
        <v>928</v>
      </c>
      <c r="P437" s="350">
        <f>SUMIF('Balance Sheet Detail'!$B:$B,$R437,'Balance Sheet Detail'!W:W)</f>
        <v>-41.666699999999999</v>
      </c>
      <c r="R437" s="166" t="s">
        <v>4098</v>
      </c>
    </row>
    <row r="438" spans="1:18">
      <c r="A438" s="127"/>
      <c r="B438" s="351" t="s">
        <v>3378</v>
      </c>
      <c r="C438" s="352"/>
      <c r="D438" s="348"/>
      <c r="E438" s="352"/>
      <c r="F438" s="348"/>
      <c r="G438" s="352"/>
      <c r="H438" s="349"/>
      <c r="I438" s="352"/>
      <c r="K438" s="352"/>
      <c r="L438" s="352"/>
      <c r="P438" s="353">
        <f>SUM(P437)</f>
        <v>-41.666699999999999</v>
      </c>
    </row>
    <row r="439" spans="1:18">
      <c r="A439" s="127"/>
      <c r="D439" s="348"/>
      <c r="F439" s="348"/>
      <c r="H439" s="349"/>
      <c r="P439" s="353"/>
    </row>
    <row r="440" spans="1:18">
      <c r="A440" s="127" t="s">
        <v>3379</v>
      </c>
      <c r="D440" s="348"/>
      <c r="F440" s="348"/>
      <c r="H440" s="349"/>
      <c r="P440" s="353"/>
    </row>
    <row r="441" spans="1:18" ht="15" customHeight="1">
      <c r="B441" s="203">
        <v>182090</v>
      </c>
      <c r="D441" s="348">
        <v>0</v>
      </c>
      <c r="F441" s="348" t="s">
        <v>90</v>
      </c>
      <c r="H441" s="349" t="s">
        <v>2768</v>
      </c>
      <c r="J441" s="166" t="s">
        <v>2373</v>
      </c>
      <c r="P441" s="168">
        <f>SUMIF('Balance Sheet Detail'!$B:$B,$R441,'Balance Sheet Detail'!W:W)</f>
        <v>0</v>
      </c>
      <c r="R441" s="166" t="s">
        <v>4099</v>
      </c>
    </row>
    <row r="442" spans="1:18" ht="15" customHeight="1">
      <c r="B442" s="203">
        <v>182090</v>
      </c>
      <c r="D442" s="348">
        <v>0</v>
      </c>
      <c r="F442" s="348" t="s">
        <v>2750</v>
      </c>
      <c r="H442" s="349" t="s">
        <v>2768</v>
      </c>
      <c r="J442" s="166" t="s">
        <v>2751</v>
      </c>
      <c r="P442" s="168">
        <f>SUMIF('Balance Sheet Detail'!$B:$B,$R442,'Balance Sheet Detail'!W:W)</f>
        <v>0</v>
      </c>
      <c r="R442" s="166" t="s">
        <v>4100</v>
      </c>
    </row>
    <row r="443" spans="1:18" ht="15" customHeight="1">
      <c r="B443" s="203">
        <v>182090</v>
      </c>
      <c r="D443" s="348">
        <v>0</v>
      </c>
      <c r="F443" s="348" t="s">
        <v>2752</v>
      </c>
      <c r="H443" s="349" t="s">
        <v>2768</v>
      </c>
      <c r="J443" s="166" t="s">
        <v>2753</v>
      </c>
      <c r="P443" s="168">
        <f>SUMIF('Balance Sheet Detail'!$B:$B,$R443,'Balance Sheet Detail'!W:W)</f>
        <v>0</v>
      </c>
      <c r="R443" s="166" t="s">
        <v>4101</v>
      </c>
    </row>
    <row r="444" spans="1:18" ht="15" customHeight="1">
      <c r="B444" s="203">
        <v>182090</v>
      </c>
      <c r="D444" s="348">
        <v>0</v>
      </c>
      <c r="F444" s="348" t="s">
        <v>2759</v>
      </c>
      <c r="H444" s="349" t="s">
        <v>2768</v>
      </c>
      <c r="J444" s="166" t="s">
        <v>2760</v>
      </c>
      <c r="P444" s="168">
        <f>SUMIF('Balance Sheet Detail'!$B:$B,$R444,'Balance Sheet Detail'!W:W)</f>
        <v>0</v>
      </c>
      <c r="R444" s="166" t="s">
        <v>4102</v>
      </c>
    </row>
    <row r="445" spans="1:18" ht="15" customHeight="1">
      <c r="B445" s="203">
        <v>182090</v>
      </c>
      <c r="D445" s="348">
        <v>0</v>
      </c>
      <c r="F445" s="348" t="s">
        <v>2203</v>
      </c>
      <c r="H445" s="349" t="s">
        <v>2768</v>
      </c>
      <c r="J445" s="166" t="s">
        <v>1100</v>
      </c>
      <c r="P445" s="168">
        <f>SUMIF('Balance Sheet Detail'!$B:$B,$R445,'Balance Sheet Detail'!W:W)</f>
        <v>0</v>
      </c>
      <c r="R445" s="166" t="s">
        <v>4103</v>
      </c>
    </row>
    <row r="446" spans="1:18" ht="15" customHeight="1">
      <c r="B446" s="203">
        <v>182090</v>
      </c>
      <c r="D446" s="348">
        <v>0</v>
      </c>
      <c r="F446" s="348" t="s">
        <v>1101</v>
      </c>
      <c r="H446" s="349" t="s">
        <v>2768</v>
      </c>
      <c r="J446" s="166" t="s">
        <v>1102</v>
      </c>
      <c r="P446" s="168">
        <f>SUMIF('Balance Sheet Detail'!$B:$B,$R446,'Balance Sheet Detail'!W:W)</f>
        <v>0</v>
      </c>
      <c r="R446" s="166" t="s">
        <v>4104</v>
      </c>
    </row>
    <row r="447" spans="1:18" ht="15" customHeight="1">
      <c r="B447" s="203">
        <v>182090</v>
      </c>
      <c r="D447" s="348">
        <v>0</v>
      </c>
      <c r="F447" s="348" t="s">
        <v>1103</v>
      </c>
      <c r="H447" s="349" t="s">
        <v>2768</v>
      </c>
      <c r="J447" s="166" t="s">
        <v>1104</v>
      </c>
      <c r="P447" s="168">
        <f>SUMIF('Balance Sheet Detail'!$B:$B,$R447,'Balance Sheet Detail'!W:W)</f>
        <v>0</v>
      </c>
      <c r="R447" s="166" t="s">
        <v>4105</v>
      </c>
    </row>
    <row r="448" spans="1:18" ht="15" customHeight="1">
      <c r="B448" s="203">
        <v>182090</v>
      </c>
      <c r="D448" s="348">
        <v>0</v>
      </c>
      <c r="F448" s="348" t="s">
        <v>1105</v>
      </c>
      <c r="H448" s="349" t="s">
        <v>2768</v>
      </c>
      <c r="J448" s="166" t="s">
        <v>1560</v>
      </c>
      <c r="N448" s="166" t="s">
        <v>928</v>
      </c>
      <c r="P448" s="168">
        <f>SUMIF('Balance Sheet Detail'!$B:$B,$R448,'Balance Sheet Detail'!W:W)</f>
        <v>0</v>
      </c>
      <c r="R448" s="166" t="s">
        <v>4106</v>
      </c>
    </row>
    <row r="449" spans="1:18" ht="15" customHeight="1">
      <c r="B449" s="203">
        <v>182090</v>
      </c>
      <c r="D449" s="348">
        <v>0</v>
      </c>
      <c r="F449" s="348" t="s">
        <v>294</v>
      </c>
      <c r="H449" s="349" t="s">
        <v>2768</v>
      </c>
      <c r="J449" s="166" t="s">
        <v>1353</v>
      </c>
      <c r="P449" s="168">
        <f>SUMIF('Balance Sheet Detail'!$B:$B,$R449,'Balance Sheet Detail'!W:W)</f>
        <v>0</v>
      </c>
      <c r="R449" s="166" t="s">
        <v>4107</v>
      </c>
    </row>
    <row r="450" spans="1:18" ht="15" customHeight="1">
      <c r="B450" s="203">
        <v>182090</v>
      </c>
      <c r="D450" s="348">
        <v>0</v>
      </c>
      <c r="F450" s="348" t="s">
        <v>865</v>
      </c>
      <c r="H450" s="349" t="s">
        <v>2768</v>
      </c>
      <c r="J450" s="166" t="s">
        <v>866</v>
      </c>
      <c r="P450" s="168">
        <f>SUMIF('Balance Sheet Detail'!$B:$B,$R450,'Balance Sheet Detail'!W:W)</f>
        <v>0</v>
      </c>
      <c r="R450" s="166" t="s">
        <v>4108</v>
      </c>
    </row>
    <row r="451" spans="1:18" ht="15" customHeight="1">
      <c r="B451" s="203">
        <v>182090</v>
      </c>
      <c r="D451" s="348">
        <v>0</v>
      </c>
      <c r="F451" s="348" t="s">
        <v>1332</v>
      </c>
      <c r="H451" s="349" t="s">
        <v>2768</v>
      </c>
      <c r="J451" s="166" t="s">
        <v>1333</v>
      </c>
      <c r="P451" s="168">
        <f>SUMIF('Balance Sheet Detail'!$B:$B,$R451,'Balance Sheet Detail'!W:W)</f>
        <v>0</v>
      </c>
      <c r="R451" s="166" t="s">
        <v>4109</v>
      </c>
    </row>
    <row r="452" spans="1:18" ht="15" customHeight="1">
      <c r="B452" s="203">
        <v>182090</v>
      </c>
      <c r="D452" s="348">
        <v>0</v>
      </c>
      <c r="F452" s="348" t="s">
        <v>1334</v>
      </c>
      <c r="H452" s="349" t="s">
        <v>2768</v>
      </c>
      <c r="J452" s="166" t="s">
        <v>1335</v>
      </c>
      <c r="P452" s="168">
        <f>SUMIF('Balance Sheet Detail'!$B:$B,$R452,'Balance Sheet Detail'!W:W)</f>
        <v>0</v>
      </c>
      <c r="R452" s="166" t="s">
        <v>4110</v>
      </c>
    </row>
    <row r="453" spans="1:18" ht="15" customHeight="1">
      <c r="B453" s="203">
        <v>182090</v>
      </c>
      <c r="D453" s="348">
        <v>0</v>
      </c>
      <c r="F453" s="348" t="s">
        <v>1336</v>
      </c>
      <c r="H453" s="349" t="s">
        <v>2768</v>
      </c>
      <c r="J453" s="166" t="s">
        <v>1337</v>
      </c>
      <c r="P453" s="168">
        <f>SUMIF('Balance Sheet Detail'!$B:$B,$R453,'Balance Sheet Detail'!W:W)</f>
        <v>0</v>
      </c>
      <c r="R453" s="166" t="s">
        <v>4111</v>
      </c>
    </row>
    <row r="454" spans="1:18" ht="15" customHeight="1">
      <c r="B454" s="203">
        <v>182090</v>
      </c>
      <c r="D454" s="348">
        <v>0</v>
      </c>
      <c r="F454" s="348" t="s">
        <v>1338</v>
      </c>
      <c r="H454" s="349" t="s">
        <v>2768</v>
      </c>
      <c r="J454" s="166" t="s">
        <v>144</v>
      </c>
      <c r="P454" s="168">
        <f>SUMIF('Balance Sheet Detail'!$B:$B,$R454,'Balance Sheet Detail'!W:W)</f>
        <v>0</v>
      </c>
      <c r="R454" s="166" t="s">
        <v>4112</v>
      </c>
    </row>
    <row r="455" spans="1:18" ht="15" customHeight="1">
      <c r="B455" s="203">
        <v>182090</v>
      </c>
      <c r="D455" s="348">
        <v>0</v>
      </c>
      <c r="F455" s="348" t="s">
        <v>145</v>
      </c>
      <c r="H455" s="349" t="s">
        <v>2768</v>
      </c>
      <c r="J455" s="166" t="s">
        <v>146</v>
      </c>
      <c r="P455" s="168">
        <f>SUMIF('Balance Sheet Detail'!$B:$B,$R455,'Balance Sheet Detail'!W:W)</f>
        <v>0</v>
      </c>
      <c r="R455" s="166" t="s">
        <v>4113</v>
      </c>
    </row>
    <row r="456" spans="1:18" ht="15" customHeight="1">
      <c r="B456" s="203">
        <v>254010</v>
      </c>
      <c r="D456" s="348">
        <v>0</v>
      </c>
      <c r="F456" s="348">
        <v>800110</v>
      </c>
      <c r="H456" s="349" t="s">
        <v>2768</v>
      </c>
      <c r="J456" s="166" t="s">
        <v>216</v>
      </c>
      <c r="N456" s="166" t="s">
        <v>928</v>
      </c>
      <c r="P456" s="168">
        <f>SUMIF('Balance Sheet Detail'!$B:$B,$R456,'Balance Sheet Detail'!W:W)</f>
        <v>0</v>
      </c>
      <c r="R456" s="166" t="s">
        <v>4114</v>
      </c>
    </row>
    <row r="457" spans="1:18" ht="15" customHeight="1">
      <c r="B457" s="203">
        <v>283510</v>
      </c>
      <c r="D457" s="348" t="s">
        <v>2684</v>
      </c>
      <c r="F457" s="348" t="s">
        <v>1354</v>
      </c>
      <c r="H457" s="349" t="s">
        <v>2768</v>
      </c>
      <c r="J457" s="166" t="s">
        <v>1355</v>
      </c>
      <c r="N457" s="166" t="s">
        <v>928</v>
      </c>
      <c r="P457" s="168">
        <f>SUMIF('Balance Sheet Detail'!$B:$B,$R457,'Balance Sheet Detail'!W:W)</f>
        <v>-3650.4569200000001</v>
      </c>
      <c r="R457" s="166" t="s">
        <v>3380</v>
      </c>
    </row>
    <row r="458" spans="1:18" ht="15" customHeight="1">
      <c r="B458" s="203">
        <v>283560</v>
      </c>
      <c r="D458" s="348" t="s">
        <v>2684</v>
      </c>
      <c r="F458" s="348" t="s">
        <v>49</v>
      </c>
      <c r="H458" s="349" t="s">
        <v>2768</v>
      </c>
      <c r="J458" s="166" t="s">
        <v>1806</v>
      </c>
      <c r="N458" s="166" t="s">
        <v>928</v>
      </c>
      <c r="P458" s="350">
        <f>SUMIF('Balance Sheet Detail'!$B:$B,$R458,'Balance Sheet Detail'!W:W)</f>
        <v>-777.69353000000001</v>
      </c>
      <c r="R458" s="166" t="s">
        <v>3381</v>
      </c>
    </row>
    <row r="459" spans="1:18">
      <c r="A459" s="127"/>
      <c r="B459" s="351" t="s">
        <v>3382</v>
      </c>
      <c r="C459" s="352"/>
      <c r="D459" s="348"/>
      <c r="E459" s="352"/>
      <c r="F459" s="348"/>
      <c r="G459" s="352"/>
      <c r="H459" s="349"/>
      <c r="I459" s="352"/>
      <c r="K459" s="352"/>
      <c r="L459" s="352"/>
      <c r="P459" s="353">
        <f>SUM(P441:P458)</f>
        <v>-4428.1504500000001</v>
      </c>
    </row>
    <row r="460" spans="1:18">
      <c r="B460" s="351"/>
      <c r="C460" s="352"/>
      <c r="D460" s="348"/>
      <c r="E460" s="352"/>
      <c r="F460" s="348"/>
      <c r="G460" s="352"/>
      <c r="H460" s="349"/>
      <c r="I460" s="352"/>
      <c r="K460" s="352"/>
      <c r="L460" s="352"/>
      <c r="P460" s="353"/>
    </row>
    <row r="461" spans="1:18">
      <c r="A461" s="127" t="s">
        <v>3077</v>
      </c>
      <c r="D461" s="348"/>
      <c r="F461" s="348"/>
      <c r="H461" s="349"/>
      <c r="P461" s="343"/>
    </row>
    <row r="462" spans="1:18" ht="15" customHeight="1">
      <c r="B462" s="203">
        <v>182030</v>
      </c>
      <c r="D462" s="348">
        <v>0</v>
      </c>
      <c r="F462" s="348" t="s">
        <v>1463</v>
      </c>
      <c r="H462" s="349" t="s">
        <v>102</v>
      </c>
      <c r="J462" s="166" t="s">
        <v>101</v>
      </c>
      <c r="N462" s="166" t="s">
        <v>928</v>
      </c>
      <c r="P462" s="168">
        <f>SUMIF('Balance Sheet Detail'!$B:$B,$R462,'Balance Sheet Detail'!W:W)</f>
        <v>0</v>
      </c>
      <c r="R462" s="166" t="s">
        <v>4039</v>
      </c>
    </row>
    <row r="463" spans="1:18" ht="15" customHeight="1">
      <c r="B463" s="203">
        <v>182030</v>
      </c>
      <c r="D463" s="348">
        <v>0</v>
      </c>
      <c r="F463" s="348" t="s">
        <v>103</v>
      </c>
      <c r="H463" s="349" t="s">
        <v>102</v>
      </c>
      <c r="J463" s="166" t="s">
        <v>104</v>
      </c>
      <c r="N463" s="166" t="s">
        <v>928</v>
      </c>
      <c r="P463" s="168">
        <f>SUMIF('Balance Sheet Detail'!$B:$B,$R463,'Balance Sheet Detail'!W:W)</f>
        <v>0</v>
      </c>
      <c r="R463" s="166" t="s">
        <v>4040</v>
      </c>
    </row>
    <row r="464" spans="1:18" ht="15" customHeight="1">
      <c r="B464" s="203">
        <v>182030</v>
      </c>
      <c r="D464" s="348">
        <v>0</v>
      </c>
      <c r="F464" s="348" t="s">
        <v>607</v>
      </c>
      <c r="H464" s="349" t="s">
        <v>102</v>
      </c>
      <c r="J464" s="166" t="s">
        <v>1350</v>
      </c>
      <c r="N464" s="166" t="s">
        <v>928</v>
      </c>
      <c r="P464" s="168">
        <f>SUMIF('Balance Sheet Detail'!$B:$B,$R464,'Balance Sheet Detail'!W:W)</f>
        <v>0</v>
      </c>
      <c r="R464" s="166" t="s">
        <v>4041</v>
      </c>
    </row>
    <row r="465" spans="2:18" ht="15" customHeight="1">
      <c r="B465" s="203">
        <v>182030</v>
      </c>
      <c r="D465" s="348">
        <v>0</v>
      </c>
      <c r="F465" s="348" t="s">
        <v>106</v>
      </c>
      <c r="H465" s="349" t="s">
        <v>102</v>
      </c>
      <c r="J465" s="166" t="s">
        <v>107</v>
      </c>
      <c r="N465" s="166" t="s">
        <v>928</v>
      </c>
      <c r="P465" s="168">
        <f>SUMIF('Balance Sheet Detail'!$B:$B,$R465,'Balance Sheet Detail'!W:W)</f>
        <v>0</v>
      </c>
      <c r="R465" s="166" t="s">
        <v>4042</v>
      </c>
    </row>
    <row r="466" spans="2:18" ht="15" customHeight="1">
      <c r="B466" s="203">
        <v>182030</v>
      </c>
      <c r="D466" s="348">
        <v>0</v>
      </c>
      <c r="F466" s="348" t="s">
        <v>1668</v>
      </c>
      <c r="H466" s="349" t="s">
        <v>102</v>
      </c>
      <c r="J466" s="166" t="s">
        <v>1669</v>
      </c>
      <c r="N466" s="166" t="s">
        <v>928</v>
      </c>
      <c r="P466" s="168">
        <f>SUMIF('Balance Sheet Detail'!$B:$B,$R466,'Balance Sheet Detail'!W:W)</f>
        <v>0</v>
      </c>
      <c r="R466" s="166" t="s">
        <v>4043</v>
      </c>
    </row>
    <row r="467" spans="2:18" ht="15" customHeight="1">
      <c r="B467" s="203">
        <v>182030</v>
      </c>
      <c r="D467" s="348">
        <v>0</v>
      </c>
      <c r="F467" s="348" t="s">
        <v>1363</v>
      </c>
      <c r="H467" s="349" t="s">
        <v>102</v>
      </c>
      <c r="J467" s="166" t="s">
        <v>1997</v>
      </c>
      <c r="N467" s="166" t="s">
        <v>928</v>
      </c>
      <c r="P467" s="168">
        <f>SUMIF('Balance Sheet Detail'!$B:$B,$R467,'Balance Sheet Detail'!W:W)</f>
        <v>0</v>
      </c>
      <c r="R467" s="166" t="s">
        <v>4044</v>
      </c>
    </row>
    <row r="468" spans="2:18" ht="15" customHeight="1">
      <c r="B468" s="203">
        <v>182030</v>
      </c>
      <c r="D468" s="348">
        <v>0</v>
      </c>
      <c r="F468" s="348" t="s">
        <v>1095</v>
      </c>
      <c r="H468" s="349" t="s">
        <v>102</v>
      </c>
      <c r="J468" s="166" t="s">
        <v>1096</v>
      </c>
      <c r="N468" s="166" t="s">
        <v>928</v>
      </c>
      <c r="P468" s="168">
        <f>SUMIF('Balance Sheet Detail'!$B:$B,$R468,'Balance Sheet Detail'!W:W)</f>
        <v>0</v>
      </c>
      <c r="R468" s="166" t="s">
        <v>4045</v>
      </c>
    </row>
    <row r="469" spans="2:18" ht="15" customHeight="1">
      <c r="B469" s="203">
        <v>182030</v>
      </c>
      <c r="D469" s="348">
        <v>0</v>
      </c>
      <c r="F469" s="348" t="s">
        <v>1097</v>
      </c>
      <c r="H469" s="349" t="s">
        <v>102</v>
      </c>
      <c r="J469" s="166" t="s">
        <v>1098</v>
      </c>
      <c r="N469" s="166" t="s">
        <v>928</v>
      </c>
      <c r="P469" s="168">
        <f>SUMIF('Balance Sheet Detail'!$B:$B,$R469,'Balance Sheet Detail'!W:W)</f>
        <v>0</v>
      </c>
      <c r="R469" s="166" t="s">
        <v>4046</v>
      </c>
    </row>
    <row r="470" spans="2:18" ht="15" customHeight="1">
      <c r="B470" s="203">
        <v>182030</v>
      </c>
      <c r="D470" s="348">
        <v>0</v>
      </c>
      <c r="F470" s="348">
        <v>800111</v>
      </c>
      <c r="H470" s="349" t="s">
        <v>102</v>
      </c>
      <c r="J470" s="166" t="s">
        <v>916</v>
      </c>
      <c r="N470" s="166" t="s">
        <v>928</v>
      </c>
      <c r="P470" s="168">
        <f>SUMIF('Balance Sheet Detail'!$B:$B,$R470,'Balance Sheet Detail'!W:W)</f>
        <v>0</v>
      </c>
      <c r="R470" s="166" t="s">
        <v>4047</v>
      </c>
    </row>
    <row r="471" spans="2:18" ht="15" customHeight="1">
      <c r="B471" s="203">
        <v>182030</v>
      </c>
      <c r="D471" s="348">
        <v>0</v>
      </c>
      <c r="F471" s="348">
        <v>800118</v>
      </c>
      <c r="H471" s="349" t="s">
        <v>102</v>
      </c>
      <c r="J471" s="166" t="s">
        <v>917</v>
      </c>
      <c r="N471" s="166" t="s">
        <v>928</v>
      </c>
      <c r="P471" s="168">
        <f>SUMIF('Balance Sheet Detail'!$B:$B,$R471,'Balance Sheet Detail'!W:W)</f>
        <v>0</v>
      </c>
      <c r="R471" s="166" t="s">
        <v>4048</v>
      </c>
    </row>
    <row r="472" spans="2:18" ht="15" customHeight="1">
      <c r="B472" s="203">
        <v>182030</v>
      </c>
      <c r="D472" s="348">
        <v>0</v>
      </c>
      <c r="F472" s="348">
        <v>800153</v>
      </c>
      <c r="H472" s="349" t="s">
        <v>102</v>
      </c>
      <c r="J472" s="166" t="s">
        <v>1859</v>
      </c>
      <c r="N472" s="166" t="s">
        <v>928</v>
      </c>
      <c r="P472" s="168">
        <f>SUMIF('Balance Sheet Detail'!$B:$B,$R472,'Balance Sheet Detail'!W:W)</f>
        <v>0</v>
      </c>
      <c r="R472" s="166" t="s">
        <v>4049</v>
      </c>
    </row>
    <row r="473" spans="2:18" ht="15" customHeight="1">
      <c r="B473" s="203">
        <v>182030</v>
      </c>
      <c r="D473" s="348">
        <v>0</v>
      </c>
      <c r="F473" s="348">
        <v>800154</v>
      </c>
      <c r="H473" s="349" t="s">
        <v>102</v>
      </c>
      <c r="J473" s="166" t="s">
        <v>1860</v>
      </c>
      <c r="N473" s="166" t="s">
        <v>928</v>
      </c>
      <c r="P473" s="168">
        <f>SUMIF('Balance Sheet Detail'!$B:$B,$R473,'Balance Sheet Detail'!W:W)</f>
        <v>0</v>
      </c>
      <c r="R473" s="166" t="s">
        <v>4050</v>
      </c>
    </row>
    <row r="474" spans="2:18" ht="15" customHeight="1">
      <c r="B474" s="203">
        <v>182030</v>
      </c>
      <c r="D474" s="348">
        <v>0</v>
      </c>
      <c r="F474" s="348">
        <v>800175</v>
      </c>
      <c r="H474" s="349" t="s">
        <v>102</v>
      </c>
      <c r="J474" s="166" t="s">
        <v>1081</v>
      </c>
      <c r="N474" s="166" t="s">
        <v>928</v>
      </c>
      <c r="P474" s="168">
        <f>SUMIF('Balance Sheet Detail'!$B:$B,$R474,'Balance Sheet Detail'!W:W)</f>
        <v>0</v>
      </c>
      <c r="R474" s="166" t="s">
        <v>4051</v>
      </c>
    </row>
    <row r="475" spans="2:18" ht="15" customHeight="1">
      <c r="B475" s="203">
        <v>182030</v>
      </c>
      <c r="D475" s="348">
        <v>0</v>
      </c>
      <c r="F475" s="348">
        <v>800999</v>
      </c>
      <c r="H475" s="349" t="s">
        <v>102</v>
      </c>
      <c r="J475" s="166" t="s">
        <v>1244</v>
      </c>
      <c r="N475" s="166" t="s">
        <v>928</v>
      </c>
      <c r="P475" s="168">
        <f>SUMIF('Balance Sheet Detail'!$B:$B,$R475,'Balance Sheet Detail'!W:W)</f>
        <v>0</v>
      </c>
      <c r="R475" s="166" t="s">
        <v>4052</v>
      </c>
    </row>
    <row r="476" spans="2:18" ht="15" customHeight="1">
      <c r="B476" s="203">
        <v>182031</v>
      </c>
      <c r="D476" s="348">
        <v>0</v>
      </c>
      <c r="F476" s="348" t="s">
        <v>607</v>
      </c>
      <c r="H476" s="349" t="s">
        <v>102</v>
      </c>
      <c r="J476" s="166" t="s">
        <v>1350</v>
      </c>
      <c r="N476" s="166" t="s">
        <v>928</v>
      </c>
      <c r="P476" s="168">
        <f>SUMIF('Balance Sheet Detail'!$B:$B,$R476,'Balance Sheet Detail'!W:W)</f>
        <v>0</v>
      </c>
      <c r="R476" s="166" t="s">
        <v>4053</v>
      </c>
    </row>
    <row r="477" spans="2:18" ht="15" customHeight="1">
      <c r="B477" s="203">
        <v>182031</v>
      </c>
      <c r="D477" s="348">
        <v>0</v>
      </c>
      <c r="F477" s="348" t="s">
        <v>1363</v>
      </c>
      <c r="H477" s="349" t="s">
        <v>102</v>
      </c>
      <c r="J477" s="166" t="s">
        <v>1198</v>
      </c>
      <c r="N477" s="166" t="s">
        <v>928</v>
      </c>
      <c r="P477" s="168">
        <f>SUMIF('Balance Sheet Detail'!$B:$B,$R477,'Balance Sheet Detail'!W:W)</f>
        <v>0</v>
      </c>
      <c r="R477" s="166" t="s">
        <v>4054</v>
      </c>
    </row>
    <row r="478" spans="2:18" ht="15" customHeight="1">
      <c r="B478" s="203">
        <v>182031</v>
      </c>
      <c r="D478" s="348">
        <v>0</v>
      </c>
      <c r="F478" s="348" t="s">
        <v>1095</v>
      </c>
      <c r="H478" s="349" t="s">
        <v>102</v>
      </c>
      <c r="J478" s="166" t="s">
        <v>1096</v>
      </c>
      <c r="N478" s="166" t="s">
        <v>928</v>
      </c>
      <c r="P478" s="168">
        <f>SUMIF('Balance Sheet Detail'!$B:$B,$R478,'Balance Sheet Detail'!W:W)</f>
        <v>0</v>
      </c>
      <c r="R478" s="166" t="s">
        <v>4055</v>
      </c>
    </row>
    <row r="479" spans="2:18" ht="15" customHeight="1">
      <c r="B479" s="203">
        <v>182031</v>
      </c>
      <c r="D479" s="348">
        <v>0</v>
      </c>
      <c r="F479" s="348">
        <v>800111</v>
      </c>
      <c r="H479" s="349" t="s">
        <v>102</v>
      </c>
      <c r="J479" s="166" t="s">
        <v>1080</v>
      </c>
      <c r="N479" s="166" t="s">
        <v>928</v>
      </c>
      <c r="P479" s="168">
        <f>SUMIF('Balance Sheet Detail'!$B:$B,$R479,'Balance Sheet Detail'!W:W)</f>
        <v>0</v>
      </c>
      <c r="R479" s="166" t="s">
        <v>4056</v>
      </c>
    </row>
    <row r="480" spans="2:18" ht="15" customHeight="1">
      <c r="B480" s="203">
        <v>182031</v>
      </c>
      <c r="D480" s="348">
        <v>0</v>
      </c>
      <c r="F480" s="348">
        <v>800149</v>
      </c>
      <c r="H480" s="349" t="s">
        <v>102</v>
      </c>
      <c r="J480" s="166" t="s">
        <v>1861</v>
      </c>
      <c r="N480" s="166" t="s">
        <v>928</v>
      </c>
      <c r="P480" s="168">
        <f>SUMIF('Balance Sheet Detail'!$B:$B,$R480,'Balance Sheet Detail'!W:W)</f>
        <v>0</v>
      </c>
      <c r="R480" s="166" t="s">
        <v>4057</v>
      </c>
    </row>
    <row r="481" spans="2:18" ht="15" customHeight="1">
      <c r="B481" s="203">
        <v>182031</v>
      </c>
      <c r="D481" s="348">
        <v>0</v>
      </c>
      <c r="F481" s="348">
        <v>800999</v>
      </c>
      <c r="H481" s="349" t="s">
        <v>102</v>
      </c>
      <c r="J481" s="166" t="s">
        <v>1244</v>
      </c>
      <c r="N481" s="166" t="s">
        <v>928</v>
      </c>
      <c r="P481" s="168">
        <f>SUMIF('Balance Sheet Detail'!$B:$B,$R481,'Balance Sheet Detail'!W:W)</f>
        <v>0</v>
      </c>
      <c r="R481" s="166" t="s">
        <v>4058</v>
      </c>
    </row>
    <row r="482" spans="2:18" ht="15" customHeight="1">
      <c r="B482" s="203">
        <v>182070</v>
      </c>
      <c r="D482" s="348">
        <v>0</v>
      </c>
      <c r="F482" s="348" t="s">
        <v>1363</v>
      </c>
      <c r="H482" s="349" t="s">
        <v>102</v>
      </c>
      <c r="J482" s="166" t="s">
        <v>1997</v>
      </c>
      <c r="N482" s="166" t="s">
        <v>928</v>
      </c>
      <c r="P482" s="168">
        <f>SUMIF('Balance Sheet Detail'!$B:$B,$R482,'Balance Sheet Detail'!W:W)</f>
        <v>0</v>
      </c>
      <c r="R482" s="166" t="s">
        <v>4059</v>
      </c>
    </row>
    <row r="483" spans="2:18" ht="15" customHeight="1">
      <c r="B483" s="203">
        <v>182070</v>
      </c>
      <c r="D483" s="348">
        <v>0</v>
      </c>
      <c r="F483" s="348" t="s">
        <v>2400</v>
      </c>
      <c r="H483" s="349" t="s">
        <v>102</v>
      </c>
      <c r="J483" s="166" t="s">
        <v>57</v>
      </c>
      <c r="N483" s="166" t="s">
        <v>928</v>
      </c>
      <c r="P483" s="168">
        <f>SUMIF('Balance Sheet Detail'!$B:$B,$R483,'Balance Sheet Detail'!W:W)</f>
        <v>0</v>
      </c>
      <c r="R483" s="166" t="s">
        <v>4060</v>
      </c>
    </row>
    <row r="484" spans="2:18" ht="15" customHeight="1">
      <c r="B484" s="203">
        <v>182303</v>
      </c>
      <c r="D484" s="348" t="s">
        <v>3300</v>
      </c>
      <c r="F484" s="348" t="s">
        <v>1668</v>
      </c>
      <c r="H484" s="349" t="s">
        <v>102</v>
      </c>
      <c r="J484" s="166" t="s">
        <v>1669</v>
      </c>
      <c r="N484" s="166" t="s">
        <v>928</v>
      </c>
      <c r="P484" s="168">
        <f>SUMIF('Balance Sheet Detail'!$B:$B,$R484,'Balance Sheet Detail'!W:W)</f>
        <v>0</v>
      </c>
      <c r="R484" s="166" t="s">
        <v>4061</v>
      </c>
    </row>
    <row r="485" spans="2:18" ht="15" customHeight="1">
      <c r="B485" s="203">
        <v>182303</v>
      </c>
      <c r="D485" s="348" t="s">
        <v>2779</v>
      </c>
      <c r="F485" s="348">
        <v>808002</v>
      </c>
      <c r="H485" s="349" t="s">
        <v>102</v>
      </c>
      <c r="J485" s="166" t="s">
        <v>2967</v>
      </c>
      <c r="N485" s="166" t="s">
        <v>928</v>
      </c>
      <c r="P485" s="168">
        <f>SUMIF('Balance Sheet Detail'!$B:$B,$R485,'Balance Sheet Detail'!W:W)</f>
        <v>0</v>
      </c>
      <c r="R485" s="166" t="s">
        <v>4062</v>
      </c>
    </row>
    <row r="486" spans="2:18" ht="15" customHeight="1">
      <c r="B486" s="203">
        <v>182370</v>
      </c>
      <c r="D486" s="348" t="s">
        <v>1675</v>
      </c>
      <c r="F486" s="348">
        <v>800153</v>
      </c>
      <c r="H486" s="349" t="s">
        <v>102</v>
      </c>
      <c r="J486" s="166" t="s">
        <v>1859</v>
      </c>
      <c r="N486" s="166" t="s">
        <v>928</v>
      </c>
      <c r="P486" s="168">
        <f>SUMIF('Balance Sheet Detail'!$B:$B,$R486,'Balance Sheet Detail'!W:W)</f>
        <v>0</v>
      </c>
      <c r="R486" s="166" t="s">
        <v>4063</v>
      </c>
    </row>
    <row r="487" spans="2:18" ht="15" customHeight="1">
      <c r="B487" s="203">
        <v>182370</v>
      </c>
      <c r="D487" s="348" t="s">
        <v>1676</v>
      </c>
      <c r="F487" s="348">
        <v>800175</v>
      </c>
      <c r="H487" s="349" t="s">
        <v>102</v>
      </c>
      <c r="J487" s="166" t="s">
        <v>1081</v>
      </c>
      <c r="N487" s="166" t="s">
        <v>928</v>
      </c>
      <c r="P487" s="168">
        <f>SUMIF('Balance Sheet Detail'!$B:$B,$R487,'Balance Sheet Detail'!W:W)</f>
        <v>0</v>
      </c>
      <c r="R487" s="166" t="s">
        <v>4064</v>
      </c>
    </row>
    <row r="488" spans="2:18" ht="15" customHeight="1">
      <c r="B488" s="203">
        <v>182370</v>
      </c>
      <c r="D488" s="348" t="s">
        <v>3798</v>
      </c>
      <c r="F488" s="348">
        <v>808002</v>
      </c>
      <c r="H488" s="349" t="s">
        <v>102</v>
      </c>
      <c r="J488" s="166" t="s">
        <v>349</v>
      </c>
      <c r="N488" s="166" t="s">
        <v>928</v>
      </c>
      <c r="P488" s="168">
        <f>SUMIF('Balance Sheet Detail'!$B:$B,$R488,'Balance Sheet Detail'!W:W)</f>
        <v>0</v>
      </c>
      <c r="R488" s="166" t="s">
        <v>4065</v>
      </c>
    </row>
    <row r="489" spans="2:18" ht="15" customHeight="1">
      <c r="B489" s="203">
        <v>182370</v>
      </c>
      <c r="D489" s="348" t="s">
        <v>3798</v>
      </c>
      <c r="F489" s="348" t="s">
        <v>946</v>
      </c>
      <c r="H489" s="349" t="s">
        <v>102</v>
      </c>
      <c r="J489" s="166" t="s">
        <v>947</v>
      </c>
      <c r="N489" s="166" t="s">
        <v>928</v>
      </c>
      <c r="P489" s="168">
        <f>SUMIF('Balance Sheet Detail'!$B:$B,$R489,'Balance Sheet Detail'!W:W)</f>
        <v>0</v>
      </c>
      <c r="R489" s="166" t="s">
        <v>4066</v>
      </c>
    </row>
    <row r="490" spans="2:18" ht="15" customHeight="1">
      <c r="B490" s="203">
        <v>182370</v>
      </c>
      <c r="D490" s="348" t="s">
        <v>1675</v>
      </c>
      <c r="F490" s="348">
        <v>808003</v>
      </c>
      <c r="H490" s="349" t="s">
        <v>102</v>
      </c>
      <c r="J490" s="166" t="s">
        <v>2251</v>
      </c>
      <c r="N490" s="166" t="s">
        <v>928</v>
      </c>
      <c r="P490" s="168">
        <f>SUMIF('Balance Sheet Detail'!$B:$B,$R490,'Balance Sheet Detail'!W:W)</f>
        <v>0</v>
      </c>
      <c r="R490" s="166" t="s">
        <v>4067</v>
      </c>
    </row>
    <row r="491" spans="2:18" ht="15" customHeight="1">
      <c r="B491" s="203">
        <v>182370</v>
      </c>
      <c r="D491" s="348" t="s">
        <v>3798</v>
      </c>
      <c r="F491" s="348">
        <v>808010</v>
      </c>
      <c r="H491" s="349" t="s">
        <v>102</v>
      </c>
      <c r="J491" s="166" t="s">
        <v>1141</v>
      </c>
      <c r="N491" s="166" t="s">
        <v>928</v>
      </c>
      <c r="P491" s="168">
        <f>SUMIF('Balance Sheet Detail'!$B:$B,$R491,'Balance Sheet Detail'!W:W)</f>
        <v>0</v>
      </c>
      <c r="R491" s="166" t="s">
        <v>4068</v>
      </c>
    </row>
    <row r="492" spans="2:18" ht="15" customHeight="1">
      <c r="B492" s="203">
        <v>182370</v>
      </c>
      <c r="D492" s="348" t="s">
        <v>1676</v>
      </c>
      <c r="F492" s="348" t="s">
        <v>1540</v>
      </c>
      <c r="H492" s="349" t="s">
        <v>102</v>
      </c>
      <c r="J492" s="166" t="s">
        <v>1541</v>
      </c>
      <c r="N492" s="166" t="s">
        <v>928</v>
      </c>
      <c r="P492" s="168">
        <f>SUMIF('Balance Sheet Detail'!$B:$B,$R492,'Balance Sheet Detail'!W:W)</f>
        <v>0</v>
      </c>
      <c r="R492" s="166" t="s">
        <v>4069</v>
      </c>
    </row>
    <row r="493" spans="2:18" ht="15" customHeight="1">
      <c r="B493" s="203">
        <v>182370</v>
      </c>
      <c r="D493" s="348" t="s">
        <v>1676</v>
      </c>
      <c r="F493" s="348" t="s">
        <v>27</v>
      </c>
      <c r="H493" s="349" t="s">
        <v>102</v>
      </c>
      <c r="J493" s="166" t="s">
        <v>28</v>
      </c>
      <c r="N493" s="166" t="s">
        <v>928</v>
      </c>
      <c r="P493" s="168">
        <f>SUMIF('Balance Sheet Detail'!$B:$B,$R493,'Balance Sheet Detail'!W:W)</f>
        <v>0</v>
      </c>
      <c r="R493" s="166" t="s">
        <v>4070</v>
      </c>
    </row>
    <row r="494" spans="2:18" ht="15" customHeight="1">
      <c r="B494" s="203">
        <v>182370</v>
      </c>
      <c r="D494" s="348" t="s">
        <v>784</v>
      </c>
      <c r="F494" s="348" t="s">
        <v>783</v>
      </c>
      <c r="H494" s="349" t="s">
        <v>102</v>
      </c>
      <c r="J494" s="166" t="s">
        <v>785</v>
      </c>
      <c r="N494" s="166" t="s">
        <v>928</v>
      </c>
      <c r="P494" s="168">
        <f>SUMIF('Balance Sheet Detail'!$B:$B,$R494,'Balance Sheet Detail'!W:W)</f>
        <v>0</v>
      </c>
      <c r="R494" s="166" t="s">
        <v>4071</v>
      </c>
    </row>
    <row r="495" spans="2:18" ht="15" customHeight="1">
      <c r="B495" s="203">
        <v>182370</v>
      </c>
      <c r="D495" s="348" t="s">
        <v>3798</v>
      </c>
      <c r="F495" s="348" t="s">
        <v>4315</v>
      </c>
      <c r="H495" s="349" t="s">
        <v>102</v>
      </c>
      <c r="J495" s="166" t="s">
        <v>4316</v>
      </c>
      <c r="N495" s="166" t="s">
        <v>928</v>
      </c>
      <c r="P495" s="168">
        <f>SUMIF('Balance Sheet Detail'!$B:$B,$R495,'Balance Sheet Detail'!W:W)</f>
        <v>-1.1640000000000001E-12</v>
      </c>
      <c r="R495" s="166" t="s">
        <v>4488</v>
      </c>
    </row>
    <row r="496" spans="2:18" ht="15" customHeight="1">
      <c r="B496" s="203">
        <v>182370</v>
      </c>
      <c r="D496" s="348" t="s">
        <v>3798</v>
      </c>
      <c r="F496" s="348" t="s">
        <v>4629</v>
      </c>
      <c r="H496" s="349" t="s">
        <v>102</v>
      </c>
      <c r="J496" s="166" t="s">
        <v>4628</v>
      </c>
      <c r="N496" s="166" t="s">
        <v>928</v>
      </c>
      <c r="P496" s="168">
        <f>SUMIF('Balance Sheet Detail'!$B:$B,$R496,'Balance Sheet Detail'!W:W)</f>
        <v>-1272.1462191666701</v>
      </c>
      <c r="R496" s="166" t="s">
        <v>4632</v>
      </c>
    </row>
    <row r="497" spans="2:18" ht="15" customHeight="1">
      <c r="B497" s="203">
        <v>182370</v>
      </c>
      <c r="D497" s="348" t="s">
        <v>3798</v>
      </c>
      <c r="F497" s="348" t="s">
        <v>4829</v>
      </c>
      <c r="H497" s="349" t="s">
        <v>102</v>
      </c>
      <c r="J497" s="166" t="s">
        <v>4830</v>
      </c>
      <c r="N497" s="166" t="s">
        <v>928</v>
      </c>
      <c r="P497" s="168">
        <f>SUMIF('Balance Sheet Detail'!$B:$B,$R497,'Balance Sheet Detail'!W:W)</f>
        <v>26.79543125</v>
      </c>
      <c r="R497" s="166" t="s">
        <v>4831</v>
      </c>
    </row>
    <row r="498" spans="2:18" ht="15" customHeight="1">
      <c r="B498" s="203">
        <v>182371</v>
      </c>
      <c r="D498" s="348" t="s">
        <v>1677</v>
      </c>
      <c r="F498" s="348" t="s">
        <v>1095</v>
      </c>
      <c r="H498" s="349" t="s">
        <v>102</v>
      </c>
      <c r="J498" s="166" t="s">
        <v>1096</v>
      </c>
      <c r="P498" s="168">
        <f>SUMIF('Balance Sheet Detail'!$B:$B,$R498,'Balance Sheet Detail'!W:W)</f>
        <v>0</v>
      </c>
      <c r="R498" s="166" t="s">
        <v>4072</v>
      </c>
    </row>
    <row r="499" spans="2:18" ht="15" customHeight="1">
      <c r="B499" s="203">
        <v>182371</v>
      </c>
      <c r="D499" s="348" t="s">
        <v>1677</v>
      </c>
      <c r="F499" s="348" t="s">
        <v>607</v>
      </c>
      <c r="H499" s="349" t="s">
        <v>102</v>
      </c>
      <c r="J499" s="166" t="s">
        <v>1350</v>
      </c>
      <c r="P499" s="168">
        <f>SUMIF('Balance Sheet Detail'!$B:$B,$R499,'Balance Sheet Detail'!W:W)</f>
        <v>0</v>
      </c>
      <c r="R499" s="166" t="s">
        <v>4073</v>
      </c>
    </row>
    <row r="500" spans="2:18" ht="15" customHeight="1">
      <c r="B500" s="203">
        <v>182371</v>
      </c>
      <c r="D500" s="348" t="s">
        <v>1677</v>
      </c>
      <c r="F500" s="348">
        <v>800111</v>
      </c>
      <c r="H500" s="349" t="s">
        <v>102</v>
      </c>
      <c r="J500" s="166" t="s">
        <v>1080</v>
      </c>
      <c r="P500" s="168">
        <f>SUMIF('Balance Sheet Detail'!$B:$B,$R500,'Balance Sheet Detail'!W:W)</f>
        <v>0</v>
      </c>
      <c r="R500" s="166" t="s">
        <v>4074</v>
      </c>
    </row>
    <row r="501" spans="2:18" ht="15" customHeight="1">
      <c r="B501" s="203">
        <v>182371</v>
      </c>
      <c r="D501" s="348" t="s">
        <v>1677</v>
      </c>
      <c r="F501" s="348">
        <v>800149</v>
      </c>
      <c r="H501" s="349" t="s">
        <v>102</v>
      </c>
      <c r="J501" s="166" t="s">
        <v>1678</v>
      </c>
      <c r="P501" s="168">
        <f>SUMIF('Balance Sheet Detail'!$B:$B,$R501,'Balance Sheet Detail'!W:W)</f>
        <v>0</v>
      </c>
      <c r="R501" s="166" t="s">
        <v>4075</v>
      </c>
    </row>
    <row r="502" spans="2:18" ht="15" customHeight="1">
      <c r="B502" s="203">
        <v>182371</v>
      </c>
      <c r="D502" s="348" t="s">
        <v>1677</v>
      </c>
      <c r="F502" s="348">
        <v>800175</v>
      </c>
      <c r="H502" s="349" t="s">
        <v>102</v>
      </c>
      <c r="J502" s="166" t="s">
        <v>1921</v>
      </c>
      <c r="P502" s="168">
        <f>SUMIF('Balance Sheet Detail'!$B:$B,$R502,'Balance Sheet Detail'!W:W)</f>
        <v>0</v>
      </c>
      <c r="R502" s="166" t="s">
        <v>4076</v>
      </c>
    </row>
    <row r="503" spans="2:18" ht="15" customHeight="1">
      <c r="B503" s="203">
        <v>182371</v>
      </c>
      <c r="D503" s="348" t="s">
        <v>1677</v>
      </c>
      <c r="F503" s="348" t="s">
        <v>1542</v>
      </c>
      <c r="H503" s="349" t="s">
        <v>102</v>
      </c>
      <c r="J503" s="166" t="s">
        <v>948</v>
      </c>
      <c r="P503" s="168">
        <f>SUMIF('Balance Sheet Detail'!$B:$B,$R503,'Balance Sheet Detail'!W:W)</f>
        <v>0</v>
      </c>
      <c r="R503" s="166" t="s">
        <v>4077</v>
      </c>
    </row>
    <row r="504" spans="2:18" ht="15" customHeight="1">
      <c r="B504" s="203">
        <v>182371</v>
      </c>
      <c r="D504" s="348" t="s">
        <v>1677</v>
      </c>
      <c r="F504" s="348">
        <v>809003</v>
      </c>
      <c r="H504" s="349" t="s">
        <v>102</v>
      </c>
      <c r="J504" s="166" t="s">
        <v>483</v>
      </c>
      <c r="P504" s="168">
        <f>SUMIF('Balance Sheet Detail'!$B:$B,$R504,'Balance Sheet Detail'!W:W)</f>
        <v>0</v>
      </c>
      <c r="R504" s="166" t="s">
        <v>4078</v>
      </c>
    </row>
    <row r="505" spans="2:18" ht="15" customHeight="1">
      <c r="B505" s="203">
        <v>182371</v>
      </c>
      <c r="D505" s="348" t="s">
        <v>1677</v>
      </c>
      <c r="F505" s="348">
        <v>809007</v>
      </c>
      <c r="H505" s="349" t="s">
        <v>102</v>
      </c>
      <c r="J505" s="166" t="s">
        <v>484</v>
      </c>
      <c r="P505" s="168">
        <f>SUMIF('Balance Sheet Detail'!$B:$B,$R505,'Balance Sheet Detail'!W:W)</f>
        <v>0</v>
      </c>
      <c r="R505" s="166" t="s">
        <v>4079</v>
      </c>
    </row>
    <row r="506" spans="2:18" ht="15" customHeight="1">
      <c r="B506" s="203">
        <v>182371</v>
      </c>
      <c r="D506" s="348" t="s">
        <v>1677</v>
      </c>
      <c r="F506" s="348" t="s">
        <v>1540</v>
      </c>
      <c r="H506" s="349" t="s">
        <v>102</v>
      </c>
      <c r="J506" s="166" t="s">
        <v>2531</v>
      </c>
      <c r="N506" s="166" t="s">
        <v>2821</v>
      </c>
      <c r="P506" s="168">
        <f>SUMIF('Balance Sheet Detail'!$B:$B,$R506,'Balance Sheet Detail'!W:W)</f>
        <v>0</v>
      </c>
      <c r="R506" s="166" t="s">
        <v>4080</v>
      </c>
    </row>
    <row r="507" spans="2:18" ht="15" customHeight="1">
      <c r="B507" s="203">
        <v>182371</v>
      </c>
      <c r="D507" s="348" t="s">
        <v>1677</v>
      </c>
      <c r="F507" s="348" t="s">
        <v>946</v>
      </c>
      <c r="H507" s="349" t="s">
        <v>102</v>
      </c>
      <c r="J507" s="166" t="s">
        <v>2570</v>
      </c>
      <c r="P507" s="168">
        <f>SUMIF('Balance Sheet Detail'!$B:$B,$R507,'Balance Sheet Detail'!W:W)</f>
        <v>0</v>
      </c>
      <c r="R507" s="166" t="s">
        <v>4081</v>
      </c>
    </row>
    <row r="508" spans="2:18" ht="15" customHeight="1">
      <c r="B508" s="203">
        <v>182371</v>
      </c>
      <c r="D508" s="348" t="s">
        <v>1677</v>
      </c>
      <c r="F508" s="348">
        <v>801251</v>
      </c>
      <c r="H508" s="349" t="s">
        <v>102</v>
      </c>
      <c r="J508" s="166" t="s">
        <v>2327</v>
      </c>
      <c r="N508" s="166" t="s">
        <v>2821</v>
      </c>
      <c r="P508" s="168">
        <f>SUMIF('Balance Sheet Detail'!$B:$B,$R508,'Balance Sheet Detail'!W:W)</f>
        <v>-1.2810000000000001E-12</v>
      </c>
      <c r="R508" s="166" t="s">
        <v>4082</v>
      </c>
    </row>
    <row r="509" spans="2:18" ht="15" customHeight="1">
      <c r="B509" s="203">
        <v>182371</v>
      </c>
      <c r="D509" s="348" t="s">
        <v>1677</v>
      </c>
      <c r="F509" s="348" t="s">
        <v>27</v>
      </c>
      <c r="H509" s="349" t="s">
        <v>102</v>
      </c>
      <c r="J509" s="166" t="s">
        <v>786</v>
      </c>
      <c r="N509" s="166" t="s">
        <v>2821</v>
      </c>
      <c r="P509" s="168">
        <f>SUMIF('Balance Sheet Detail'!$B:$B,$R509,'Balance Sheet Detail'!W:W)</f>
        <v>0</v>
      </c>
      <c r="R509" s="166" t="s">
        <v>4083</v>
      </c>
    </row>
    <row r="510" spans="2:18" ht="15" customHeight="1">
      <c r="B510" s="203">
        <v>182371</v>
      </c>
      <c r="D510" s="348" t="s">
        <v>1677</v>
      </c>
      <c r="F510" s="348" t="s">
        <v>783</v>
      </c>
      <c r="H510" s="349" t="s">
        <v>102</v>
      </c>
      <c r="J510" s="166" t="s">
        <v>4415</v>
      </c>
      <c r="N510" s="166" t="s">
        <v>2821</v>
      </c>
      <c r="P510" s="168">
        <f>SUMIF('Balance Sheet Detail'!$B:$B,$R510,'Balance Sheet Detail'!W:W)</f>
        <v>208.703820833333</v>
      </c>
      <c r="R510" s="166" t="s">
        <v>4523</v>
      </c>
    </row>
    <row r="511" spans="2:18" ht="15" customHeight="1">
      <c r="B511" s="203">
        <v>182371</v>
      </c>
      <c r="D511" s="348" t="s">
        <v>1677</v>
      </c>
      <c r="F511" s="348" t="s">
        <v>4315</v>
      </c>
      <c r="H511" s="349" t="s">
        <v>102</v>
      </c>
      <c r="J511" s="166" t="s">
        <v>4858</v>
      </c>
      <c r="N511" s="166" t="s">
        <v>2821</v>
      </c>
      <c r="P511" s="168">
        <f>SUMIF('Balance Sheet Detail'!$B:$B,$R511,'Balance Sheet Detail'!W:W)</f>
        <v>247.17538375000001</v>
      </c>
      <c r="R511" s="166" t="s">
        <v>4660</v>
      </c>
    </row>
    <row r="512" spans="2:18" ht="15" customHeight="1">
      <c r="B512" s="203">
        <v>182371</v>
      </c>
      <c r="D512" s="348" t="s">
        <v>1677</v>
      </c>
      <c r="F512" s="348" t="s">
        <v>4629</v>
      </c>
      <c r="H512" s="349" t="s">
        <v>102</v>
      </c>
      <c r="J512" s="166" t="s">
        <v>4857</v>
      </c>
      <c r="N512" s="166" t="s">
        <v>2821</v>
      </c>
      <c r="P512" s="168">
        <f>SUMIF('Balance Sheet Detail'!$B:$B,$R512,'Balance Sheet Detail'!W:W)</f>
        <v>8.0750183333333307</v>
      </c>
      <c r="R512" s="166" t="s">
        <v>4859</v>
      </c>
    </row>
    <row r="513" spans="2:18" ht="15" customHeight="1">
      <c r="B513" s="203">
        <v>182374</v>
      </c>
      <c r="D513" s="348" t="s">
        <v>2687</v>
      </c>
      <c r="F513" s="348" t="s">
        <v>1463</v>
      </c>
      <c r="H513" s="349" t="s">
        <v>102</v>
      </c>
      <c r="J513" s="166" t="s">
        <v>101</v>
      </c>
      <c r="N513" s="166" t="s">
        <v>928</v>
      </c>
      <c r="P513" s="168">
        <f>SUMIF('Balance Sheet Detail'!$B:$B,$R513,'Balance Sheet Detail'!W:W)</f>
        <v>0</v>
      </c>
      <c r="R513" s="166" t="s">
        <v>4084</v>
      </c>
    </row>
    <row r="514" spans="2:18" ht="15" customHeight="1">
      <c r="B514" s="203">
        <v>182374</v>
      </c>
      <c r="D514" s="348" t="s">
        <v>2687</v>
      </c>
      <c r="F514" s="348" t="s">
        <v>103</v>
      </c>
      <c r="H514" s="349" t="s">
        <v>102</v>
      </c>
      <c r="J514" s="166" t="s">
        <v>104</v>
      </c>
      <c r="N514" s="166" t="s">
        <v>928</v>
      </c>
      <c r="P514" s="168">
        <f>SUMIF('Balance Sheet Detail'!$B:$B,$R514,'Balance Sheet Detail'!W:W)</f>
        <v>0</v>
      </c>
      <c r="R514" s="166" t="s">
        <v>4085</v>
      </c>
    </row>
    <row r="515" spans="2:18" ht="15" customHeight="1">
      <c r="B515" s="203">
        <v>254010</v>
      </c>
      <c r="D515" s="348">
        <v>0</v>
      </c>
      <c r="F515" s="348" t="s">
        <v>1570</v>
      </c>
      <c r="H515" s="349" t="s">
        <v>102</v>
      </c>
      <c r="J515" s="166" t="s">
        <v>1571</v>
      </c>
      <c r="N515" s="166" t="s">
        <v>928</v>
      </c>
      <c r="P515" s="168">
        <f>SUMIF('Balance Sheet Detail'!$B:$B,$R515,'Balance Sheet Detail'!W:W)</f>
        <v>0</v>
      </c>
      <c r="R515" s="166" t="s">
        <v>4086</v>
      </c>
    </row>
    <row r="516" spans="2:18" ht="15" customHeight="1">
      <c r="B516" s="203">
        <v>190000</v>
      </c>
      <c r="D516" s="348"/>
      <c r="F516" s="348" t="s">
        <v>755</v>
      </c>
      <c r="H516" s="349" t="s">
        <v>102</v>
      </c>
      <c r="J516" s="166" t="s">
        <v>756</v>
      </c>
      <c r="N516" s="166" t="s">
        <v>928</v>
      </c>
      <c r="P516" s="168">
        <f>SUMIF('Balance Sheet Detail'!$B:$B,$R516,'Balance Sheet Detail'!W:W)</f>
        <v>0</v>
      </c>
      <c r="R516" s="166" t="s">
        <v>4087</v>
      </c>
    </row>
    <row r="517" spans="2:18" ht="15" customHeight="1">
      <c r="B517" s="203">
        <v>190002</v>
      </c>
      <c r="D517" s="348"/>
      <c r="F517" s="348" t="s">
        <v>406</v>
      </c>
      <c r="H517" s="349" t="s">
        <v>102</v>
      </c>
      <c r="J517" s="166" t="s">
        <v>407</v>
      </c>
      <c r="N517" s="166" t="s">
        <v>928</v>
      </c>
      <c r="P517" s="168">
        <f>SUMIF('Balance Sheet Detail'!$B:$B,$R517,'Balance Sheet Detail'!W:W)</f>
        <v>0</v>
      </c>
      <c r="R517" s="166" t="s">
        <v>4088</v>
      </c>
    </row>
    <row r="518" spans="2:18" ht="15" customHeight="1">
      <c r="B518" s="203">
        <v>190010</v>
      </c>
      <c r="D518" s="348"/>
      <c r="F518" s="348" t="s">
        <v>1068</v>
      </c>
      <c r="H518" s="349" t="s">
        <v>102</v>
      </c>
      <c r="J518" s="166" t="s">
        <v>756</v>
      </c>
      <c r="N518" s="166" t="s">
        <v>928</v>
      </c>
      <c r="P518" s="168">
        <f>SUMIF('Balance Sheet Detail'!$B:$B,$R518,'Balance Sheet Detail'!W:W)</f>
        <v>0</v>
      </c>
      <c r="R518" s="166" t="s">
        <v>4089</v>
      </c>
    </row>
    <row r="519" spans="2:18" ht="15" customHeight="1">
      <c r="B519" s="203">
        <v>190012</v>
      </c>
      <c r="D519" s="348"/>
      <c r="F519" s="348" t="s">
        <v>1068</v>
      </c>
      <c r="H519" s="349" t="s">
        <v>102</v>
      </c>
      <c r="J519" s="166" t="s">
        <v>756</v>
      </c>
      <c r="N519" s="166" t="s">
        <v>928</v>
      </c>
      <c r="P519" s="168">
        <f>SUMIF('Balance Sheet Detail'!$B:$B,$R519,'Balance Sheet Detail'!W:W)</f>
        <v>0</v>
      </c>
      <c r="R519" s="166" t="s">
        <v>4090</v>
      </c>
    </row>
    <row r="520" spans="2:18" ht="15" customHeight="1">
      <c r="B520" s="203">
        <v>190502</v>
      </c>
      <c r="D520" s="348" t="s">
        <v>2687</v>
      </c>
      <c r="F520" s="348" t="s">
        <v>2881</v>
      </c>
      <c r="H520" s="349" t="s">
        <v>102</v>
      </c>
      <c r="J520" s="166" t="s">
        <v>2257</v>
      </c>
      <c r="N520" s="166" t="s">
        <v>928</v>
      </c>
      <c r="P520" s="168">
        <f>SUMIF('Balance Sheet Detail'!$B:$B,$R520,'Balance Sheet Detail'!W:W)</f>
        <v>6.1999999999499998E-4</v>
      </c>
      <c r="R520" s="166" t="s">
        <v>3301</v>
      </c>
    </row>
    <row r="521" spans="2:18" ht="15" customHeight="1">
      <c r="B521" s="203">
        <v>190502</v>
      </c>
      <c r="D521" s="348" t="s">
        <v>1677</v>
      </c>
      <c r="F521" s="348" t="s">
        <v>2446</v>
      </c>
      <c r="H521" s="349" t="s">
        <v>102</v>
      </c>
      <c r="J521" s="166" t="s">
        <v>413</v>
      </c>
      <c r="N521" s="166" t="s">
        <v>928</v>
      </c>
      <c r="P521" s="168">
        <f>SUMIF('Balance Sheet Detail'!$B:$B,$R521,'Balance Sheet Detail'!W:W)</f>
        <v>702.78228749999903</v>
      </c>
      <c r="R521" s="166" t="s">
        <v>3302</v>
      </c>
    </row>
    <row r="522" spans="2:18" ht="15" customHeight="1">
      <c r="B522" s="203">
        <v>190502</v>
      </c>
      <c r="D522" s="348" t="s">
        <v>2684</v>
      </c>
      <c r="F522" s="348"/>
      <c r="H522" s="349" t="s">
        <v>102</v>
      </c>
      <c r="J522" s="166" t="s">
        <v>1089</v>
      </c>
      <c r="N522" s="166" t="s">
        <v>928</v>
      </c>
      <c r="P522" s="168">
        <f>SUMIF('Balance Sheet Detail'!$B:$B,$R522,'Balance Sheet Detail'!W:W)</f>
        <v>0</v>
      </c>
      <c r="R522" s="166" t="s">
        <v>4091</v>
      </c>
    </row>
    <row r="523" spans="2:18" ht="15" customHeight="1">
      <c r="B523" s="203">
        <v>190502</v>
      </c>
      <c r="D523" s="348" t="s">
        <v>1727</v>
      </c>
      <c r="F523" s="348" t="s">
        <v>2613</v>
      </c>
      <c r="H523" s="349" t="s">
        <v>102</v>
      </c>
      <c r="J523" s="166" t="s">
        <v>371</v>
      </c>
      <c r="N523" s="166" t="s">
        <v>928</v>
      </c>
      <c r="P523" s="168">
        <f>SUMIF('Balance Sheet Detail'!$B:$B,$R523,'Balance Sheet Detail'!W:W)</f>
        <v>1.17E-2</v>
      </c>
      <c r="R523" s="166" t="s">
        <v>3303</v>
      </c>
    </row>
    <row r="524" spans="2:18" ht="15" customHeight="1">
      <c r="B524" s="203">
        <v>190512</v>
      </c>
      <c r="D524" s="348" t="s">
        <v>2687</v>
      </c>
      <c r="F524" s="348" t="s">
        <v>1094</v>
      </c>
      <c r="H524" s="349" t="s">
        <v>102</v>
      </c>
      <c r="J524" s="166" t="s">
        <v>2257</v>
      </c>
      <c r="N524" s="166" t="s">
        <v>928</v>
      </c>
      <c r="P524" s="168">
        <f>SUMIF('Balance Sheet Detail'!$B:$B,$R524,'Balance Sheet Detail'!W:W)</f>
        <v>-7.6999999999699997E-4</v>
      </c>
      <c r="R524" s="166" t="s">
        <v>3304</v>
      </c>
    </row>
    <row r="525" spans="2:18" ht="15" customHeight="1">
      <c r="B525" s="203">
        <v>190512</v>
      </c>
      <c r="D525" s="348" t="s">
        <v>1677</v>
      </c>
      <c r="F525" s="348" t="s">
        <v>1807</v>
      </c>
      <c r="H525" s="349" t="s">
        <v>102</v>
      </c>
      <c r="J525" s="166" t="s">
        <v>413</v>
      </c>
      <c r="N525" s="166" t="s">
        <v>928</v>
      </c>
      <c r="P525" s="168">
        <f>SUMIF('Balance Sheet Detail'!$B:$B,$R525,'Balance Sheet Detail'!W:W)</f>
        <v>142.15563</v>
      </c>
      <c r="R525" s="166" t="s">
        <v>3305</v>
      </c>
    </row>
    <row r="526" spans="2:18" ht="15" customHeight="1">
      <c r="B526" s="203">
        <v>190512</v>
      </c>
      <c r="D526" s="348" t="s">
        <v>2684</v>
      </c>
      <c r="F526" s="348"/>
      <c r="H526" s="349" t="s">
        <v>102</v>
      </c>
      <c r="J526" s="166" t="s">
        <v>1089</v>
      </c>
      <c r="N526" s="166" t="s">
        <v>928</v>
      </c>
      <c r="P526" s="168">
        <f>SUMIF('Balance Sheet Detail'!$B:$B,$R526,'Balance Sheet Detail'!W:W)</f>
        <v>0</v>
      </c>
      <c r="R526" s="166" t="s">
        <v>4092</v>
      </c>
    </row>
    <row r="527" spans="2:18" ht="15" customHeight="1">
      <c r="B527" s="203">
        <v>190512</v>
      </c>
      <c r="D527" s="348" t="s">
        <v>1727</v>
      </c>
      <c r="F527" s="348" t="s">
        <v>600</v>
      </c>
      <c r="H527" s="349" t="s">
        <v>102</v>
      </c>
      <c r="J527" s="166" t="s">
        <v>371</v>
      </c>
      <c r="N527" s="166" t="s">
        <v>928</v>
      </c>
      <c r="P527" s="168">
        <f>SUMIF('Balance Sheet Detail'!$B:$B,$R527,'Balance Sheet Detail'!W:W)</f>
        <v>0.41214000000000001</v>
      </c>
      <c r="R527" s="166" t="s">
        <v>3306</v>
      </c>
    </row>
    <row r="528" spans="2:18" ht="15" customHeight="1">
      <c r="B528" s="203">
        <v>283510</v>
      </c>
      <c r="D528" s="348" t="s">
        <v>2687</v>
      </c>
      <c r="F528" s="348" t="s">
        <v>2774</v>
      </c>
      <c r="H528" s="349" t="s">
        <v>102</v>
      </c>
      <c r="J528" s="166" t="s">
        <v>2259</v>
      </c>
      <c r="N528" s="166" t="s">
        <v>928</v>
      </c>
      <c r="P528" s="168">
        <f>SUMIF('Balance Sheet Detail'!$B:$B,$R528,'Balance Sheet Detail'!W:W)</f>
        <v>1.3134583333335999E-2</v>
      </c>
      <c r="R528" s="166" t="s">
        <v>3307</v>
      </c>
    </row>
    <row r="529" spans="1:18" ht="15" customHeight="1">
      <c r="B529" s="203">
        <v>283560</v>
      </c>
      <c r="D529" s="348" t="s">
        <v>2687</v>
      </c>
      <c r="F529" s="348" t="s">
        <v>485</v>
      </c>
      <c r="H529" s="349" t="s">
        <v>102</v>
      </c>
      <c r="J529" s="166" t="s">
        <v>2259</v>
      </c>
      <c r="N529" s="166" t="s">
        <v>928</v>
      </c>
      <c r="P529" s="168">
        <f>SUMIF('Balance Sheet Detail'!$B:$B,$R529,'Balance Sheet Detail'!W:W)</f>
        <v>3.6889999999999E-2</v>
      </c>
      <c r="R529" s="166" t="s">
        <v>3308</v>
      </c>
    </row>
    <row r="530" spans="1:18" ht="15" customHeight="1">
      <c r="D530" s="348"/>
      <c r="F530" s="348"/>
      <c r="H530" s="349"/>
      <c r="P530" s="350"/>
    </row>
    <row r="531" spans="1:18">
      <c r="A531" s="127"/>
      <c r="B531" s="351" t="s">
        <v>3202</v>
      </c>
      <c r="C531" s="352"/>
      <c r="D531" s="348"/>
      <c r="E531" s="352"/>
      <c r="F531" s="348"/>
      <c r="G531" s="352"/>
      <c r="H531" s="349"/>
      <c r="I531" s="352"/>
      <c r="K531" s="352"/>
      <c r="L531" s="352"/>
      <c r="P531" s="353">
        <f>SUM(P462:P530)</f>
        <v>64.015067083326358</v>
      </c>
    </row>
    <row r="532" spans="1:18">
      <c r="A532" s="127"/>
      <c r="B532" s="351"/>
      <c r="C532" s="352"/>
      <c r="D532" s="348"/>
      <c r="E532" s="352"/>
      <c r="F532" s="348"/>
      <c r="G532" s="352"/>
      <c r="H532" s="349"/>
      <c r="I532" s="352"/>
      <c r="K532" s="352"/>
      <c r="L532" s="352"/>
      <c r="P532" s="353"/>
    </row>
    <row r="533" spans="1:18" ht="15" customHeight="1">
      <c r="A533" s="127" t="s">
        <v>2522</v>
      </c>
      <c r="D533" s="348"/>
      <c r="F533" s="348"/>
      <c r="H533" s="349"/>
    </row>
    <row r="534" spans="1:18" ht="15" customHeight="1">
      <c r="B534" s="203">
        <v>182090</v>
      </c>
      <c r="D534" s="348">
        <v>0</v>
      </c>
      <c r="F534" s="348">
        <v>800150</v>
      </c>
      <c r="H534" s="349" t="s">
        <v>2522</v>
      </c>
      <c r="J534" s="166" t="s">
        <v>1074</v>
      </c>
      <c r="N534" s="166" t="s">
        <v>2821</v>
      </c>
      <c r="P534" s="168">
        <f>SUMIF('Balance Sheet Detail'!$B:$B,$R534,'Balance Sheet Detail'!W:W)</f>
        <v>0</v>
      </c>
      <c r="R534" s="166" t="s">
        <v>4115</v>
      </c>
    </row>
    <row r="535" spans="1:18" ht="15" customHeight="1">
      <c r="B535" s="203">
        <v>182306</v>
      </c>
      <c r="D535" s="348" t="s">
        <v>527</v>
      </c>
      <c r="F535" s="348">
        <v>800150</v>
      </c>
      <c r="H535" s="349" t="s">
        <v>2522</v>
      </c>
      <c r="J535" s="166" t="s">
        <v>528</v>
      </c>
      <c r="N535" s="166" t="s">
        <v>2821</v>
      </c>
      <c r="P535" s="168">
        <f>SUMIF('Balance Sheet Detail'!$B:$B,$R535,'Balance Sheet Detail'!W:W)</f>
        <v>2.6857199999999999</v>
      </c>
      <c r="R535" s="166" t="s">
        <v>4116</v>
      </c>
    </row>
    <row r="536" spans="1:18" ht="15" customHeight="1">
      <c r="B536" s="203">
        <v>182306</v>
      </c>
      <c r="D536" s="348" t="s">
        <v>527</v>
      </c>
      <c r="F536" s="348">
        <v>807020</v>
      </c>
      <c r="H536" s="349" t="s">
        <v>2522</v>
      </c>
      <c r="J536" s="166" t="s">
        <v>1772</v>
      </c>
      <c r="N536" s="166" t="s">
        <v>2821</v>
      </c>
      <c r="P536" s="168">
        <f>SUMIF('Balance Sheet Detail'!$B:$B,$R536,'Balance Sheet Detail'!W:W)</f>
        <v>572.26414999999997</v>
      </c>
      <c r="R536" s="166" t="s">
        <v>4117</v>
      </c>
    </row>
    <row r="537" spans="1:18" ht="15" customHeight="1">
      <c r="B537" s="203">
        <v>182306</v>
      </c>
      <c r="D537" s="348" t="s">
        <v>527</v>
      </c>
      <c r="F537" s="348" t="s">
        <v>944</v>
      </c>
      <c r="H537" s="349" t="s">
        <v>2522</v>
      </c>
      <c r="J537" s="166" t="s">
        <v>945</v>
      </c>
      <c r="N537" s="166" t="s">
        <v>2821</v>
      </c>
      <c r="P537" s="168">
        <f>SUMIF('Balance Sheet Detail'!$B:$B,$R537,'Balance Sheet Detail'!W:W)</f>
        <v>200.04429999999999</v>
      </c>
      <c r="R537" s="166" t="s">
        <v>4118</v>
      </c>
    </row>
    <row r="538" spans="1:18" ht="15" customHeight="1">
      <c r="B538" s="203">
        <v>182306</v>
      </c>
      <c r="D538" s="348" t="s">
        <v>527</v>
      </c>
      <c r="F538" s="348" t="s">
        <v>476</v>
      </c>
      <c r="H538" s="349" t="s">
        <v>2522</v>
      </c>
      <c r="J538" s="166" t="s">
        <v>477</v>
      </c>
      <c r="N538" s="166" t="s">
        <v>2821</v>
      </c>
      <c r="P538" s="168">
        <f>SUMIF('Balance Sheet Detail'!$B:$B,$R538,'Balance Sheet Detail'!W:W)</f>
        <v>34.344380000000001</v>
      </c>
      <c r="R538" s="166" t="s">
        <v>4119</v>
      </c>
    </row>
    <row r="539" spans="1:18" ht="15" customHeight="1">
      <c r="B539" s="203">
        <v>182306</v>
      </c>
      <c r="D539" s="348" t="s">
        <v>527</v>
      </c>
      <c r="F539" s="348">
        <v>807028</v>
      </c>
      <c r="H539" s="349" t="s">
        <v>2522</v>
      </c>
      <c r="J539" s="166" t="s">
        <v>557</v>
      </c>
      <c r="N539" s="166" t="s">
        <v>2821</v>
      </c>
      <c r="P539" s="168">
        <f>SUMIF('Balance Sheet Detail'!$B:$B,$R539,'Balance Sheet Detail'!W:W)</f>
        <v>223.19618125</v>
      </c>
      <c r="R539" s="166" t="s">
        <v>4120</v>
      </c>
    </row>
    <row r="540" spans="1:18" ht="15" customHeight="1">
      <c r="B540" s="203">
        <v>182306</v>
      </c>
      <c r="D540" s="348" t="s">
        <v>527</v>
      </c>
      <c r="F540" s="348">
        <v>809006</v>
      </c>
      <c r="H540" s="349" t="s">
        <v>2522</v>
      </c>
      <c r="J540" s="166" t="s">
        <v>479</v>
      </c>
      <c r="N540" s="166" t="s">
        <v>2821</v>
      </c>
      <c r="P540" s="168">
        <f>SUMIF('Balance Sheet Detail'!$B:$B,$R540,'Balance Sheet Detail'!W:W)</f>
        <v>-832.21391000000006</v>
      </c>
      <c r="R540" s="166" t="s">
        <v>4121</v>
      </c>
    </row>
    <row r="541" spans="1:18" ht="15" customHeight="1">
      <c r="B541" s="203">
        <v>182306</v>
      </c>
      <c r="D541" s="348" t="s">
        <v>527</v>
      </c>
      <c r="F541" s="348" t="s">
        <v>2910</v>
      </c>
      <c r="H541" s="349" t="s">
        <v>2522</v>
      </c>
      <c r="J541" s="166" t="s">
        <v>2911</v>
      </c>
      <c r="N541" s="166" t="s">
        <v>2821</v>
      </c>
      <c r="P541" s="168">
        <f>SUMIF('Balance Sheet Detail'!$B:$B,$R541,'Balance Sheet Detail'!W:W)</f>
        <v>0</v>
      </c>
      <c r="R541" s="166" t="s">
        <v>4122</v>
      </c>
    </row>
    <row r="542" spans="1:18" ht="15" customHeight="1">
      <c r="B542" s="203">
        <v>182306</v>
      </c>
      <c r="D542" s="348" t="s">
        <v>527</v>
      </c>
      <c r="F542" s="348">
        <v>801248</v>
      </c>
      <c r="H542" s="349" t="s">
        <v>2522</v>
      </c>
      <c r="J542" s="166" t="s">
        <v>2513</v>
      </c>
      <c r="N542" s="166" t="s">
        <v>2821</v>
      </c>
      <c r="P542" s="168">
        <f>SUMIF('Balance Sheet Detail'!$B:$B,$R542,'Balance Sheet Detail'!W:W)</f>
        <v>-217.25307333333299</v>
      </c>
      <c r="R542" s="166" t="s">
        <v>4123</v>
      </c>
    </row>
    <row r="543" spans="1:18" ht="15" customHeight="1">
      <c r="B543" s="203">
        <v>283510</v>
      </c>
      <c r="D543" s="348" t="s">
        <v>527</v>
      </c>
      <c r="F543" s="348" t="s">
        <v>622</v>
      </c>
      <c r="H543" s="349" t="s">
        <v>2522</v>
      </c>
      <c r="J543" s="166" t="s">
        <v>621</v>
      </c>
      <c r="N543" s="166" t="s">
        <v>2821</v>
      </c>
      <c r="P543" s="168">
        <f>SUMIF('Balance Sheet Detail'!$B:$B,$R543,'Balance Sheet Detail'!W:W)</f>
        <v>8.0027941666666997</v>
      </c>
      <c r="R543" s="166" t="s">
        <v>3383</v>
      </c>
    </row>
    <row r="544" spans="1:18" ht="15" customHeight="1">
      <c r="B544" s="203">
        <v>283560</v>
      </c>
      <c r="D544" s="348" t="s">
        <v>527</v>
      </c>
      <c r="F544" s="348" t="s">
        <v>622</v>
      </c>
      <c r="H544" s="349" t="s">
        <v>2522</v>
      </c>
      <c r="J544" s="166" t="s">
        <v>621</v>
      </c>
      <c r="N544" s="166" t="s">
        <v>2821</v>
      </c>
      <c r="P544" s="350">
        <f>SUMIF('Balance Sheet Detail'!$B:$B,$R544,'Balance Sheet Detail'!W:W)</f>
        <v>1.7477416666666801</v>
      </c>
      <c r="R544" s="166" t="s">
        <v>3384</v>
      </c>
    </row>
    <row r="545" spans="1:18">
      <c r="A545" s="127"/>
      <c r="B545" s="351"/>
      <c r="C545" s="352"/>
      <c r="D545" s="348"/>
      <c r="E545" s="352"/>
      <c r="F545" s="348"/>
      <c r="G545" s="352"/>
      <c r="H545" s="349"/>
      <c r="I545" s="352"/>
      <c r="K545" s="352"/>
      <c r="L545" s="352"/>
      <c r="P545" s="353">
        <f>SUM(P534:P544)</f>
        <v>-7.1817162499998446</v>
      </c>
    </row>
    <row r="546" spans="1:18">
      <c r="A546" s="127"/>
      <c r="D546" s="348"/>
      <c r="F546" s="348"/>
      <c r="H546" s="349"/>
      <c r="P546" s="353"/>
    </row>
    <row r="547" spans="1:18">
      <c r="A547" s="127" t="s">
        <v>1107</v>
      </c>
      <c r="D547" s="348"/>
      <c r="F547" s="348"/>
      <c r="H547" s="349"/>
      <c r="P547" s="343"/>
    </row>
    <row r="548" spans="1:18" ht="15" customHeight="1">
      <c r="B548" s="203">
        <v>190502</v>
      </c>
      <c r="D548" s="348" t="s">
        <v>527</v>
      </c>
      <c r="F548" s="348" t="s">
        <v>622</v>
      </c>
      <c r="H548" s="349" t="s">
        <v>1107</v>
      </c>
      <c r="J548" s="166" t="s">
        <v>1018</v>
      </c>
      <c r="N548" s="166" t="s">
        <v>2821</v>
      </c>
      <c r="P548" s="168">
        <f>SUMIF('Balance Sheet Detail'!$B:$B,$R548,'Balance Sheet Detail'!W:W)</f>
        <v>95.360634166666699</v>
      </c>
      <c r="R548" s="166" t="s">
        <v>3396</v>
      </c>
    </row>
    <row r="549" spans="1:18" ht="15" customHeight="1">
      <c r="B549" s="203">
        <v>190512</v>
      </c>
      <c r="D549" s="348" t="s">
        <v>527</v>
      </c>
      <c r="F549" s="348" t="s">
        <v>622</v>
      </c>
      <c r="H549" s="349" t="s">
        <v>1107</v>
      </c>
      <c r="J549" s="166" t="s">
        <v>1018</v>
      </c>
      <c r="N549" s="166" t="s">
        <v>2821</v>
      </c>
      <c r="P549" s="168">
        <f>SUMIF('Balance Sheet Detail'!$B:$B,$R549,'Balance Sheet Detail'!W:W)</f>
        <v>20.82303375</v>
      </c>
      <c r="R549" s="166" t="s">
        <v>3403</v>
      </c>
    </row>
    <row r="550" spans="1:18" ht="15" customHeight="1">
      <c r="D550" s="348"/>
      <c r="F550" s="348"/>
      <c r="H550" s="349"/>
      <c r="P550" s="350"/>
    </row>
    <row r="551" spans="1:18">
      <c r="A551" s="127"/>
      <c r="B551" s="351" t="s">
        <v>3203</v>
      </c>
      <c r="C551" s="352"/>
      <c r="D551" s="348"/>
      <c r="E551" s="352"/>
      <c r="F551" s="348"/>
      <c r="G551" s="352"/>
      <c r="H551" s="349"/>
      <c r="I551" s="352"/>
      <c r="K551" s="352"/>
      <c r="L551" s="352"/>
      <c r="P551" s="353">
        <f>SUM(P548:P550)</f>
        <v>116.18366791666671</v>
      </c>
    </row>
    <row r="552" spans="1:18">
      <c r="A552" s="127"/>
      <c r="D552" s="348"/>
      <c r="F552" s="348"/>
      <c r="H552" s="349"/>
      <c r="P552" s="343"/>
    </row>
    <row r="553" spans="1:18">
      <c r="A553" s="127" t="s">
        <v>3413</v>
      </c>
      <c r="D553" s="348"/>
      <c r="F553" s="348"/>
      <c r="H553" s="349"/>
      <c r="P553" s="343"/>
    </row>
    <row r="554" spans="1:18" ht="15" customHeight="1">
      <c r="B554" s="203">
        <v>254015</v>
      </c>
      <c r="D554" s="348" t="s">
        <v>2705</v>
      </c>
      <c r="F554" s="348">
        <v>601136</v>
      </c>
      <c r="H554" s="349" t="s">
        <v>2704</v>
      </c>
      <c r="J554" s="166" t="s">
        <v>2571</v>
      </c>
      <c r="N554" s="166" t="s">
        <v>928</v>
      </c>
      <c r="P554" s="168">
        <f>SUMIF('Balance Sheet Detail'!$B:$B,$R554,'Balance Sheet Detail'!W:W)</f>
        <v>-1.0000000000000001E-15</v>
      </c>
      <c r="R554" s="166" t="s">
        <v>4124</v>
      </c>
    </row>
    <row r="555" spans="1:18" ht="15" customHeight="1">
      <c r="B555" s="203">
        <v>254015</v>
      </c>
      <c r="D555" s="348" t="s">
        <v>2705</v>
      </c>
      <c r="F555" s="348">
        <v>801268</v>
      </c>
      <c r="H555" s="349" t="s">
        <v>2704</v>
      </c>
      <c r="J555" s="166" t="s">
        <v>4534</v>
      </c>
      <c r="N555" s="166" t="s">
        <v>928</v>
      </c>
      <c r="P555" s="168">
        <f>SUMIF('Balance Sheet Detail'!$B:$B,$R555,'Balance Sheet Detail'!W:W)</f>
        <v>-105.314720416667</v>
      </c>
      <c r="R555" s="166" t="s">
        <v>4535</v>
      </c>
    </row>
    <row r="556" spans="1:18" ht="15" customHeight="1">
      <c r="B556" s="203">
        <v>254015</v>
      </c>
      <c r="D556" s="348" t="s">
        <v>1677</v>
      </c>
      <c r="F556" s="348">
        <v>601137</v>
      </c>
      <c r="H556" s="349" t="s">
        <v>2704</v>
      </c>
      <c r="J556" s="166" t="s">
        <v>4736</v>
      </c>
      <c r="N556" s="166" t="s">
        <v>928</v>
      </c>
      <c r="P556" s="168">
        <f>SUMIF('Balance Sheet Detail'!$B:$B,$R556,'Balance Sheet Detail'!W:W)</f>
        <v>-127.69870166666701</v>
      </c>
      <c r="R556" s="166" t="s">
        <v>4737</v>
      </c>
    </row>
    <row r="557" spans="1:18" ht="15" customHeight="1">
      <c r="B557" s="203">
        <v>190002</v>
      </c>
      <c r="D557" s="348" t="s">
        <v>2705</v>
      </c>
      <c r="F557" s="348" t="s">
        <v>2704</v>
      </c>
      <c r="H557" s="349" t="s">
        <v>2704</v>
      </c>
      <c r="J557" s="166" t="s">
        <v>1116</v>
      </c>
      <c r="N557" s="166" t="s">
        <v>928</v>
      </c>
      <c r="P557" s="168">
        <f>SUMIF('Balance Sheet Detail'!$B:$B,$R557,'Balance Sheet Detail'!W:W)</f>
        <v>-284.72766999999999</v>
      </c>
      <c r="R557" s="166" t="s">
        <v>4125</v>
      </c>
    </row>
    <row r="558" spans="1:18" ht="15" customHeight="1">
      <c r="B558" s="203">
        <v>190012</v>
      </c>
      <c r="D558" s="348" t="s">
        <v>2705</v>
      </c>
      <c r="F558" s="348" t="s">
        <v>2704</v>
      </c>
      <c r="H558" s="349" t="s">
        <v>2704</v>
      </c>
      <c r="J558" s="166" t="s">
        <v>1117</v>
      </c>
      <c r="N558" s="166" t="s">
        <v>928</v>
      </c>
      <c r="P558" s="168">
        <f>SUMIF('Balance Sheet Detail'!$B:$B,$R558,'Balance Sheet Detail'!W:W)</f>
        <v>-62.173349999999999</v>
      </c>
      <c r="R558" s="166" t="s">
        <v>4126</v>
      </c>
    </row>
    <row r="559" spans="1:18" ht="15" customHeight="1">
      <c r="B559" s="203">
        <v>190502</v>
      </c>
      <c r="D559" s="348" t="s">
        <v>2705</v>
      </c>
      <c r="F559" s="348" t="s">
        <v>2704</v>
      </c>
      <c r="H559" s="349" t="s">
        <v>2704</v>
      </c>
      <c r="J559" s="166" t="s">
        <v>2703</v>
      </c>
      <c r="N559" s="166" t="s">
        <v>928</v>
      </c>
      <c r="P559" s="168">
        <f>SUMIF('Balance Sheet Detail'!$B:$B,$R559,'Balance Sheet Detail'!W:W)</f>
        <v>143.89832250000001</v>
      </c>
      <c r="R559" s="166" t="s">
        <v>3398</v>
      </c>
    </row>
    <row r="560" spans="1:18" ht="15" customHeight="1">
      <c r="B560" s="203">
        <v>190512</v>
      </c>
      <c r="D560" s="348" t="s">
        <v>2705</v>
      </c>
      <c r="F560" s="348" t="s">
        <v>2704</v>
      </c>
      <c r="H560" s="349" t="s">
        <v>2704</v>
      </c>
      <c r="J560" s="166" t="s">
        <v>2703</v>
      </c>
      <c r="N560" s="166" t="s">
        <v>928</v>
      </c>
      <c r="P560" s="168">
        <f>SUMIF('Balance Sheet Detail'!$B:$B,$R560,'Balance Sheet Detail'!W:W)</f>
        <v>31.421750833333402</v>
      </c>
      <c r="R560" s="166" t="s">
        <v>3405</v>
      </c>
    </row>
    <row r="561" spans="1:18" ht="15" customHeight="1">
      <c r="B561" s="203">
        <v>283210</v>
      </c>
      <c r="D561" s="348" t="s">
        <v>2705</v>
      </c>
      <c r="F561" s="348" t="s">
        <v>2704</v>
      </c>
      <c r="H561" s="349" t="s">
        <v>2704</v>
      </c>
      <c r="J561" s="166" t="s">
        <v>2688</v>
      </c>
      <c r="N561" s="166" t="s">
        <v>928</v>
      </c>
      <c r="P561" s="168">
        <f>SUMIF('Balance Sheet Detail'!$B:$B,$R561,'Balance Sheet Detail'!W:W)</f>
        <v>0</v>
      </c>
      <c r="R561" s="166" t="s">
        <v>4127</v>
      </c>
    </row>
    <row r="562" spans="1:18" ht="15" customHeight="1">
      <c r="B562" s="203">
        <v>283410</v>
      </c>
      <c r="D562" s="348" t="s">
        <v>2705</v>
      </c>
      <c r="F562" s="348" t="s">
        <v>2704</v>
      </c>
      <c r="H562" s="349" t="s">
        <v>2704</v>
      </c>
      <c r="J562" s="166" t="s">
        <v>2688</v>
      </c>
      <c r="N562" s="166" t="s">
        <v>928</v>
      </c>
      <c r="P562" s="350">
        <f>SUMIF('Balance Sheet Detail'!$B:$B,$R562,'Balance Sheet Detail'!W:W)</f>
        <v>0</v>
      </c>
      <c r="R562" s="166" t="s">
        <v>4128</v>
      </c>
    </row>
    <row r="563" spans="1:18">
      <c r="A563" s="127"/>
      <c r="B563" s="351" t="s">
        <v>3204</v>
      </c>
      <c r="C563" s="352"/>
      <c r="D563" s="348"/>
      <c r="E563" s="352"/>
      <c r="F563" s="348"/>
      <c r="G563" s="352"/>
      <c r="H563" s="349"/>
      <c r="I563" s="352"/>
      <c r="K563" s="352"/>
      <c r="L563" s="352"/>
      <c r="P563" s="353">
        <f>SUM(P554:P562)</f>
        <v>-404.59436875000063</v>
      </c>
    </row>
    <row r="564" spans="1:18">
      <c r="A564" s="127"/>
      <c r="D564" s="348"/>
      <c r="F564" s="348"/>
      <c r="H564" s="349"/>
      <c r="P564" s="343"/>
    </row>
    <row r="565" spans="1:18">
      <c r="A565" s="127" t="s">
        <v>2860</v>
      </c>
      <c r="D565" s="348"/>
      <c r="F565" s="348"/>
      <c r="H565" s="349"/>
      <c r="P565" s="343"/>
    </row>
    <row r="566" spans="1:18" ht="15" customHeight="1">
      <c r="A566" s="127"/>
      <c r="B566" s="203">
        <v>176400</v>
      </c>
      <c r="D566" s="348"/>
      <c r="F566" s="348"/>
      <c r="H566" s="349" t="s">
        <v>2860</v>
      </c>
      <c r="J566" s="166" t="s">
        <v>1829</v>
      </c>
      <c r="P566" s="168">
        <f>SUMIF('Balance Sheet Detail'!$B:$B,$R566,'Balance Sheet Detail'!W:W)</f>
        <v>0</v>
      </c>
      <c r="R566" s="166" t="s">
        <v>4129</v>
      </c>
    </row>
    <row r="567" spans="1:18" ht="15" customHeight="1">
      <c r="A567" s="127"/>
      <c r="B567" s="203">
        <v>176401</v>
      </c>
      <c r="D567" s="348"/>
      <c r="F567" s="348"/>
      <c r="H567" s="349" t="s">
        <v>2860</v>
      </c>
      <c r="J567" s="166" t="s">
        <v>1829</v>
      </c>
      <c r="P567" s="168">
        <f>SUMIF('Balance Sheet Detail'!$B:$B,$R567,'Balance Sheet Detail'!W:W)</f>
        <v>16775.8455208333</v>
      </c>
      <c r="R567" s="166" t="s">
        <v>3414</v>
      </c>
    </row>
    <row r="568" spans="1:18" ht="15" customHeight="1">
      <c r="A568" s="127"/>
      <c r="B568" s="203">
        <v>176990</v>
      </c>
      <c r="D568" s="348"/>
      <c r="F568" s="348"/>
      <c r="H568" s="349" t="s">
        <v>2860</v>
      </c>
      <c r="J568" s="166" t="s">
        <v>78</v>
      </c>
      <c r="P568" s="168">
        <f>SUMIF('Balance Sheet Detail'!$B:$B,$R568,'Balance Sheet Detail'!W:W)</f>
        <v>0</v>
      </c>
      <c r="R568" s="166" t="s">
        <v>3415</v>
      </c>
    </row>
    <row r="569" spans="1:18" ht="15" customHeight="1">
      <c r="A569" s="127"/>
      <c r="B569" s="203">
        <v>176991</v>
      </c>
      <c r="D569" s="348"/>
      <c r="F569" s="348"/>
      <c r="H569" s="349" t="s">
        <v>2860</v>
      </c>
      <c r="J569" s="166" t="s">
        <v>86</v>
      </c>
      <c r="P569" s="168">
        <f>SUMIF('Balance Sheet Detail'!$B:$B,$R569,'Balance Sheet Detail'!W:W)</f>
        <v>0</v>
      </c>
      <c r="R569" s="166" t="s">
        <v>3416</v>
      </c>
    </row>
    <row r="570" spans="1:18" ht="15" customHeight="1">
      <c r="A570" s="127"/>
      <c r="B570" s="203">
        <v>176992</v>
      </c>
      <c r="D570" s="348"/>
      <c r="F570" s="348"/>
      <c r="H570" s="349" t="s">
        <v>2860</v>
      </c>
      <c r="J570" s="166" t="s">
        <v>1932</v>
      </c>
      <c r="P570" s="168">
        <f>SUMIF('Balance Sheet Detail'!$B:$B,$R570,'Balance Sheet Detail'!W:W)</f>
        <v>1075.1676666666699</v>
      </c>
      <c r="R570" s="166" t="s">
        <v>3417</v>
      </c>
    </row>
    <row r="571" spans="1:18" ht="15" customHeight="1">
      <c r="A571" s="127"/>
      <c r="B571" s="203">
        <v>219500</v>
      </c>
      <c r="D571" s="348"/>
      <c r="F571" s="348"/>
      <c r="H571" s="349" t="s">
        <v>2860</v>
      </c>
      <c r="J571" s="166" t="s">
        <v>780</v>
      </c>
      <c r="P571" s="168">
        <f>SUMIF('Balance Sheet Detail'!$B:$B,$R571,'Balance Sheet Detail'!W:W)</f>
        <v>1231.6202683333299</v>
      </c>
      <c r="R571" s="166" t="s">
        <v>3418</v>
      </c>
    </row>
    <row r="572" spans="1:18" ht="15" customHeight="1">
      <c r="A572" s="127"/>
      <c r="B572" s="203">
        <v>219508</v>
      </c>
      <c r="D572" s="348"/>
      <c r="F572" s="348"/>
      <c r="H572" s="349" t="s">
        <v>2860</v>
      </c>
      <c r="J572" s="166" t="s">
        <v>4536</v>
      </c>
      <c r="P572" s="168">
        <f>SUMIF('Balance Sheet Detail'!$B:$B,$R572,'Balance Sheet Detail'!W:W)</f>
        <v>1253.0219999999999</v>
      </c>
      <c r="R572" s="166" t="s">
        <v>4547</v>
      </c>
    </row>
    <row r="573" spans="1:18" ht="15" customHeight="1">
      <c r="A573" s="127"/>
      <c r="B573" s="203">
        <v>219510</v>
      </c>
      <c r="D573" s="348"/>
      <c r="F573" s="348"/>
      <c r="H573" s="349" t="s">
        <v>2860</v>
      </c>
      <c r="J573" s="166" t="s">
        <v>781</v>
      </c>
      <c r="P573" s="168">
        <f>SUMIF('Balance Sheet Detail'!$B:$B,$R573,'Balance Sheet Detail'!W:W)</f>
        <v>-400.46078083333299</v>
      </c>
      <c r="R573" s="166" t="s">
        <v>4553</v>
      </c>
    </row>
    <row r="574" spans="1:18" ht="15" customHeight="1">
      <c r="A574" s="127"/>
      <c r="B574" s="203">
        <v>219518</v>
      </c>
      <c r="D574" s="348"/>
      <c r="F574" s="348"/>
      <c r="H574" s="349" t="s">
        <v>2860</v>
      </c>
      <c r="J574" s="166" t="s">
        <v>4537</v>
      </c>
      <c r="P574" s="168">
        <f>SUMIF('Balance Sheet Detail'!$B:$B,$R574,'Balance Sheet Detail'!W:W)</f>
        <v>-407.42010416666699</v>
      </c>
      <c r="R574" s="166" t="s">
        <v>4548</v>
      </c>
    </row>
    <row r="575" spans="1:18" ht="15" customHeight="1">
      <c r="A575" s="127"/>
      <c r="B575" s="203">
        <v>219520</v>
      </c>
      <c r="D575" s="348"/>
      <c r="F575" s="348"/>
      <c r="H575" s="349" t="s">
        <v>2860</v>
      </c>
      <c r="J575" s="166" t="s">
        <v>782</v>
      </c>
      <c r="P575" s="168">
        <f>SUMIF('Balance Sheet Detail'!$B:$B,$R575,'Balance Sheet Detail'!W:W)</f>
        <v>0</v>
      </c>
      <c r="R575" s="166" t="s">
        <v>4130</v>
      </c>
    </row>
    <row r="576" spans="1:18" ht="15" customHeight="1">
      <c r="A576" s="127"/>
      <c r="B576" s="203">
        <v>219525</v>
      </c>
      <c r="D576" s="348"/>
      <c r="F576" s="348"/>
      <c r="H576" s="349" t="s">
        <v>2860</v>
      </c>
      <c r="J576" s="166" t="s">
        <v>749</v>
      </c>
      <c r="P576" s="168">
        <f>SUMIF('Balance Sheet Detail'!$B:$B,$R576,'Balance Sheet Detail'!W:W)</f>
        <v>0</v>
      </c>
      <c r="R576" s="166" t="s">
        <v>4131</v>
      </c>
    </row>
    <row r="577" spans="1:18" ht="15" customHeight="1">
      <c r="A577" s="127"/>
      <c r="B577" s="203">
        <v>219530</v>
      </c>
      <c r="D577" s="348"/>
      <c r="F577" s="348"/>
      <c r="H577" s="349" t="s">
        <v>2860</v>
      </c>
      <c r="J577" s="166" t="s">
        <v>750</v>
      </c>
      <c r="P577" s="168">
        <f>SUMIF('Balance Sheet Detail'!$B:$B,$R577,'Balance Sheet Detail'!W:W)</f>
        <v>684.74486208333303</v>
      </c>
      <c r="R577" s="166" t="s">
        <v>3419</v>
      </c>
    </row>
    <row r="578" spans="1:18" ht="15" customHeight="1">
      <c r="A578" s="127"/>
      <c r="B578" s="203">
        <v>219532</v>
      </c>
      <c r="D578" s="348"/>
      <c r="F578" s="348"/>
      <c r="H578" s="349" t="s">
        <v>2860</v>
      </c>
      <c r="J578" s="166" t="s">
        <v>751</v>
      </c>
      <c r="P578" s="168">
        <f>SUMIF('Balance Sheet Detail'!$B:$B,$R578,'Balance Sheet Detail'!W:W)</f>
        <v>0</v>
      </c>
      <c r="R578" s="166" t="s">
        <v>4132</v>
      </c>
    </row>
    <row r="579" spans="1:18" ht="15" customHeight="1">
      <c r="A579" s="127"/>
      <c r="B579" s="203">
        <v>219535</v>
      </c>
      <c r="D579" s="348"/>
      <c r="F579" s="348"/>
      <c r="H579" s="349" t="s">
        <v>2860</v>
      </c>
      <c r="J579" s="166" t="s">
        <v>2997</v>
      </c>
      <c r="P579" s="168">
        <f>SUMIF('Balance Sheet Detail'!$B:$B,$R579,'Balance Sheet Detail'!W:W)</f>
        <v>-126.713019166667</v>
      </c>
      <c r="R579" s="166" t="s">
        <v>3420</v>
      </c>
    </row>
    <row r="580" spans="1:18" ht="15" customHeight="1">
      <c r="A580" s="127"/>
      <c r="B580" s="203">
        <v>219540</v>
      </c>
      <c r="D580" s="348"/>
      <c r="F580" s="348"/>
      <c r="H580" s="349" t="s">
        <v>2860</v>
      </c>
      <c r="J580" s="166" t="s">
        <v>2375</v>
      </c>
      <c r="P580" s="168">
        <f>SUMIF('Balance Sheet Detail'!$B:$B,$R580,'Balance Sheet Detail'!W:W)</f>
        <v>-222.64456125000001</v>
      </c>
      <c r="R580" s="166" t="s">
        <v>3421</v>
      </c>
    </row>
    <row r="581" spans="1:18" ht="15" customHeight="1">
      <c r="A581" s="127"/>
      <c r="B581" s="203">
        <v>219542</v>
      </c>
      <c r="D581" s="348"/>
      <c r="F581" s="348"/>
      <c r="H581" s="349" t="s">
        <v>2860</v>
      </c>
      <c r="J581" s="166" t="s">
        <v>2376</v>
      </c>
      <c r="P581" s="168">
        <f>SUMIF('Balance Sheet Detail'!$B:$B,$R581,'Balance Sheet Detail'!W:W)</f>
        <v>0</v>
      </c>
      <c r="R581" s="166" t="s">
        <v>4133</v>
      </c>
    </row>
    <row r="582" spans="1:18" ht="15" customHeight="1">
      <c r="A582" s="127"/>
      <c r="B582" s="203">
        <v>219543</v>
      </c>
      <c r="D582" s="348"/>
      <c r="F582" s="348"/>
      <c r="H582" s="349" t="s">
        <v>2860</v>
      </c>
      <c r="J582" s="166" t="s">
        <v>806</v>
      </c>
      <c r="P582" s="168">
        <f>SUMIF('Balance Sheet Detail'!$B:$B,$R582,'Balance Sheet Detail'!W:W)</f>
        <v>-805.15753208333297</v>
      </c>
      <c r="R582" s="166" t="s">
        <v>3422</v>
      </c>
    </row>
    <row r="583" spans="1:18" ht="15" customHeight="1">
      <c r="A583" s="127"/>
      <c r="B583" s="203">
        <v>219545</v>
      </c>
      <c r="D583" s="348"/>
      <c r="F583" s="348"/>
      <c r="H583" s="349" t="s">
        <v>2860</v>
      </c>
      <c r="J583" s="166" t="s">
        <v>532</v>
      </c>
      <c r="P583" s="168">
        <f>SUMIF('Balance Sheet Detail'!$B:$B,$R583,'Balance Sheet Detail'!W:W)</f>
        <v>41.200862916666701</v>
      </c>
      <c r="R583" s="166" t="s">
        <v>3423</v>
      </c>
    </row>
    <row r="584" spans="1:18" ht="15" customHeight="1">
      <c r="A584" s="127"/>
      <c r="B584" s="203">
        <v>219547</v>
      </c>
      <c r="D584" s="348"/>
      <c r="F584" s="348"/>
      <c r="H584" s="349" t="s">
        <v>2860</v>
      </c>
      <c r="J584" s="166" t="s">
        <v>533</v>
      </c>
      <c r="P584" s="168">
        <f>SUMIF('Balance Sheet Detail'!$B:$B,$R584,'Balance Sheet Detail'!W:W)</f>
        <v>196.208791666667</v>
      </c>
      <c r="R584" s="166" t="s">
        <v>3424</v>
      </c>
    </row>
    <row r="585" spans="1:18" ht="15" customHeight="1">
      <c r="A585" s="127"/>
      <c r="B585" s="203">
        <v>219550</v>
      </c>
      <c r="D585" s="348"/>
      <c r="F585" s="348"/>
      <c r="H585" s="349" t="s">
        <v>2860</v>
      </c>
      <c r="J585" s="166" t="s">
        <v>1510</v>
      </c>
      <c r="P585" s="168">
        <f>SUMIF('Balance Sheet Detail'!$B:$B,$R585,'Balance Sheet Detail'!W:W)</f>
        <v>-87.445514166666698</v>
      </c>
      <c r="R585" s="166" t="s">
        <v>3425</v>
      </c>
    </row>
    <row r="586" spans="1:18" ht="15" customHeight="1">
      <c r="A586" s="127"/>
      <c r="B586" s="203">
        <v>219553</v>
      </c>
      <c r="D586" s="348"/>
      <c r="F586" s="348"/>
      <c r="H586" s="349" t="s">
        <v>2860</v>
      </c>
      <c r="J586" s="166" t="s">
        <v>108</v>
      </c>
      <c r="P586" s="168">
        <f>SUMIF('Balance Sheet Detail'!$B:$B,$R586,'Balance Sheet Detail'!W:W)</f>
        <v>-175.814979166667</v>
      </c>
      <c r="R586" s="166" t="s">
        <v>3426</v>
      </c>
    </row>
    <row r="587" spans="1:18" ht="15" customHeight="1">
      <c r="A587" s="127"/>
      <c r="B587" s="203">
        <v>219560</v>
      </c>
      <c r="D587" s="348"/>
      <c r="F587" s="348"/>
      <c r="H587" s="349" t="s">
        <v>2860</v>
      </c>
      <c r="J587" s="166" t="s">
        <v>3024</v>
      </c>
      <c r="P587" s="168">
        <f>SUMIF('Balance Sheet Detail'!$B:$B,$R587,'Balance Sheet Detail'!W:W)</f>
        <v>0</v>
      </c>
      <c r="R587" s="166" t="s">
        <v>4134</v>
      </c>
    </row>
    <row r="588" spans="1:18" ht="15" customHeight="1">
      <c r="A588" s="127"/>
      <c r="B588" s="203">
        <v>219565</v>
      </c>
      <c r="D588" s="348"/>
      <c r="F588" s="348"/>
      <c r="H588" s="349" t="s">
        <v>2860</v>
      </c>
      <c r="J588" s="166" t="s">
        <v>534</v>
      </c>
      <c r="P588" s="168">
        <f>SUMIF('Balance Sheet Detail'!$B:$B,$R588,'Balance Sheet Detail'!W:W)</f>
        <v>-48.617035833333297</v>
      </c>
      <c r="R588" s="166" t="s">
        <v>3427</v>
      </c>
    </row>
    <row r="589" spans="1:18" ht="15" customHeight="1">
      <c r="A589" s="127"/>
      <c r="B589" s="203">
        <v>219567</v>
      </c>
      <c r="D589" s="348"/>
      <c r="F589" s="348"/>
      <c r="H589" s="349" t="s">
        <v>2860</v>
      </c>
      <c r="J589" s="166" t="s">
        <v>535</v>
      </c>
      <c r="P589" s="168">
        <f>SUMIF('Balance Sheet Detail'!$B:$B,$R589,'Balance Sheet Detail'!W:W)</f>
        <v>0</v>
      </c>
      <c r="R589" s="166" t="s">
        <v>4135</v>
      </c>
    </row>
    <row r="590" spans="1:18" ht="15" customHeight="1">
      <c r="A590" s="127"/>
      <c r="B590" s="203">
        <v>219570</v>
      </c>
      <c r="D590" s="348"/>
      <c r="F590" s="348"/>
      <c r="H590" s="349" t="s">
        <v>2860</v>
      </c>
      <c r="J590" s="166" t="s">
        <v>536</v>
      </c>
      <c r="P590" s="168">
        <f>SUMIF('Balance Sheet Detail'!$B:$B,$R590,'Balance Sheet Detail'!W:W)</f>
        <v>8.9961424999999995</v>
      </c>
      <c r="R590" s="166" t="s">
        <v>3428</v>
      </c>
    </row>
    <row r="591" spans="1:18" ht="15" customHeight="1">
      <c r="A591" s="127"/>
      <c r="B591" s="203">
        <v>219572</v>
      </c>
      <c r="D591" s="348"/>
      <c r="F591" s="348"/>
      <c r="H591" s="349" t="s">
        <v>2860</v>
      </c>
      <c r="J591" s="166" t="s">
        <v>537</v>
      </c>
      <c r="P591" s="168">
        <f>SUMIF('Balance Sheet Detail'!$B:$B,$R591,'Balance Sheet Detail'!W:W)</f>
        <v>42.843747083333298</v>
      </c>
      <c r="R591" s="166" t="s">
        <v>3429</v>
      </c>
    </row>
    <row r="592" spans="1:18" ht="15" customHeight="1">
      <c r="A592" s="127"/>
      <c r="B592" s="203">
        <v>219575</v>
      </c>
      <c r="D592" s="348"/>
      <c r="F592" s="348"/>
      <c r="H592" s="349" t="s">
        <v>2860</v>
      </c>
      <c r="J592" s="166" t="s">
        <v>4381</v>
      </c>
      <c r="P592" s="168">
        <f>SUMIF('Balance Sheet Detail'!$B:$B,$R592,'Balance Sheet Detail'!W:W)</f>
        <v>-1.875</v>
      </c>
      <c r="R592" s="166" t="s">
        <v>4388</v>
      </c>
    </row>
    <row r="593" spans="1:18" ht="15" customHeight="1">
      <c r="A593" s="127"/>
      <c r="B593" s="203">
        <v>219580</v>
      </c>
      <c r="D593" s="348"/>
      <c r="F593" s="348"/>
      <c r="H593" s="349" t="s">
        <v>2860</v>
      </c>
      <c r="J593" s="166" t="s">
        <v>4382</v>
      </c>
      <c r="P593" s="168">
        <f>SUMIF('Balance Sheet Detail'!$B:$B,$R593,'Balance Sheet Detail'!W:W)</f>
        <v>0.60965666666666696</v>
      </c>
      <c r="R593" s="166" t="s">
        <v>4389</v>
      </c>
    </row>
    <row r="594" spans="1:18" ht="15" customHeight="1">
      <c r="A594" s="127"/>
      <c r="B594" s="203">
        <v>219582</v>
      </c>
      <c r="D594" s="348"/>
      <c r="F594" s="348"/>
      <c r="H594" s="349" t="s">
        <v>2860</v>
      </c>
      <c r="J594" s="166" t="s">
        <v>4383</v>
      </c>
      <c r="P594" s="168">
        <f>SUMIF('Balance Sheet Detail'!$B:$B,$R594,'Balance Sheet Detail'!W:W)</f>
        <v>0.13312499999999999</v>
      </c>
      <c r="R594" s="166" t="s">
        <v>4390</v>
      </c>
    </row>
    <row r="595" spans="1:18" ht="15" customHeight="1">
      <c r="A595" s="127"/>
      <c r="B595" s="203">
        <v>219588</v>
      </c>
      <c r="D595" s="348"/>
      <c r="F595" s="348"/>
      <c r="H595" s="349" t="s">
        <v>2860</v>
      </c>
      <c r="J595" s="166" t="s">
        <v>4538</v>
      </c>
      <c r="P595" s="168">
        <f>SUMIF('Balance Sheet Detail'!$B:$B,$R595,'Balance Sheet Detail'!W:W)</f>
        <v>-88.964564999999993</v>
      </c>
      <c r="R595" s="166" t="s">
        <v>4549</v>
      </c>
    </row>
    <row r="596" spans="1:18" ht="15" customHeight="1">
      <c r="A596" s="127"/>
      <c r="B596" s="203">
        <v>245401</v>
      </c>
      <c r="D596" s="348"/>
      <c r="F596" s="348"/>
      <c r="H596" s="349" t="s">
        <v>2860</v>
      </c>
      <c r="J596" s="166" t="s">
        <v>2316</v>
      </c>
      <c r="P596" s="168">
        <f>SUMIF('Balance Sheet Detail'!$B:$B,$R596,'Balance Sheet Detail'!W:W)</f>
        <v>-1513.52390541667</v>
      </c>
      <c r="R596" s="166" t="s">
        <v>3430</v>
      </c>
    </row>
    <row r="597" spans="1:18" ht="15" customHeight="1">
      <c r="A597" s="127"/>
      <c r="B597" s="203">
        <v>245420</v>
      </c>
      <c r="D597" s="348"/>
      <c r="F597" s="348"/>
      <c r="H597" s="349" t="s">
        <v>2860</v>
      </c>
      <c r="J597" s="166" t="s">
        <v>2317</v>
      </c>
      <c r="P597" s="168">
        <f>SUMIF('Balance Sheet Detail'!$B:$B,$R597,'Balance Sheet Detail'!W:W)</f>
        <v>0</v>
      </c>
      <c r="R597" s="166" t="s">
        <v>3431</v>
      </c>
    </row>
    <row r="598" spans="1:18" ht="15" customHeight="1">
      <c r="A598" s="127"/>
      <c r="B598" s="203">
        <v>245450</v>
      </c>
      <c r="D598" s="348"/>
      <c r="F598" s="348"/>
      <c r="H598" s="349" t="s">
        <v>2860</v>
      </c>
      <c r="J598" s="166" t="s">
        <v>2318</v>
      </c>
      <c r="P598" s="168">
        <f>SUMIF('Balance Sheet Detail'!$B:$B,$R598,'Balance Sheet Detail'!W:W)</f>
        <v>0</v>
      </c>
      <c r="R598" s="166" t="s">
        <v>4136</v>
      </c>
    </row>
    <row r="599" spans="1:18" ht="15" customHeight="1">
      <c r="A599" s="127"/>
      <c r="B599" s="203">
        <v>245451</v>
      </c>
      <c r="D599" s="348"/>
      <c r="F599" s="348"/>
      <c r="H599" s="349" t="s">
        <v>2860</v>
      </c>
      <c r="J599" s="166" t="s">
        <v>2318</v>
      </c>
      <c r="P599" s="168">
        <f>SUMIF('Balance Sheet Detail'!$B:$B,$R599,'Balance Sheet Detail'!W:W)</f>
        <v>0</v>
      </c>
      <c r="R599" s="166" t="s">
        <v>4137</v>
      </c>
    </row>
    <row r="600" spans="1:18" ht="15" customHeight="1">
      <c r="A600" s="127"/>
      <c r="B600" s="203">
        <v>245992</v>
      </c>
      <c r="D600" s="348"/>
      <c r="F600" s="348"/>
      <c r="H600" s="349" t="s">
        <v>2860</v>
      </c>
      <c r="J600" s="166" t="s">
        <v>6</v>
      </c>
      <c r="P600" s="168">
        <f>SUMIF('Balance Sheet Detail'!$B:$B,$R600,'Balance Sheet Detail'!W:W)</f>
        <v>-1616.9749999999999</v>
      </c>
      <c r="R600" s="166" t="s">
        <v>3432</v>
      </c>
    </row>
    <row r="601" spans="1:18" ht="15" customHeight="1">
      <c r="A601" s="127"/>
      <c r="B601" s="203">
        <v>182085</v>
      </c>
      <c r="D601" s="348">
        <v>0</v>
      </c>
      <c r="F601" s="348" t="s">
        <v>1862</v>
      </c>
      <c r="H601" s="349" t="s">
        <v>2860</v>
      </c>
      <c r="J601" s="166" t="s">
        <v>151</v>
      </c>
      <c r="P601" s="168">
        <f>SUMIF('Balance Sheet Detail'!$B:$B,$R601,'Balance Sheet Detail'!W:W)</f>
        <v>0</v>
      </c>
      <c r="R601" s="166" t="s">
        <v>4138</v>
      </c>
    </row>
    <row r="602" spans="1:18" ht="15" customHeight="1">
      <c r="A602" s="127"/>
      <c r="B602" s="203">
        <v>182366</v>
      </c>
      <c r="D602" s="348" t="s">
        <v>1672</v>
      </c>
      <c r="F602" s="348" t="s">
        <v>1673</v>
      </c>
      <c r="H602" s="349" t="s">
        <v>2860</v>
      </c>
      <c r="J602" s="166" t="s">
        <v>1674</v>
      </c>
      <c r="P602" s="168">
        <f>SUMIF('Balance Sheet Detail'!$B:$B,$R602,'Balance Sheet Detail'!W:W)</f>
        <v>1247.46610416667</v>
      </c>
      <c r="R602" s="166" t="s">
        <v>4139</v>
      </c>
    </row>
    <row r="603" spans="1:18" ht="15" customHeight="1">
      <c r="A603" s="127"/>
      <c r="B603" s="203">
        <v>182366</v>
      </c>
      <c r="D603" s="348" t="s">
        <v>1672</v>
      </c>
      <c r="F603" s="348" t="s">
        <v>592</v>
      </c>
      <c r="H603" s="349" t="s">
        <v>2860</v>
      </c>
      <c r="J603" s="166" t="s">
        <v>1674</v>
      </c>
      <c r="P603" s="168">
        <f>SUMIF('Balance Sheet Detail'!$B:$B,$R603,'Balance Sheet Detail'!W:W)</f>
        <v>0</v>
      </c>
      <c r="R603" s="166" t="s">
        <v>4140</v>
      </c>
    </row>
    <row r="604" spans="1:18" ht="15" customHeight="1">
      <c r="A604" s="127"/>
      <c r="B604" s="203">
        <v>182375</v>
      </c>
      <c r="D604" s="348" t="s">
        <v>3205</v>
      </c>
      <c r="F604" s="348" t="s">
        <v>1178</v>
      </c>
      <c r="H604" s="349" t="s">
        <v>2860</v>
      </c>
      <c r="J604" s="166" t="s">
        <v>151</v>
      </c>
      <c r="P604" s="168">
        <f>SUMIF('Balance Sheet Detail'!$B:$B,$R604,'Balance Sheet Detail'!W:W)</f>
        <v>313.34916666666697</v>
      </c>
      <c r="R604" s="166" t="s">
        <v>4141</v>
      </c>
    </row>
    <row r="605" spans="1:18" ht="15" customHeight="1">
      <c r="A605" s="127"/>
      <c r="B605" s="203">
        <v>254085</v>
      </c>
      <c r="D605" s="348"/>
      <c r="F605" s="348" t="s">
        <v>1797</v>
      </c>
      <c r="H605" s="349" t="s">
        <v>2860</v>
      </c>
      <c r="J605" s="166" t="s">
        <v>4545</v>
      </c>
      <c r="P605" s="168">
        <f>SUMIF('Balance Sheet Detail'!$B:$B,$R605,'Balance Sheet Detail'!W:W)</f>
        <v>-368.39666666666699</v>
      </c>
      <c r="R605" s="166" t="s">
        <v>4580</v>
      </c>
    </row>
    <row r="606" spans="1:18" ht="15" customHeight="1">
      <c r="A606" s="127"/>
      <c r="B606" s="203">
        <v>254266</v>
      </c>
      <c r="D606" s="348" t="s">
        <v>966</v>
      </c>
      <c r="F606" s="348" t="s">
        <v>592</v>
      </c>
      <c r="H606" s="349" t="s">
        <v>2860</v>
      </c>
      <c r="J606" s="166" t="s">
        <v>1674</v>
      </c>
      <c r="P606" s="168">
        <f>SUMIF('Balance Sheet Detail'!$B:$B,$R606,'Balance Sheet Detail'!W:W)</f>
        <v>-16470.964729166699</v>
      </c>
      <c r="R606" s="166" t="s">
        <v>4142</v>
      </c>
    </row>
    <row r="607" spans="1:18" ht="15" customHeight="1">
      <c r="A607" s="127"/>
      <c r="B607" s="203">
        <v>190000</v>
      </c>
      <c r="D607" s="348" t="s">
        <v>1202</v>
      </c>
      <c r="F607" s="348" t="s">
        <v>2645</v>
      </c>
      <c r="H607" s="349" t="s">
        <v>2860</v>
      </c>
      <c r="J607" s="166" t="s">
        <v>1201</v>
      </c>
      <c r="P607" s="168">
        <f>SUMIF('Balance Sheet Detail'!$B:$B,$R607,'Balance Sheet Detail'!W:W)</f>
        <v>-41.200682916667603</v>
      </c>
      <c r="R607" s="166" t="s">
        <v>3385</v>
      </c>
    </row>
    <row r="608" spans="1:18" ht="15" customHeight="1">
      <c r="A608" s="127"/>
      <c r="B608" s="203">
        <v>190000</v>
      </c>
      <c r="D608" s="348" t="s">
        <v>1206</v>
      </c>
      <c r="F608" s="348" t="s">
        <v>2645</v>
      </c>
      <c r="H608" s="349" t="s">
        <v>2860</v>
      </c>
      <c r="J608" s="166" t="s">
        <v>1205</v>
      </c>
      <c r="P608" s="168">
        <f>SUMIF('Balance Sheet Detail'!$B:$B,$R608,'Balance Sheet Detail'!W:W)</f>
        <v>-196.20826766666701</v>
      </c>
      <c r="R608" s="166" t="s">
        <v>3386</v>
      </c>
    </row>
    <row r="609" spans="1:18" ht="15" customHeight="1">
      <c r="A609" s="127"/>
      <c r="B609" s="203">
        <v>190000</v>
      </c>
      <c r="D609" s="348" t="s">
        <v>1208</v>
      </c>
      <c r="F609" s="348" t="s">
        <v>2645</v>
      </c>
      <c r="H609" s="349" t="s">
        <v>2860</v>
      </c>
      <c r="J609" s="166" t="s">
        <v>1207</v>
      </c>
      <c r="P609" s="168">
        <f>SUMIF('Balance Sheet Detail'!$B:$B,$R609,'Balance Sheet Detail'!W:W)</f>
        <v>0</v>
      </c>
      <c r="R609" s="166" t="s">
        <v>3387</v>
      </c>
    </row>
    <row r="610" spans="1:18" ht="15" customHeight="1">
      <c r="A610" s="127"/>
      <c r="B610" s="203">
        <v>190000</v>
      </c>
      <c r="D610" s="348" t="s">
        <v>1204</v>
      </c>
      <c r="F610" s="348" t="s">
        <v>2645</v>
      </c>
      <c r="H610" s="349" t="s">
        <v>2860</v>
      </c>
      <c r="J610" s="166" t="s">
        <v>1203</v>
      </c>
      <c r="P610" s="168">
        <f>SUMIF('Balance Sheet Detail'!$B:$B,$R610,'Balance Sheet Detail'!W:W)</f>
        <v>805.15783208333403</v>
      </c>
      <c r="R610" s="166" t="s">
        <v>3388</v>
      </c>
    </row>
    <row r="611" spans="1:18" ht="15" customHeight="1">
      <c r="A611" s="127"/>
      <c r="B611" s="203">
        <v>190000</v>
      </c>
      <c r="D611" s="348" t="s">
        <v>1408</v>
      </c>
      <c r="F611" s="348" t="s">
        <v>2645</v>
      </c>
      <c r="H611" s="349" t="s">
        <v>2860</v>
      </c>
      <c r="J611" s="166" t="s">
        <v>2646</v>
      </c>
      <c r="P611" s="168">
        <f>SUMIF('Balance Sheet Detail'!$B:$B,$R611,'Balance Sheet Detail'!W:W)</f>
        <v>222.64491124999699</v>
      </c>
      <c r="R611" s="166" t="s">
        <v>3389</v>
      </c>
    </row>
    <row r="612" spans="1:18" ht="15" customHeight="1">
      <c r="A612" s="127"/>
      <c r="B612" s="203">
        <v>190000</v>
      </c>
      <c r="D612" s="348" t="s">
        <v>4428</v>
      </c>
      <c r="F612" s="348"/>
      <c r="H612" s="349" t="s">
        <v>2860</v>
      </c>
      <c r="J612" s="166" t="s">
        <v>4441</v>
      </c>
      <c r="P612" s="168">
        <f>SUMIF('Balance Sheet Detail'!$B:$B,$R612,'Balance Sheet Detail'!W:W)</f>
        <v>-0.60965666666672302</v>
      </c>
      <c r="R612" s="166" t="s">
        <v>4442</v>
      </c>
    </row>
    <row r="613" spans="1:18" ht="15" customHeight="1">
      <c r="A613" s="127"/>
      <c r="B613" s="203">
        <v>190000</v>
      </c>
      <c r="D613" s="348" t="s">
        <v>4541</v>
      </c>
      <c r="F613" s="348"/>
      <c r="H613" s="349" t="s">
        <v>2860</v>
      </c>
      <c r="J613" s="166" t="s">
        <v>4540</v>
      </c>
      <c r="P613" s="168">
        <f>SUMIF('Balance Sheet Detail'!$B:$B,$R613,'Balance Sheet Detail'!W:W)</f>
        <v>0</v>
      </c>
      <c r="R613" s="166" t="s">
        <v>4551</v>
      </c>
    </row>
    <row r="614" spans="1:18" ht="15" customHeight="1">
      <c r="A614" s="127"/>
      <c r="B614" s="203">
        <v>190002</v>
      </c>
      <c r="D614" s="348"/>
      <c r="F614" s="348" t="s">
        <v>2645</v>
      </c>
      <c r="H614" s="349" t="s">
        <v>2860</v>
      </c>
      <c r="J614" s="166" t="s">
        <v>2646</v>
      </c>
      <c r="P614" s="168">
        <f>SUMIF('Balance Sheet Detail'!$B:$B,$R614,'Balance Sheet Detail'!W:W)</f>
        <v>0</v>
      </c>
      <c r="R614" s="166" t="s">
        <v>4143</v>
      </c>
    </row>
    <row r="615" spans="1:18" ht="15" customHeight="1">
      <c r="A615" s="127"/>
      <c r="B615" s="203">
        <v>190003</v>
      </c>
      <c r="D615" s="348" t="s">
        <v>499</v>
      </c>
      <c r="F615" s="348" t="s">
        <v>1469</v>
      </c>
      <c r="H615" s="349" t="s">
        <v>2860</v>
      </c>
      <c r="J615" s="166" t="s">
        <v>428</v>
      </c>
      <c r="P615" s="168">
        <f>SUMIF('Balance Sheet Detail'!$B:$B,$R615,'Balance Sheet Detail'!W:W)</f>
        <v>335.55599999999998</v>
      </c>
      <c r="R615" s="166" t="s">
        <v>3390</v>
      </c>
    </row>
    <row r="616" spans="1:18" ht="15" customHeight="1">
      <c r="A616" s="127"/>
      <c r="B616" s="203">
        <v>190010</v>
      </c>
      <c r="D616" s="348" t="s">
        <v>1206</v>
      </c>
      <c r="F616" s="348" t="s">
        <v>1069</v>
      </c>
      <c r="H616" s="349" t="s">
        <v>2860</v>
      </c>
      <c r="J616" s="166" t="s">
        <v>1566</v>
      </c>
      <c r="P616" s="168">
        <f>SUMIF('Balance Sheet Detail'!$B:$B,$R616,'Balance Sheet Detail'!W:W)</f>
        <v>-42.843747083333298</v>
      </c>
      <c r="R616" s="166" t="s">
        <v>3391</v>
      </c>
    </row>
    <row r="617" spans="1:18" ht="15" customHeight="1">
      <c r="A617" s="127"/>
      <c r="B617" s="203">
        <v>190010</v>
      </c>
      <c r="D617" s="348" t="s">
        <v>4428</v>
      </c>
      <c r="F617" s="348"/>
      <c r="H617" s="349" t="s">
        <v>2860</v>
      </c>
      <c r="J617" s="166" t="s">
        <v>4427</v>
      </c>
      <c r="P617" s="168">
        <f>SUMIF('Balance Sheet Detail'!$B:$B,$R617,'Balance Sheet Detail'!W:W)</f>
        <v>-0.13312499999999999</v>
      </c>
      <c r="R617" s="166" t="s">
        <v>4440</v>
      </c>
    </row>
    <row r="618" spans="1:18" ht="15" customHeight="1">
      <c r="A618" s="127"/>
      <c r="B618" s="203">
        <v>190010</v>
      </c>
      <c r="D618" s="348" t="s">
        <v>4541</v>
      </c>
      <c r="F618" s="348"/>
      <c r="H618" s="349" t="s">
        <v>2860</v>
      </c>
      <c r="J618" s="166" t="s">
        <v>4540</v>
      </c>
      <c r="P618" s="168">
        <f>SUMIF('Balance Sheet Detail'!$B:$B,$R618,'Balance Sheet Detail'!W:W)</f>
        <v>0</v>
      </c>
      <c r="R618" s="166" t="s">
        <v>4550</v>
      </c>
    </row>
    <row r="619" spans="1:18" ht="15" customHeight="1">
      <c r="A619" s="127"/>
      <c r="B619" s="203">
        <v>190011</v>
      </c>
      <c r="D619" s="348"/>
      <c r="F619" s="348" t="s">
        <v>197</v>
      </c>
      <c r="H619" s="349" t="s">
        <v>2860</v>
      </c>
      <c r="J619" s="166" t="s">
        <v>198</v>
      </c>
      <c r="P619" s="168">
        <f>SUMIF('Balance Sheet Detail'!$B:$B,$R619,'Balance Sheet Detail'!W:W)</f>
        <v>0</v>
      </c>
      <c r="R619" s="166" t="s">
        <v>4144</v>
      </c>
    </row>
    <row r="620" spans="1:18" ht="15" customHeight="1">
      <c r="A620" s="127"/>
      <c r="B620" s="203">
        <v>190011</v>
      </c>
      <c r="D620" s="348"/>
      <c r="F620" s="348" t="s">
        <v>1069</v>
      </c>
      <c r="H620" s="349" t="s">
        <v>2860</v>
      </c>
      <c r="J620" s="166" t="s">
        <v>2646</v>
      </c>
      <c r="P620" s="168">
        <f>SUMIF('Balance Sheet Detail'!$B:$B,$R620,'Balance Sheet Detail'!W:W)</f>
        <v>0</v>
      </c>
      <c r="R620" s="166" t="s">
        <v>4145</v>
      </c>
    </row>
    <row r="621" spans="1:18" ht="15" customHeight="1">
      <c r="A621" s="127"/>
      <c r="B621" s="203">
        <v>190012</v>
      </c>
      <c r="D621" s="348"/>
      <c r="F621" s="348" t="s">
        <v>1194</v>
      </c>
      <c r="H621" s="349" t="s">
        <v>2860</v>
      </c>
      <c r="J621" s="166" t="s">
        <v>1485</v>
      </c>
      <c r="P621" s="168">
        <f>SUMIF('Balance Sheet Detail'!$B:$B,$R621,'Balance Sheet Detail'!W:W)</f>
        <v>0</v>
      </c>
      <c r="R621" s="166" t="s">
        <v>4146</v>
      </c>
    </row>
    <row r="622" spans="1:18" ht="15" customHeight="1">
      <c r="A622" s="127"/>
      <c r="B622" s="203">
        <v>190013</v>
      </c>
      <c r="D622" s="348" t="s">
        <v>499</v>
      </c>
      <c r="F622" s="348" t="s">
        <v>2998</v>
      </c>
      <c r="H622" s="349" t="s">
        <v>2860</v>
      </c>
      <c r="J622" s="166" t="s">
        <v>428</v>
      </c>
      <c r="P622" s="168">
        <f>SUMIF('Balance Sheet Detail'!$B:$B,$R622,'Balance Sheet Detail'!W:W)</f>
        <v>63.776000000000003</v>
      </c>
      <c r="R622" s="166" t="s">
        <v>3392</v>
      </c>
    </row>
    <row r="623" spans="1:18" ht="15" customHeight="1">
      <c r="A623" s="127"/>
      <c r="B623" s="203">
        <v>190014</v>
      </c>
      <c r="D623" s="348"/>
      <c r="F623" s="348" t="s">
        <v>2370</v>
      </c>
      <c r="H623" s="349" t="s">
        <v>2860</v>
      </c>
      <c r="J623" s="166" t="s">
        <v>2371</v>
      </c>
      <c r="P623" s="168">
        <f>SUMIF('Balance Sheet Detail'!$B:$B,$R623,'Balance Sheet Detail'!W:W)</f>
        <v>0</v>
      </c>
      <c r="R623" s="166" t="s">
        <v>4147</v>
      </c>
    </row>
    <row r="624" spans="1:18" ht="15" customHeight="1">
      <c r="A624" s="127"/>
      <c r="B624" s="203">
        <v>190030</v>
      </c>
      <c r="D624" s="348" t="s">
        <v>4541</v>
      </c>
      <c r="F624" s="348"/>
      <c r="H624" s="349" t="s">
        <v>2860</v>
      </c>
      <c r="J624" s="166" t="s">
        <v>4540</v>
      </c>
      <c r="P624" s="168">
        <f>SUMIF('Balance Sheet Detail'!$B:$B,$R624,'Balance Sheet Detail'!W:W)</f>
        <v>407.42010416666699</v>
      </c>
      <c r="R624" s="166" t="s">
        <v>4568</v>
      </c>
    </row>
    <row r="625" spans="1:18" ht="15" customHeight="1">
      <c r="A625" s="127"/>
      <c r="B625" s="203">
        <v>190030</v>
      </c>
      <c r="D625" s="348" t="s">
        <v>1208</v>
      </c>
      <c r="F625" s="348" t="s">
        <v>2645</v>
      </c>
      <c r="H625" s="349" t="s">
        <v>2860</v>
      </c>
      <c r="J625" s="166" t="s">
        <v>1231</v>
      </c>
      <c r="P625" s="168">
        <f>SUMIF('Balance Sheet Detail'!$B:$B,$R625,'Balance Sheet Detail'!W:W)</f>
        <v>400.46090083333303</v>
      </c>
      <c r="R625" s="166" t="s">
        <v>4569</v>
      </c>
    </row>
    <row r="626" spans="1:18" ht="15" customHeight="1">
      <c r="A626" s="127"/>
      <c r="B626" s="203">
        <v>190040</v>
      </c>
      <c r="D626" s="348" t="s">
        <v>4541</v>
      </c>
      <c r="F626" s="348"/>
      <c r="H626" s="349" t="s">
        <v>2860</v>
      </c>
      <c r="J626" s="166" t="s">
        <v>4540</v>
      </c>
      <c r="P626" s="168">
        <f>SUMIF('Balance Sheet Detail'!$B:$B,$R626,'Balance Sheet Detail'!W:W)</f>
        <v>88.964564999999993</v>
      </c>
      <c r="R626" s="166" t="s">
        <v>4574</v>
      </c>
    </row>
    <row r="627" spans="1:18" ht="15" customHeight="1">
      <c r="A627" s="127"/>
      <c r="B627" s="203">
        <v>190040</v>
      </c>
      <c r="D627" s="348" t="s">
        <v>1208</v>
      </c>
      <c r="F627" s="348"/>
      <c r="H627" s="349" t="s">
        <v>2860</v>
      </c>
      <c r="J627" s="166" t="s">
        <v>1231</v>
      </c>
      <c r="P627" s="168">
        <f>SUMIF('Balance Sheet Detail'!$B:$B,$R627,'Balance Sheet Detail'!W:W)</f>
        <v>87.445514166666698</v>
      </c>
      <c r="R627" s="166" t="s">
        <v>4575</v>
      </c>
    </row>
    <row r="628" spans="1:18" ht="15" customHeight="1">
      <c r="A628" s="127"/>
      <c r="B628" s="203">
        <v>190501</v>
      </c>
      <c r="D628" s="348"/>
      <c r="F628" s="348" t="s">
        <v>1741</v>
      </c>
      <c r="H628" s="349" t="s">
        <v>2860</v>
      </c>
      <c r="J628" s="166" t="s">
        <v>1754</v>
      </c>
      <c r="P628" s="168">
        <f>SUMIF('Balance Sheet Detail'!$B:$B,$R628,'Balance Sheet Detail'!W:W)</f>
        <v>0</v>
      </c>
      <c r="R628" s="166" t="s">
        <v>4148</v>
      </c>
    </row>
    <row r="629" spans="1:18" ht="15" customHeight="1">
      <c r="A629" s="127"/>
      <c r="B629" s="203">
        <v>283300</v>
      </c>
      <c r="D629" s="348" t="s">
        <v>498</v>
      </c>
      <c r="F629" s="348" t="s">
        <v>1469</v>
      </c>
      <c r="H629" s="349" t="s">
        <v>2860</v>
      </c>
      <c r="J629" s="166" t="s">
        <v>2371</v>
      </c>
      <c r="P629" s="168">
        <f>SUMIF('Balance Sheet Detail'!$B:$B,$R629,'Balance Sheet Detail'!W:W)</f>
        <v>-334.15188000000001</v>
      </c>
      <c r="R629" s="166" t="s">
        <v>3408</v>
      </c>
    </row>
    <row r="630" spans="1:18" ht="15" customHeight="1">
      <c r="A630" s="127"/>
      <c r="B630" s="203">
        <v>283300</v>
      </c>
      <c r="D630" s="348" t="s">
        <v>499</v>
      </c>
      <c r="F630" s="348" t="s">
        <v>1469</v>
      </c>
      <c r="H630" s="349" t="s">
        <v>2860</v>
      </c>
      <c r="J630" s="166" t="s">
        <v>1632</v>
      </c>
      <c r="P630" s="168">
        <f>SUMIF('Balance Sheet Detail'!$B:$B,$R630,'Balance Sheet Detail'!W:W)</f>
        <v>0</v>
      </c>
      <c r="R630" s="166" t="s">
        <v>3409</v>
      </c>
    </row>
    <row r="631" spans="1:18" ht="15" customHeight="1">
      <c r="A631" s="127"/>
      <c r="B631" s="203">
        <v>283310</v>
      </c>
      <c r="D631" s="348" t="s">
        <v>499</v>
      </c>
      <c r="F631" s="348" t="s">
        <v>2614</v>
      </c>
      <c r="H631" s="349" t="s">
        <v>2860</v>
      </c>
      <c r="J631" s="166" t="s">
        <v>2371</v>
      </c>
      <c r="P631" s="168">
        <f>SUMIF('Balance Sheet Detail'!$B:$B,$R631,'Balance Sheet Detail'!W:W)</f>
        <v>-0.42</v>
      </c>
      <c r="R631" s="166" t="s">
        <v>3410</v>
      </c>
    </row>
    <row r="632" spans="1:18" ht="15" customHeight="1">
      <c r="A632" s="127"/>
      <c r="B632" s="203">
        <v>283420</v>
      </c>
      <c r="D632" s="348" t="s">
        <v>498</v>
      </c>
      <c r="F632" s="348" t="s">
        <v>2998</v>
      </c>
      <c r="H632" s="349" t="s">
        <v>2860</v>
      </c>
      <c r="J632" s="166" t="s">
        <v>2371</v>
      </c>
      <c r="P632" s="168">
        <f>SUMIF('Balance Sheet Detail'!$B:$B,$R632,'Balance Sheet Detail'!W:W)</f>
        <v>-72.965199999999996</v>
      </c>
      <c r="R632" s="166" t="s">
        <v>3411</v>
      </c>
    </row>
    <row r="633" spans="1:18" ht="15" customHeight="1">
      <c r="A633" s="127"/>
      <c r="B633" s="203">
        <v>283420</v>
      </c>
      <c r="D633" s="348" t="s">
        <v>499</v>
      </c>
      <c r="F633" s="348" t="s">
        <v>2998</v>
      </c>
      <c r="H633" s="349" t="s">
        <v>2860</v>
      </c>
      <c r="J633" s="166" t="s">
        <v>1632</v>
      </c>
      <c r="P633" s="168">
        <f>SUMIF('Balance Sheet Detail'!$B:$B,$R633,'Balance Sheet Detail'!W:W)</f>
        <v>0</v>
      </c>
      <c r="R633" s="166" t="s">
        <v>4149</v>
      </c>
    </row>
    <row r="634" spans="1:18" ht="15" customHeight="1">
      <c r="A634" s="127"/>
      <c r="B634" s="203">
        <v>283430</v>
      </c>
      <c r="D634" s="348" t="s">
        <v>499</v>
      </c>
      <c r="F634" s="348" t="s">
        <v>2370</v>
      </c>
      <c r="H634" s="349" t="s">
        <v>2860</v>
      </c>
      <c r="J634" s="166" t="s">
        <v>2371</v>
      </c>
      <c r="P634" s="168">
        <f>SUMIF('Balance Sheet Detail'!$B:$B,$R634,'Balance Sheet Detail'!W:W)</f>
        <v>-0.53100000000000003</v>
      </c>
      <c r="R634" s="166" t="s">
        <v>3412</v>
      </c>
    </row>
    <row r="635" spans="1:18" ht="15" customHeight="1">
      <c r="A635" s="127"/>
      <c r="D635" s="348"/>
      <c r="F635" s="348"/>
      <c r="H635" s="349"/>
      <c r="P635" s="350"/>
    </row>
    <row r="636" spans="1:18">
      <c r="A636" s="127"/>
      <c r="B636" s="351" t="s">
        <v>3206</v>
      </c>
      <c r="C636" s="352"/>
      <c r="D636" s="348"/>
      <c r="E636" s="352"/>
      <c r="F636" s="348"/>
      <c r="G636" s="352"/>
      <c r="H636" s="349"/>
      <c r="I636" s="352"/>
      <c r="K636" s="352"/>
      <c r="L636" s="352"/>
      <c r="P636" s="353">
        <f>SUM(P566:P635)</f>
        <v>2258.5967898332774</v>
      </c>
    </row>
    <row r="637" spans="1:18">
      <c r="A637" s="127"/>
      <c r="B637" s="351"/>
      <c r="C637" s="352"/>
      <c r="D637" s="348"/>
      <c r="E637" s="352"/>
      <c r="F637" s="348"/>
      <c r="G637" s="352"/>
      <c r="H637" s="349"/>
      <c r="I637" s="352"/>
      <c r="K637" s="352"/>
      <c r="L637" s="352"/>
      <c r="P637" s="353"/>
    </row>
    <row r="638" spans="1:18">
      <c r="A638" s="127" t="s">
        <v>4429</v>
      </c>
      <c r="D638" s="348"/>
      <c r="F638" s="348"/>
      <c r="H638" s="349"/>
      <c r="P638" s="343"/>
    </row>
    <row r="639" spans="1:18" ht="15" customHeight="1">
      <c r="B639" s="203">
        <v>229010</v>
      </c>
      <c r="D639" s="348"/>
      <c r="F639" s="348"/>
      <c r="H639" s="349" t="s">
        <v>4429</v>
      </c>
      <c r="J639" s="166" t="s">
        <v>4409</v>
      </c>
      <c r="N639" s="166" t="s">
        <v>928</v>
      </c>
      <c r="P639" s="168">
        <f>SUMIF('Balance Sheet Detail'!$B:$B,$R639,'Balance Sheet Detail'!W:W)</f>
        <v>0</v>
      </c>
      <c r="R639" s="166" t="s">
        <v>4430</v>
      </c>
    </row>
    <row r="640" spans="1:18" ht="15" customHeight="1">
      <c r="D640" s="348"/>
      <c r="F640" s="348"/>
      <c r="H640" s="349"/>
      <c r="P640" s="350"/>
    </row>
    <row r="641" spans="1:18">
      <c r="A641" s="127"/>
      <c r="B641" s="351" t="s">
        <v>4431</v>
      </c>
      <c r="C641" s="352"/>
      <c r="D641" s="348"/>
      <c r="E641" s="352"/>
      <c r="F641" s="348"/>
      <c r="G641" s="352"/>
      <c r="H641" s="349"/>
      <c r="I641" s="352"/>
      <c r="K641" s="352"/>
      <c r="L641" s="352"/>
      <c r="P641" s="353">
        <f>SUM(P639:P640)</f>
        <v>0</v>
      </c>
    </row>
    <row r="642" spans="1:18">
      <c r="A642" s="127"/>
      <c r="D642" s="348"/>
      <c r="F642" s="348"/>
      <c r="H642" s="349"/>
      <c r="P642" s="343"/>
    </row>
    <row r="643" spans="1:18">
      <c r="A643" s="127" t="s">
        <v>1078</v>
      </c>
      <c r="D643" s="348"/>
      <c r="F643" s="348"/>
      <c r="H643" s="349"/>
      <c r="P643" s="343"/>
    </row>
    <row r="644" spans="1:18" ht="15" customHeight="1">
      <c r="B644" s="203">
        <v>254016</v>
      </c>
      <c r="D644" s="348" t="s">
        <v>39</v>
      </c>
      <c r="F644" s="348" t="s">
        <v>1077</v>
      </c>
      <c r="H644" s="349" t="s">
        <v>1078</v>
      </c>
      <c r="J644" s="166" t="s">
        <v>3207</v>
      </c>
      <c r="N644" s="166" t="s">
        <v>2821</v>
      </c>
      <c r="P644" s="168">
        <f>SUMIF('Balance Sheet Detail'!$B:$B,$R644,'Balance Sheet Detail'!W:W)</f>
        <v>0</v>
      </c>
      <c r="R644" s="166" t="s">
        <v>4150</v>
      </c>
    </row>
    <row r="645" spans="1:18" ht="15" customHeight="1">
      <c r="B645" s="203">
        <v>254016</v>
      </c>
      <c r="D645" s="348" t="s">
        <v>39</v>
      </c>
      <c r="F645" s="348">
        <v>801217</v>
      </c>
      <c r="H645" s="349" t="s">
        <v>1078</v>
      </c>
      <c r="J645" s="166" t="s">
        <v>730</v>
      </c>
      <c r="N645" s="166" t="s">
        <v>2821</v>
      </c>
      <c r="P645" s="168">
        <f>SUMIF('Balance Sheet Detail'!$B:$B,$R645,'Balance Sheet Detail'!W:W)</f>
        <v>-351.78999833333302</v>
      </c>
      <c r="R645" s="166" t="s">
        <v>4662</v>
      </c>
    </row>
    <row r="646" spans="1:18" ht="15" customHeight="1">
      <c r="B646" s="203">
        <v>254017</v>
      </c>
      <c r="D646" s="348" t="s">
        <v>744</v>
      </c>
      <c r="F646" s="348">
        <v>801217</v>
      </c>
      <c r="H646" s="349" t="s">
        <v>1078</v>
      </c>
      <c r="J646" s="166" t="s">
        <v>3208</v>
      </c>
      <c r="N646" s="166" t="s">
        <v>2821</v>
      </c>
      <c r="P646" s="168">
        <f>SUMIF('Balance Sheet Detail'!$B:$B,$R646,'Balance Sheet Detail'!W:W)</f>
        <v>-72.434327083333301</v>
      </c>
      <c r="R646" s="166" t="s">
        <v>4695</v>
      </c>
    </row>
    <row r="647" spans="1:18" ht="15" customHeight="1">
      <c r="B647" s="203">
        <v>190501</v>
      </c>
      <c r="D647" s="348" t="s">
        <v>39</v>
      </c>
      <c r="F647" s="348" t="s">
        <v>1435</v>
      </c>
      <c r="H647" s="349" t="s">
        <v>1078</v>
      </c>
      <c r="J647" s="166" t="s">
        <v>1015</v>
      </c>
      <c r="N647" s="166" t="s">
        <v>2821</v>
      </c>
      <c r="P647" s="168">
        <f>SUMIF('Balance Sheet Detail'!$B:$B,$R647,'Balance Sheet Detail'!W:W)</f>
        <v>114.3845175</v>
      </c>
      <c r="R647" s="166" t="s">
        <v>3393</v>
      </c>
    </row>
    <row r="648" spans="1:18" ht="15" customHeight="1">
      <c r="B648" s="203">
        <v>190502</v>
      </c>
      <c r="D648" s="348" t="s">
        <v>744</v>
      </c>
      <c r="F648" s="348" t="s">
        <v>1435</v>
      </c>
      <c r="H648" s="349" t="s">
        <v>1078</v>
      </c>
      <c r="J648" s="166" t="s">
        <v>1015</v>
      </c>
      <c r="N648" s="166" t="s">
        <v>2821</v>
      </c>
      <c r="P648" s="168">
        <f>SUMIF('Balance Sheet Detail'!$B:$B,$R648,'Balance Sheet Detail'!W:W)</f>
        <v>23.552026250000001</v>
      </c>
      <c r="R648" s="166" t="s">
        <v>3397</v>
      </c>
    </row>
    <row r="649" spans="1:18" ht="15" customHeight="1">
      <c r="B649" s="203">
        <v>190511</v>
      </c>
      <c r="D649" s="348" t="s">
        <v>39</v>
      </c>
      <c r="F649" s="348" t="s">
        <v>1435</v>
      </c>
      <c r="H649" s="349" t="s">
        <v>1078</v>
      </c>
      <c r="J649" s="166" t="s">
        <v>1015</v>
      </c>
      <c r="N649" s="166" t="s">
        <v>2821</v>
      </c>
      <c r="P649" s="168">
        <f>SUMIF('Balance Sheet Detail'!$B:$B,$R649,'Balance Sheet Detail'!W:W)</f>
        <v>24.9770795833333</v>
      </c>
      <c r="R649" s="166" t="s">
        <v>3400</v>
      </c>
    </row>
    <row r="650" spans="1:18" ht="15" customHeight="1">
      <c r="B650" s="203">
        <v>190512</v>
      </c>
      <c r="D650" s="348" t="s">
        <v>744</v>
      </c>
      <c r="F650" s="348" t="s">
        <v>1435</v>
      </c>
      <c r="H650" s="349" t="s">
        <v>1078</v>
      </c>
      <c r="J650" s="166" t="s">
        <v>1015</v>
      </c>
      <c r="N650" s="166" t="s">
        <v>2821</v>
      </c>
      <c r="P650" s="350">
        <f>SUMIF('Balance Sheet Detail'!$B:$B,$R650,'Balance Sheet Detail'!W:W)</f>
        <v>5.1428545833333299</v>
      </c>
      <c r="R650" s="166" t="s">
        <v>3404</v>
      </c>
    </row>
    <row r="651" spans="1:18">
      <c r="A651" s="127"/>
      <c r="B651" s="351" t="s">
        <v>3209</v>
      </c>
      <c r="C651" s="352"/>
      <c r="D651" s="348"/>
      <c r="E651" s="352"/>
      <c r="F651" s="348"/>
      <c r="G651" s="352"/>
      <c r="H651" s="349"/>
      <c r="I651" s="352"/>
      <c r="K651" s="352"/>
      <c r="L651" s="352"/>
      <c r="P651" s="353">
        <f>SUM(P644:P650)</f>
        <v>-256.16784749999971</v>
      </c>
    </row>
    <row r="652" spans="1:18">
      <c r="A652" s="127"/>
      <c r="D652" s="348"/>
      <c r="F652" s="348"/>
      <c r="H652" s="349"/>
      <c r="P652" s="343"/>
    </row>
    <row r="653" spans="1:18">
      <c r="A653" s="127" t="s">
        <v>594</v>
      </c>
      <c r="D653" s="348"/>
      <c r="F653" s="348"/>
      <c r="H653" s="349"/>
      <c r="P653" s="343"/>
    </row>
    <row r="654" spans="1:18" ht="15" customHeight="1">
      <c r="B654" s="203">
        <v>182306</v>
      </c>
      <c r="D654" s="348" t="s">
        <v>1612</v>
      </c>
      <c r="F654" s="348">
        <v>807173</v>
      </c>
      <c r="H654" s="349" t="s">
        <v>594</v>
      </c>
      <c r="J654" s="166" t="s">
        <v>317</v>
      </c>
      <c r="N654" s="166" t="s">
        <v>2821</v>
      </c>
      <c r="P654" s="168">
        <f>SUMIF('Balance Sheet Detail'!$B:$B,$R654,'Balance Sheet Detail'!W:W)</f>
        <v>34.9589</v>
      </c>
      <c r="R654" s="166" t="s">
        <v>4151</v>
      </c>
    </row>
    <row r="655" spans="1:18" ht="15" customHeight="1">
      <c r="B655" s="203">
        <v>182306</v>
      </c>
      <c r="D655" s="348" t="s">
        <v>1612</v>
      </c>
      <c r="F655" s="348">
        <v>801241</v>
      </c>
      <c r="H655" s="349" t="s">
        <v>594</v>
      </c>
      <c r="J655" s="166" t="s">
        <v>2455</v>
      </c>
      <c r="N655" s="166" t="s">
        <v>2821</v>
      </c>
      <c r="P655" s="168">
        <f>SUMIF('Balance Sheet Detail'!$B:$B,$R655,'Balance Sheet Detail'!W:W)</f>
        <v>9.4321458333333403</v>
      </c>
      <c r="R655" s="166" t="s">
        <v>4152</v>
      </c>
    </row>
    <row r="656" spans="1:18" ht="15" customHeight="1">
      <c r="D656" s="348"/>
      <c r="F656" s="348"/>
      <c r="H656" s="349"/>
      <c r="P656" s="350"/>
    </row>
    <row r="657" spans="1:18">
      <c r="A657" s="127"/>
      <c r="B657" s="351" t="s">
        <v>3433</v>
      </c>
      <c r="C657" s="352"/>
      <c r="D657" s="348"/>
      <c r="E657" s="352"/>
      <c r="F657" s="348"/>
      <c r="G657" s="352"/>
      <c r="H657" s="349"/>
      <c r="I657" s="352"/>
      <c r="K657" s="352"/>
      <c r="L657" s="352"/>
      <c r="P657" s="353">
        <f>SUM(P654:P656)</f>
        <v>44.391045833333337</v>
      </c>
    </row>
    <row r="658" spans="1:18">
      <c r="A658" s="127"/>
      <c r="D658" s="348"/>
      <c r="F658" s="348"/>
      <c r="H658" s="349"/>
      <c r="P658" s="343"/>
    </row>
    <row r="659" spans="1:18">
      <c r="A659" s="127" t="s">
        <v>3434</v>
      </c>
      <c r="D659" s="348"/>
      <c r="F659" s="348"/>
      <c r="H659" s="349"/>
      <c r="P659" s="343"/>
    </row>
    <row r="660" spans="1:18" ht="15" customHeight="1">
      <c r="B660" s="203">
        <v>255300</v>
      </c>
      <c r="D660" s="348" t="s">
        <v>399</v>
      </c>
      <c r="F660" s="348" t="s">
        <v>1796</v>
      </c>
      <c r="H660" s="349" t="s">
        <v>2269</v>
      </c>
      <c r="J660" s="166" t="s">
        <v>677</v>
      </c>
      <c r="N660" s="166" t="s">
        <v>928</v>
      </c>
      <c r="P660" s="168">
        <f>SUMIF('Balance Sheet Detail'!$B:$B,$R660,'Balance Sheet Detail'!W:W)</f>
        <v>-562.02200000000005</v>
      </c>
      <c r="R660" s="166" t="s">
        <v>3407</v>
      </c>
    </row>
    <row r="661" spans="1:18" ht="15" customHeight="1">
      <c r="D661" s="348"/>
      <c r="F661" s="348"/>
      <c r="H661" s="349"/>
      <c r="P661" s="350"/>
    </row>
    <row r="662" spans="1:18">
      <c r="A662" s="127"/>
      <c r="B662" s="351" t="s">
        <v>3435</v>
      </c>
      <c r="C662" s="352"/>
      <c r="D662" s="348"/>
      <c r="E662" s="352"/>
      <c r="F662" s="348"/>
      <c r="G662" s="352"/>
      <c r="H662" s="349"/>
      <c r="I662" s="352"/>
      <c r="K662" s="352"/>
      <c r="L662" s="352"/>
      <c r="P662" s="353">
        <f>SUM(P660:P661)</f>
        <v>-562.02200000000005</v>
      </c>
    </row>
    <row r="663" spans="1:18">
      <c r="A663" s="127"/>
      <c r="D663" s="348"/>
      <c r="F663" s="348"/>
      <c r="H663" s="349"/>
      <c r="P663" s="343"/>
    </row>
    <row r="664" spans="1:18">
      <c r="A664" s="127" t="s">
        <v>2833</v>
      </c>
      <c r="D664" s="348"/>
      <c r="F664" s="348"/>
      <c r="H664" s="349"/>
      <c r="P664" s="343"/>
    </row>
    <row r="665" spans="1:18" ht="15" customHeight="1">
      <c r="B665" s="203">
        <v>182301</v>
      </c>
      <c r="D665" s="348" t="s">
        <v>1730</v>
      </c>
      <c r="F665" s="348" t="s">
        <v>1300</v>
      </c>
      <c r="H665" s="349" t="s">
        <v>2833</v>
      </c>
      <c r="J665" s="166" t="s">
        <v>1301</v>
      </c>
      <c r="N665" s="166" t="s">
        <v>2821</v>
      </c>
      <c r="P665" s="168">
        <f>SUMIF('Balance Sheet Detail'!$B:$B,$R665,'Balance Sheet Detail'!W:W)</f>
        <v>0</v>
      </c>
      <c r="R665" s="166" t="s">
        <v>4153</v>
      </c>
    </row>
    <row r="666" spans="1:18" ht="15" customHeight="1">
      <c r="B666" s="203">
        <v>182301</v>
      </c>
      <c r="D666" s="348" t="s">
        <v>1730</v>
      </c>
      <c r="F666" s="348">
        <v>800136</v>
      </c>
      <c r="H666" s="349" t="s">
        <v>2833</v>
      </c>
      <c r="J666" s="166" t="s">
        <v>99</v>
      </c>
      <c r="N666" s="166" t="s">
        <v>2821</v>
      </c>
      <c r="P666" s="168">
        <f>SUMIF('Balance Sheet Detail'!$B:$B,$R666,'Balance Sheet Detail'!W:W)</f>
        <v>0</v>
      </c>
      <c r="R666" s="166" t="s">
        <v>4154</v>
      </c>
    </row>
    <row r="667" spans="1:18" ht="15" customHeight="1">
      <c r="B667" s="203">
        <v>182301</v>
      </c>
      <c r="D667" s="348" t="s">
        <v>3792</v>
      </c>
      <c r="F667" s="348">
        <v>800141</v>
      </c>
      <c r="H667" s="349" t="s">
        <v>2833</v>
      </c>
      <c r="J667" s="166" t="s">
        <v>100</v>
      </c>
      <c r="N667" s="166" t="s">
        <v>2821</v>
      </c>
      <c r="P667" s="168">
        <f>SUMIF('Balance Sheet Detail'!$B:$B,$R667,'Balance Sheet Detail'!W:W)</f>
        <v>0</v>
      </c>
      <c r="R667" s="166" t="s">
        <v>4155</v>
      </c>
    </row>
    <row r="668" spans="1:18" ht="15" customHeight="1">
      <c r="B668" s="203">
        <v>182301</v>
      </c>
      <c r="D668" s="348" t="s">
        <v>1730</v>
      </c>
      <c r="F668" s="348">
        <v>807008</v>
      </c>
      <c r="H668" s="349" t="s">
        <v>2833</v>
      </c>
      <c r="J668" s="166" t="s">
        <v>1949</v>
      </c>
      <c r="N668" s="166" t="s">
        <v>2821</v>
      </c>
      <c r="P668" s="168">
        <f>SUMIF('Balance Sheet Detail'!$B:$B,$R668,'Balance Sheet Detail'!W:W)</f>
        <v>0</v>
      </c>
      <c r="R668" s="166" t="s">
        <v>4156</v>
      </c>
    </row>
    <row r="669" spans="1:18" ht="15" customHeight="1">
      <c r="B669" s="203">
        <v>182301</v>
      </c>
      <c r="D669" s="348" t="s">
        <v>1730</v>
      </c>
      <c r="F669" s="348">
        <v>808013</v>
      </c>
      <c r="H669" s="349" t="s">
        <v>2833</v>
      </c>
      <c r="J669" s="166" t="s">
        <v>2964</v>
      </c>
      <c r="N669" s="166" t="s">
        <v>2821</v>
      </c>
      <c r="P669" s="168">
        <f>SUMIF('Balance Sheet Detail'!$B:$B,$R669,'Balance Sheet Detail'!W:W)</f>
        <v>0</v>
      </c>
      <c r="R669" s="166" t="s">
        <v>4157</v>
      </c>
    </row>
    <row r="670" spans="1:18" ht="15" customHeight="1">
      <c r="B670" s="203">
        <v>182301</v>
      </c>
      <c r="D670" s="348" t="s">
        <v>1730</v>
      </c>
      <c r="F670" s="348" t="s">
        <v>469</v>
      </c>
      <c r="H670" s="349" t="s">
        <v>2833</v>
      </c>
      <c r="J670" s="166" t="s">
        <v>470</v>
      </c>
      <c r="N670" s="166" t="s">
        <v>2821</v>
      </c>
      <c r="P670" s="168">
        <f>SUMIF('Balance Sheet Detail'!$B:$B,$R670,'Balance Sheet Detail'!W:W)</f>
        <v>0</v>
      </c>
      <c r="R670" s="166" t="s">
        <v>4158</v>
      </c>
    </row>
    <row r="671" spans="1:18" ht="15" customHeight="1">
      <c r="B671" s="203">
        <v>182301</v>
      </c>
      <c r="D671" s="348" t="s">
        <v>1730</v>
      </c>
      <c r="F671" s="348" t="s">
        <v>2903</v>
      </c>
      <c r="H671" s="349" t="s">
        <v>2833</v>
      </c>
      <c r="J671" s="166" t="s">
        <v>2904</v>
      </c>
      <c r="N671" s="166" t="s">
        <v>2821</v>
      </c>
      <c r="P671" s="168">
        <f>SUMIF('Balance Sheet Detail'!$B:$B,$R671,'Balance Sheet Detail'!W:W)</f>
        <v>0</v>
      </c>
      <c r="R671" s="166" t="s">
        <v>4159</v>
      </c>
    </row>
    <row r="672" spans="1:18" ht="15" customHeight="1">
      <c r="B672" s="203">
        <v>182301</v>
      </c>
      <c r="D672" s="348" t="s">
        <v>342</v>
      </c>
      <c r="F672" s="348">
        <v>801243</v>
      </c>
      <c r="H672" s="349" t="s">
        <v>2833</v>
      </c>
      <c r="J672" s="166" t="s">
        <v>701</v>
      </c>
      <c r="N672" s="166" t="s">
        <v>2821</v>
      </c>
      <c r="P672" s="168">
        <f>SUMIF('Balance Sheet Detail'!$B:$B,$R672,'Balance Sheet Detail'!W:W)</f>
        <v>-103.22073666666699</v>
      </c>
      <c r="R672" s="166" t="s">
        <v>4160</v>
      </c>
    </row>
    <row r="673" spans="2:18" ht="15" customHeight="1">
      <c r="B673" s="203">
        <v>182301</v>
      </c>
      <c r="D673" s="348" t="s">
        <v>342</v>
      </c>
      <c r="F673" s="348">
        <v>801245</v>
      </c>
      <c r="H673" s="349" t="s">
        <v>2833</v>
      </c>
      <c r="J673" s="166" t="s">
        <v>2261</v>
      </c>
      <c r="N673" s="166" t="s">
        <v>2821</v>
      </c>
      <c r="P673" s="168">
        <f>SUMIF('Balance Sheet Detail'!$B:$B,$R673,'Balance Sheet Detail'!W:W)</f>
        <v>-6.8279179166666699</v>
      </c>
      <c r="R673" s="166" t="s">
        <v>4161</v>
      </c>
    </row>
    <row r="674" spans="2:18" ht="15" customHeight="1">
      <c r="B674" s="203">
        <v>182301</v>
      </c>
      <c r="D674" s="348" t="s">
        <v>342</v>
      </c>
      <c r="F674" s="348">
        <v>801244</v>
      </c>
      <c r="H674" s="349" t="s">
        <v>2833</v>
      </c>
      <c r="J674" s="166" t="s">
        <v>702</v>
      </c>
      <c r="N674" s="166" t="s">
        <v>2821</v>
      </c>
      <c r="P674" s="168">
        <f>SUMIF('Balance Sheet Detail'!$B:$B,$R674,'Balance Sheet Detail'!W:W)</f>
        <v>-90.439437916666606</v>
      </c>
      <c r="R674" s="166" t="s">
        <v>4162</v>
      </c>
    </row>
    <row r="675" spans="2:18" ht="15" customHeight="1">
      <c r="B675" s="203">
        <v>182301</v>
      </c>
      <c r="D675" s="348" t="s">
        <v>342</v>
      </c>
      <c r="F675" s="348">
        <v>801246</v>
      </c>
      <c r="H675" s="349" t="s">
        <v>2833</v>
      </c>
      <c r="J675" s="166" t="s">
        <v>2262</v>
      </c>
      <c r="N675" s="166" t="s">
        <v>2821</v>
      </c>
      <c r="P675" s="168">
        <f>SUMIF('Balance Sheet Detail'!$B:$B,$R675,'Balance Sheet Detail'!W:W)</f>
        <v>-2.32948625</v>
      </c>
      <c r="R675" s="166" t="s">
        <v>4163</v>
      </c>
    </row>
    <row r="676" spans="2:18" ht="15" customHeight="1">
      <c r="B676" s="203">
        <v>182301</v>
      </c>
      <c r="D676" s="348" t="s">
        <v>1730</v>
      </c>
      <c r="F676" s="348">
        <v>801240</v>
      </c>
      <c r="H676" s="349" t="s">
        <v>2833</v>
      </c>
      <c r="J676" s="166" t="s">
        <v>1247</v>
      </c>
      <c r="N676" s="166" t="s">
        <v>2821</v>
      </c>
      <c r="P676" s="168">
        <f>SUMIF('Balance Sheet Detail'!$B:$B,$R676,'Balance Sheet Detail'!W:W)</f>
        <v>18.104859999999999</v>
      </c>
      <c r="R676" s="166" t="s">
        <v>4164</v>
      </c>
    </row>
    <row r="677" spans="2:18" ht="15" customHeight="1">
      <c r="B677" s="203">
        <v>182303</v>
      </c>
      <c r="D677" s="348" t="s">
        <v>1880</v>
      </c>
      <c r="F677" s="348">
        <v>801245</v>
      </c>
      <c r="H677" s="349" t="s">
        <v>2833</v>
      </c>
      <c r="J677" s="166" t="s">
        <v>2451</v>
      </c>
      <c r="N677" s="166" t="s">
        <v>2821</v>
      </c>
      <c r="P677" s="168">
        <f>SUMIF('Balance Sheet Detail'!$B:$B,$R677,'Balance Sheet Detail'!W:W)</f>
        <v>-11.43403625</v>
      </c>
      <c r="R677" s="166" t="s">
        <v>4165</v>
      </c>
    </row>
    <row r="678" spans="2:18" ht="15" customHeight="1">
      <c r="B678" s="203">
        <v>182303</v>
      </c>
      <c r="D678" s="348" t="s">
        <v>1880</v>
      </c>
      <c r="F678" s="348">
        <v>801243</v>
      </c>
      <c r="H678" s="349" t="s">
        <v>2833</v>
      </c>
      <c r="J678" s="166" t="s">
        <v>1881</v>
      </c>
      <c r="N678" s="166" t="s">
        <v>2821</v>
      </c>
      <c r="P678" s="168">
        <f>SUMIF('Balance Sheet Detail'!$B:$B,$R678,'Balance Sheet Detail'!W:W)</f>
        <v>11865.017376666699</v>
      </c>
      <c r="R678" s="166" t="s">
        <v>4166</v>
      </c>
    </row>
    <row r="679" spans="2:18" ht="15" customHeight="1">
      <c r="B679" s="203">
        <v>182303</v>
      </c>
      <c r="D679" s="348" t="s">
        <v>1880</v>
      </c>
      <c r="F679" s="348">
        <v>801244</v>
      </c>
      <c r="H679" s="349" t="s">
        <v>2833</v>
      </c>
      <c r="J679" s="166" t="s">
        <v>1882</v>
      </c>
      <c r="N679" s="166" t="s">
        <v>2821</v>
      </c>
      <c r="P679" s="168">
        <f>SUMIF('Balance Sheet Detail'!$B:$B,$R679,'Balance Sheet Detail'!W:W)</f>
        <v>-33.518210000000003</v>
      </c>
      <c r="R679" s="166" t="s">
        <v>4167</v>
      </c>
    </row>
    <row r="680" spans="2:18" ht="15" customHeight="1">
      <c r="B680" s="203">
        <v>182303</v>
      </c>
      <c r="D680" s="348" t="s">
        <v>1880</v>
      </c>
      <c r="F680" s="348">
        <v>801246</v>
      </c>
      <c r="H680" s="349" t="s">
        <v>2833</v>
      </c>
      <c r="J680" s="166" t="s">
        <v>2454</v>
      </c>
      <c r="N680" s="166" t="s">
        <v>2821</v>
      </c>
      <c r="P680" s="168">
        <f>SUMIF('Balance Sheet Detail'!$B:$B,$R680,'Balance Sheet Detail'!W:W)</f>
        <v>-33.286138333333298</v>
      </c>
      <c r="R680" s="166" t="s">
        <v>4168</v>
      </c>
    </row>
    <row r="681" spans="2:18" ht="15" customHeight="1">
      <c r="B681" s="203">
        <v>182520</v>
      </c>
      <c r="D681" s="348"/>
      <c r="F681" s="348" t="s">
        <v>2831</v>
      </c>
      <c r="H681" s="349" t="s">
        <v>2833</v>
      </c>
      <c r="J681" s="166" t="s">
        <v>2832</v>
      </c>
      <c r="N681" s="166" t="s">
        <v>2821</v>
      </c>
      <c r="P681" s="168">
        <f>SUMIF('Balance Sheet Detail'!$B:$B,$R681,'Balance Sheet Detail'!W:W)</f>
        <v>0</v>
      </c>
      <c r="R681" s="166" t="s">
        <v>4169</v>
      </c>
    </row>
    <row r="682" spans="2:18" ht="15" customHeight="1">
      <c r="B682" s="203">
        <v>182520</v>
      </c>
      <c r="D682" s="348">
        <v>0</v>
      </c>
      <c r="F682" s="348" t="s">
        <v>1298</v>
      </c>
      <c r="H682" s="349" t="s">
        <v>2833</v>
      </c>
      <c r="J682" s="166" t="s">
        <v>1299</v>
      </c>
      <c r="N682" s="166" t="s">
        <v>2821</v>
      </c>
      <c r="P682" s="168">
        <f>SUMIF('Balance Sheet Detail'!$B:$B,$R682,'Balance Sheet Detail'!W:W)</f>
        <v>0</v>
      </c>
      <c r="R682" s="166" t="s">
        <v>4170</v>
      </c>
    </row>
    <row r="683" spans="2:18" ht="15" customHeight="1">
      <c r="B683" s="203">
        <v>182520</v>
      </c>
      <c r="D683" s="348">
        <v>0</v>
      </c>
      <c r="F683" s="348" t="s">
        <v>1300</v>
      </c>
      <c r="H683" s="349" t="s">
        <v>2833</v>
      </c>
      <c r="J683" s="166" t="s">
        <v>1301</v>
      </c>
      <c r="N683" s="166" t="s">
        <v>2821</v>
      </c>
      <c r="P683" s="168">
        <f>SUMIF('Balance Sheet Detail'!$B:$B,$R683,'Balance Sheet Detail'!W:W)</f>
        <v>0</v>
      </c>
      <c r="R683" s="166" t="s">
        <v>4171</v>
      </c>
    </row>
    <row r="684" spans="2:18" ht="15" customHeight="1">
      <c r="B684" s="203">
        <v>182520</v>
      </c>
      <c r="D684" s="348">
        <v>0</v>
      </c>
      <c r="F684" s="348">
        <v>800136</v>
      </c>
      <c r="H684" s="349" t="s">
        <v>2833</v>
      </c>
      <c r="J684" s="166" t="s">
        <v>99</v>
      </c>
      <c r="N684" s="166" t="s">
        <v>2821</v>
      </c>
      <c r="P684" s="168">
        <f>SUMIF('Balance Sheet Detail'!$B:$B,$R684,'Balance Sheet Detail'!W:W)</f>
        <v>0</v>
      </c>
      <c r="R684" s="166" t="s">
        <v>4172</v>
      </c>
    </row>
    <row r="685" spans="2:18" ht="15" customHeight="1">
      <c r="B685" s="203">
        <v>182520</v>
      </c>
      <c r="D685" s="348">
        <v>0</v>
      </c>
      <c r="F685" s="348">
        <v>800141</v>
      </c>
      <c r="H685" s="349" t="s">
        <v>2833</v>
      </c>
      <c r="J685" s="166" t="s">
        <v>100</v>
      </c>
      <c r="N685" s="166" t="s">
        <v>2821</v>
      </c>
      <c r="P685" s="168">
        <f>SUMIF('Balance Sheet Detail'!$B:$B,$R685,'Balance Sheet Detail'!W:W)</f>
        <v>0</v>
      </c>
      <c r="R685" s="166" t="s">
        <v>4173</v>
      </c>
    </row>
    <row r="686" spans="2:18" ht="15" customHeight="1">
      <c r="B686" s="203">
        <v>254016</v>
      </c>
      <c r="D686" s="348" t="s">
        <v>342</v>
      </c>
      <c r="F686" s="348">
        <v>801243</v>
      </c>
      <c r="H686" s="349" t="s">
        <v>2833</v>
      </c>
      <c r="J686" s="166" t="s">
        <v>4682</v>
      </c>
      <c r="N686" s="166" t="s">
        <v>2821</v>
      </c>
      <c r="P686" s="168">
        <f>SUMIF('Balance Sheet Detail'!$B:$B,$R686,'Balance Sheet Detail'!W:W)</f>
        <v>-2129.36279375</v>
      </c>
      <c r="R686" s="166" t="s">
        <v>4686</v>
      </c>
    </row>
    <row r="687" spans="2:18" ht="15" customHeight="1">
      <c r="B687" s="203">
        <v>254016</v>
      </c>
      <c r="D687" s="348" t="s">
        <v>342</v>
      </c>
      <c r="F687" s="348">
        <v>801244</v>
      </c>
      <c r="H687" s="349" t="s">
        <v>2833</v>
      </c>
      <c r="J687" s="166" t="s">
        <v>4683</v>
      </c>
      <c r="N687" s="166" t="s">
        <v>2821</v>
      </c>
      <c r="P687" s="168">
        <f>SUMIF('Balance Sheet Detail'!$B:$B,$R687,'Balance Sheet Detail'!W:W)</f>
        <v>-2357.1731325000001</v>
      </c>
      <c r="R687" s="166" t="s">
        <v>4687</v>
      </c>
    </row>
    <row r="688" spans="2:18" ht="15" customHeight="1">
      <c r="B688" s="203">
        <v>254016</v>
      </c>
      <c r="D688" s="348" t="s">
        <v>342</v>
      </c>
      <c r="F688" s="348">
        <v>801245</v>
      </c>
      <c r="H688" s="349" t="s">
        <v>2833</v>
      </c>
      <c r="J688" s="166" t="s">
        <v>4684</v>
      </c>
      <c r="N688" s="166" t="s">
        <v>2821</v>
      </c>
      <c r="P688" s="168">
        <f>SUMIF('Balance Sheet Detail'!$B:$B,$R688,'Balance Sheet Detail'!W:W)</f>
        <v>-185.56174958333301</v>
      </c>
      <c r="R688" s="166" t="s">
        <v>4688</v>
      </c>
    </row>
    <row r="689" spans="1:18" ht="15" customHeight="1">
      <c r="B689" s="203">
        <v>254016</v>
      </c>
      <c r="D689" s="348" t="s">
        <v>342</v>
      </c>
      <c r="F689" s="348">
        <v>801246</v>
      </c>
      <c r="H689" s="349" t="s">
        <v>2833</v>
      </c>
      <c r="J689" s="166" t="s">
        <v>4685</v>
      </c>
      <c r="N689" s="166" t="s">
        <v>2821</v>
      </c>
      <c r="P689" s="168">
        <f>SUMIF('Balance Sheet Detail'!$B:$B,$R689,'Balance Sheet Detail'!W:W)</f>
        <v>-103.076605</v>
      </c>
      <c r="R689" s="166" t="s">
        <v>4689</v>
      </c>
    </row>
    <row r="690" spans="1:18" ht="15" customHeight="1">
      <c r="B690" s="203">
        <v>190501</v>
      </c>
      <c r="D690" s="348" t="s">
        <v>1730</v>
      </c>
      <c r="F690" s="348" t="s">
        <v>205</v>
      </c>
      <c r="H690" s="349" t="s">
        <v>2833</v>
      </c>
      <c r="J690" s="166" t="s">
        <v>1411</v>
      </c>
      <c r="N690" s="166" t="s">
        <v>2821</v>
      </c>
      <c r="P690" s="168">
        <f>SUMIF('Balance Sheet Detail'!$B:$B,$R690,'Balance Sheet Detail'!W:W)</f>
        <v>729.78800999999999</v>
      </c>
      <c r="R690" s="166" t="s">
        <v>3394</v>
      </c>
    </row>
    <row r="691" spans="1:18" ht="15" customHeight="1">
      <c r="B691" s="203">
        <v>190501</v>
      </c>
      <c r="D691" s="348" t="s">
        <v>342</v>
      </c>
      <c r="F691" s="348" t="s">
        <v>2833</v>
      </c>
      <c r="H691" s="349" t="s">
        <v>2833</v>
      </c>
      <c r="J691" s="166" t="s">
        <v>1120</v>
      </c>
      <c r="N691" s="166" t="s">
        <v>2821</v>
      </c>
      <c r="P691" s="168">
        <f>SUMIF('Balance Sheet Detail'!$B:$B,$R691,'Balance Sheet Detail'!W:W)</f>
        <v>1618.59404541667</v>
      </c>
      <c r="R691" s="166" t="s">
        <v>3395</v>
      </c>
    </row>
    <row r="692" spans="1:18" ht="15" customHeight="1">
      <c r="B692" s="203">
        <v>190502</v>
      </c>
      <c r="D692" s="348" t="s">
        <v>1880</v>
      </c>
      <c r="F692" s="348" t="s">
        <v>2833</v>
      </c>
      <c r="H692" s="349" t="s">
        <v>2833</v>
      </c>
      <c r="J692" s="166" t="s">
        <v>1121</v>
      </c>
      <c r="N692" s="166" t="s">
        <v>2821</v>
      </c>
      <c r="P692" s="168">
        <f>SUMIF('Balance Sheet Detail'!$B:$B,$R692,'Balance Sheet Detail'!W:W)</f>
        <v>-3832.46716625</v>
      </c>
      <c r="R692" s="166" t="s">
        <v>3399</v>
      </c>
    </row>
    <row r="693" spans="1:18" ht="15" customHeight="1">
      <c r="B693" s="203">
        <v>190511</v>
      </c>
      <c r="D693" s="348" t="s">
        <v>1730</v>
      </c>
      <c r="F693" s="348" t="s">
        <v>3000</v>
      </c>
      <c r="H693" s="349" t="s">
        <v>2833</v>
      </c>
      <c r="J693" s="166" t="s">
        <v>3001</v>
      </c>
      <c r="N693" s="166" t="s">
        <v>2821</v>
      </c>
      <c r="P693" s="168">
        <f>SUMIF('Balance Sheet Detail'!$B:$B,$R693,'Balance Sheet Detail'!W:W)</f>
        <v>154.09836000000001</v>
      </c>
      <c r="R693" s="166" t="s">
        <v>3401</v>
      </c>
    </row>
    <row r="694" spans="1:18" ht="15" customHeight="1">
      <c r="B694" s="203">
        <v>190511</v>
      </c>
      <c r="D694" s="348" t="s">
        <v>342</v>
      </c>
      <c r="F694" s="348" t="s">
        <v>2833</v>
      </c>
      <c r="H694" s="349" t="s">
        <v>2833</v>
      </c>
      <c r="J694" s="166" t="s">
        <v>8</v>
      </c>
      <c r="N694" s="166" t="s">
        <v>2821</v>
      </c>
      <c r="P694" s="168">
        <f>SUMIF('Balance Sheet Detail'!$B:$B,$R694,'Balance Sheet Detail'!W:W)</f>
        <v>353.43742750000001</v>
      </c>
      <c r="R694" s="166" t="s">
        <v>3402</v>
      </c>
    </row>
    <row r="695" spans="1:18" ht="15" customHeight="1">
      <c r="B695" s="203">
        <v>190512</v>
      </c>
      <c r="D695" s="348" t="s">
        <v>1880</v>
      </c>
      <c r="F695" s="348" t="s">
        <v>2833</v>
      </c>
      <c r="H695" s="349" t="s">
        <v>2833</v>
      </c>
      <c r="J695" s="166" t="s">
        <v>1121</v>
      </c>
      <c r="N695" s="166" t="s">
        <v>2821</v>
      </c>
      <c r="P695" s="168">
        <f>SUMIF('Balance Sheet Detail'!$B:$B,$R695,'Balance Sheet Detail'!W:W)</f>
        <v>-836.86042833333397</v>
      </c>
      <c r="R695" s="166" t="s">
        <v>3406</v>
      </c>
    </row>
    <row r="696" spans="1:18" ht="15" customHeight="1">
      <c r="B696" s="203">
        <v>283500</v>
      </c>
      <c r="D696" s="348" t="s">
        <v>342</v>
      </c>
      <c r="F696" s="348" t="s">
        <v>939</v>
      </c>
      <c r="H696" s="349" t="s">
        <v>2833</v>
      </c>
      <c r="J696" s="166" t="s">
        <v>1023</v>
      </c>
      <c r="N696" s="166" t="s">
        <v>2821</v>
      </c>
      <c r="P696" s="168">
        <f>SUMIF('Balance Sheet Detail'!$B:$B,$R696,'Balance Sheet Detail'!W:W)</f>
        <v>0</v>
      </c>
      <c r="R696" s="166" t="s">
        <v>4174</v>
      </c>
    </row>
    <row r="697" spans="1:18" ht="15" customHeight="1">
      <c r="B697" s="203">
        <v>283510</v>
      </c>
      <c r="D697" s="348" t="s">
        <v>1880</v>
      </c>
      <c r="F697" s="348" t="s">
        <v>939</v>
      </c>
      <c r="H697" s="349" t="s">
        <v>2833</v>
      </c>
      <c r="J697" s="166" t="s">
        <v>1023</v>
      </c>
      <c r="N697" s="166" t="s">
        <v>2821</v>
      </c>
      <c r="P697" s="168">
        <f>SUMIF('Balance Sheet Detail'!$B:$B,$R697,'Balance Sheet Detail'!W:W)</f>
        <v>0</v>
      </c>
      <c r="R697" s="166" t="s">
        <v>4175</v>
      </c>
    </row>
    <row r="698" spans="1:18" ht="15" customHeight="1">
      <c r="B698" s="203">
        <v>283550</v>
      </c>
      <c r="D698" s="348" t="s">
        <v>342</v>
      </c>
      <c r="F698" s="348" t="s">
        <v>939</v>
      </c>
      <c r="H698" s="349" t="s">
        <v>2833</v>
      </c>
      <c r="J698" s="166" t="s">
        <v>1023</v>
      </c>
      <c r="N698" s="166" t="s">
        <v>2821</v>
      </c>
      <c r="P698" s="168">
        <f>SUMIF('Balance Sheet Detail'!$B:$B,$R698,'Balance Sheet Detail'!W:W)</f>
        <v>0</v>
      </c>
      <c r="R698" s="166" t="s">
        <v>4176</v>
      </c>
    </row>
    <row r="699" spans="1:18" ht="15" customHeight="1">
      <c r="B699" s="203">
        <v>283560</v>
      </c>
      <c r="D699" s="348" t="s">
        <v>1880</v>
      </c>
      <c r="F699" s="348" t="s">
        <v>939</v>
      </c>
      <c r="H699" s="349" t="s">
        <v>2833</v>
      </c>
      <c r="J699" s="166" t="s">
        <v>1023</v>
      </c>
      <c r="N699" s="166" t="s">
        <v>2821</v>
      </c>
      <c r="P699" s="168">
        <f>SUMIF('Balance Sheet Detail'!$B:$B,$R699,'Balance Sheet Detail'!W:W)</f>
        <v>0</v>
      </c>
      <c r="R699" s="166" t="s">
        <v>4177</v>
      </c>
    </row>
    <row r="700" spans="1:18" ht="15" customHeight="1">
      <c r="D700" s="348"/>
      <c r="F700" s="348"/>
      <c r="H700" s="349"/>
      <c r="P700" s="350"/>
    </row>
    <row r="701" spans="1:18">
      <c r="A701" s="127"/>
      <c r="B701" s="351" t="s">
        <v>3210</v>
      </c>
      <c r="C701" s="352"/>
      <c r="D701" s="348"/>
      <c r="E701" s="352"/>
      <c r="F701" s="348"/>
      <c r="G701" s="352"/>
      <c r="H701" s="349"/>
      <c r="I701" s="352"/>
      <c r="K701" s="352"/>
      <c r="L701" s="352"/>
      <c r="P701" s="353">
        <f>SUM(P665:P700)</f>
        <v>5013.4822408333675</v>
      </c>
    </row>
    <row r="702" spans="1:18">
      <c r="A702" s="127"/>
      <c r="D702" s="348"/>
      <c r="F702" s="348"/>
      <c r="H702" s="349"/>
      <c r="P702" s="343"/>
    </row>
    <row r="703" spans="1:18">
      <c r="A703" s="127" t="s">
        <v>3211</v>
      </c>
      <c r="D703" s="348"/>
      <c r="F703" s="348"/>
      <c r="H703" s="349"/>
      <c r="P703" s="343"/>
    </row>
    <row r="704" spans="1:18" ht="15" customHeight="1">
      <c r="B704" s="203">
        <v>254016</v>
      </c>
      <c r="D704" s="348" t="s">
        <v>37</v>
      </c>
      <c r="F704" s="348">
        <v>801214</v>
      </c>
      <c r="H704" s="349" t="s">
        <v>1076</v>
      </c>
      <c r="J704" s="166" t="s">
        <v>38</v>
      </c>
      <c r="N704" s="166" t="s">
        <v>2821</v>
      </c>
      <c r="P704" s="168">
        <f>SUMIF('Balance Sheet Detail'!$B:$B,$R704,'Balance Sheet Detail'!W:W)</f>
        <v>-24.255481666666601</v>
      </c>
      <c r="R704" s="166" t="s">
        <v>4178</v>
      </c>
    </row>
    <row r="705" spans="1:18" ht="15" customHeight="1">
      <c r="B705" s="203">
        <v>254017</v>
      </c>
      <c r="D705" s="348" t="s">
        <v>2520</v>
      </c>
      <c r="F705" s="348">
        <v>801214</v>
      </c>
      <c r="H705" s="349" t="s">
        <v>1076</v>
      </c>
      <c r="J705" s="166" t="s">
        <v>1237</v>
      </c>
      <c r="N705" s="166" t="s">
        <v>2821</v>
      </c>
      <c r="P705" s="168">
        <f>SUMIF('Balance Sheet Detail'!$B:$B,$R705,'Balance Sheet Detail'!W:W)</f>
        <v>-89.419920000000005</v>
      </c>
      <c r="R705" s="166" t="s">
        <v>4179</v>
      </c>
    </row>
    <row r="706" spans="1:18" ht="15" customHeight="1">
      <c r="B706" s="203">
        <v>190501</v>
      </c>
      <c r="D706" s="348" t="s">
        <v>37</v>
      </c>
      <c r="F706" s="348" t="s">
        <v>1433</v>
      </c>
      <c r="H706" s="349" t="s">
        <v>1076</v>
      </c>
      <c r="J706" s="166" t="s">
        <v>1013</v>
      </c>
      <c r="N706" s="166" t="s">
        <v>2821</v>
      </c>
      <c r="P706" s="168">
        <f>SUMIF('Balance Sheet Detail'!$B:$B,$R706,'Balance Sheet Detail'!W:W)</f>
        <v>7.88666624999997</v>
      </c>
      <c r="R706" s="166" t="s">
        <v>3436</v>
      </c>
    </row>
    <row r="707" spans="1:18" ht="15" customHeight="1">
      <c r="B707" s="203">
        <v>190502</v>
      </c>
      <c r="D707" s="348" t="s">
        <v>742</v>
      </c>
      <c r="F707" s="348" t="s">
        <v>1433</v>
      </c>
      <c r="H707" s="349" t="s">
        <v>1076</v>
      </c>
      <c r="J707" s="166" t="s">
        <v>1013</v>
      </c>
      <c r="N707" s="166" t="s">
        <v>2821</v>
      </c>
      <c r="P707" s="168">
        <f>SUMIF('Balance Sheet Detail'!$B:$B,$R707,'Balance Sheet Detail'!W:W)</f>
        <v>29.074896249999998</v>
      </c>
      <c r="R707" s="166" t="s">
        <v>3437</v>
      </c>
    </row>
    <row r="708" spans="1:18" ht="15" customHeight="1">
      <c r="B708" s="203">
        <v>190511</v>
      </c>
      <c r="D708" s="348" t="s">
        <v>37</v>
      </c>
      <c r="F708" s="348" t="s">
        <v>1433</v>
      </c>
      <c r="H708" s="349" t="s">
        <v>1076</v>
      </c>
      <c r="J708" s="166" t="s">
        <v>1013</v>
      </c>
      <c r="N708" s="166" t="s">
        <v>2821</v>
      </c>
      <c r="P708" s="168">
        <f>SUMIF('Balance Sheet Detail'!$B:$B,$R708,'Balance Sheet Detail'!W:W)</f>
        <v>1.7221483333333301</v>
      </c>
      <c r="R708" s="166" t="s">
        <v>3438</v>
      </c>
    </row>
    <row r="709" spans="1:18" ht="15" customHeight="1">
      <c r="B709" s="203">
        <v>190512</v>
      </c>
      <c r="D709" s="348" t="s">
        <v>742</v>
      </c>
      <c r="F709" s="348" t="s">
        <v>1433</v>
      </c>
      <c r="H709" s="349" t="s">
        <v>1076</v>
      </c>
      <c r="J709" s="166" t="s">
        <v>1013</v>
      </c>
      <c r="N709" s="166" t="s">
        <v>2821</v>
      </c>
      <c r="P709" s="350">
        <f>SUMIF('Balance Sheet Detail'!$B:$B,$R709,'Balance Sheet Detail'!W:W)</f>
        <v>6.3488108333333297</v>
      </c>
      <c r="R709" s="166" t="s">
        <v>3439</v>
      </c>
    </row>
    <row r="710" spans="1:18" ht="15" customHeight="1">
      <c r="B710" s="351" t="s">
        <v>3212</v>
      </c>
      <c r="C710" s="352"/>
      <c r="D710" s="348"/>
      <c r="E710" s="352"/>
      <c r="F710" s="348"/>
      <c r="G710" s="352"/>
      <c r="H710" s="349"/>
      <c r="I710" s="352"/>
      <c r="K710" s="352"/>
      <c r="L710" s="352"/>
      <c r="P710" s="353">
        <f>SUM(P704:P709)</f>
        <v>-68.642879999999963</v>
      </c>
    </row>
    <row r="711" spans="1:18">
      <c r="A711" s="127"/>
      <c r="D711" s="348"/>
      <c r="F711" s="348"/>
      <c r="H711" s="349"/>
    </row>
    <row r="712" spans="1:18">
      <c r="A712" s="127" t="s">
        <v>914</v>
      </c>
      <c r="D712" s="348"/>
      <c r="F712" s="348"/>
      <c r="H712" s="349"/>
    </row>
    <row r="713" spans="1:18" ht="15" customHeight="1">
      <c r="B713" s="203">
        <v>254016</v>
      </c>
      <c r="D713" s="348" t="s">
        <v>3803</v>
      </c>
      <c r="F713" s="348">
        <v>801226</v>
      </c>
      <c r="H713" s="349" t="s">
        <v>914</v>
      </c>
      <c r="J713" s="166" t="s">
        <v>33</v>
      </c>
      <c r="N713" s="166" t="s">
        <v>2821</v>
      </c>
      <c r="P713" s="168">
        <f>SUMIF('Balance Sheet Detail'!$B:$B,$R713,'Balance Sheet Detail'!W:W)</f>
        <v>-2692.49121625</v>
      </c>
      <c r="R713" s="166" t="s">
        <v>4303</v>
      </c>
    </row>
    <row r="714" spans="1:18" ht="15" customHeight="1">
      <c r="B714" s="203">
        <v>254017</v>
      </c>
      <c r="D714" s="348" t="s">
        <v>3805</v>
      </c>
      <c r="F714" s="348">
        <v>801226</v>
      </c>
      <c r="H714" s="349" t="s">
        <v>914</v>
      </c>
      <c r="J714" s="166" t="s">
        <v>1234</v>
      </c>
      <c r="N714" s="166" t="s">
        <v>2821</v>
      </c>
      <c r="P714" s="168">
        <f>SUMIF('Balance Sheet Detail'!$B:$B,$R714,'Balance Sheet Detail'!W:W)</f>
        <v>-1563.8432129166699</v>
      </c>
      <c r="R714" s="166" t="s">
        <v>4304</v>
      </c>
    </row>
    <row r="715" spans="1:18" ht="15" customHeight="1">
      <c r="B715" s="203">
        <v>190531</v>
      </c>
      <c r="D715" s="348" t="s">
        <v>1010</v>
      </c>
      <c r="F715" s="348"/>
      <c r="H715" s="349" t="s">
        <v>914</v>
      </c>
      <c r="J715" s="166" t="s">
        <v>109</v>
      </c>
      <c r="N715" s="166" t="s">
        <v>2821</v>
      </c>
      <c r="P715" s="168">
        <f>SUMIF('Balance Sheet Detail'!$B:$B,$R715,'Balance Sheet Detail'!W:W)</f>
        <v>875.46352208333303</v>
      </c>
      <c r="R715" s="166" t="s">
        <v>4581</v>
      </c>
    </row>
    <row r="716" spans="1:18" ht="15" customHeight="1">
      <c r="B716" s="203">
        <v>190532</v>
      </c>
      <c r="D716" s="348" t="s">
        <v>1010</v>
      </c>
      <c r="F716" s="348"/>
      <c r="H716" s="349" t="s">
        <v>914</v>
      </c>
      <c r="J716" s="166" t="s">
        <v>109</v>
      </c>
      <c r="N716" s="166" t="s">
        <v>2821</v>
      </c>
      <c r="P716" s="168">
        <f>SUMIF('Balance Sheet Detail'!$B:$B,$R716,'Balance Sheet Detail'!W:W)</f>
        <v>508.48361791666701</v>
      </c>
      <c r="R716" s="166" t="s">
        <v>4582</v>
      </c>
    </row>
    <row r="717" spans="1:18" ht="15" customHeight="1">
      <c r="B717" s="203">
        <v>190541</v>
      </c>
      <c r="D717" s="348" t="s">
        <v>1010</v>
      </c>
      <c r="F717" s="348"/>
      <c r="H717" s="349" t="s">
        <v>914</v>
      </c>
      <c r="J717" s="166" t="s">
        <v>109</v>
      </c>
      <c r="N717" s="166" t="s">
        <v>2821</v>
      </c>
      <c r="P717" s="168">
        <f>SUMIF('Balance Sheet Detail'!$B:$B,$R717,'Balance Sheet Detail'!W:W)</f>
        <v>191.16688250000001</v>
      </c>
      <c r="R717" s="166" t="s">
        <v>4583</v>
      </c>
    </row>
    <row r="718" spans="1:18" ht="15" customHeight="1">
      <c r="B718" s="203">
        <v>190542</v>
      </c>
      <c r="D718" s="348" t="s">
        <v>1010</v>
      </c>
      <c r="F718" s="348"/>
      <c r="H718" s="349" t="s">
        <v>914</v>
      </c>
      <c r="J718" s="166" t="s">
        <v>109</v>
      </c>
      <c r="N718" s="166" t="s">
        <v>2821</v>
      </c>
      <c r="P718" s="350">
        <f>SUMIF('Balance Sheet Detail'!$B:$B,$R718,'Balance Sheet Detail'!W:W)</f>
        <v>111.032861666667</v>
      </c>
      <c r="R718" s="166" t="s">
        <v>4584</v>
      </c>
    </row>
    <row r="719" spans="1:18">
      <c r="A719" s="127"/>
      <c r="B719" s="351" t="s">
        <v>4305</v>
      </c>
      <c r="C719" s="352"/>
      <c r="D719" s="348"/>
      <c r="E719" s="352"/>
      <c r="F719" s="348"/>
      <c r="G719" s="352"/>
      <c r="H719" s="349"/>
      <c r="I719" s="352"/>
      <c r="K719" s="352"/>
      <c r="L719" s="352"/>
      <c r="P719" s="353">
        <f>SUM(P713:P718)</f>
        <v>-2570.187545000003</v>
      </c>
    </row>
    <row r="720" spans="1:18">
      <c r="A720" s="127"/>
      <c r="D720" s="348"/>
      <c r="F720" s="348"/>
      <c r="H720" s="349"/>
    </row>
    <row r="721" spans="1:18">
      <c r="A721" s="127" t="s">
        <v>3213</v>
      </c>
      <c r="D721" s="348"/>
      <c r="F721" s="348"/>
      <c r="H721" s="349"/>
      <c r="P721" s="343"/>
    </row>
    <row r="722" spans="1:18" ht="15" customHeight="1">
      <c r="B722" s="203">
        <v>182301</v>
      </c>
      <c r="D722" s="348" t="s">
        <v>1611</v>
      </c>
      <c r="F722" s="348">
        <v>807045</v>
      </c>
      <c r="H722" s="349" t="s">
        <v>556</v>
      </c>
      <c r="J722" s="166" t="s">
        <v>2252</v>
      </c>
      <c r="N722" s="166" t="s">
        <v>928</v>
      </c>
      <c r="P722" s="168">
        <f>SUMIF('Balance Sheet Detail'!$B:$B,$R722,'Balance Sheet Detail'!W:W)</f>
        <v>0</v>
      </c>
      <c r="R722" s="166" t="s">
        <v>4180</v>
      </c>
    </row>
    <row r="723" spans="1:18" ht="15" customHeight="1">
      <c r="B723" s="203">
        <v>182301</v>
      </c>
      <c r="D723" s="348" t="s">
        <v>1611</v>
      </c>
      <c r="F723" s="348">
        <v>807046</v>
      </c>
      <c r="H723" s="349" t="s">
        <v>556</v>
      </c>
      <c r="J723" s="166" t="s">
        <v>2253</v>
      </c>
      <c r="N723" s="166" t="s">
        <v>928</v>
      </c>
      <c r="P723" s="168">
        <f>SUMIF('Balance Sheet Detail'!$B:$B,$R723,'Balance Sheet Detail'!W:W)</f>
        <v>0</v>
      </c>
      <c r="R723" s="166" t="s">
        <v>4181</v>
      </c>
    </row>
    <row r="724" spans="1:18" ht="15" customHeight="1">
      <c r="B724" s="203">
        <v>182301</v>
      </c>
      <c r="D724" s="348" t="s">
        <v>1611</v>
      </c>
      <c r="F724" s="348" t="s">
        <v>2901</v>
      </c>
      <c r="H724" s="349" t="s">
        <v>556</v>
      </c>
      <c r="J724" s="166" t="s">
        <v>2902</v>
      </c>
      <c r="N724" s="166" t="s">
        <v>928</v>
      </c>
      <c r="P724" s="168">
        <f>SUMIF('Balance Sheet Detail'!$B:$B,$R724,'Balance Sheet Detail'!W:W)</f>
        <v>0</v>
      </c>
      <c r="R724" s="166" t="s">
        <v>4182</v>
      </c>
    </row>
    <row r="725" spans="1:18" ht="15" customHeight="1">
      <c r="B725" s="203">
        <v>182301</v>
      </c>
      <c r="D725" s="348" t="s">
        <v>1611</v>
      </c>
      <c r="F725" s="348" t="s">
        <v>788</v>
      </c>
      <c r="H725" s="349" t="s">
        <v>556</v>
      </c>
      <c r="J725" s="166" t="s">
        <v>789</v>
      </c>
      <c r="N725" s="166" t="s">
        <v>928</v>
      </c>
      <c r="P725" s="168">
        <f>SUMIF('Balance Sheet Detail'!$B:$B,$R725,'Balance Sheet Detail'!W:W)</f>
        <v>39.758200000000002</v>
      </c>
      <c r="R725" s="166" t="s">
        <v>4183</v>
      </c>
    </row>
    <row r="726" spans="1:18" ht="15" customHeight="1">
      <c r="B726" s="203">
        <v>182301</v>
      </c>
      <c r="D726" s="348" t="s">
        <v>1611</v>
      </c>
      <c r="F726" s="348" t="s">
        <v>3114</v>
      </c>
      <c r="H726" s="349" t="s">
        <v>556</v>
      </c>
      <c r="J726" s="166" t="s">
        <v>3115</v>
      </c>
      <c r="N726" s="166" t="s">
        <v>928</v>
      </c>
      <c r="P726" s="168">
        <f>SUMIF('Balance Sheet Detail'!$B:$B,$R726,'Balance Sheet Detail'!W:W)</f>
        <v>199.12707</v>
      </c>
      <c r="R726" s="166" t="s">
        <v>4184</v>
      </c>
    </row>
    <row r="727" spans="1:18" ht="15" customHeight="1">
      <c r="B727" s="203">
        <v>182301</v>
      </c>
      <c r="D727" s="348" t="s">
        <v>1611</v>
      </c>
      <c r="F727" s="348" t="s">
        <v>4404</v>
      </c>
      <c r="H727" s="349" t="s">
        <v>556</v>
      </c>
      <c r="J727" s="166" t="s">
        <v>4491</v>
      </c>
      <c r="N727" s="166" t="s">
        <v>928</v>
      </c>
      <c r="P727" s="168">
        <f>SUMIF('Balance Sheet Detail'!$B:$B,$R727,'Balance Sheet Detail'!W:W)</f>
        <v>-265.91451333333299</v>
      </c>
      <c r="R727" s="166" t="s">
        <v>4492</v>
      </c>
    </row>
    <row r="728" spans="1:18" ht="15" customHeight="1">
      <c r="B728" s="203">
        <v>182301</v>
      </c>
      <c r="D728" s="348" t="s">
        <v>1611</v>
      </c>
      <c r="F728" s="348" t="s">
        <v>4627</v>
      </c>
      <c r="H728" s="349" t="s">
        <v>556</v>
      </c>
      <c r="J728" s="166" t="s">
        <v>4491</v>
      </c>
      <c r="N728" s="166" t="s">
        <v>928</v>
      </c>
      <c r="P728" s="168">
        <f>SUMIF('Balance Sheet Detail'!$B:$B,$R728,'Balance Sheet Detail'!W:W)</f>
        <v>-260.28715958333299</v>
      </c>
      <c r="R728" s="166" t="s">
        <v>4631</v>
      </c>
    </row>
    <row r="729" spans="1:18" ht="15" customHeight="1">
      <c r="B729" s="203">
        <v>182367</v>
      </c>
      <c r="D729" s="348" t="s">
        <v>1625</v>
      </c>
      <c r="F729" s="348">
        <v>807045</v>
      </c>
      <c r="H729" s="349" t="s">
        <v>556</v>
      </c>
      <c r="J729" s="166" t="s">
        <v>481</v>
      </c>
      <c r="N729" s="166" t="s">
        <v>928</v>
      </c>
      <c r="P729" s="168">
        <f>SUMIF('Balance Sheet Detail'!$B:$B,$R729,'Balance Sheet Detail'!W:W)</f>
        <v>0</v>
      </c>
      <c r="R729" s="166" t="s">
        <v>4185</v>
      </c>
    </row>
    <row r="730" spans="1:18" ht="15" customHeight="1">
      <c r="B730" s="203">
        <v>182367</v>
      </c>
      <c r="D730" s="348" t="s">
        <v>1625</v>
      </c>
      <c r="F730" s="348">
        <v>807046</v>
      </c>
      <c r="H730" s="349" t="s">
        <v>556</v>
      </c>
      <c r="J730" s="166" t="s">
        <v>482</v>
      </c>
      <c r="N730" s="166" t="s">
        <v>928</v>
      </c>
      <c r="P730" s="168">
        <f>SUMIF('Balance Sheet Detail'!$B:$B,$R730,'Balance Sheet Detail'!W:W)</f>
        <v>0</v>
      </c>
      <c r="R730" s="166" t="s">
        <v>4186</v>
      </c>
    </row>
    <row r="731" spans="1:18" ht="15" customHeight="1">
      <c r="B731" s="203">
        <v>283500</v>
      </c>
      <c r="D731" s="348" t="s">
        <v>1611</v>
      </c>
      <c r="F731" s="348" t="s">
        <v>339</v>
      </c>
      <c r="H731" s="349" t="s">
        <v>556</v>
      </c>
      <c r="J731" s="166" t="s">
        <v>601</v>
      </c>
      <c r="N731" s="166" t="s">
        <v>928</v>
      </c>
      <c r="P731" s="168">
        <f>SUMIF('Balance Sheet Detail'!$B:$B,$R731,'Balance Sheet Detail'!W:W)</f>
        <v>93.421321250000204</v>
      </c>
      <c r="R731" s="166" t="s">
        <v>3441</v>
      </c>
    </row>
    <row r="732" spans="1:18" ht="15" customHeight="1">
      <c r="B732" s="203">
        <v>283550</v>
      </c>
      <c r="D732" s="348" t="s">
        <v>1611</v>
      </c>
      <c r="F732" s="348" t="s">
        <v>339</v>
      </c>
      <c r="H732" s="349" t="s">
        <v>556</v>
      </c>
      <c r="J732" s="166" t="s">
        <v>339</v>
      </c>
      <c r="N732" s="166" t="s">
        <v>928</v>
      </c>
      <c r="P732" s="350">
        <f>SUMIF('Balance Sheet Detail'!$B:$B,$R732,'Balance Sheet Detail'!W:W)</f>
        <v>20.399526666666599</v>
      </c>
      <c r="R732" s="166" t="s">
        <v>3442</v>
      </c>
    </row>
    <row r="733" spans="1:18">
      <c r="A733" s="127"/>
      <c r="B733" s="351" t="s">
        <v>3214</v>
      </c>
      <c r="C733" s="352"/>
      <c r="D733" s="348"/>
      <c r="E733" s="352"/>
      <c r="F733" s="348"/>
      <c r="G733" s="352"/>
      <c r="H733" s="349"/>
      <c r="I733" s="352"/>
      <c r="K733" s="352"/>
      <c r="L733" s="352"/>
      <c r="P733" s="353">
        <f>SUM(P722:P732)</f>
        <v>-173.4955549999992</v>
      </c>
    </row>
    <row r="734" spans="1:18">
      <c r="A734" s="127"/>
      <c r="D734" s="348"/>
      <c r="F734" s="348"/>
      <c r="H734" s="349"/>
      <c r="P734" s="343"/>
    </row>
    <row r="735" spans="1:18">
      <c r="A735" s="127" t="s">
        <v>2224</v>
      </c>
      <c r="D735" s="348"/>
      <c r="F735" s="348"/>
      <c r="H735" s="349"/>
      <c r="P735" s="343"/>
    </row>
    <row r="736" spans="1:18" ht="15" customHeight="1">
      <c r="B736" s="203">
        <v>182303</v>
      </c>
      <c r="D736" s="348" t="s">
        <v>1675</v>
      </c>
      <c r="F736" s="348">
        <v>808003</v>
      </c>
      <c r="H736" s="349" t="s">
        <v>2224</v>
      </c>
      <c r="J736" s="166" t="s">
        <v>2968</v>
      </c>
      <c r="N736" s="166" t="s">
        <v>928</v>
      </c>
      <c r="P736" s="168">
        <f>SUMIF('Balance Sheet Detail'!$B:$B,$R736,'Balance Sheet Detail'!W:W)</f>
        <v>0</v>
      </c>
      <c r="R736" s="166" t="s">
        <v>4187</v>
      </c>
    </row>
    <row r="737" spans="1:18" ht="15" customHeight="1">
      <c r="B737" s="203">
        <v>182303</v>
      </c>
      <c r="D737" s="348" t="s">
        <v>1675</v>
      </c>
      <c r="F737" s="348" t="s">
        <v>2965</v>
      </c>
      <c r="H737" s="349" t="s">
        <v>2224</v>
      </c>
      <c r="J737" s="166" t="s">
        <v>2969</v>
      </c>
      <c r="N737" s="166" t="s">
        <v>928</v>
      </c>
      <c r="P737" s="168">
        <f>SUMIF('Balance Sheet Detail'!$B:$B,$R737,'Balance Sheet Detail'!W:W)</f>
        <v>0</v>
      </c>
      <c r="R737" s="166" t="s">
        <v>4188</v>
      </c>
    </row>
    <row r="738" spans="1:18" ht="15" customHeight="1">
      <c r="B738" s="203">
        <v>182303</v>
      </c>
      <c r="D738" s="348" t="s">
        <v>1675</v>
      </c>
      <c r="F738" s="348" t="s">
        <v>572</v>
      </c>
      <c r="H738" s="349" t="s">
        <v>2224</v>
      </c>
      <c r="J738" s="166" t="s">
        <v>573</v>
      </c>
      <c r="N738" s="166" t="s">
        <v>928</v>
      </c>
      <c r="P738" s="168">
        <f>SUMIF('Balance Sheet Detail'!$B:$B,$R738,'Balance Sheet Detail'!W:W)</f>
        <v>0</v>
      </c>
      <c r="R738" s="166" t="s">
        <v>4189</v>
      </c>
    </row>
    <row r="739" spans="1:18" ht="15" customHeight="1">
      <c r="B739" s="203">
        <v>182303</v>
      </c>
      <c r="D739" s="348" t="s">
        <v>1675</v>
      </c>
      <c r="F739" s="348" t="s">
        <v>1064</v>
      </c>
      <c r="H739" s="349" t="s">
        <v>2224</v>
      </c>
      <c r="J739" s="166" t="s">
        <v>1248</v>
      </c>
      <c r="N739" s="166" t="s">
        <v>928</v>
      </c>
      <c r="P739" s="168">
        <f>SUMIF('Balance Sheet Detail'!$B:$B,$R739,'Balance Sheet Detail'!W:W)</f>
        <v>-202.62592000000001</v>
      </c>
      <c r="R739" s="166" t="s">
        <v>4190</v>
      </c>
    </row>
    <row r="740" spans="1:18" ht="15" customHeight="1">
      <c r="B740" s="203">
        <v>182303</v>
      </c>
      <c r="D740" s="348" t="s">
        <v>1675</v>
      </c>
      <c r="F740" s="348" t="s">
        <v>2325</v>
      </c>
      <c r="H740" s="349" t="s">
        <v>2224</v>
      </c>
      <c r="J740" s="166" t="s">
        <v>2324</v>
      </c>
      <c r="N740" s="166" t="s">
        <v>928</v>
      </c>
      <c r="P740" s="168">
        <f>SUMIF('Balance Sheet Detail'!$B:$B,$R740,'Balance Sheet Detail'!W:W)</f>
        <v>-196.96384041666599</v>
      </c>
      <c r="R740" s="166" t="s">
        <v>4191</v>
      </c>
    </row>
    <row r="741" spans="1:18" ht="15" customHeight="1">
      <c r="B741" s="203">
        <v>182303</v>
      </c>
      <c r="D741" s="348" t="s">
        <v>1675</v>
      </c>
      <c r="F741" s="348" t="s">
        <v>4313</v>
      </c>
      <c r="H741" s="349" t="s">
        <v>2224</v>
      </c>
      <c r="J741" s="166" t="s">
        <v>4314</v>
      </c>
      <c r="N741" s="166" t="s">
        <v>928</v>
      </c>
      <c r="P741" s="168">
        <f>SUMIF('Balance Sheet Detail'!$B:$B,$R741,'Balance Sheet Detail'!W:W)</f>
        <v>-329.84492333333299</v>
      </c>
      <c r="R741" s="166" t="s">
        <v>4690</v>
      </c>
    </row>
    <row r="742" spans="1:18" ht="15" customHeight="1">
      <c r="B742" s="203">
        <v>283510</v>
      </c>
      <c r="D742" s="348" t="s">
        <v>1675</v>
      </c>
      <c r="F742" s="348" t="s">
        <v>339</v>
      </c>
      <c r="H742" s="349" t="s">
        <v>2224</v>
      </c>
      <c r="J742" s="166" t="s">
        <v>339</v>
      </c>
      <c r="N742" s="166" t="s">
        <v>928</v>
      </c>
      <c r="P742" s="168">
        <f>SUMIF('Balance Sheet Detail'!$B:$B,$R742,'Balance Sheet Detail'!W:W)</f>
        <v>400.64470791666702</v>
      </c>
      <c r="R742" s="166" t="s">
        <v>3443</v>
      </c>
    </row>
    <row r="743" spans="1:18" ht="15" customHeight="1">
      <c r="B743" s="203">
        <v>283560</v>
      </c>
      <c r="D743" s="348" t="s">
        <v>1675</v>
      </c>
      <c r="F743" s="348" t="s">
        <v>339</v>
      </c>
      <c r="H743" s="349" t="s">
        <v>2224</v>
      </c>
      <c r="J743" s="166" t="s">
        <v>339</v>
      </c>
      <c r="N743" s="166" t="s">
        <v>928</v>
      </c>
      <c r="P743" s="350">
        <f>SUMIF('Balance Sheet Detail'!$B:$B,$R743,'Balance Sheet Detail'!W:W)</f>
        <v>87.485104166666602</v>
      </c>
      <c r="R743" s="166" t="s">
        <v>3444</v>
      </c>
    </row>
    <row r="744" spans="1:18">
      <c r="A744" s="127"/>
      <c r="B744" s="351" t="s">
        <v>3445</v>
      </c>
      <c r="C744" s="352"/>
      <c r="D744" s="348"/>
      <c r="E744" s="352"/>
      <c r="F744" s="348"/>
      <c r="G744" s="352"/>
      <c r="H744" s="349"/>
      <c r="I744" s="352"/>
      <c r="K744" s="352"/>
      <c r="L744" s="352"/>
      <c r="P744" s="353">
        <f>SUM(P736:P743)</f>
        <v>-241.30487166666535</v>
      </c>
    </row>
    <row r="745" spans="1:18">
      <c r="A745" s="127"/>
      <c r="D745" s="348"/>
      <c r="F745" s="348"/>
      <c r="H745" s="349"/>
      <c r="P745" s="343"/>
    </row>
    <row r="746" spans="1:18">
      <c r="A746" s="127" t="s">
        <v>3215</v>
      </c>
      <c r="D746" s="348"/>
      <c r="F746" s="348"/>
      <c r="H746" s="349"/>
      <c r="P746" s="343"/>
    </row>
    <row r="747" spans="1:18" ht="15" customHeight="1">
      <c r="B747" s="203">
        <v>182301</v>
      </c>
      <c r="D747" s="348" t="s">
        <v>3440</v>
      </c>
      <c r="F747" s="348">
        <v>809015</v>
      </c>
      <c r="H747" s="349" t="s">
        <v>3215</v>
      </c>
      <c r="J747" s="166" t="s">
        <v>304</v>
      </c>
      <c r="N747" s="166" t="s">
        <v>928</v>
      </c>
      <c r="P747" s="168">
        <f>SUMIF('Balance Sheet Detail'!$B:$B,$R747,'Balance Sheet Detail'!W:W)</f>
        <v>12.823460000000001</v>
      </c>
      <c r="R747" s="166" t="s">
        <v>4192</v>
      </c>
    </row>
    <row r="748" spans="1:18" ht="15" customHeight="1">
      <c r="B748" s="203">
        <v>283500</v>
      </c>
      <c r="D748" s="348" t="s">
        <v>3440</v>
      </c>
      <c r="F748" s="348" t="s">
        <v>924</v>
      </c>
      <c r="H748" s="349" t="s">
        <v>3215</v>
      </c>
      <c r="J748" s="166" t="s">
        <v>924</v>
      </c>
      <c r="N748" s="166" t="s">
        <v>928</v>
      </c>
      <c r="P748" s="168">
        <f>SUMIF('Balance Sheet Detail'!$B:$B,$R748,'Balance Sheet Detail'!W:W)</f>
        <v>-4.1695500000000001</v>
      </c>
      <c r="R748" s="166" t="s">
        <v>4576</v>
      </c>
    </row>
    <row r="749" spans="1:18" ht="15" customHeight="1">
      <c r="B749" s="203">
        <v>283550</v>
      </c>
      <c r="D749" s="348" t="s">
        <v>3440</v>
      </c>
      <c r="F749" s="348" t="s">
        <v>924</v>
      </c>
      <c r="H749" s="349" t="s">
        <v>3215</v>
      </c>
      <c r="J749" s="166" t="s">
        <v>924</v>
      </c>
      <c r="N749" s="166" t="s">
        <v>928</v>
      </c>
      <c r="P749" s="350">
        <f>SUMIF('Balance Sheet Detail'!$B:$B,$R749,'Balance Sheet Detail'!W:W)</f>
        <v>-0.91047</v>
      </c>
      <c r="R749" s="166" t="s">
        <v>4715</v>
      </c>
    </row>
    <row r="750" spans="1:18">
      <c r="A750" s="127"/>
      <c r="B750" s="351" t="s">
        <v>3216</v>
      </c>
      <c r="C750" s="352"/>
      <c r="D750" s="348"/>
      <c r="E750" s="352"/>
      <c r="F750" s="348"/>
      <c r="G750" s="352"/>
      <c r="H750" s="349"/>
      <c r="I750" s="352"/>
      <c r="K750" s="352"/>
      <c r="L750" s="352"/>
      <c r="P750" s="353">
        <f>SUM(P747:P749)</f>
        <v>7.7434399999999997</v>
      </c>
    </row>
    <row r="751" spans="1:18">
      <c r="A751" s="127"/>
      <c r="D751" s="348"/>
      <c r="F751" s="348"/>
      <c r="H751" s="349"/>
      <c r="P751" s="343"/>
    </row>
    <row r="752" spans="1:18">
      <c r="A752" s="127" t="s">
        <v>2675</v>
      </c>
      <c r="D752" s="348"/>
      <c r="F752" s="348"/>
      <c r="H752" s="349"/>
      <c r="P752" s="343"/>
    </row>
    <row r="753" spans="1:18">
      <c r="A753" s="127"/>
      <c r="B753" s="203">
        <v>254016</v>
      </c>
      <c r="D753" s="348" t="s">
        <v>3125</v>
      </c>
      <c r="F753" s="348">
        <v>810052</v>
      </c>
      <c r="H753" s="349" t="s">
        <v>2675</v>
      </c>
      <c r="J753" s="166" t="s">
        <v>3126</v>
      </c>
      <c r="N753" s="166" t="s">
        <v>2821</v>
      </c>
      <c r="P753" s="168">
        <f>SUMIF('Balance Sheet Detail'!$B:$B,$R753,'Balance Sheet Detail'!W:W)</f>
        <v>-11321.5209925</v>
      </c>
      <c r="R753" s="166" t="s">
        <v>4193</v>
      </c>
    </row>
    <row r="754" spans="1:18">
      <c r="A754" s="127"/>
      <c r="B754" s="203">
        <v>254017</v>
      </c>
      <c r="D754" s="348" t="s">
        <v>3130</v>
      </c>
      <c r="F754" s="348">
        <v>810052</v>
      </c>
      <c r="H754" s="349" t="s">
        <v>2675</v>
      </c>
      <c r="J754" s="166" t="s">
        <v>3131</v>
      </c>
      <c r="N754" s="166" t="s">
        <v>2821</v>
      </c>
      <c r="P754" s="168">
        <f>SUMIF('Balance Sheet Detail'!$B:$B,$R754,'Balance Sheet Detail'!W:W)</f>
        <v>-3665.13041833333</v>
      </c>
      <c r="R754" s="166" t="s">
        <v>4194</v>
      </c>
    </row>
    <row r="755" spans="1:18">
      <c r="A755" s="127"/>
      <c r="B755" s="203">
        <v>190501</v>
      </c>
      <c r="D755" s="348" t="s">
        <v>4702</v>
      </c>
      <c r="F755" s="348"/>
      <c r="H755" s="349" t="s">
        <v>2675</v>
      </c>
      <c r="J755" s="166" t="s">
        <v>4498</v>
      </c>
      <c r="N755" s="166" t="s">
        <v>2821</v>
      </c>
      <c r="P755" s="168">
        <f>SUMIF('Balance Sheet Detail'!$B:$B,$R755,'Balance Sheet Detail'!W:W)</f>
        <v>3681.1925479166698</v>
      </c>
      <c r="R755" s="166" t="s">
        <v>4703</v>
      </c>
    </row>
    <row r="756" spans="1:18">
      <c r="A756" s="127"/>
      <c r="B756" s="203">
        <v>190502</v>
      </c>
      <c r="D756" s="348" t="s">
        <v>2235</v>
      </c>
      <c r="F756" s="348"/>
      <c r="H756" s="349" t="s">
        <v>2675</v>
      </c>
      <c r="J756" s="166" t="s">
        <v>4498</v>
      </c>
      <c r="N756" s="166" t="s">
        <v>2821</v>
      </c>
      <c r="P756" s="168">
        <f>SUMIF('Balance Sheet Detail'!$B:$B,$R756,'Balance Sheet Detail'!W:W)</f>
        <v>1191.7171499999999</v>
      </c>
      <c r="R756" s="166" t="s">
        <v>4505</v>
      </c>
    </row>
    <row r="757" spans="1:18">
      <c r="A757" s="127"/>
      <c r="B757" s="203">
        <v>190511</v>
      </c>
      <c r="D757" s="348" t="s">
        <v>2235</v>
      </c>
      <c r="F757" s="348"/>
      <c r="H757" s="349" t="s">
        <v>2675</v>
      </c>
      <c r="J757" s="166" t="s">
        <v>4498</v>
      </c>
      <c r="N757" s="166" t="s">
        <v>2821</v>
      </c>
      <c r="P757" s="168">
        <f>SUMIF('Balance Sheet Detail'!$B:$B,$R757,'Balance Sheet Detail'!W:W)</f>
        <v>803.827982916667</v>
      </c>
      <c r="R757" s="166" t="s">
        <v>4506</v>
      </c>
    </row>
    <row r="758" spans="1:18">
      <c r="A758" s="127"/>
      <c r="B758" s="203">
        <v>190512</v>
      </c>
      <c r="D758" s="348" t="s">
        <v>2235</v>
      </c>
      <c r="F758" s="348"/>
      <c r="H758" s="349" t="s">
        <v>2675</v>
      </c>
      <c r="J758" s="166" t="s">
        <v>4498</v>
      </c>
      <c r="N758" s="166" t="s">
        <v>2821</v>
      </c>
      <c r="P758" s="168">
        <f>SUMIF('Balance Sheet Detail'!$B:$B,$R758,'Balance Sheet Detail'!W:W)</f>
        <v>260.22425916666703</v>
      </c>
      <c r="R758" s="166" t="s">
        <v>4507</v>
      </c>
    </row>
    <row r="759" spans="1:18">
      <c r="A759" s="127"/>
      <c r="B759" s="203">
        <v>282200</v>
      </c>
      <c r="D759" s="348" t="s">
        <v>2235</v>
      </c>
      <c r="F759" s="348" t="s">
        <v>3817</v>
      </c>
      <c r="H759" s="349" t="s">
        <v>2675</v>
      </c>
      <c r="J759" s="166" t="s">
        <v>2233</v>
      </c>
      <c r="N759" s="166" t="s">
        <v>2821</v>
      </c>
      <c r="P759" s="168">
        <f>SUMIF('Balance Sheet Detail'!$B:$B,$R759,'Balance Sheet Detail'!W:W)</f>
        <v>-36199.885276666697</v>
      </c>
      <c r="R759" s="166" t="s">
        <v>4510</v>
      </c>
    </row>
    <row r="760" spans="1:18">
      <c r="A760" s="127"/>
      <c r="B760" s="203">
        <v>282200</v>
      </c>
      <c r="D760" s="348" t="s">
        <v>2235</v>
      </c>
      <c r="F760" s="348" t="s">
        <v>3818</v>
      </c>
      <c r="H760" s="349" t="s">
        <v>2675</v>
      </c>
      <c r="J760" s="166" t="s">
        <v>2234</v>
      </c>
      <c r="N760" s="166" t="s">
        <v>2821</v>
      </c>
      <c r="P760" s="168">
        <f>SUMIF('Balance Sheet Detail'!$B:$B,$R760,'Balance Sheet Detail'!W:W)</f>
        <v>745.25288499999999</v>
      </c>
      <c r="R760" s="166" t="s">
        <v>4511</v>
      </c>
    </row>
    <row r="761" spans="1:18">
      <c r="A761" s="127"/>
      <c r="B761" s="203">
        <v>282210</v>
      </c>
      <c r="D761" s="348" t="s">
        <v>2235</v>
      </c>
      <c r="F761" s="348" t="s">
        <v>3817</v>
      </c>
      <c r="H761" s="349" t="s">
        <v>2675</v>
      </c>
      <c r="J761" s="166" t="s">
        <v>2233</v>
      </c>
      <c r="N761" s="166" t="s">
        <v>2821</v>
      </c>
      <c r="P761" s="168">
        <f>SUMIF('Balance Sheet Detail'!$B:$B,$R761,'Balance Sheet Detail'!W:W)</f>
        <v>-10363.7511291667</v>
      </c>
      <c r="R761" s="166" t="s">
        <v>4514</v>
      </c>
    </row>
    <row r="762" spans="1:18">
      <c r="A762" s="127"/>
      <c r="B762" s="203">
        <v>282210</v>
      </c>
      <c r="D762" s="348" t="s">
        <v>2235</v>
      </c>
      <c r="F762" s="348" t="s">
        <v>3818</v>
      </c>
      <c r="H762" s="349" t="s">
        <v>2675</v>
      </c>
      <c r="J762" s="166" t="s">
        <v>2234</v>
      </c>
      <c r="N762" s="166" t="s">
        <v>2821</v>
      </c>
      <c r="P762" s="168">
        <f>SUMIF('Balance Sheet Detail'!$B:$B,$R762,'Balance Sheet Detail'!W:W)</f>
        <v>31.190833333333298</v>
      </c>
      <c r="R762" s="166" t="s">
        <v>4515</v>
      </c>
    </row>
    <row r="763" spans="1:18">
      <c r="A763" s="127"/>
      <c r="B763" s="203">
        <v>282240</v>
      </c>
      <c r="D763" s="348" t="s">
        <v>2235</v>
      </c>
      <c r="F763" s="348" t="s">
        <v>2675</v>
      </c>
      <c r="H763" s="349" t="s">
        <v>2675</v>
      </c>
      <c r="J763" s="166" t="s">
        <v>2234</v>
      </c>
      <c r="N763" s="166" t="s">
        <v>2821</v>
      </c>
      <c r="P763" s="168">
        <f>SUMIF('Balance Sheet Detail'!$B:$B,$R763,'Balance Sheet Detail'!W:W)</f>
        <v>-2131.28728166667</v>
      </c>
      <c r="R763" s="166" t="s">
        <v>4516</v>
      </c>
    </row>
    <row r="764" spans="1:18">
      <c r="A764" s="127"/>
      <c r="B764" s="203">
        <v>282250</v>
      </c>
      <c r="D764" s="348" t="s">
        <v>2235</v>
      </c>
      <c r="F764" s="348" t="s">
        <v>2675</v>
      </c>
      <c r="H764" s="349" t="s">
        <v>2675</v>
      </c>
      <c r="J764" s="166" t="s">
        <v>2234</v>
      </c>
      <c r="N764" s="166" t="s">
        <v>2821</v>
      </c>
      <c r="P764" s="168">
        <f>SUMIF('Balance Sheet Detail'!$B:$B,$R764,'Balance Sheet Detail'!W:W)</f>
        <v>-88.689653333333297</v>
      </c>
      <c r="R764" s="166" t="s">
        <v>4518</v>
      </c>
    </row>
    <row r="765" spans="1:18">
      <c r="A765" s="127"/>
      <c r="B765" s="203">
        <v>283200</v>
      </c>
      <c r="D765" s="348" t="s">
        <v>2235</v>
      </c>
      <c r="F765" s="348" t="s">
        <v>2675</v>
      </c>
      <c r="H765" s="349" t="s">
        <v>2675</v>
      </c>
      <c r="J765" s="166" t="s">
        <v>2233</v>
      </c>
      <c r="N765" s="166" t="s">
        <v>2821</v>
      </c>
      <c r="P765" s="168">
        <f>SUMIF('Balance Sheet Detail'!$B:$B,$R765,'Balance Sheet Detail'!W:W)</f>
        <v>0</v>
      </c>
      <c r="R765" s="166" t="s">
        <v>4195</v>
      </c>
    </row>
    <row r="766" spans="1:18">
      <c r="A766" s="127"/>
      <c r="B766" s="203">
        <v>283200</v>
      </c>
      <c r="D766" s="348" t="s">
        <v>2235</v>
      </c>
      <c r="F766" s="348" t="s">
        <v>2675</v>
      </c>
      <c r="H766" s="349" t="s">
        <v>2675</v>
      </c>
      <c r="J766" s="166" t="s">
        <v>2234</v>
      </c>
      <c r="N766" s="166" t="s">
        <v>2821</v>
      </c>
      <c r="P766" s="168">
        <f>SUMIF('Balance Sheet Detail'!$B:$B,$R766,'Balance Sheet Detail'!W:W)</f>
        <v>0</v>
      </c>
      <c r="R766" s="166" t="s">
        <v>4196</v>
      </c>
    </row>
    <row r="767" spans="1:18">
      <c r="A767" s="127"/>
      <c r="B767" s="203">
        <v>283210</v>
      </c>
      <c r="D767" s="348" t="s">
        <v>2235</v>
      </c>
      <c r="F767" s="348" t="s">
        <v>2675</v>
      </c>
      <c r="H767" s="349" t="s">
        <v>2675</v>
      </c>
      <c r="J767" s="166" t="s">
        <v>2233</v>
      </c>
      <c r="N767" s="166" t="s">
        <v>2821</v>
      </c>
      <c r="P767" s="168">
        <f>SUMIF('Balance Sheet Detail'!$B:$B,$R767,'Balance Sheet Detail'!W:W)</f>
        <v>0</v>
      </c>
      <c r="R767" s="166" t="s">
        <v>4197</v>
      </c>
    </row>
    <row r="768" spans="1:18">
      <c r="A768" s="127"/>
      <c r="B768" s="203">
        <v>283210</v>
      </c>
      <c r="D768" s="348" t="s">
        <v>2235</v>
      </c>
      <c r="F768" s="348" t="s">
        <v>2675</v>
      </c>
      <c r="H768" s="349" t="s">
        <v>2675</v>
      </c>
      <c r="J768" s="166" t="s">
        <v>2234</v>
      </c>
      <c r="N768" s="166" t="s">
        <v>2821</v>
      </c>
      <c r="P768" s="168">
        <f>SUMIF('Balance Sheet Detail'!$B:$B,$R768,'Balance Sheet Detail'!W:W)</f>
        <v>0</v>
      </c>
      <c r="R768" s="166" t="s">
        <v>4198</v>
      </c>
    </row>
    <row r="769" spans="1:18">
      <c r="A769" s="127"/>
      <c r="B769" s="203">
        <v>283400</v>
      </c>
      <c r="D769" s="348" t="s">
        <v>2235</v>
      </c>
      <c r="F769" s="348" t="s">
        <v>2675</v>
      </c>
      <c r="H769" s="349" t="s">
        <v>2675</v>
      </c>
      <c r="J769" s="166" t="s">
        <v>2234</v>
      </c>
      <c r="N769" s="166" t="s">
        <v>2821</v>
      </c>
      <c r="P769" s="168">
        <f>SUMIF('Balance Sheet Detail'!$B:$B,$R769,'Balance Sheet Detail'!W:W)</f>
        <v>0</v>
      </c>
      <c r="R769" s="166" t="s">
        <v>4199</v>
      </c>
    </row>
    <row r="770" spans="1:18">
      <c r="A770" s="127"/>
      <c r="B770" s="203">
        <v>283410</v>
      </c>
      <c r="D770" s="348" t="s">
        <v>2235</v>
      </c>
      <c r="F770" s="348" t="s">
        <v>2675</v>
      </c>
      <c r="H770" s="349" t="s">
        <v>2675</v>
      </c>
      <c r="J770" s="166" t="s">
        <v>2234</v>
      </c>
      <c r="N770" s="166" t="s">
        <v>2821</v>
      </c>
      <c r="P770" s="350">
        <f>SUMIF('Balance Sheet Detail'!$B:$B,$R770,'Balance Sheet Detail'!W:W)</f>
        <v>0</v>
      </c>
      <c r="R770" s="166" t="s">
        <v>4200</v>
      </c>
    </row>
    <row r="771" spans="1:18">
      <c r="A771" s="127"/>
      <c r="B771" s="351" t="s">
        <v>3476</v>
      </c>
      <c r="D771" s="348"/>
      <c r="F771" s="348"/>
      <c r="H771" s="349"/>
      <c r="P771" s="353">
        <f>SUM(P753:P770)</f>
        <v>-57056.859093333391</v>
      </c>
    </row>
    <row r="772" spans="1:18">
      <c r="A772" s="127"/>
      <c r="B772" s="351"/>
      <c r="D772" s="348"/>
      <c r="F772" s="348"/>
      <c r="H772" s="349"/>
      <c r="P772" s="343"/>
    </row>
    <row r="773" spans="1:18">
      <c r="A773" s="127" t="s">
        <v>3069</v>
      </c>
      <c r="D773" s="348"/>
      <c r="F773" s="348"/>
      <c r="H773" s="349"/>
      <c r="P773" s="343"/>
    </row>
    <row r="774" spans="1:18" ht="15" customHeight="1">
      <c r="B774" s="203">
        <v>219533</v>
      </c>
      <c r="D774" s="348"/>
      <c r="F774" s="348"/>
      <c r="H774" s="349" t="s">
        <v>1567</v>
      </c>
      <c r="J774" s="166" t="s">
        <v>1685</v>
      </c>
      <c r="N774" s="166" t="s">
        <v>928</v>
      </c>
      <c r="P774" s="168">
        <f>SUMIF('Balance Sheet Detail'!$B:$B,$R774,'Balance Sheet Detail'!W:W)</f>
        <v>2476.2658262499999</v>
      </c>
      <c r="R774" s="166" t="s">
        <v>3446</v>
      </c>
    </row>
    <row r="775" spans="1:18" ht="15" customHeight="1">
      <c r="B775" s="203">
        <v>219537</v>
      </c>
      <c r="D775" s="348"/>
      <c r="F775" s="348"/>
      <c r="H775" s="349" t="s">
        <v>1567</v>
      </c>
      <c r="J775" s="166" t="s">
        <v>2374</v>
      </c>
      <c r="N775" s="166" t="s">
        <v>928</v>
      </c>
      <c r="P775" s="350">
        <f>SUMIF('Balance Sheet Detail'!$B:$B,$R775,'Balance Sheet Detail'!W:W)</f>
        <v>-603.43924916666697</v>
      </c>
      <c r="R775" s="166" t="s">
        <v>3447</v>
      </c>
    </row>
    <row r="776" spans="1:18">
      <c r="A776" s="127"/>
      <c r="B776" s="351" t="s">
        <v>3452</v>
      </c>
      <c r="C776" s="352"/>
      <c r="D776" s="348"/>
      <c r="E776" s="352"/>
      <c r="F776" s="348"/>
      <c r="G776" s="352"/>
      <c r="H776" s="349"/>
      <c r="I776" s="352"/>
      <c r="K776" s="352"/>
      <c r="L776" s="352"/>
      <c r="P776" s="353">
        <f>SUM(P774:P775)</f>
        <v>1872.8265770833329</v>
      </c>
    </row>
    <row r="777" spans="1:18">
      <c r="A777" s="127"/>
      <c r="D777" s="348"/>
      <c r="F777" s="348"/>
      <c r="H777" s="349"/>
      <c r="P777" s="343"/>
    </row>
    <row r="778" spans="1:18">
      <c r="A778" s="127" t="s">
        <v>2762</v>
      </c>
      <c r="D778" s="348"/>
      <c r="F778" s="348"/>
      <c r="H778" s="349"/>
      <c r="P778" s="343"/>
    </row>
    <row r="779" spans="1:18">
      <c r="A779" s="127"/>
      <c r="B779" s="203">
        <v>242180</v>
      </c>
      <c r="D779" s="348"/>
      <c r="F779" s="348"/>
      <c r="H779" s="349" t="s">
        <v>2762</v>
      </c>
      <c r="J779" s="166" t="s">
        <v>2761</v>
      </c>
      <c r="P779" s="168">
        <f>SUMIF('Balance Sheet Detail'!$B:$B,$R779,'Balance Sheet Detail'!W:W)</f>
        <v>0</v>
      </c>
      <c r="R779" s="166" t="s">
        <v>4201</v>
      </c>
    </row>
    <row r="780" spans="1:18">
      <c r="A780" s="127"/>
      <c r="B780" s="203">
        <v>182380</v>
      </c>
      <c r="D780" s="348" t="s">
        <v>3799</v>
      </c>
      <c r="F780" s="348" t="s">
        <v>860</v>
      </c>
      <c r="H780" s="349" t="s">
        <v>2762</v>
      </c>
      <c r="J780" s="166" t="s">
        <v>2827</v>
      </c>
      <c r="P780" s="168">
        <f>SUMIF('Balance Sheet Detail'!$B:$B,$R780,'Balance Sheet Detail'!W:W)</f>
        <v>0</v>
      </c>
      <c r="R780" s="166" t="s">
        <v>4202</v>
      </c>
    </row>
    <row r="781" spans="1:18">
      <c r="A781" s="127"/>
      <c r="B781" s="203">
        <v>182380</v>
      </c>
      <c r="D781" s="348" t="s">
        <v>847</v>
      </c>
      <c r="F781" s="348" t="s">
        <v>2828</v>
      </c>
      <c r="H781" s="349" t="s">
        <v>2762</v>
      </c>
      <c r="J781" s="166" t="s">
        <v>2829</v>
      </c>
      <c r="P781" s="168">
        <f>SUMIF('Balance Sheet Detail'!$B:$B,$R781,'Balance Sheet Detail'!W:W)</f>
        <v>0</v>
      </c>
      <c r="R781" s="166" t="s">
        <v>4203</v>
      </c>
    </row>
    <row r="782" spans="1:18">
      <c r="A782" s="127"/>
      <c r="B782" s="203">
        <v>182380</v>
      </c>
      <c r="D782" s="348" t="s">
        <v>3800</v>
      </c>
      <c r="F782" s="348">
        <v>800145</v>
      </c>
      <c r="H782" s="349" t="s">
        <v>2762</v>
      </c>
      <c r="J782" s="166" t="s">
        <v>965</v>
      </c>
      <c r="P782" s="168">
        <f>SUMIF('Balance Sheet Detail'!$B:$B,$R782,'Balance Sheet Detail'!W:W)</f>
        <v>0</v>
      </c>
      <c r="R782" s="166" t="s">
        <v>4204</v>
      </c>
    </row>
    <row r="783" spans="1:18">
      <c r="A783" s="127"/>
      <c r="B783" s="203">
        <v>254010</v>
      </c>
      <c r="D783" s="348">
        <v>0</v>
      </c>
      <c r="F783" s="348" t="s">
        <v>2010</v>
      </c>
      <c r="H783" s="349" t="s">
        <v>2762</v>
      </c>
      <c r="J783" s="166" t="s">
        <v>2011</v>
      </c>
      <c r="P783" s="168">
        <f>SUMIF('Balance Sheet Detail'!$B:$B,$R783,'Balance Sheet Detail'!W:W)</f>
        <v>0</v>
      </c>
      <c r="R783" s="166" t="s">
        <v>4205</v>
      </c>
    </row>
    <row r="784" spans="1:18">
      <c r="A784" s="127"/>
      <c r="B784" s="203">
        <v>254010</v>
      </c>
      <c r="D784" s="348">
        <v>0</v>
      </c>
      <c r="F784" s="348">
        <v>800146</v>
      </c>
      <c r="H784" s="349" t="s">
        <v>2762</v>
      </c>
      <c r="J784" s="166" t="s">
        <v>2897</v>
      </c>
      <c r="P784" s="168">
        <f>SUMIF('Balance Sheet Detail'!$B:$B,$R784,'Balance Sheet Detail'!W:W)</f>
        <v>0</v>
      </c>
      <c r="R784" s="166" t="s">
        <v>4206</v>
      </c>
    </row>
    <row r="785" spans="1:18">
      <c r="A785" s="127"/>
      <c r="B785" s="203">
        <v>254016</v>
      </c>
      <c r="D785" s="348" t="s">
        <v>3801</v>
      </c>
      <c r="F785" s="348">
        <v>800146</v>
      </c>
      <c r="H785" s="349" t="s">
        <v>2762</v>
      </c>
      <c r="J785" s="166" t="s">
        <v>2897</v>
      </c>
      <c r="P785" s="168">
        <f>SUMIF('Balance Sheet Detail'!$B:$B,$R785,'Balance Sheet Detail'!W:W)</f>
        <v>0</v>
      </c>
      <c r="R785" s="166" t="s">
        <v>4207</v>
      </c>
    </row>
    <row r="786" spans="1:18">
      <c r="A786" s="127"/>
      <c r="B786" s="203">
        <v>254016</v>
      </c>
      <c r="D786" s="348" t="s">
        <v>3801</v>
      </c>
      <c r="F786" s="348" t="s">
        <v>2010</v>
      </c>
      <c r="H786" s="349" t="s">
        <v>2762</v>
      </c>
      <c r="J786" s="166" t="s">
        <v>716</v>
      </c>
      <c r="P786" s="168">
        <f>SUMIF('Balance Sheet Detail'!$B:$B,$R786,'Balance Sheet Detail'!W:W)</f>
        <v>0</v>
      </c>
      <c r="R786" s="166" t="s">
        <v>4208</v>
      </c>
    </row>
    <row r="787" spans="1:18">
      <c r="A787" s="127"/>
      <c r="B787" s="203">
        <v>190000</v>
      </c>
      <c r="D787" s="348"/>
      <c r="F787" s="348" t="s">
        <v>2399</v>
      </c>
      <c r="H787" s="349" t="s">
        <v>2762</v>
      </c>
      <c r="J787" s="166" t="s">
        <v>1387</v>
      </c>
      <c r="P787" s="168">
        <f>SUMIF('Balance Sheet Detail'!$B:$B,$R787,'Balance Sheet Detail'!W:W)</f>
        <v>0</v>
      </c>
      <c r="R787" s="166" t="s">
        <v>4209</v>
      </c>
    </row>
    <row r="788" spans="1:18">
      <c r="A788" s="127"/>
      <c r="B788" s="203">
        <v>190000</v>
      </c>
      <c r="D788" s="348"/>
      <c r="F788" s="348" t="s">
        <v>1824</v>
      </c>
      <c r="H788" s="349" t="s">
        <v>2762</v>
      </c>
      <c r="J788" s="166" t="s">
        <v>1288</v>
      </c>
      <c r="P788" s="168">
        <f>SUMIF('Balance Sheet Detail'!$B:$B,$R788,'Balance Sheet Detail'!W:W)</f>
        <v>0</v>
      </c>
      <c r="R788" s="166" t="s">
        <v>4210</v>
      </c>
    </row>
    <row r="789" spans="1:18">
      <c r="A789" s="127"/>
      <c r="B789" s="203">
        <v>190001</v>
      </c>
      <c r="D789" s="348"/>
      <c r="F789" s="348" t="s">
        <v>860</v>
      </c>
      <c r="H789" s="349" t="s">
        <v>2762</v>
      </c>
      <c r="J789" s="166" t="s">
        <v>2647</v>
      </c>
      <c r="P789" s="168">
        <f>SUMIF('Balance Sheet Detail'!$B:$B,$R789,'Balance Sheet Detail'!W:W)</f>
        <v>0</v>
      </c>
      <c r="R789" s="166" t="s">
        <v>4211</v>
      </c>
    </row>
    <row r="790" spans="1:18">
      <c r="A790" s="127"/>
      <c r="B790" s="203">
        <v>190001</v>
      </c>
      <c r="D790" s="348"/>
      <c r="F790" s="348" t="s">
        <v>2399</v>
      </c>
      <c r="H790" s="349" t="s">
        <v>2762</v>
      </c>
      <c r="J790" s="166" t="s">
        <v>1387</v>
      </c>
      <c r="P790" s="168">
        <f>SUMIF('Balance Sheet Detail'!$B:$B,$R790,'Balance Sheet Detail'!W:W)</f>
        <v>0</v>
      </c>
      <c r="R790" s="166" t="s">
        <v>4212</v>
      </c>
    </row>
    <row r="791" spans="1:18">
      <c r="A791" s="127"/>
      <c r="B791" s="203">
        <v>190001</v>
      </c>
      <c r="D791" s="348" t="s">
        <v>353</v>
      </c>
      <c r="F791" s="348" t="s">
        <v>1824</v>
      </c>
      <c r="H791" s="349" t="s">
        <v>2762</v>
      </c>
      <c r="J791" s="166" t="s">
        <v>1288</v>
      </c>
      <c r="P791" s="168">
        <f>SUMIF('Balance Sheet Detail'!$B:$B,$R791,'Balance Sheet Detail'!W:W)</f>
        <v>2086.0909999999999</v>
      </c>
      <c r="R791" s="166" t="s">
        <v>3448</v>
      </c>
    </row>
    <row r="792" spans="1:18">
      <c r="A792" s="127"/>
      <c r="B792" s="203">
        <v>190010</v>
      </c>
      <c r="D792" s="348"/>
      <c r="F792" s="348" t="s">
        <v>3020</v>
      </c>
      <c r="H792" s="349" t="s">
        <v>2762</v>
      </c>
      <c r="J792" s="166" t="s">
        <v>1288</v>
      </c>
      <c r="P792" s="168">
        <f>SUMIF('Balance Sheet Detail'!$B:$B,$R792,'Balance Sheet Detail'!W:W)</f>
        <v>0</v>
      </c>
      <c r="R792" s="166" t="s">
        <v>4213</v>
      </c>
    </row>
    <row r="793" spans="1:18">
      <c r="A793" s="127"/>
      <c r="B793" s="203">
        <v>190011</v>
      </c>
      <c r="D793" s="348"/>
      <c r="F793" s="348" t="s">
        <v>860</v>
      </c>
      <c r="H793" s="349" t="s">
        <v>2762</v>
      </c>
      <c r="J793" s="166" t="s">
        <v>2647</v>
      </c>
      <c r="P793" s="168">
        <f>SUMIF('Balance Sheet Detail'!$B:$B,$R793,'Balance Sheet Detail'!W:W)</f>
        <v>0</v>
      </c>
      <c r="R793" s="166" t="s">
        <v>4214</v>
      </c>
    </row>
    <row r="794" spans="1:18">
      <c r="A794" s="127"/>
      <c r="B794" s="203">
        <v>190011</v>
      </c>
      <c r="D794" s="348" t="s">
        <v>353</v>
      </c>
      <c r="F794" s="348" t="s">
        <v>3020</v>
      </c>
      <c r="H794" s="349" t="s">
        <v>2762</v>
      </c>
      <c r="J794" s="166" t="s">
        <v>1288</v>
      </c>
      <c r="P794" s="168">
        <f>SUMIF('Balance Sheet Detail'!$B:$B,$R794,'Balance Sheet Detail'!W:W)</f>
        <v>614.83900000000006</v>
      </c>
      <c r="R794" s="166" t="s">
        <v>3449</v>
      </c>
    </row>
    <row r="795" spans="1:18">
      <c r="A795" s="127"/>
      <c r="B795" s="203">
        <v>283500</v>
      </c>
      <c r="D795" s="348" t="s">
        <v>847</v>
      </c>
      <c r="F795" s="348" t="s">
        <v>860</v>
      </c>
      <c r="H795" s="349" t="s">
        <v>2762</v>
      </c>
      <c r="J795" s="166" t="s">
        <v>1086</v>
      </c>
      <c r="P795" s="168">
        <f>SUMIF('Balance Sheet Detail'!$B:$B,$R795,'Balance Sheet Detail'!W:W)</f>
        <v>-24.341999999999999</v>
      </c>
      <c r="R795" s="166" t="s">
        <v>3450</v>
      </c>
    </row>
    <row r="796" spans="1:18">
      <c r="A796" s="127"/>
      <c r="B796" s="203">
        <v>283550</v>
      </c>
      <c r="D796" s="348" t="s">
        <v>847</v>
      </c>
      <c r="F796" s="348" t="s">
        <v>860</v>
      </c>
      <c r="H796" s="349" t="s">
        <v>2762</v>
      </c>
      <c r="J796" s="166" t="s">
        <v>2647</v>
      </c>
      <c r="P796" s="168">
        <f>SUMIF('Balance Sheet Detail'!$B:$B,$R796,'Balance Sheet Detail'!W:W)</f>
        <v>-5.1340000000000003</v>
      </c>
      <c r="R796" s="166" t="s">
        <v>3451</v>
      </c>
    </row>
    <row r="797" spans="1:18">
      <c r="A797" s="127"/>
      <c r="D797" s="348"/>
      <c r="F797" s="348"/>
      <c r="H797" s="349"/>
      <c r="P797" s="350"/>
    </row>
    <row r="798" spans="1:18">
      <c r="A798" s="127"/>
      <c r="B798" s="351" t="s">
        <v>3453</v>
      </c>
      <c r="D798" s="348"/>
      <c r="F798" s="348"/>
      <c r="H798" s="349"/>
      <c r="P798" s="353">
        <f>SUM(P779:P797)</f>
        <v>2671.4539999999997</v>
      </c>
    </row>
    <row r="799" spans="1:18">
      <c r="A799" s="127"/>
      <c r="D799" s="348"/>
      <c r="F799" s="348"/>
      <c r="H799" s="349"/>
      <c r="P799" s="343"/>
    </row>
    <row r="800" spans="1:18">
      <c r="A800" s="127" t="s">
        <v>2674</v>
      </c>
      <c r="D800" s="348"/>
      <c r="F800" s="348"/>
      <c r="H800" s="349"/>
      <c r="P800" s="343"/>
    </row>
    <row r="801" spans="1:18">
      <c r="A801" s="127"/>
      <c r="B801" s="203">
        <v>236961</v>
      </c>
      <c r="D801" s="348"/>
      <c r="F801" s="348"/>
      <c r="H801" s="349" t="s">
        <v>2674</v>
      </c>
      <c r="J801" s="166" t="s">
        <v>3110</v>
      </c>
      <c r="N801" s="166" t="s">
        <v>2821</v>
      </c>
      <c r="P801" s="168">
        <f>SUMIF('Balance Sheet Detail'!$B:$B,$R801,'Balance Sheet Detail'!W:W)</f>
        <v>0</v>
      </c>
      <c r="R801" s="166" t="s">
        <v>3454</v>
      </c>
    </row>
    <row r="802" spans="1:18">
      <c r="A802" s="127"/>
      <c r="B802" s="203">
        <v>190001</v>
      </c>
      <c r="D802" s="348" t="s">
        <v>2677</v>
      </c>
      <c r="F802" s="348" t="s">
        <v>2676</v>
      </c>
      <c r="H802" s="349" t="s">
        <v>2674</v>
      </c>
      <c r="J802" s="166" t="s">
        <v>2230</v>
      </c>
      <c r="N802" s="166" t="s">
        <v>2821</v>
      </c>
      <c r="P802" s="168">
        <f>SUMIF('Balance Sheet Detail'!$B:$B,$R802,'Balance Sheet Detail'!W:W)</f>
        <v>3063.8420000000001</v>
      </c>
      <c r="R802" s="166" t="s">
        <v>3455</v>
      </c>
    </row>
    <row r="803" spans="1:18">
      <c r="A803" s="127"/>
      <c r="B803" s="203">
        <v>190002</v>
      </c>
      <c r="D803" s="348" t="s">
        <v>2677</v>
      </c>
      <c r="F803" s="348" t="s">
        <v>2676</v>
      </c>
      <c r="H803" s="349" t="s">
        <v>2674</v>
      </c>
      <c r="J803" s="166" t="s">
        <v>2230</v>
      </c>
      <c r="N803" s="166" t="s">
        <v>2821</v>
      </c>
      <c r="P803" s="168">
        <f>SUMIF('Balance Sheet Detail'!$B:$B,$R803,'Balance Sheet Detail'!W:W)</f>
        <v>518.19299999999998</v>
      </c>
      <c r="R803" s="166" t="s">
        <v>3456</v>
      </c>
    </row>
    <row r="804" spans="1:18">
      <c r="A804" s="127"/>
      <c r="B804" s="203">
        <v>190960</v>
      </c>
      <c r="D804" s="348" t="s">
        <v>1569</v>
      </c>
      <c r="F804" s="348"/>
      <c r="H804" s="349" t="s">
        <v>2674</v>
      </c>
      <c r="J804" s="166" t="s">
        <v>3160</v>
      </c>
      <c r="N804" s="166" t="s">
        <v>2821</v>
      </c>
      <c r="P804" s="350">
        <f>SUMIF('Balance Sheet Detail'!$B:$B,$R804,'Balance Sheet Detail'!W:W)</f>
        <v>0</v>
      </c>
      <c r="R804" s="166" t="s">
        <v>3457</v>
      </c>
    </row>
    <row r="805" spans="1:18">
      <c r="A805" s="127"/>
      <c r="B805" s="351" t="s">
        <v>3475</v>
      </c>
      <c r="D805" s="348"/>
      <c r="F805" s="348"/>
      <c r="H805" s="349"/>
      <c r="P805" s="353">
        <f>SUM(P801:P804)</f>
        <v>3582.0349999999999</v>
      </c>
    </row>
    <row r="806" spans="1:18">
      <c r="A806" s="127"/>
      <c r="D806" s="348"/>
      <c r="F806" s="348"/>
      <c r="H806" s="349"/>
      <c r="P806" s="343"/>
    </row>
    <row r="807" spans="1:18">
      <c r="A807" s="127" t="s">
        <v>50</v>
      </c>
      <c r="D807" s="348"/>
      <c r="F807" s="348"/>
      <c r="H807" s="349"/>
      <c r="P807" s="343"/>
    </row>
    <row r="808" spans="1:18">
      <c r="A808" s="127"/>
      <c r="B808" s="203">
        <v>128450</v>
      </c>
      <c r="D808" s="348"/>
      <c r="F808" s="348"/>
      <c r="H808" s="349" t="s">
        <v>50</v>
      </c>
      <c r="J808" s="166" t="s">
        <v>2737</v>
      </c>
      <c r="N808" s="166" t="s">
        <v>928</v>
      </c>
      <c r="P808" s="350">
        <f>SUMIF('Balance Sheet Detail'!$B:$B,$R808,'Balance Sheet Detail'!W:W)</f>
        <v>9985.9254066666708</v>
      </c>
      <c r="R808" s="166" t="s">
        <v>3458</v>
      </c>
    </row>
    <row r="809" spans="1:18">
      <c r="A809" s="127"/>
      <c r="B809" s="351" t="s">
        <v>3459</v>
      </c>
      <c r="D809" s="348"/>
      <c r="F809" s="348"/>
      <c r="H809" s="349"/>
      <c r="P809" s="353">
        <f>SUM(P808)</f>
        <v>9985.9254066666708</v>
      </c>
    </row>
    <row r="810" spans="1:18">
      <c r="A810" s="127"/>
      <c r="D810" s="348"/>
      <c r="F810" s="348"/>
      <c r="H810" s="349"/>
      <c r="P810" s="343"/>
    </row>
    <row r="811" spans="1:18">
      <c r="A811" s="127" t="s">
        <v>791</v>
      </c>
      <c r="D811" s="348"/>
      <c r="F811" s="348"/>
      <c r="H811" s="349"/>
      <c r="P811" s="343"/>
    </row>
    <row r="812" spans="1:18" ht="15" customHeight="1">
      <c r="B812" s="203">
        <v>128400</v>
      </c>
      <c r="D812" s="348"/>
      <c r="F812" s="348"/>
      <c r="H812" s="349" t="s">
        <v>791</v>
      </c>
      <c r="J812" s="166" t="s">
        <v>3014</v>
      </c>
      <c r="N812" s="166" t="s">
        <v>928</v>
      </c>
      <c r="P812" s="168">
        <f>SUMIF('Balance Sheet Detail'!$B:$B,$R812,'Balance Sheet Detail'!W:W)</f>
        <v>0</v>
      </c>
      <c r="R812" s="166" t="s">
        <v>4215</v>
      </c>
    </row>
    <row r="813" spans="1:18" ht="15" customHeight="1">
      <c r="B813" s="203">
        <v>253230</v>
      </c>
      <c r="D813" s="348"/>
      <c r="F813" s="348"/>
      <c r="H813" s="349" t="s">
        <v>791</v>
      </c>
      <c r="J813" s="166" t="s">
        <v>1928</v>
      </c>
      <c r="N813" s="166" t="s">
        <v>928</v>
      </c>
      <c r="P813" s="168">
        <f>SUMIF('Balance Sheet Detail'!$B:$B,$R813,'Balance Sheet Detail'!W:W)</f>
        <v>-3386.0786775000001</v>
      </c>
      <c r="R813" s="166" t="s">
        <v>3460</v>
      </c>
    </row>
    <row r="814" spans="1:18" ht="15" customHeight="1">
      <c r="B814" s="203">
        <v>253340</v>
      </c>
      <c r="D814" s="348"/>
      <c r="F814" s="348"/>
      <c r="H814" s="349" t="s">
        <v>791</v>
      </c>
      <c r="J814" s="166" t="s">
        <v>4384</v>
      </c>
      <c r="N814" s="166" t="s">
        <v>928</v>
      </c>
      <c r="P814" s="168">
        <f>SUMIF('Balance Sheet Detail'!$B:$B,$R814,'Balance Sheet Detail'!W:W)</f>
        <v>-2786.9825141666702</v>
      </c>
      <c r="R814" s="166" t="s">
        <v>4494</v>
      </c>
    </row>
    <row r="815" spans="1:18" ht="15" customHeight="1">
      <c r="B815" s="203">
        <v>190031</v>
      </c>
      <c r="D815" s="348" t="s">
        <v>493</v>
      </c>
      <c r="F815" s="348">
        <v>6</v>
      </c>
      <c r="H815" s="349" t="s">
        <v>791</v>
      </c>
      <c r="J815" s="166" t="s">
        <v>84</v>
      </c>
      <c r="N815" s="166" t="s">
        <v>928</v>
      </c>
      <c r="P815" s="168">
        <f>SUMIF('Balance Sheet Detail'!$B:$B,$R815,'Balance Sheet Detail'!W:W)</f>
        <v>-1999.6588995833299</v>
      </c>
      <c r="R815" s="166" t="s">
        <v>4216</v>
      </c>
    </row>
    <row r="816" spans="1:18" ht="15" customHeight="1">
      <c r="B816" s="203">
        <v>190032</v>
      </c>
      <c r="D816" s="348" t="s">
        <v>493</v>
      </c>
      <c r="F816" s="348">
        <v>6</v>
      </c>
      <c r="H816" s="349" t="s">
        <v>791</v>
      </c>
      <c r="J816" s="166" t="s">
        <v>84</v>
      </c>
      <c r="N816" s="166" t="s">
        <v>928</v>
      </c>
      <c r="P816" s="168">
        <f>SUMIF('Balance Sheet Detail'!$B:$B,$R816,'Balance Sheet Detail'!W:W)</f>
        <v>-499.91340916666599</v>
      </c>
      <c r="R816" s="166" t="s">
        <v>4217</v>
      </c>
    </row>
    <row r="817" spans="1:18" ht="15" customHeight="1">
      <c r="B817" s="203">
        <v>190041</v>
      </c>
      <c r="D817" s="348" t="s">
        <v>493</v>
      </c>
      <c r="F817" s="348">
        <v>6</v>
      </c>
      <c r="H817" s="349" t="s">
        <v>791</v>
      </c>
      <c r="J817" s="166" t="s">
        <v>84</v>
      </c>
      <c r="N817" s="166" t="s">
        <v>928</v>
      </c>
      <c r="P817" s="168">
        <f>SUMIF('Balance Sheet Detail'!$B:$B,$R817,'Balance Sheet Detail'!W:W)</f>
        <v>-436.64680791666598</v>
      </c>
      <c r="R817" s="166" t="s">
        <v>4218</v>
      </c>
    </row>
    <row r="818" spans="1:18" ht="15" customHeight="1">
      <c r="B818" s="203">
        <v>190042</v>
      </c>
      <c r="D818" s="348" t="s">
        <v>493</v>
      </c>
      <c r="F818" s="348">
        <v>6</v>
      </c>
      <c r="H818" s="349" t="s">
        <v>791</v>
      </c>
      <c r="J818" s="166" t="s">
        <v>84</v>
      </c>
      <c r="N818" s="166" t="s">
        <v>928</v>
      </c>
      <c r="P818" s="168">
        <f>SUMIF('Balance Sheet Detail'!$B:$B,$R818,'Balance Sheet Detail'!W:W)</f>
        <v>-109.16192958333301</v>
      </c>
      <c r="R818" s="166" t="s">
        <v>4219</v>
      </c>
    </row>
    <row r="819" spans="1:18" ht="15" customHeight="1">
      <c r="B819" s="203">
        <v>283200</v>
      </c>
      <c r="D819" s="348" t="s">
        <v>493</v>
      </c>
      <c r="F819" s="348" t="s">
        <v>84</v>
      </c>
      <c r="H819" s="349" t="s">
        <v>791</v>
      </c>
      <c r="J819" s="166" t="s">
        <v>84</v>
      </c>
      <c r="N819" s="166" t="s">
        <v>928</v>
      </c>
      <c r="P819" s="168">
        <f>SUMIF('Balance Sheet Detail'!$B:$B,$R819,'Balance Sheet Detail'!W:W)</f>
        <v>0</v>
      </c>
      <c r="R819" s="166" t="s">
        <v>3461</v>
      </c>
    </row>
    <row r="820" spans="1:18" ht="15" customHeight="1">
      <c r="B820" s="203">
        <v>283210</v>
      </c>
      <c r="D820" s="348" t="s">
        <v>493</v>
      </c>
      <c r="F820" s="348" t="s">
        <v>84</v>
      </c>
      <c r="H820" s="349" t="s">
        <v>791</v>
      </c>
      <c r="J820" s="166" t="s">
        <v>84</v>
      </c>
      <c r="N820" s="166" t="s">
        <v>928</v>
      </c>
      <c r="P820" s="168">
        <f>SUMIF('Balance Sheet Detail'!$B:$B,$R820,'Balance Sheet Detail'!W:W)</f>
        <v>0</v>
      </c>
      <c r="R820" s="166" t="s">
        <v>3462</v>
      </c>
    </row>
    <row r="821" spans="1:18" ht="15" customHeight="1">
      <c r="B821" s="203">
        <v>283400</v>
      </c>
      <c r="D821" s="348" t="s">
        <v>493</v>
      </c>
      <c r="F821" s="348" t="s">
        <v>84</v>
      </c>
      <c r="H821" s="349" t="s">
        <v>791</v>
      </c>
      <c r="J821" s="166" t="s">
        <v>85</v>
      </c>
      <c r="N821" s="166" t="s">
        <v>928</v>
      </c>
      <c r="P821" s="168">
        <f>SUMIF('Balance Sheet Detail'!$B:$B,$R821,'Balance Sheet Detail'!W:W)</f>
        <v>0</v>
      </c>
      <c r="R821" s="166" t="s">
        <v>3463</v>
      </c>
    </row>
    <row r="822" spans="1:18" ht="15" customHeight="1">
      <c r="B822" s="203">
        <v>283410</v>
      </c>
      <c r="D822" s="348" t="s">
        <v>493</v>
      </c>
      <c r="F822" s="348" t="s">
        <v>84</v>
      </c>
      <c r="H822" s="349" t="s">
        <v>791</v>
      </c>
      <c r="J822" s="166" t="s">
        <v>85</v>
      </c>
      <c r="N822" s="166" t="s">
        <v>928</v>
      </c>
      <c r="P822" s="350">
        <f>SUMIF('Balance Sheet Detail'!$B:$B,$R822,'Balance Sheet Detail'!W:W)</f>
        <v>0</v>
      </c>
      <c r="R822" s="166" t="s">
        <v>3464</v>
      </c>
    </row>
    <row r="823" spans="1:18">
      <c r="A823" s="127"/>
      <c r="B823" s="351" t="s">
        <v>3474</v>
      </c>
      <c r="C823" s="352"/>
      <c r="D823" s="348"/>
      <c r="E823" s="352"/>
      <c r="F823" s="348"/>
      <c r="G823" s="352"/>
      <c r="H823" s="349"/>
      <c r="I823" s="352"/>
      <c r="K823" s="352"/>
      <c r="L823" s="352"/>
      <c r="P823" s="353">
        <f>SUM(P812:P822)</f>
        <v>-9218.4422379166663</v>
      </c>
    </row>
    <row r="824" spans="1:18">
      <c r="A824" s="127"/>
      <c r="D824" s="348"/>
      <c r="F824" s="348"/>
      <c r="H824" s="349"/>
      <c r="P824" s="343"/>
    </row>
    <row r="825" spans="1:18">
      <c r="A825" s="127" t="s">
        <v>636</v>
      </c>
      <c r="D825" s="348"/>
      <c r="F825" s="348"/>
      <c r="H825" s="349"/>
      <c r="P825" s="343"/>
    </row>
    <row r="826" spans="1:18" ht="15" customHeight="1">
      <c r="B826" s="203">
        <v>121000</v>
      </c>
      <c r="D826" s="348"/>
      <c r="F826" s="348"/>
      <c r="H826" s="349" t="s">
        <v>636</v>
      </c>
      <c r="J826" s="166" t="s">
        <v>1113</v>
      </c>
      <c r="N826" s="166" t="s">
        <v>928</v>
      </c>
      <c r="P826" s="168">
        <f>SUMIF('Balance Sheet Detail'!$B:$B,$R826,'Balance Sheet Detail'!W:W)</f>
        <v>6909.68022833333</v>
      </c>
      <c r="R826" s="166" t="s">
        <v>3465</v>
      </c>
    </row>
    <row r="827" spans="1:18" ht="15" customHeight="1">
      <c r="B827" s="203">
        <v>122000</v>
      </c>
      <c r="D827" s="348"/>
      <c r="F827" s="348"/>
      <c r="H827" s="349" t="s">
        <v>636</v>
      </c>
      <c r="J827" s="166" t="s">
        <v>1043</v>
      </c>
      <c r="N827" s="166" t="s">
        <v>928</v>
      </c>
      <c r="P827" s="168">
        <f>SUMIF('Balance Sheet Detail'!$B:$B,$R827,'Balance Sheet Detail'!W:W)</f>
        <v>-1169.6266324999999</v>
      </c>
      <c r="R827" s="166" t="s">
        <v>3466</v>
      </c>
    </row>
    <row r="828" spans="1:18" ht="15" customHeight="1">
      <c r="B828" s="203">
        <v>122006</v>
      </c>
      <c r="D828" s="348"/>
      <c r="F828" s="348"/>
      <c r="H828" s="349" t="s">
        <v>636</v>
      </c>
      <c r="J828" s="166" t="s">
        <v>1044</v>
      </c>
      <c r="N828" s="166" t="s">
        <v>928</v>
      </c>
      <c r="P828" s="350">
        <f>SUMIF('Balance Sheet Detail'!$B:$B,$R828,'Balance Sheet Detail'!W:W)</f>
        <v>0</v>
      </c>
      <c r="R828" s="166" t="s">
        <v>4220</v>
      </c>
    </row>
    <row r="829" spans="1:18">
      <c r="A829" s="127"/>
      <c r="B829" s="351" t="s">
        <v>3217</v>
      </c>
      <c r="C829" s="352"/>
      <c r="D829" s="348"/>
      <c r="E829" s="352"/>
      <c r="F829" s="348"/>
      <c r="G829" s="352"/>
      <c r="H829" s="349"/>
      <c r="I829" s="352"/>
      <c r="K829" s="352"/>
      <c r="L829" s="352"/>
      <c r="P829" s="353">
        <f>SUM(P826:P828)</f>
        <v>5740.0535958333303</v>
      </c>
    </row>
    <row r="830" spans="1:18">
      <c r="A830" s="127"/>
      <c r="D830" s="348"/>
      <c r="F830" s="348"/>
      <c r="H830" s="349"/>
      <c r="P830" s="343"/>
    </row>
    <row r="831" spans="1:18">
      <c r="A831" s="127" t="s">
        <v>1383</v>
      </c>
      <c r="D831" s="348"/>
      <c r="F831" s="348"/>
      <c r="H831" s="349"/>
      <c r="P831" s="343"/>
    </row>
    <row r="832" spans="1:18">
      <c r="A832" s="127"/>
      <c r="B832" s="203">
        <v>182090</v>
      </c>
      <c r="D832" s="348">
        <v>0</v>
      </c>
      <c r="F832" s="348" t="s">
        <v>1381</v>
      </c>
      <c r="H832" s="349" t="s">
        <v>1383</v>
      </c>
      <c r="J832" s="166" t="s">
        <v>1382</v>
      </c>
      <c r="P832" s="168">
        <f>SUMIF('Balance Sheet Detail'!$B:$B,$R832,'Balance Sheet Detail'!W:W)</f>
        <v>0</v>
      </c>
      <c r="R832" s="166" t="s">
        <v>4221</v>
      </c>
    </row>
    <row r="833" spans="1:18">
      <c r="A833" s="127"/>
      <c r="B833" s="203">
        <v>182090</v>
      </c>
      <c r="D833" s="348">
        <v>0</v>
      </c>
      <c r="F833" s="348" t="s">
        <v>1384</v>
      </c>
      <c r="H833" s="349" t="s">
        <v>1383</v>
      </c>
      <c r="J833" s="166" t="s">
        <v>1385</v>
      </c>
      <c r="P833" s="168">
        <f>SUMIF('Balance Sheet Detail'!$B:$B,$R833,'Balance Sheet Detail'!W:W)</f>
        <v>0</v>
      </c>
      <c r="R833" s="166" t="s">
        <v>4222</v>
      </c>
    </row>
    <row r="834" spans="1:18">
      <c r="A834" s="127"/>
      <c r="B834" s="203">
        <v>182090</v>
      </c>
      <c r="D834" s="348">
        <v>0</v>
      </c>
      <c r="F834" s="348" t="s">
        <v>1386</v>
      </c>
      <c r="H834" s="349" t="s">
        <v>1383</v>
      </c>
      <c r="J834" s="166" t="s">
        <v>452</v>
      </c>
      <c r="P834" s="168">
        <f>SUMIF('Balance Sheet Detail'!$B:$B,$R834,'Balance Sheet Detail'!W:W)</f>
        <v>0</v>
      </c>
      <c r="R834" s="166" t="s">
        <v>4223</v>
      </c>
    </row>
    <row r="835" spans="1:18">
      <c r="A835" s="127"/>
      <c r="B835" s="203">
        <v>182303</v>
      </c>
      <c r="D835" s="348" t="s">
        <v>3467</v>
      </c>
      <c r="F835" s="348" t="s">
        <v>1381</v>
      </c>
      <c r="H835" s="349" t="s">
        <v>1383</v>
      </c>
      <c r="J835" s="166" t="s">
        <v>1382</v>
      </c>
      <c r="P835" s="168">
        <f>SUMIF('Balance Sheet Detail'!$B:$B,$R835,'Balance Sheet Detail'!W:W)</f>
        <v>0</v>
      </c>
      <c r="R835" s="166" t="s">
        <v>4224</v>
      </c>
    </row>
    <row r="836" spans="1:18">
      <c r="A836" s="127"/>
      <c r="B836" s="203">
        <v>182303</v>
      </c>
      <c r="D836" s="348" t="s">
        <v>3467</v>
      </c>
      <c r="F836" s="348" t="s">
        <v>1384</v>
      </c>
      <c r="H836" s="349" t="s">
        <v>1383</v>
      </c>
      <c r="J836" s="166" t="s">
        <v>1385</v>
      </c>
      <c r="P836" s="168">
        <f>SUMIF('Balance Sheet Detail'!$B:$B,$R836,'Balance Sheet Detail'!W:W)</f>
        <v>0</v>
      </c>
      <c r="R836" s="166" t="s">
        <v>4225</v>
      </c>
    </row>
    <row r="837" spans="1:18">
      <c r="A837" s="127"/>
      <c r="B837" s="203">
        <v>182303</v>
      </c>
      <c r="D837" s="348" t="s">
        <v>3467</v>
      </c>
      <c r="F837" s="348" t="s">
        <v>1386</v>
      </c>
      <c r="H837" s="349" t="s">
        <v>1383</v>
      </c>
      <c r="J837" s="166" t="s">
        <v>452</v>
      </c>
      <c r="P837" s="350">
        <f>SUMIF('Balance Sheet Detail'!$B:$B,$R837,'Balance Sheet Detail'!W:W)</f>
        <v>0</v>
      </c>
      <c r="R837" s="166" t="s">
        <v>4226</v>
      </c>
    </row>
    <row r="838" spans="1:18">
      <c r="A838" s="127"/>
      <c r="B838" s="351" t="s">
        <v>3473</v>
      </c>
      <c r="D838" s="348"/>
      <c r="F838" s="348"/>
      <c r="H838" s="349"/>
      <c r="P838" s="353">
        <f>SUM(P832:P837)</f>
        <v>0</v>
      </c>
    </row>
    <row r="839" spans="1:18">
      <c r="A839" s="127"/>
      <c r="D839" s="348"/>
      <c r="F839" s="348"/>
      <c r="H839" s="349"/>
      <c r="P839" s="343"/>
    </row>
    <row r="840" spans="1:18">
      <c r="A840" s="127" t="s">
        <v>170</v>
      </c>
      <c r="D840" s="348"/>
      <c r="F840" s="348"/>
      <c r="H840" s="349"/>
      <c r="P840" s="343"/>
    </row>
    <row r="841" spans="1:18" ht="15" customHeight="1">
      <c r="B841" s="203">
        <v>182301</v>
      </c>
      <c r="D841" s="348" t="s">
        <v>706</v>
      </c>
      <c r="F841" s="348" t="s">
        <v>707</v>
      </c>
      <c r="H841" s="349" t="s">
        <v>170</v>
      </c>
      <c r="J841" s="166" t="s">
        <v>708</v>
      </c>
      <c r="N841" s="166" t="s">
        <v>2821</v>
      </c>
      <c r="P841" s="168">
        <f>SUMIF('Balance Sheet Detail'!$B:$B,$R841,'Balance Sheet Detail'!W:W)</f>
        <v>0</v>
      </c>
      <c r="R841" s="166" t="s">
        <v>4227</v>
      </c>
    </row>
    <row r="842" spans="1:18" ht="15" customHeight="1">
      <c r="B842" s="203">
        <v>182303</v>
      </c>
      <c r="D842" s="348" t="s">
        <v>2578</v>
      </c>
      <c r="F842" s="348" t="s">
        <v>2579</v>
      </c>
      <c r="H842" s="349" t="s">
        <v>170</v>
      </c>
      <c r="J842" s="166" t="s">
        <v>2580</v>
      </c>
      <c r="N842" s="166" t="s">
        <v>2821</v>
      </c>
      <c r="P842" s="168">
        <f>SUMIF('Balance Sheet Detail'!$B:$B,$R842,'Balance Sheet Detail'!W:W)</f>
        <v>0</v>
      </c>
      <c r="R842" s="166" t="s">
        <v>4228</v>
      </c>
    </row>
    <row r="843" spans="1:18" ht="15" customHeight="1">
      <c r="B843" s="203">
        <v>254016</v>
      </c>
      <c r="D843" s="348" t="s">
        <v>706</v>
      </c>
      <c r="F843" s="348" t="s">
        <v>1999</v>
      </c>
      <c r="H843" s="349" t="s">
        <v>170</v>
      </c>
      <c r="J843" s="166" t="s">
        <v>2000</v>
      </c>
      <c r="N843" s="166" t="s">
        <v>2821</v>
      </c>
      <c r="P843" s="168">
        <f>SUMIF('Balance Sheet Detail'!$B:$B,$R843,'Balance Sheet Detail'!W:W)</f>
        <v>-7681.5156941666601</v>
      </c>
      <c r="R843" s="166" t="s">
        <v>4229</v>
      </c>
    </row>
    <row r="844" spans="1:18" ht="15" customHeight="1">
      <c r="B844" s="203">
        <v>254016</v>
      </c>
      <c r="D844" s="348" t="s">
        <v>706</v>
      </c>
      <c r="F844" s="348">
        <v>801204</v>
      </c>
      <c r="H844" s="349" t="s">
        <v>170</v>
      </c>
      <c r="J844" s="166" t="s">
        <v>3786</v>
      </c>
      <c r="N844" s="166" t="s">
        <v>2821</v>
      </c>
      <c r="P844" s="168">
        <f>SUMIF('Balance Sheet Detail'!$B:$B,$R844,'Balance Sheet Detail'!W:W)</f>
        <v>-21280.377076249999</v>
      </c>
      <c r="R844" s="166" t="s">
        <v>4230</v>
      </c>
    </row>
    <row r="845" spans="1:18" ht="15" customHeight="1">
      <c r="B845" s="203">
        <v>254017</v>
      </c>
      <c r="D845" s="348" t="s">
        <v>2578</v>
      </c>
      <c r="F845" s="348" t="s">
        <v>2579</v>
      </c>
      <c r="H845" s="349" t="s">
        <v>170</v>
      </c>
      <c r="N845" s="166" t="s">
        <v>2821</v>
      </c>
      <c r="P845" s="168">
        <f>SUMIF('Balance Sheet Detail'!$B:$B,$R845,'Balance Sheet Detail'!W:W)</f>
        <v>-1565.0045216666699</v>
      </c>
      <c r="R845" s="166" t="s">
        <v>4231</v>
      </c>
    </row>
    <row r="846" spans="1:18" ht="15" customHeight="1">
      <c r="B846" s="203">
        <v>254017</v>
      </c>
      <c r="D846" s="348" t="s">
        <v>2578</v>
      </c>
      <c r="F846" s="348">
        <v>801204</v>
      </c>
      <c r="H846" s="349"/>
      <c r="J846" s="166" t="s">
        <v>3787</v>
      </c>
      <c r="N846" s="166" t="s">
        <v>2821</v>
      </c>
      <c r="P846" s="168">
        <f>SUMIF('Balance Sheet Detail'!$B:$B,$R846,'Balance Sheet Detail'!W:W)</f>
        <v>-3841.6119041666698</v>
      </c>
      <c r="R846" s="166" t="s">
        <v>4232</v>
      </c>
    </row>
    <row r="847" spans="1:18" ht="15" customHeight="1">
      <c r="B847" s="203">
        <v>190501</v>
      </c>
      <c r="D847" s="348" t="s">
        <v>1012</v>
      </c>
      <c r="F847" s="348" t="s">
        <v>170</v>
      </c>
      <c r="H847" s="349"/>
      <c r="J847" s="166" t="s">
        <v>1011</v>
      </c>
      <c r="N847" s="166" t="s">
        <v>2821</v>
      </c>
      <c r="P847" s="168">
        <f>SUMIF('Balance Sheet Detail'!$B:$B,$R847,'Balance Sheet Detail'!W:W)</f>
        <v>0</v>
      </c>
      <c r="R847" s="166" t="s">
        <v>3468</v>
      </c>
    </row>
    <row r="848" spans="1:18" ht="15" customHeight="1">
      <c r="B848" s="203">
        <v>190502</v>
      </c>
      <c r="D848" s="348" t="s">
        <v>1012</v>
      </c>
      <c r="F848" s="348" t="s">
        <v>170</v>
      </c>
      <c r="H848" s="349" t="s">
        <v>170</v>
      </c>
      <c r="J848" s="166" t="s">
        <v>1011</v>
      </c>
      <c r="N848" s="166" t="s">
        <v>2821</v>
      </c>
      <c r="P848" s="168">
        <f>SUMIF('Balance Sheet Detail'!$B:$B,$R848,'Balance Sheet Detail'!W:W)</f>
        <v>0</v>
      </c>
      <c r="R848" s="166" t="s">
        <v>3469</v>
      </c>
    </row>
    <row r="849" spans="1:18" ht="15" customHeight="1">
      <c r="B849" s="203">
        <v>190511</v>
      </c>
      <c r="D849" s="348" t="s">
        <v>1012</v>
      </c>
      <c r="F849" s="348" t="s">
        <v>170</v>
      </c>
      <c r="H849" s="349" t="s">
        <v>170</v>
      </c>
      <c r="J849" s="166" t="s">
        <v>1011</v>
      </c>
      <c r="N849" s="166" t="s">
        <v>2821</v>
      </c>
      <c r="P849" s="168">
        <f>SUMIF('Balance Sheet Detail'!$B:$B,$R849,'Balance Sheet Detail'!W:W)</f>
        <v>0</v>
      </c>
      <c r="R849" s="166" t="s">
        <v>3470</v>
      </c>
    </row>
    <row r="850" spans="1:18" ht="15" customHeight="1">
      <c r="B850" s="203">
        <v>190512</v>
      </c>
      <c r="D850" s="348" t="s">
        <v>1012</v>
      </c>
      <c r="F850" s="348" t="s">
        <v>170</v>
      </c>
      <c r="H850" s="349" t="s">
        <v>170</v>
      </c>
      <c r="J850" s="166" t="s">
        <v>1011</v>
      </c>
      <c r="N850" s="166" t="s">
        <v>2821</v>
      </c>
      <c r="P850" s="168">
        <f>SUMIF('Balance Sheet Detail'!$B:$B,$R850,'Balance Sheet Detail'!W:W)</f>
        <v>0</v>
      </c>
      <c r="R850" s="166" t="s">
        <v>3471</v>
      </c>
    </row>
    <row r="851" spans="1:18" ht="15" customHeight="1">
      <c r="B851" s="203">
        <v>190531</v>
      </c>
      <c r="D851" s="348" t="s">
        <v>1012</v>
      </c>
      <c r="F851" s="348">
        <v>2</v>
      </c>
      <c r="H851" s="349" t="s">
        <v>170</v>
      </c>
      <c r="J851" s="166" t="s">
        <v>1011</v>
      </c>
      <c r="N851" s="166" t="s">
        <v>2821</v>
      </c>
      <c r="P851" s="168">
        <f>SUMIF('Balance Sheet Detail'!$B:$B,$R851,'Balance Sheet Detail'!W:W)</f>
        <v>9416.9594329166594</v>
      </c>
      <c r="R851" s="166" t="s">
        <v>4233</v>
      </c>
    </row>
    <row r="852" spans="1:18" ht="15" customHeight="1">
      <c r="B852" s="203">
        <v>190532</v>
      </c>
      <c r="D852" s="348" t="s">
        <v>1012</v>
      </c>
      <c r="F852" s="348">
        <v>3</v>
      </c>
      <c r="H852" s="349" t="s">
        <v>170</v>
      </c>
      <c r="J852" s="166" t="s">
        <v>1011</v>
      </c>
      <c r="N852" s="166" t="s">
        <v>2821</v>
      </c>
      <c r="P852" s="168">
        <f>SUMIF('Balance Sheet Detail'!$B:$B,$R852,'Balance Sheet Detail'!W:W)</f>
        <v>1757.96132416667</v>
      </c>
      <c r="R852" s="166" t="s">
        <v>4234</v>
      </c>
    </row>
    <row r="853" spans="1:18" ht="15" customHeight="1">
      <c r="B853" s="203">
        <v>190541</v>
      </c>
      <c r="D853" s="348" t="s">
        <v>1012</v>
      </c>
      <c r="F853" s="348">
        <v>2</v>
      </c>
      <c r="H853" s="349" t="s">
        <v>170</v>
      </c>
      <c r="J853" s="166" t="s">
        <v>1011</v>
      </c>
      <c r="N853" s="166" t="s">
        <v>2821</v>
      </c>
      <c r="P853" s="168">
        <f>SUMIF('Balance Sheet Detail'!$B:$B,$R853,'Balance Sheet Detail'!W:W)</f>
        <v>2056.2943887500001</v>
      </c>
      <c r="R853" s="166" t="s">
        <v>4235</v>
      </c>
    </row>
    <row r="854" spans="1:18" ht="15" customHeight="1">
      <c r="B854" s="203">
        <v>190542</v>
      </c>
      <c r="D854" s="348" t="s">
        <v>1012</v>
      </c>
      <c r="F854" s="348">
        <v>3</v>
      </c>
      <c r="H854" s="349" t="s">
        <v>170</v>
      </c>
      <c r="J854" s="166" t="s">
        <v>1011</v>
      </c>
      <c r="N854" s="166" t="s">
        <v>2821</v>
      </c>
      <c r="P854" s="350">
        <f>SUMIF('Balance Sheet Detail'!$B:$B,$R854,'Balance Sheet Detail'!W:W)</f>
        <v>383.86976916666703</v>
      </c>
      <c r="R854" s="166" t="s">
        <v>4236</v>
      </c>
    </row>
    <row r="855" spans="1:18">
      <c r="A855" s="127"/>
      <c r="B855" s="351" t="s">
        <v>3472</v>
      </c>
      <c r="C855" s="352"/>
      <c r="D855" s="348"/>
      <c r="E855" s="352"/>
      <c r="F855" s="348"/>
      <c r="G855" s="352"/>
      <c r="H855" s="349"/>
      <c r="I855" s="352"/>
      <c r="K855" s="352"/>
      <c r="L855" s="352"/>
      <c r="P855" s="353">
        <f>SUM(P841:P854)</f>
        <v>-20753.424281250005</v>
      </c>
    </row>
    <row r="856" spans="1:18">
      <c r="A856" s="127"/>
      <c r="D856" s="348"/>
      <c r="F856" s="348"/>
      <c r="H856" s="349"/>
      <c r="P856" s="343"/>
    </row>
    <row r="857" spans="1:18">
      <c r="A857" s="127" t="s">
        <v>637</v>
      </c>
      <c r="D857" s="348"/>
      <c r="F857" s="348"/>
      <c r="H857" s="349"/>
      <c r="P857" s="343"/>
    </row>
    <row r="858" spans="1:18" ht="15" customHeight="1">
      <c r="B858" s="203">
        <v>124000</v>
      </c>
      <c r="D858" s="348"/>
      <c r="F858" s="348"/>
      <c r="H858" s="349" t="s">
        <v>637</v>
      </c>
      <c r="J858" s="166" t="s">
        <v>1926</v>
      </c>
      <c r="N858" s="166" t="s">
        <v>928</v>
      </c>
      <c r="P858" s="350">
        <f>SUMIF('Balance Sheet Detail'!$B:$B,$R858,'Balance Sheet Detail'!W:W)</f>
        <v>66.863874999999993</v>
      </c>
      <c r="R858" s="166" t="s">
        <v>3477</v>
      </c>
    </row>
    <row r="859" spans="1:18" ht="15" customHeight="1">
      <c r="B859" s="351" t="s">
        <v>3218</v>
      </c>
      <c r="C859" s="352"/>
      <c r="D859" s="348"/>
      <c r="E859" s="352"/>
      <c r="F859" s="348"/>
      <c r="G859" s="352"/>
      <c r="H859" s="349"/>
      <c r="I859" s="352"/>
      <c r="K859" s="352"/>
      <c r="L859" s="352"/>
      <c r="P859" s="353">
        <f>SUM(P858:P858)</f>
        <v>66.863874999999993</v>
      </c>
    </row>
    <row r="860" spans="1:18">
      <c r="A860" s="127"/>
      <c r="D860" s="348"/>
      <c r="F860" s="348"/>
      <c r="H860" s="349"/>
    </row>
    <row r="861" spans="1:18">
      <c r="A861" s="127" t="s">
        <v>1493</v>
      </c>
      <c r="D861" s="348"/>
      <c r="F861" s="348"/>
      <c r="H861" s="349"/>
      <c r="P861" s="343"/>
    </row>
    <row r="862" spans="1:18">
      <c r="A862" s="127"/>
      <c r="B862" s="203">
        <v>182090</v>
      </c>
      <c r="D862" s="348">
        <v>0</v>
      </c>
      <c r="F862" s="348" t="s">
        <v>1491</v>
      </c>
      <c r="H862" s="349" t="s">
        <v>1493</v>
      </c>
      <c r="J862" s="166" t="s">
        <v>1492</v>
      </c>
      <c r="N862" s="166" t="s">
        <v>2821</v>
      </c>
      <c r="P862" s="168">
        <f>SUMIF('Balance Sheet Detail'!$B:$B,$R862,'Balance Sheet Detail'!W:W)</f>
        <v>0</v>
      </c>
      <c r="R862" s="166" t="s">
        <v>4237</v>
      </c>
    </row>
    <row r="863" spans="1:18">
      <c r="A863" s="127"/>
      <c r="B863" s="203">
        <v>182090</v>
      </c>
      <c r="D863" s="348">
        <v>0</v>
      </c>
      <c r="F863" s="348">
        <v>800177</v>
      </c>
      <c r="H863" s="349" t="s">
        <v>1493</v>
      </c>
      <c r="J863" s="166" t="s">
        <v>2206</v>
      </c>
      <c r="N863" s="166" t="s">
        <v>2821</v>
      </c>
      <c r="P863" s="168">
        <f>SUMIF('Balance Sheet Detail'!$B:$B,$R863,'Balance Sheet Detail'!W:W)</f>
        <v>0</v>
      </c>
      <c r="R863" s="166" t="s">
        <v>4238</v>
      </c>
    </row>
    <row r="864" spans="1:18">
      <c r="A864" s="127"/>
      <c r="B864" s="203">
        <v>182095</v>
      </c>
      <c r="D864" s="348">
        <v>0</v>
      </c>
      <c r="F864" s="348">
        <v>800179</v>
      </c>
      <c r="H864" s="349" t="s">
        <v>1493</v>
      </c>
      <c r="J864" s="166" t="s">
        <v>1308</v>
      </c>
      <c r="N864" s="166" t="s">
        <v>2821</v>
      </c>
      <c r="P864" s="168">
        <f>SUMIF('Balance Sheet Detail'!$B:$B,$R864,'Balance Sheet Detail'!W:W)</f>
        <v>0</v>
      </c>
      <c r="R864" s="166" t="s">
        <v>4239</v>
      </c>
    </row>
    <row r="865" spans="1:18">
      <c r="A865" s="127"/>
      <c r="B865" s="203">
        <v>182306</v>
      </c>
      <c r="D865" s="348" t="s">
        <v>530</v>
      </c>
      <c r="F865" s="348">
        <v>800177</v>
      </c>
      <c r="H865" s="349" t="s">
        <v>1493</v>
      </c>
      <c r="J865" s="166" t="s">
        <v>2206</v>
      </c>
      <c r="N865" s="166" t="s">
        <v>2821</v>
      </c>
      <c r="P865" s="168">
        <f>SUMIF('Balance Sheet Detail'!$B:$B,$R865,'Balance Sheet Detail'!W:W)</f>
        <v>0</v>
      </c>
      <c r="R865" s="166" t="s">
        <v>4240</v>
      </c>
    </row>
    <row r="866" spans="1:18">
      <c r="A866" s="127"/>
      <c r="B866" s="203">
        <v>182306</v>
      </c>
      <c r="D866" s="348" t="s">
        <v>530</v>
      </c>
      <c r="F866" s="348">
        <v>807029</v>
      </c>
      <c r="H866" s="349" t="s">
        <v>1493</v>
      </c>
      <c r="J866" s="166" t="s">
        <v>500</v>
      </c>
      <c r="N866" s="166" t="s">
        <v>2821</v>
      </c>
      <c r="P866" s="168">
        <f>SUMIF('Balance Sheet Detail'!$B:$B,$R866,'Balance Sheet Detail'!W:W)</f>
        <v>0</v>
      </c>
      <c r="R866" s="166" t="s">
        <v>4241</v>
      </c>
    </row>
    <row r="867" spans="1:18">
      <c r="A867" s="127"/>
      <c r="B867" s="203">
        <v>182306</v>
      </c>
      <c r="D867" s="348" t="s">
        <v>530</v>
      </c>
      <c r="F867" s="348">
        <v>801242</v>
      </c>
      <c r="H867" s="349" t="s">
        <v>1493</v>
      </c>
      <c r="J867" s="166" t="s">
        <v>2456</v>
      </c>
      <c r="N867" s="166" t="s">
        <v>2821</v>
      </c>
      <c r="P867" s="168">
        <f>SUMIF('Balance Sheet Detail'!$B:$B,$R867,'Balance Sheet Detail'!W:W)</f>
        <v>272.923054583333</v>
      </c>
      <c r="R867" s="166" t="s">
        <v>4242</v>
      </c>
    </row>
    <row r="868" spans="1:18">
      <c r="A868" s="127"/>
      <c r="B868" s="203">
        <v>283510</v>
      </c>
      <c r="D868" s="348" t="s">
        <v>1282</v>
      </c>
      <c r="F868" s="348" t="s">
        <v>898</v>
      </c>
      <c r="H868" s="349" t="s">
        <v>1493</v>
      </c>
      <c r="J868" s="166" t="s">
        <v>897</v>
      </c>
      <c r="N868" s="166" t="s">
        <v>2821</v>
      </c>
      <c r="P868" s="168">
        <f>SUMIF('Balance Sheet Detail'!$B:$B,$R868,'Balance Sheet Detail'!W:W)</f>
        <v>-91.264987083333295</v>
      </c>
      <c r="R868" s="166" t="s">
        <v>3479</v>
      </c>
    </row>
    <row r="869" spans="1:18" ht="15" customHeight="1">
      <c r="B869" s="203">
        <v>283560</v>
      </c>
      <c r="D869" s="348" t="s">
        <v>1282</v>
      </c>
      <c r="F869" s="348" t="s">
        <v>898</v>
      </c>
      <c r="H869" s="349" t="s">
        <v>1493</v>
      </c>
      <c r="J869" s="166" t="s">
        <v>897</v>
      </c>
      <c r="N869" s="166" t="s">
        <v>2821</v>
      </c>
      <c r="P869" s="350">
        <f>SUMIF('Balance Sheet Detail'!$B:$B,$R869,'Balance Sheet Detail'!W:W)</f>
        <v>-19.928526666666698</v>
      </c>
      <c r="R869" s="166" t="s">
        <v>3480</v>
      </c>
    </row>
    <row r="870" spans="1:18" ht="15" customHeight="1">
      <c r="B870" s="351" t="s">
        <v>3478</v>
      </c>
      <c r="C870" s="352"/>
      <c r="D870" s="348"/>
      <c r="E870" s="352"/>
      <c r="F870" s="348"/>
      <c r="G870" s="352"/>
      <c r="H870" s="349"/>
      <c r="I870" s="352"/>
      <c r="K870" s="352"/>
      <c r="L870" s="352"/>
      <c r="P870" s="353">
        <f>SUM(P862:P869)</f>
        <v>161.729540833333</v>
      </c>
    </row>
    <row r="871" spans="1:18">
      <c r="A871" s="127"/>
      <c r="D871" s="348"/>
      <c r="F871" s="348"/>
      <c r="H871" s="349"/>
    </row>
    <row r="872" spans="1:18">
      <c r="A872" s="127" t="s">
        <v>220</v>
      </c>
      <c r="D872" s="348"/>
      <c r="F872" s="348"/>
      <c r="H872" s="349"/>
    </row>
    <row r="873" spans="1:18">
      <c r="A873" s="127"/>
      <c r="B873" s="203">
        <v>242030</v>
      </c>
      <c r="D873" s="348"/>
      <c r="F873" s="348"/>
      <c r="H873" s="349" t="s">
        <v>220</v>
      </c>
      <c r="J873" s="166" t="s">
        <v>461</v>
      </c>
      <c r="N873" s="166" t="s">
        <v>928</v>
      </c>
      <c r="P873" s="168">
        <f>SUMIF('Balance Sheet Detail'!$B:$B,$R873,'Balance Sheet Detail'!W:W)</f>
        <v>-2070.0989283333302</v>
      </c>
      <c r="R873" s="166" t="s">
        <v>3481</v>
      </c>
    </row>
    <row r="874" spans="1:18">
      <c r="A874" s="127"/>
      <c r="B874" s="203">
        <v>190000</v>
      </c>
      <c r="D874" s="348"/>
      <c r="F874" s="348" t="s">
        <v>957</v>
      </c>
      <c r="H874" s="349" t="s">
        <v>220</v>
      </c>
      <c r="J874" s="166" t="s">
        <v>488</v>
      </c>
      <c r="N874" s="166" t="s">
        <v>928</v>
      </c>
      <c r="P874" s="168">
        <f>SUMIF('Balance Sheet Detail'!$B:$B,$R874,'Balance Sheet Detail'!W:W)</f>
        <v>0</v>
      </c>
      <c r="R874" s="166" t="s">
        <v>4243</v>
      </c>
    </row>
    <row r="875" spans="1:18">
      <c r="A875" s="127"/>
      <c r="B875" s="203">
        <v>190000</v>
      </c>
      <c r="D875" s="348"/>
      <c r="F875" s="348" t="s">
        <v>958</v>
      </c>
      <c r="H875" s="349" t="s">
        <v>220</v>
      </c>
      <c r="J875" s="166" t="s">
        <v>842</v>
      </c>
      <c r="N875" s="166" t="s">
        <v>928</v>
      </c>
      <c r="P875" s="168">
        <f>SUMIF('Balance Sheet Detail'!$B:$B,$R875,'Balance Sheet Detail'!W:W)</f>
        <v>0</v>
      </c>
      <c r="R875" s="166" t="s">
        <v>4244</v>
      </c>
    </row>
    <row r="876" spans="1:18">
      <c r="A876" s="127"/>
      <c r="B876" s="203">
        <v>190000</v>
      </c>
      <c r="D876" s="348"/>
      <c r="F876" s="348" t="s">
        <v>957</v>
      </c>
      <c r="H876" s="349" t="s">
        <v>220</v>
      </c>
      <c r="J876" s="166" t="s">
        <v>2512</v>
      </c>
      <c r="N876" s="166" t="s">
        <v>928</v>
      </c>
      <c r="P876" s="168">
        <f>SUMIF('Balance Sheet Detail'!$B:$B,$R876,'Balance Sheet Detail'!W:W)</f>
        <v>0</v>
      </c>
      <c r="R876" s="166" t="s">
        <v>4243</v>
      </c>
    </row>
    <row r="877" spans="1:18">
      <c r="A877" s="127"/>
      <c r="B877" s="203">
        <v>190000</v>
      </c>
      <c r="D877" s="348"/>
      <c r="F877" s="348" t="s">
        <v>958</v>
      </c>
      <c r="H877" s="349" t="s">
        <v>220</v>
      </c>
      <c r="J877" s="166" t="s">
        <v>2212</v>
      </c>
      <c r="N877" s="166" t="s">
        <v>928</v>
      </c>
      <c r="P877" s="168">
        <f>SUMIF('Balance Sheet Detail'!$B:$B,$R877,'Balance Sheet Detail'!W:W)</f>
        <v>0</v>
      </c>
      <c r="R877" s="166" t="s">
        <v>4244</v>
      </c>
    </row>
    <row r="878" spans="1:18">
      <c r="A878" s="127"/>
      <c r="B878" s="203">
        <v>190002</v>
      </c>
      <c r="D878" s="348" t="s">
        <v>1744</v>
      </c>
      <c r="F878" s="348" t="s">
        <v>958</v>
      </c>
      <c r="H878" s="349" t="s">
        <v>220</v>
      </c>
      <c r="J878" s="166" t="s">
        <v>842</v>
      </c>
      <c r="N878" s="166" t="s">
        <v>928</v>
      </c>
      <c r="P878" s="168">
        <f>SUMIF('Balance Sheet Detail'!$B:$B,$R878,'Balance Sheet Detail'!W:W)</f>
        <v>0</v>
      </c>
      <c r="R878" s="166" t="s">
        <v>3482</v>
      </c>
    </row>
    <row r="879" spans="1:18">
      <c r="A879" s="127"/>
      <c r="B879" s="203">
        <v>190010</v>
      </c>
      <c r="D879" s="348"/>
      <c r="F879" s="348" t="s">
        <v>961</v>
      </c>
      <c r="H879" s="349" t="s">
        <v>220</v>
      </c>
      <c r="J879" s="166" t="s">
        <v>488</v>
      </c>
      <c r="N879" s="166" t="s">
        <v>928</v>
      </c>
      <c r="P879" s="168">
        <f>SUMIF('Balance Sheet Detail'!$B:$B,$R879,'Balance Sheet Detail'!W:W)</f>
        <v>0</v>
      </c>
      <c r="R879" s="166" t="s">
        <v>4245</v>
      </c>
    </row>
    <row r="880" spans="1:18">
      <c r="A880" s="127"/>
      <c r="B880" s="203">
        <v>190010</v>
      </c>
      <c r="D880" s="348"/>
      <c r="F880" s="348" t="s">
        <v>962</v>
      </c>
      <c r="H880" s="349" t="s">
        <v>220</v>
      </c>
      <c r="J880" s="166" t="s">
        <v>842</v>
      </c>
      <c r="N880" s="166" t="s">
        <v>928</v>
      </c>
      <c r="P880" s="168">
        <f>SUMIF('Balance Sheet Detail'!$B:$B,$R880,'Balance Sheet Detail'!W:W)</f>
        <v>0</v>
      </c>
      <c r="R880" s="166" t="s">
        <v>4246</v>
      </c>
    </row>
    <row r="881" spans="1:18">
      <c r="A881" s="127"/>
      <c r="B881" s="203">
        <v>190011</v>
      </c>
      <c r="D881" s="348"/>
      <c r="F881" s="348" t="s">
        <v>961</v>
      </c>
      <c r="H881" s="349" t="s">
        <v>220</v>
      </c>
      <c r="J881" s="166" t="s">
        <v>488</v>
      </c>
      <c r="N881" s="166" t="s">
        <v>928</v>
      </c>
      <c r="P881" s="168">
        <f>SUMIF('Balance Sheet Detail'!$B:$B,$R881,'Balance Sheet Detail'!W:W)</f>
        <v>0</v>
      </c>
      <c r="R881" s="166" t="s">
        <v>4247</v>
      </c>
    </row>
    <row r="882" spans="1:18">
      <c r="A882" s="127"/>
      <c r="B882" s="203">
        <v>190011</v>
      </c>
      <c r="D882" s="348"/>
      <c r="F882" s="348" t="s">
        <v>961</v>
      </c>
      <c r="H882" s="349" t="s">
        <v>220</v>
      </c>
      <c r="J882" s="166" t="s">
        <v>2512</v>
      </c>
      <c r="N882" s="166" t="s">
        <v>928</v>
      </c>
      <c r="P882" s="168">
        <f>SUMIF('Balance Sheet Detail'!$B:$B,$R882,'Balance Sheet Detail'!W:W)</f>
        <v>0</v>
      </c>
      <c r="R882" s="166" t="s">
        <v>4247</v>
      </c>
    </row>
    <row r="883" spans="1:18">
      <c r="A883" s="127"/>
      <c r="B883" s="203">
        <v>190012</v>
      </c>
      <c r="D883" s="348"/>
      <c r="F883" s="348" t="s">
        <v>962</v>
      </c>
      <c r="H883" s="349" t="s">
        <v>220</v>
      </c>
      <c r="J883" s="166" t="s">
        <v>842</v>
      </c>
      <c r="N883" s="166" t="s">
        <v>928</v>
      </c>
      <c r="P883" s="168">
        <f>SUMIF('Balance Sheet Detail'!$B:$B,$R883,'Balance Sheet Detail'!W:W)</f>
        <v>0</v>
      </c>
      <c r="R883" s="166" t="s">
        <v>4248</v>
      </c>
    </row>
    <row r="884" spans="1:18">
      <c r="A884" s="127"/>
      <c r="B884" s="203">
        <v>190012</v>
      </c>
      <c r="D884" s="348"/>
      <c r="F884" s="348" t="s">
        <v>962</v>
      </c>
      <c r="H884" s="349" t="s">
        <v>220</v>
      </c>
      <c r="J884" s="166" t="s">
        <v>2212</v>
      </c>
      <c r="N884" s="166" t="s">
        <v>928</v>
      </c>
      <c r="P884" s="168">
        <f>SUMIF('Balance Sheet Detail'!$B:$B,$R884,'Balance Sheet Detail'!W:W)</f>
        <v>0</v>
      </c>
      <c r="R884" s="166" t="s">
        <v>4248</v>
      </c>
    </row>
    <row r="885" spans="1:18">
      <c r="A885" s="127"/>
      <c r="B885" s="203">
        <v>190032</v>
      </c>
      <c r="D885" s="348" t="s">
        <v>1744</v>
      </c>
      <c r="F885" s="348">
        <v>1</v>
      </c>
      <c r="H885" s="349" t="s">
        <v>220</v>
      </c>
      <c r="J885" s="166" t="s">
        <v>3144</v>
      </c>
      <c r="N885" s="166" t="s">
        <v>928</v>
      </c>
      <c r="P885" s="350">
        <f>SUMIF('Balance Sheet Detail'!$B:$B,$R885,'Balance Sheet Detail'!W:W)</f>
        <v>100.11208208333299</v>
      </c>
      <c r="R885" s="166" t="s">
        <v>4249</v>
      </c>
    </row>
    <row r="886" spans="1:18">
      <c r="A886" s="127"/>
      <c r="B886" s="351" t="s">
        <v>3483</v>
      </c>
      <c r="D886" s="348"/>
      <c r="F886" s="348"/>
      <c r="H886" s="349"/>
      <c r="P886" s="353">
        <f>SUM(P873:P885)</f>
        <v>-1969.9868462499971</v>
      </c>
    </row>
    <row r="887" spans="1:18">
      <c r="A887" s="127"/>
      <c r="B887" s="351"/>
      <c r="D887" s="348"/>
      <c r="F887" s="348"/>
      <c r="H887" s="349"/>
      <c r="P887" s="353"/>
    </row>
    <row r="888" spans="1:18">
      <c r="A888" s="127"/>
      <c r="B888" s="351"/>
      <c r="D888" s="348"/>
      <c r="F888" s="348"/>
      <c r="H888" s="349"/>
      <c r="P888" s="353"/>
    </row>
    <row r="889" spans="1:18">
      <c r="A889" s="127" t="s">
        <v>1553</v>
      </c>
      <c r="B889" s="351"/>
      <c r="D889" s="348"/>
      <c r="F889" s="348"/>
      <c r="H889" s="349"/>
      <c r="P889" s="353"/>
    </row>
    <row r="890" spans="1:18">
      <c r="A890" s="127"/>
      <c r="B890" s="203">
        <v>182090</v>
      </c>
      <c r="D890" s="348"/>
      <c r="F890" s="348" t="s">
        <v>607</v>
      </c>
      <c r="H890" s="349" t="s">
        <v>1553</v>
      </c>
      <c r="J890" s="166" t="s">
        <v>2948</v>
      </c>
      <c r="N890" s="166" t="s">
        <v>2821</v>
      </c>
      <c r="P890" s="168">
        <f>SUMIF('Balance Sheet Detail'!$B:$B,$R890,'Balance Sheet Detail'!W:W)</f>
        <v>0</v>
      </c>
      <c r="R890" s="166" t="s">
        <v>4250</v>
      </c>
    </row>
    <row r="891" spans="1:18">
      <c r="A891" s="127"/>
      <c r="B891" s="203">
        <v>182090</v>
      </c>
      <c r="D891" s="348">
        <v>0</v>
      </c>
      <c r="F891" s="348" t="s">
        <v>1212</v>
      </c>
      <c r="H891" s="349" t="s">
        <v>1553</v>
      </c>
      <c r="J891" s="166" t="s">
        <v>1213</v>
      </c>
      <c r="N891" s="166" t="s">
        <v>2821</v>
      </c>
      <c r="P891" s="168">
        <f>SUMIF('Balance Sheet Detail'!$B:$B,$R891,'Balance Sheet Detail'!W:W)</f>
        <v>0</v>
      </c>
      <c r="R891" s="166" t="s">
        <v>4251</v>
      </c>
    </row>
    <row r="892" spans="1:18">
      <c r="A892" s="127"/>
      <c r="B892" s="203">
        <v>182090</v>
      </c>
      <c r="D892" s="348">
        <v>0</v>
      </c>
      <c r="F892" s="348" t="s">
        <v>2572</v>
      </c>
      <c r="H892" s="349" t="s">
        <v>1553</v>
      </c>
      <c r="J892" s="166" t="s">
        <v>2573</v>
      </c>
      <c r="N892" s="166" t="s">
        <v>2821</v>
      </c>
      <c r="P892" s="168">
        <f>SUMIF('Balance Sheet Detail'!$B:$B,$R892,'Balance Sheet Detail'!W:W)</f>
        <v>0</v>
      </c>
      <c r="R892" s="166" t="s">
        <v>4252</v>
      </c>
    </row>
    <row r="893" spans="1:18">
      <c r="A893" s="127"/>
      <c r="B893" s="203">
        <v>182090</v>
      </c>
      <c r="D893" s="348">
        <v>0</v>
      </c>
      <c r="F893" s="348" t="s">
        <v>2287</v>
      </c>
      <c r="H893" s="349" t="s">
        <v>1553</v>
      </c>
      <c r="J893" s="166" t="s">
        <v>2288</v>
      </c>
      <c r="N893" s="166" t="s">
        <v>2821</v>
      </c>
      <c r="P893" s="168">
        <f>SUMIF('Balance Sheet Detail'!$B:$B,$R893,'Balance Sheet Detail'!W:W)</f>
        <v>0</v>
      </c>
      <c r="R893" s="166" t="s">
        <v>4253</v>
      </c>
    </row>
    <row r="894" spans="1:18">
      <c r="A894" s="127"/>
      <c r="B894" s="203">
        <v>182090</v>
      </c>
      <c r="D894" s="348">
        <v>0</v>
      </c>
      <c r="F894" s="348" t="s">
        <v>1758</v>
      </c>
      <c r="H894" s="349" t="s">
        <v>1553</v>
      </c>
      <c r="J894" s="166" t="s">
        <v>754</v>
      </c>
      <c r="N894" s="166" t="s">
        <v>2821</v>
      </c>
      <c r="P894" s="168">
        <f>SUMIF('Balance Sheet Detail'!$B:$B,$R894,'Balance Sheet Detail'!W:W)</f>
        <v>0</v>
      </c>
      <c r="R894" s="166" t="s">
        <v>4254</v>
      </c>
    </row>
    <row r="895" spans="1:18">
      <c r="A895" s="127"/>
      <c r="B895" s="203">
        <v>182090</v>
      </c>
      <c r="D895" s="348">
        <v>0</v>
      </c>
      <c r="F895" s="348">
        <v>800131</v>
      </c>
      <c r="H895" s="349" t="s">
        <v>1553</v>
      </c>
      <c r="J895" s="166" t="s">
        <v>1073</v>
      </c>
      <c r="N895" s="166" t="s">
        <v>2821</v>
      </c>
      <c r="P895" s="168">
        <f>SUMIF('Balance Sheet Detail'!$B:$B,$R895,'Balance Sheet Detail'!W:W)</f>
        <v>0</v>
      </c>
      <c r="R895" s="166" t="s">
        <v>4255</v>
      </c>
    </row>
    <row r="896" spans="1:18">
      <c r="A896" s="127"/>
      <c r="B896" s="203">
        <v>182301</v>
      </c>
      <c r="D896" s="348" t="s">
        <v>30</v>
      </c>
      <c r="F896" s="348" t="s">
        <v>31</v>
      </c>
      <c r="H896" s="349" t="s">
        <v>1553</v>
      </c>
      <c r="J896" s="166" t="s">
        <v>1970</v>
      </c>
      <c r="N896" s="166" t="s">
        <v>2821</v>
      </c>
      <c r="P896" s="168">
        <f>SUMIF('Balance Sheet Detail'!$B:$B,$R896,'Balance Sheet Detail'!W:W)</f>
        <v>57143.240450833298</v>
      </c>
      <c r="R896" s="166" t="s">
        <v>3495</v>
      </c>
    </row>
    <row r="897" spans="1:18">
      <c r="A897" s="127"/>
      <c r="B897" s="203">
        <v>182301</v>
      </c>
      <c r="D897" s="348" t="s">
        <v>30</v>
      </c>
      <c r="F897" s="348"/>
      <c r="H897" s="349" t="s">
        <v>1553</v>
      </c>
      <c r="J897" s="166" t="s">
        <v>3785</v>
      </c>
      <c r="N897" s="166" t="s">
        <v>2821</v>
      </c>
      <c r="P897" s="168">
        <f>SUMIF('Balance Sheet Detail'!$B:$B,$R897,'Balance Sheet Detail'!W:W)</f>
        <v>0</v>
      </c>
      <c r="R897" s="166" t="s">
        <v>4256</v>
      </c>
    </row>
    <row r="898" spans="1:18">
      <c r="A898" s="127"/>
      <c r="B898" s="203">
        <v>182303</v>
      </c>
      <c r="D898" s="348" t="s">
        <v>2779</v>
      </c>
      <c r="F898" s="348" t="s">
        <v>607</v>
      </c>
      <c r="H898" s="349" t="s">
        <v>1553</v>
      </c>
      <c r="J898" s="166" t="s">
        <v>2948</v>
      </c>
      <c r="N898" s="166" t="s">
        <v>2821</v>
      </c>
      <c r="P898" s="168">
        <f>SUMIF('Balance Sheet Detail'!$B:$B,$R898,'Balance Sheet Detail'!W:W)</f>
        <v>0</v>
      </c>
      <c r="R898" s="166" t="s">
        <v>3496</v>
      </c>
    </row>
    <row r="899" spans="1:18">
      <c r="A899" s="127"/>
      <c r="B899" s="203">
        <v>182303</v>
      </c>
      <c r="D899" s="348" t="s">
        <v>2779</v>
      </c>
      <c r="F899" s="348" t="s">
        <v>1212</v>
      </c>
      <c r="H899" s="349" t="s">
        <v>1553</v>
      </c>
      <c r="J899" s="166" t="s">
        <v>1213</v>
      </c>
      <c r="N899" s="166" t="s">
        <v>2821</v>
      </c>
      <c r="P899" s="168">
        <f>SUMIF('Balance Sheet Detail'!$B:$B,$R899,'Balance Sheet Detail'!W:W)</f>
        <v>0</v>
      </c>
      <c r="R899" s="166" t="s">
        <v>3497</v>
      </c>
    </row>
    <row r="900" spans="1:18">
      <c r="A900" s="127"/>
      <c r="B900" s="203">
        <v>182303</v>
      </c>
      <c r="D900" s="348" t="s">
        <v>2779</v>
      </c>
      <c r="F900" s="348" t="s">
        <v>2572</v>
      </c>
      <c r="H900" s="349" t="s">
        <v>1553</v>
      </c>
      <c r="J900" s="166" t="s">
        <v>2573</v>
      </c>
      <c r="N900" s="166" t="s">
        <v>2821</v>
      </c>
      <c r="P900" s="168">
        <f>SUMIF('Balance Sheet Detail'!$B:$B,$R900,'Balance Sheet Detail'!W:W)</f>
        <v>0</v>
      </c>
      <c r="R900" s="166" t="s">
        <v>3498</v>
      </c>
    </row>
    <row r="901" spans="1:18">
      <c r="A901" s="127"/>
      <c r="B901" s="203">
        <v>182303</v>
      </c>
      <c r="D901" s="348" t="s">
        <v>2779</v>
      </c>
      <c r="F901" s="348" t="s">
        <v>2287</v>
      </c>
      <c r="H901" s="349" t="s">
        <v>1553</v>
      </c>
      <c r="J901" s="166" t="s">
        <v>2288</v>
      </c>
      <c r="N901" s="166" t="s">
        <v>2821</v>
      </c>
      <c r="P901" s="168">
        <f>SUMIF('Balance Sheet Detail'!$B:$B,$R901,'Balance Sheet Detail'!W:W)</f>
        <v>0</v>
      </c>
      <c r="R901" s="166" t="s">
        <v>3499</v>
      </c>
    </row>
    <row r="902" spans="1:18">
      <c r="A902" s="127"/>
      <c r="B902" s="203">
        <v>182303</v>
      </c>
      <c r="D902" s="348" t="s">
        <v>2779</v>
      </c>
      <c r="F902" s="348" t="s">
        <v>1758</v>
      </c>
      <c r="H902" s="349" t="s">
        <v>1553</v>
      </c>
      <c r="J902" s="166" t="s">
        <v>754</v>
      </c>
      <c r="N902" s="166" t="s">
        <v>2821</v>
      </c>
      <c r="P902" s="168">
        <f>SUMIF('Balance Sheet Detail'!$B:$B,$R902,'Balance Sheet Detail'!W:W)</f>
        <v>0</v>
      </c>
      <c r="R902" s="166" t="s">
        <v>3500</v>
      </c>
    </row>
    <row r="903" spans="1:18">
      <c r="A903" s="127"/>
      <c r="B903" s="203">
        <v>182303</v>
      </c>
      <c r="D903" s="348" t="s">
        <v>2779</v>
      </c>
      <c r="F903" s="348">
        <v>800131</v>
      </c>
      <c r="H903" s="349" t="s">
        <v>1553</v>
      </c>
      <c r="J903" s="166" t="s">
        <v>1073</v>
      </c>
      <c r="N903" s="166" t="s">
        <v>2821</v>
      </c>
      <c r="P903" s="168">
        <f>SUMIF('Balance Sheet Detail'!$B:$B,$R903,'Balance Sheet Detail'!W:W)</f>
        <v>0</v>
      </c>
      <c r="R903" s="166" t="s">
        <v>3501</v>
      </c>
    </row>
    <row r="904" spans="1:18">
      <c r="A904" s="127"/>
      <c r="B904" s="203">
        <v>182303</v>
      </c>
      <c r="D904" s="348" t="s">
        <v>2779</v>
      </c>
      <c r="F904" s="348">
        <v>807007</v>
      </c>
      <c r="H904" s="349" t="s">
        <v>1553</v>
      </c>
      <c r="J904" s="166" t="s">
        <v>2780</v>
      </c>
      <c r="N904" s="166" t="s">
        <v>2821</v>
      </c>
      <c r="P904" s="168">
        <f>SUMIF('Balance Sheet Detail'!$B:$B,$R904,'Balance Sheet Detail'!W:W)</f>
        <v>0</v>
      </c>
      <c r="R904" s="166" t="s">
        <v>3502</v>
      </c>
    </row>
    <row r="905" spans="1:18">
      <c r="A905" s="127"/>
      <c r="B905" s="203">
        <v>182303</v>
      </c>
      <c r="D905" s="348" t="s">
        <v>2779</v>
      </c>
      <c r="F905" s="348">
        <v>808001</v>
      </c>
      <c r="H905" s="349" t="s">
        <v>1553</v>
      </c>
      <c r="J905" s="166" t="s">
        <v>2966</v>
      </c>
      <c r="N905" s="166" t="s">
        <v>2821</v>
      </c>
      <c r="P905" s="168">
        <f>SUMIF('Balance Sheet Detail'!$B:$B,$R905,'Balance Sheet Detail'!W:W)</f>
        <v>0</v>
      </c>
      <c r="R905" s="166" t="s">
        <v>3503</v>
      </c>
    </row>
    <row r="906" spans="1:18">
      <c r="A906" s="127"/>
      <c r="B906" s="203">
        <v>182303</v>
      </c>
      <c r="D906" s="348" t="s">
        <v>2779</v>
      </c>
      <c r="F906" s="348" t="s">
        <v>472</v>
      </c>
      <c r="H906" s="349" t="s">
        <v>1553</v>
      </c>
      <c r="J906" s="166" t="s">
        <v>473</v>
      </c>
      <c r="N906" s="166" t="s">
        <v>2821</v>
      </c>
      <c r="P906" s="168">
        <f>SUMIF('Balance Sheet Detail'!$B:$B,$R906,'Balance Sheet Detail'!W:W)</f>
        <v>0</v>
      </c>
      <c r="R906" s="166" t="s">
        <v>3504</v>
      </c>
    </row>
    <row r="907" spans="1:18">
      <c r="A907" s="127"/>
      <c r="B907" s="203">
        <v>182303</v>
      </c>
      <c r="D907" s="348" t="s">
        <v>2779</v>
      </c>
      <c r="F907" s="348">
        <v>809005</v>
      </c>
      <c r="H907" s="349" t="s">
        <v>1553</v>
      </c>
      <c r="J907" s="166" t="s">
        <v>471</v>
      </c>
      <c r="N907" s="166" t="s">
        <v>2821</v>
      </c>
      <c r="P907" s="168">
        <f>SUMIF('Balance Sheet Detail'!$B:$B,$R907,'Balance Sheet Detail'!W:W)</f>
        <v>0</v>
      </c>
      <c r="R907" s="166" t="s">
        <v>3505</v>
      </c>
    </row>
    <row r="908" spans="1:18">
      <c r="A908" s="127"/>
      <c r="B908" s="203">
        <v>182303</v>
      </c>
      <c r="D908" s="348" t="s">
        <v>2779</v>
      </c>
      <c r="F908" s="348" t="s">
        <v>2907</v>
      </c>
      <c r="H908" s="349" t="s">
        <v>1553</v>
      </c>
      <c r="J908" s="166" t="s">
        <v>2908</v>
      </c>
      <c r="N908" s="166" t="s">
        <v>2821</v>
      </c>
      <c r="P908" s="168">
        <f>SUMIF('Balance Sheet Detail'!$B:$B,$R908,'Balance Sheet Detail'!W:W)</f>
        <v>0</v>
      </c>
      <c r="R908" s="166" t="s">
        <v>3506</v>
      </c>
    </row>
    <row r="909" spans="1:18">
      <c r="A909" s="127"/>
      <c r="B909" s="203">
        <v>182303</v>
      </c>
      <c r="D909" s="348" t="s">
        <v>740</v>
      </c>
      <c r="F909" s="348" t="s">
        <v>738</v>
      </c>
      <c r="H909" s="349" t="s">
        <v>1553</v>
      </c>
      <c r="J909" s="166" t="s">
        <v>1970</v>
      </c>
      <c r="N909" s="166" t="s">
        <v>2821</v>
      </c>
      <c r="P909" s="168">
        <f>SUMIF('Balance Sheet Detail'!$B:$B,$R909,'Balance Sheet Detail'!W:W)</f>
        <v>2505.0238187499999</v>
      </c>
      <c r="R909" s="166" t="s">
        <v>3507</v>
      </c>
    </row>
    <row r="910" spans="1:18">
      <c r="A910" s="127"/>
      <c r="B910" s="203">
        <v>182303</v>
      </c>
      <c r="D910" s="348" t="s">
        <v>740</v>
      </c>
      <c r="F910" s="348" t="s">
        <v>2572</v>
      </c>
      <c r="H910" s="349" t="s">
        <v>1553</v>
      </c>
      <c r="J910" s="166" t="s">
        <v>2573</v>
      </c>
      <c r="N910" s="166" t="s">
        <v>2821</v>
      </c>
      <c r="P910" s="168">
        <f>SUMIF('Balance Sheet Detail'!$B:$B,$R910,'Balance Sheet Detail'!W:W)</f>
        <v>23100.128315833299</v>
      </c>
      <c r="R910" s="166" t="s">
        <v>3508</v>
      </c>
    </row>
    <row r="911" spans="1:18">
      <c r="A911" s="127"/>
      <c r="B911" s="203">
        <v>182303</v>
      </c>
      <c r="D911" s="348" t="s">
        <v>740</v>
      </c>
      <c r="F911" s="348" t="s">
        <v>1758</v>
      </c>
      <c r="H911" s="349" t="s">
        <v>1553</v>
      </c>
      <c r="J911" s="166" t="s">
        <v>754</v>
      </c>
      <c r="N911" s="166" t="s">
        <v>2821</v>
      </c>
      <c r="P911" s="168">
        <f>SUMIF('Balance Sheet Detail'!$B:$B,$R911,'Balance Sheet Detail'!W:W)</f>
        <v>-9330.36535</v>
      </c>
      <c r="R911" s="166" t="s">
        <v>3509</v>
      </c>
    </row>
    <row r="912" spans="1:18">
      <c r="A912" s="127"/>
      <c r="B912" s="203">
        <v>182303</v>
      </c>
      <c r="D912" s="348" t="s">
        <v>740</v>
      </c>
      <c r="F912" s="348">
        <v>801261</v>
      </c>
      <c r="H912" s="349" t="s">
        <v>1553</v>
      </c>
      <c r="J912" s="166" t="s">
        <v>3116</v>
      </c>
      <c r="N912" s="166" t="s">
        <v>2821</v>
      </c>
      <c r="P912" s="168">
        <f>SUMIF('Balance Sheet Detail'!$B:$B,$R912,'Balance Sheet Detail'!W:W)</f>
        <v>61871.156337083303</v>
      </c>
      <c r="R912" s="166" t="s">
        <v>3510</v>
      </c>
    </row>
    <row r="913" spans="1:18">
      <c r="A913" s="127"/>
      <c r="B913" s="203">
        <v>182303</v>
      </c>
      <c r="D913" s="348" t="s">
        <v>740</v>
      </c>
      <c r="F913" s="348">
        <v>801203</v>
      </c>
      <c r="H913" s="349" t="s">
        <v>1553</v>
      </c>
      <c r="J913" s="166" t="s">
        <v>3816</v>
      </c>
      <c r="N913" s="166" t="s">
        <v>2821</v>
      </c>
      <c r="P913" s="168">
        <f>SUMIF('Balance Sheet Detail'!$B:$B,$R913,'Balance Sheet Detail'!W:W)</f>
        <v>13828.217574583299</v>
      </c>
      <c r="R913" s="166" t="s">
        <v>4257</v>
      </c>
    </row>
    <row r="914" spans="1:18">
      <c r="A914" s="127"/>
      <c r="B914" s="203">
        <v>182303</v>
      </c>
      <c r="D914" s="348" t="s">
        <v>740</v>
      </c>
      <c r="F914" s="348">
        <v>809005</v>
      </c>
      <c r="H914" s="349" t="s">
        <v>1553</v>
      </c>
      <c r="J914" s="166" t="s">
        <v>471</v>
      </c>
      <c r="N914" s="166" t="s">
        <v>2821</v>
      </c>
      <c r="P914" s="168">
        <f>SUMIF('Balance Sheet Detail'!$B:$B,$R914,'Balance Sheet Detail'!W:W)</f>
        <v>-52327.403614166702</v>
      </c>
      <c r="R914" s="166" t="s">
        <v>3511</v>
      </c>
    </row>
    <row r="915" spans="1:18">
      <c r="A915" s="127"/>
      <c r="B915" s="203">
        <v>254016</v>
      </c>
      <c r="D915" s="348" t="s">
        <v>30</v>
      </c>
      <c r="F915" s="348" t="s">
        <v>31</v>
      </c>
      <c r="H915" s="349" t="s">
        <v>1553</v>
      </c>
      <c r="J915" s="166" t="s">
        <v>32</v>
      </c>
      <c r="N915" s="166" t="s">
        <v>2821</v>
      </c>
      <c r="P915" s="168">
        <f>SUMIF('Balance Sheet Detail'!$B:$B,$R915,'Balance Sheet Detail'!W:W)</f>
        <v>0</v>
      </c>
      <c r="R915" s="166" t="s">
        <v>3512</v>
      </c>
    </row>
    <row r="916" spans="1:18">
      <c r="A916" s="127"/>
      <c r="B916" s="203">
        <v>254017</v>
      </c>
      <c r="D916" s="348" t="s">
        <v>740</v>
      </c>
      <c r="F916" s="348" t="s">
        <v>738</v>
      </c>
      <c r="H916" s="349" t="s">
        <v>1553</v>
      </c>
      <c r="J916" s="166" t="s">
        <v>745</v>
      </c>
      <c r="N916" s="166" t="s">
        <v>2821</v>
      </c>
      <c r="P916" s="168">
        <f>SUMIF('Balance Sheet Detail'!$B:$B,$R916,'Balance Sheet Detail'!W:W)</f>
        <v>0</v>
      </c>
      <c r="R916" s="166" t="s">
        <v>3513</v>
      </c>
    </row>
    <row r="917" spans="1:18">
      <c r="A917" s="127"/>
      <c r="B917" s="203">
        <v>190501</v>
      </c>
      <c r="D917" s="348" t="s">
        <v>1017</v>
      </c>
      <c r="F917" s="348" t="s">
        <v>1553</v>
      </c>
      <c r="H917" s="349" t="s">
        <v>1553</v>
      </c>
      <c r="J917" s="166" t="s">
        <v>1016</v>
      </c>
      <c r="N917" s="166" t="s">
        <v>2821</v>
      </c>
      <c r="P917" s="168">
        <f>SUMIF('Balance Sheet Detail'!$B:$B,$R917,'Balance Sheet Detail'!W:W)</f>
        <v>0</v>
      </c>
      <c r="R917" s="166" t="s">
        <v>3484</v>
      </c>
    </row>
    <row r="918" spans="1:18">
      <c r="A918" s="127"/>
      <c r="B918" s="203">
        <v>190502</v>
      </c>
      <c r="D918" s="348" t="s">
        <v>2779</v>
      </c>
      <c r="F918" s="348" t="s">
        <v>1444</v>
      </c>
      <c r="H918" s="349" t="s">
        <v>1553</v>
      </c>
      <c r="J918" s="166" t="s">
        <v>1281</v>
      </c>
      <c r="N918" s="166" t="s">
        <v>2821</v>
      </c>
      <c r="P918" s="168">
        <f>SUMIF('Balance Sheet Detail'!$B:$B,$R918,'Balance Sheet Detail'!W:W)</f>
        <v>-1.59999999974E-4</v>
      </c>
      <c r="R918" s="166" t="s">
        <v>3485</v>
      </c>
    </row>
    <row r="919" spans="1:18">
      <c r="A919" s="127"/>
      <c r="B919" s="203">
        <v>190502</v>
      </c>
      <c r="D919" s="348" t="s">
        <v>1017</v>
      </c>
      <c r="F919" s="348" t="s">
        <v>1553</v>
      </c>
      <c r="H919" s="349" t="s">
        <v>1553</v>
      </c>
      <c r="J919" s="166" t="s">
        <v>1016</v>
      </c>
      <c r="N919" s="166" t="s">
        <v>2821</v>
      </c>
      <c r="P919" s="168">
        <f>SUMIF('Balance Sheet Detail'!$B:$B,$R919,'Balance Sheet Detail'!W:W)</f>
        <v>0</v>
      </c>
      <c r="R919" s="166" t="s">
        <v>3486</v>
      </c>
    </row>
    <row r="920" spans="1:18">
      <c r="A920" s="127"/>
      <c r="B920" s="203">
        <v>190511</v>
      </c>
      <c r="D920" s="348" t="s">
        <v>1017</v>
      </c>
      <c r="F920" s="348" t="s">
        <v>1553</v>
      </c>
      <c r="H920" s="349" t="s">
        <v>1553</v>
      </c>
      <c r="J920" s="166" t="s">
        <v>1016</v>
      </c>
      <c r="N920" s="166" t="s">
        <v>2821</v>
      </c>
      <c r="P920" s="168">
        <f>SUMIF('Balance Sheet Detail'!$B:$B,$R920,'Balance Sheet Detail'!W:W)</f>
        <v>-2.8000000000000001E-14</v>
      </c>
      <c r="R920" s="166" t="s">
        <v>3487</v>
      </c>
    </row>
    <row r="921" spans="1:18">
      <c r="A921" s="127"/>
      <c r="B921" s="203">
        <v>190512</v>
      </c>
      <c r="D921" s="348" t="s">
        <v>2779</v>
      </c>
      <c r="F921" s="348" t="s">
        <v>1444</v>
      </c>
      <c r="H921" s="349" t="s">
        <v>1553</v>
      </c>
      <c r="J921" s="166" t="s">
        <v>1281</v>
      </c>
      <c r="N921" s="166" t="s">
        <v>2821</v>
      </c>
      <c r="P921" s="168">
        <f>SUMIF('Balance Sheet Detail'!$B:$B,$R921,'Balance Sheet Detail'!W:W)</f>
        <v>-2.9999999999E-5</v>
      </c>
      <c r="R921" s="166" t="s">
        <v>3488</v>
      </c>
    </row>
    <row r="922" spans="1:18">
      <c r="A922" s="127"/>
      <c r="B922" s="203">
        <v>190512</v>
      </c>
      <c r="D922" s="348" t="s">
        <v>1017</v>
      </c>
      <c r="F922" s="348" t="s">
        <v>1553</v>
      </c>
      <c r="H922" s="349" t="s">
        <v>1553</v>
      </c>
      <c r="J922" s="166" t="s">
        <v>1016</v>
      </c>
      <c r="N922" s="166" t="s">
        <v>2821</v>
      </c>
      <c r="P922" s="168">
        <f>SUMIF('Balance Sheet Detail'!$B:$B,$R922,'Balance Sheet Detail'!W:W)</f>
        <v>0</v>
      </c>
      <c r="R922" s="166" t="s">
        <v>3489</v>
      </c>
    </row>
    <row r="923" spans="1:18">
      <c r="A923" s="127"/>
      <c r="B923" s="203">
        <v>190531</v>
      </c>
      <c r="D923" s="348" t="s">
        <v>1017</v>
      </c>
      <c r="F923" s="348">
        <v>4</v>
      </c>
      <c r="H923" s="349" t="s">
        <v>1553</v>
      </c>
      <c r="J923" s="166" t="s">
        <v>3155</v>
      </c>
      <c r="N923" s="166" t="s">
        <v>2821</v>
      </c>
      <c r="P923" s="168">
        <f>SUMIF('Balance Sheet Detail'!$B:$B,$R923,'Balance Sheet Detail'!W:W)</f>
        <v>-19687.086453749998</v>
      </c>
      <c r="R923" s="166" t="s">
        <v>4258</v>
      </c>
    </row>
    <row r="924" spans="1:18">
      <c r="A924" s="127"/>
      <c r="B924" s="203">
        <v>190531</v>
      </c>
      <c r="D924" s="348" t="s">
        <v>1569</v>
      </c>
      <c r="F924" s="348">
        <v>5</v>
      </c>
      <c r="H924" s="349" t="s">
        <v>1553</v>
      </c>
      <c r="J924" s="166" t="s">
        <v>3155</v>
      </c>
      <c r="N924" s="166" t="s">
        <v>2821</v>
      </c>
      <c r="P924" s="168">
        <f>SUMIF('Balance Sheet Detail'!$B:$B,$R924,'Balance Sheet Detail'!W:W)</f>
        <v>0</v>
      </c>
      <c r="R924" s="166" t="s">
        <v>4259</v>
      </c>
    </row>
    <row r="925" spans="1:18">
      <c r="A925" s="127"/>
      <c r="B925" s="203">
        <v>190532</v>
      </c>
      <c r="D925" s="348" t="s">
        <v>2779</v>
      </c>
      <c r="F925" s="348">
        <v>2</v>
      </c>
      <c r="H925" s="349" t="s">
        <v>1553</v>
      </c>
      <c r="J925" s="166" t="s">
        <v>3157</v>
      </c>
      <c r="N925" s="166" t="s">
        <v>2821</v>
      </c>
      <c r="P925" s="168">
        <f>SUMIF('Balance Sheet Detail'!$B:$B,$R925,'Balance Sheet Detail'!W:W)</f>
        <v>-7961.5576308333302</v>
      </c>
      <c r="R925" s="166" t="s">
        <v>4260</v>
      </c>
    </row>
    <row r="926" spans="1:18">
      <c r="A926" s="127"/>
      <c r="B926" s="203">
        <v>190532</v>
      </c>
      <c r="D926" s="348" t="s">
        <v>1017</v>
      </c>
      <c r="F926" s="348">
        <v>5</v>
      </c>
      <c r="H926" s="349" t="s">
        <v>1553</v>
      </c>
      <c r="J926" s="166" t="s">
        <v>3155</v>
      </c>
      <c r="N926" s="166" t="s">
        <v>2821</v>
      </c>
      <c r="P926" s="168">
        <f>SUMIF('Balance Sheet Detail'!$B:$B,$R926,'Balance Sheet Detail'!W:W)</f>
        <v>-3120.9189249999999</v>
      </c>
      <c r="R926" s="166" t="s">
        <v>4261</v>
      </c>
    </row>
    <row r="927" spans="1:18">
      <c r="A927" s="127"/>
      <c r="B927" s="203">
        <v>190541</v>
      </c>
      <c r="D927" s="348" t="s">
        <v>1017</v>
      </c>
      <c r="F927" s="348">
        <v>4</v>
      </c>
      <c r="H927" s="349" t="s">
        <v>1553</v>
      </c>
      <c r="J927" s="166" t="s">
        <v>3155</v>
      </c>
      <c r="N927" s="166" t="s">
        <v>2821</v>
      </c>
      <c r="P927" s="168">
        <f>SUMIF('Balance Sheet Detail'!$B:$B,$R927,'Balance Sheet Detail'!W:W)</f>
        <v>-4298.8870900000002</v>
      </c>
      <c r="R927" s="166" t="s">
        <v>4262</v>
      </c>
    </row>
    <row r="928" spans="1:18">
      <c r="A928" s="127"/>
      <c r="B928" s="203">
        <v>190542</v>
      </c>
      <c r="D928" s="348" t="s">
        <v>2779</v>
      </c>
      <c r="F928" s="348">
        <v>2</v>
      </c>
      <c r="H928" s="349" t="s">
        <v>1553</v>
      </c>
      <c r="J928" s="166" t="s">
        <v>3157</v>
      </c>
      <c r="N928" s="166" t="s">
        <v>2821</v>
      </c>
      <c r="P928" s="168">
        <f>SUMIF('Balance Sheet Detail'!$B:$B,$R928,'Balance Sheet Detail'!W:W)</f>
        <v>-1738.49182791667</v>
      </c>
      <c r="R928" s="166" t="s">
        <v>4263</v>
      </c>
    </row>
    <row r="929" spans="1:18">
      <c r="A929" s="127"/>
      <c r="B929" s="203">
        <v>190542</v>
      </c>
      <c r="D929" s="348" t="s">
        <v>1017</v>
      </c>
      <c r="F929" s="348">
        <v>5</v>
      </c>
      <c r="H929" s="349" t="s">
        <v>1553</v>
      </c>
      <c r="J929" s="166" t="s">
        <v>3155</v>
      </c>
      <c r="N929" s="166" t="s">
        <v>2821</v>
      </c>
      <c r="P929" s="168">
        <f>SUMIF('Balance Sheet Detail'!$B:$B,$R929,'Balance Sheet Detail'!W:W)</f>
        <v>-681.48621708333303</v>
      </c>
      <c r="R929" s="166" t="s">
        <v>4264</v>
      </c>
    </row>
    <row r="930" spans="1:18">
      <c r="A930" s="127"/>
      <c r="B930" s="203">
        <v>283510</v>
      </c>
      <c r="D930" s="348" t="s">
        <v>2779</v>
      </c>
      <c r="F930" s="348" t="s">
        <v>416</v>
      </c>
      <c r="H930" s="349" t="s">
        <v>1553</v>
      </c>
      <c r="J930" s="166" t="s">
        <v>417</v>
      </c>
      <c r="N930" s="166" t="s">
        <v>2821</v>
      </c>
      <c r="P930" s="168">
        <f>SUMIF('Balance Sheet Detail'!$B:$B,$R930,'Balance Sheet Detail'!W:W)</f>
        <v>-1.1640000000000001E-12</v>
      </c>
      <c r="R930" s="166" t="s">
        <v>3490</v>
      </c>
    </row>
    <row r="931" spans="1:18">
      <c r="A931" s="127"/>
      <c r="B931" s="203">
        <v>283510</v>
      </c>
      <c r="D931" s="348" t="s">
        <v>2779</v>
      </c>
      <c r="F931" s="348" t="s">
        <v>1444</v>
      </c>
      <c r="H931" s="349" t="s">
        <v>1553</v>
      </c>
      <c r="J931" s="166" t="s">
        <v>508</v>
      </c>
      <c r="N931" s="166" t="s">
        <v>2821</v>
      </c>
      <c r="P931" s="168">
        <f>SUMIF('Balance Sheet Detail'!$B:$B,$R931,'Balance Sheet Detail'!W:W)</f>
        <v>0</v>
      </c>
      <c r="R931" s="166" t="s">
        <v>3491</v>
      </c>
    </row>
    <row r="932" spans="1:18">
      <c r="A932" s="127"/>
      <c r="B932" s="203">
        <v>283560</v>
      </c>
      <c r="D932" s="348" t="s">
        <v>2779</v>
      </c>
      <c r="F932" s="348" t="s">
        <v>1809</v>
      </c>
      <c r="H932" s="349" t="s">
        <v>1553</v>
      </c>
      <c r="J932" s="166" t="s">
        <v>417</v>
      </c>
      <c r="N932" s="166" t="s">
        <v>2821</v>
      </c>
      <c r="P932" s="168">
        <f>SUMIF('Balance Sheet Detail'!$B:$B,$R932,'Balance Sheet Detail'!W:W)</f>
        <v>-4.4600000000000002E-13</v>
      </c>
      <c r="R932" s="166" t="s">
        <v>3492</v>
      </c>
    </row>
    <row r="933" spans="1:18">
      <c r="A933" s="127"/>
      <c r="B933" s="203">
        <v>283560</v>
      </c>
      <c r="D933" s="348" t="s">
        <v>2779</v>
      </c>
      <c r="F933" s="348" t="s">
        <v>1444</v>
      </c>
      <c r="H933" s="349" t="s">
        <v>1553</v>
      </c>
      <c r="J933" s="166" t="s">
        <v>508</v>
      </c>
      <c r="N933" s="166" t="s">
        <v>2821</v>
      </c>
      <c r="P933" s="168">
        <f>SUMIF('Balance Sheet Detail'!$B:$B,$R933,'Balance Sheet Detail'!W:W)</f>
        <v>-4.4600000000000002E-13</v>
      </c>
      <c r="R933" s="166" t="s">
        <v>3493</v>
      </c>
    </row>
    <row r="934" spans="1:18" ht="15" customHeight="1">
      <c r="D934" s="348"/>
      <c r="F934" s="348"/>
      <c r="H934" s="349"/>
      <c r="P934" s="350"/>
    </row>
    <row r="935" spans="1:18">
      <c r="A935" s="127"/>
      <c r="B935" s="351" t="s">
        <v>3494</v>
      </c>
      <c r="D935" s="348"/>
      <c r="F935" s="348"/>
      <c r="H935" s="349"/>
      <c r="P935" s="353">
        <f>SUM(P890:P934)</f>
        <v>59301.569198333178</v>
      </c>
      <c r="Q935" s="355"/>
    </row>
    <row r="936" spans="1:18">
      <c r="A936" s="127"/>
      <c r="B936" s="351"/>
      <c r="D936" s="348"/>
      <c r="F936" s="348"/>
      <c r="H936" s="349"/>
      <c r="P936" s="353"/>
    </row>
    <row r="937" spans="1:18">
      <c r="A937" s="127" t="s">
        <v>815</v>
      </c>
      <c r="D937" s="348"/>
      <c r="F937" s="348"/>
      <c r="H937" s="349"/>
      <c r="P937" s="343"/>
    </row>
    <row r="938" spans="1:18" ht="15" customHeight="1">
      <c r="B938" s="203">
        <v>182090</v>
      </c>
      <c r="D938" s="348">
        <v>0</v>
      </c>
      <c r="F938" s="348" t="s">
        <v>106</v>
      </c>
      <c r="H938" s="349" t="s">
        <v>815</v>
      </c>
      <c r="J938" s="166" t="s">
        <v>1072</v>
      </c>
      <c r="N938" s="166" t="s">
        <v>2821</v>
      </c>
      <c r="P938" s="168">
        <f>SUMIF('Balance Sheet Detail'!$B:$B,$R938,'Balance Sheet Detail'!W:W)</f>
        <v>0</v>
      </c>
      <c r="R938" s="166" t="s">
        <v>4265</v>
      </c>
    </row>
    <row r="939" spans="1:18" ht="15" customHeight="1">
      <c r="B939" s="203">
        <v>182090</v>
      </c>
      <c r="D939" s="348">
        <v>0</v>
      </c>
      <c r="F939" s="348" t="s">
        <v>814</v>
      </c>
      <c r="H939" s="349" t="s">
        <v>815</v>
      </c>
      <c r="J939" s="166" t="s">
        <v>815</v>
      </c>
      <c r="N939" s="166" t="s">
        <v>2821</v>
      </c>
      <c r="P939" s="168">
        <f>SUMIF('Balance Sheet Detail'!$B:$B,$R939,'Balance Sheet Detail'!W:W)</f>
        <v>0</v>
      </c>
      <c r="R939" s="166" t="s">
        <v>4266</v>
      </c>
    </row>
    <row r="940" spans="1:18" ht="15" customHeight="1">
      <c r="B940" s="203">
        <v>182090</v>
      </c>
      <c r="D940" s="348">
        <v>0</v>
      </c>
      <c r="F940" s="348" t="s">
        <v>816</v>
      </c>
      <c r="H940" s="349" t="s">
        <v>815</v>
      </c>
      <c r="J940" s="166" t="s">
        <v>1828</v>
      </c>
      <c r="N940" s="166" t="s">
        <v>2821</v>
      </c>
      <c r="P940" s="168">
        <f>SUMIF('Balance Sheet Detail'!$B:$B,$R940,'Balance Sheet Detail'!W:W)</f>
        <v>0</v>
      </c>
      <c r="R940" s="166" t="s">
        <v>4267</v>
      </c>
    </row>
    <row r="941" spans="1:18" ht="15" customHeight="1">
      <c r="B941" s="203">
        <v>182301</v>
      </c>
      <c r="D941" s="348" t="s">
        <v>3794</v>
      </c>
      <c r="F941" s="348">
        <v>801205</v>
      </c>
      <c r="H941" s="349" t="s">
        <v>815</v>
      </c>
      <c r="J941" s="166" t="s">
        <v>1879</v>
      </c>
      <c r="N941" s="166" t="s">
        <v>2821</v>
      </c>
      <c r="P941" s="168">
        <f>SUMIF('Balance Sheet Detail'!$B:$B,$R941,'Balance Sheet Detail'!W:W)</f>
        <v>5255.3253495833296</v>
      </c>
      <c r="R941" s="166" t="s">
        <v>4268</v>
      </c>
    </row>
    <row r="942" spans="1:18" ht="15" customHeight="1">
      <c r="B942" s="203">
        <v>182303</v>
      </c>
      <c r="D942" s="348" t="s">
        <v>3219</v>
      </c>
      <c r="F942" s="348">
        <v>801205</v>
      </c>
      <c r="H942" s="349" t="s">
        <v>815</v>
      </c>
      <c r="J942" s="166" t="s">
        <v>2577</v>
      </c>
      <c r="N942" s="166" t="s">
        <v>2821</v>
      </c>
      <c r="P942" s="168">
        <f>SUMIF('Balance Sheet Detail'!$B:$B,$R942,'Balance Sheet Detail'!W:W)</f>
        <v>1133.2137975000001</v>
      </c>
      <c r="R942" s="166" t="s">
        <v>4269</v>
      </c>
    </row>
    <row r="943" spans="1:18" ht="15" customHeight="1">
      <c r="B943" s="203">
        <v>182306</v>
      </c>
      <c r="D943" s="348" t="s">
        <v>79</v>
      </c>
      <c r="F943" s="348">
        <v>801231</v>
      </c>
      <c r="H943" s="349" t="s">
        <v>815</v>
      </c>
      <c r="J943" s="166" t="s">
        <v>2583</v>
      </c>
      <c r="N943" s="166" t="s">
        <v>2821</v>
      </c>
      <c r="P943" s="168">
        <f>SUMIF('Balance Sheet Detail'!$B:$B,$R943,'Balance Sheet Detail'!W:W)</f>
        <v>0</v>
      </c>
      <c r="R943" s="166" t="s">
        <v>4270</v>
      </c>
    </row>
    <row r="944" spans="1:18" ht="15" customHeight="1">
      <c r="B944" s="203">
        <v>182307</v>
      </c>
      <c r="D944" s="348" t="s">
        <v>3794</v>
      </c>
      <c r="F944" s="348">
        <v>801205</v>
      </c>
      <c r="H944" s="349" t="s">
        <v>815</v>
      </c>
      <c r="J944" s="166" t="s">
        <v>4749</v>
      </c>
      <c r="N944" s="166" t="s">
        <v>2821</v>
      </c>
      <c r="P944" s="168">
        <f>SUMIF('Balance Sheet Detail'!$B:$B,$R944,'Balance Sheet Detail'!W:W)</f>
        <v>15103.668334166699</v>
      </c>
      <c r="R944" s="166" t="s">
        <v>4751</v>
      </c>
    </row>
    <row r="945" spans="1:18" ht="15" customHeight="1">
      <c r="B945" s="203">
        <v>182307</v>
      </c>
      <c r="D945" s="348" t="s">
        <v>3219</v>
      </c>
      <c r="F945" s="348">
        <v>801205</v>
      </c>
      <c r="H945" s="349" t="s">
        <v>815</v>
      </c>
      <c r="J945" s="166" t="s">
        <v>4750</v>
      </c>
      <c r="N945" s="166" t="s">
        <v>2821</v>
      </c>
      <c r="P945" s="168">
        <f>SUMIF('Balance Sheet Detail'!$B:$B,$R945,'Balance Sheet Detail'!W:W)</f>
        <v>3379.8021808333301</v>
      </c>
      <c r="R945" s="166" t="s">
        <v>4752</v>
      </c>
    </row>
    <row r="946" spans="1:18" ht="15" customHeight="1">
      <c r="B946" s="203">
        <v>182307</v>
      </c>
      <c r="D946" s="348" t="s">
        <v>79</v>
      </c>
      <c r="F946" s="348">
        <v>801259</v>
      </c>
      <c r="H946" s="349" t="s">
        <v>815</v>
      </c>
      <c r="J946" s="166" t="s">
        <v>4770</v>
      </c>
      <c r="N946" s="166" t="s">
        <v>2821</v>
      </c>
      <c r="P946" s="168">
        <f>SUMIF('Balance Sheet Detail'!$B:$B,$R946,'Balance Sheet Detail'!W:W)</f>
        <v>44.188292916666697</v>
      </c>
      <c r="R946" s="166" t="s">
        <v>4771</v>
      </c>
    </row>
    <row r="947" spans="1:18" ht="15" customHeight="1">
      <c r="B947" s="203">
        <v>283500</v>
      </c>
      <c r="D947" s="348" t="s">
        <v>278</v>
      </c>
      <c r="F947" s="348" t="s">
        <v>940</v>
      </c>
      <c r="H947" s="349" t="s">
        <v>815</v>
      </c>
      <c r="J947" s="166" t="s">
        <v>815</v>
      </c>
      <c r="N947" s="166" t="s">
        <v>2821</v>
      </c>
      <c r="P947" s="168">
        <f>SUMIF('Balance Sheet Detail'!$B:$B,$R947,'Balance Sheet Detail'!W:W)</f>
        <v>-6609.3510729166701</v>
      </c>
      <c r="R947" s="166" t="s">
        <v>4578</v>
      </c>
    </row>
    <row r="948" spans="1:18" ht="15" customHeight="1">
      <c r="B948" s="203">
        <v>283510</v>
      </c>
      <c r="D948" s="348" t="s">
        <v>278</v>
      </c>
      <c r="F948" s="348" t="s">
        <v>940</v>
      </c>
      <c r="H948" s="349" t="s">
        <v>815</v>
      </c>
      <c r="J948" s="166" t="s">
        <v>815</v>
      </c>
      <c r="N948" s="166" t="s">
        <v>2821</v>
      </c>
      <c r="P948" s="168">
        <f>SUMIF('Balance Sheet Detail'!$B:$B,$R948,'Balance Sheet Detail'!W:W)</f>
        <v>-1492.15067916667</v>
      </c>
      <c r="R948" s="166" t="s">
        <v>4710</v>
      </c>
    </row>
    <row r="949" spans="1:18" ht="15" customHeight="1">
      <c r="B949" s="203">
        <v>283550</v>
      </c>
      <c r="D949" s="348" t="s">
        <v>278</v>
      </c>
      <c r="F949" s="348" t="s">
        <v>940</v>
      </c>
      <c r="H949" s="349" t="s">
        <v>815</v>
      </c>
      <c r="J949" s="166" t="s">
        <v>815</v>
      </c>
      <c r="N949" s="166" t="s">
        <v>2821</v>
      </c>
      <c r="P949" s="168">
        <f>SUMIF('Balance Sheet Detail'!$B:$B,$R949,'Balance Sheet Detail'!W:W)</f>
        <v>-1443.22289916667</v>
      </c>
      <c r="R949" s="166" t="s">
        <v>4711</v>
      </c>
    </row>
    <row r="950" spans="1:18" ht="15" customHeight="1">
      <c r="B950" s="203">
        <v>283560</v>
      </c>
      <c r="D950" s="348" t="s">
        <v>278</v>
      </c>
      <c r="F950" s="348" t="s">
        <v>940</v>
      </c>
      <c r="H950" s="349" t="s">
        <v>815</v>
      </c>
      <c r="J950" s="166" t="s">
        <v>815</v>
      </c>
      <c r="N950" s="166" t="s">
        <v>2821</v>
      </c>
      <c r="P950" s="350">
        <f>SUMIF('Balance Sheet Detail'!$B:$B,$R950,'Balance Sheet Detail'!W:W)</f>
        <v>-325.827153333333</v>
      </c>
      <c r="R950" s="166" t="s">
        <v>4716</v>
      </c>
    </row>
    <row r="951" spans="1:18">
      <c r="A951" s="127"/>
      <c r="B951" s="351" t="s">
        <v>3220</v>
      </c>
      <c r="C951" s="352"/>
      <c r="D951" s="348"/>
      <c r="E951" s="352"/>
      <c r="F951" s="348"/>
      <c r="G951" s="352"/>
      <c r="H951" s="349"/>
      <c r="I951" s="352"/>
      <c r="K951" s="352"/>
      <c r="L951" s="352"/>
      <c r="P951" s="353">
        <f>SUM(P938:P950)</f>
        <v>15045.646150416682</v>
      </c>
    </row>
    <row r="952" spans="1:18">
      <c r="A952" s="127"/>
      <c r="B952" s="351"/>
      <c r="C952" s="352"/>
      <c r="D952" s="348"/>
      <c r="E952" s="352"/>
      <c r="F952" s="348"/>
      <c r="G952" s="352"/>
      <c r="H952" s="349"/>
      <c r="I952" s="352"/>
      <c r="K952" s="352"/>
      <c r="L952" s="352"/>
      <c r="P952" s="353"/>
    </row>
    <row r="953" spans="1:18">
      <c r="A953" s="127" t="s">
        <v>1717</v>
      </c>
      <c r="B953" s="351"/>
      <c r="C953" s="352"/>
      <c r="D953" s="348"/>
      <c r="E953" s="352"/>
      <c r="F953" s="348"/>
      <c r="G953" s="352"/>
      <c r="H953" s="349"/>
      <c r="I953" s="352"/>
      <c r="K953" s="352"/>
      <c r="L953" s="352"/>
      <c r="P953" s="353"/>
    </row>
    <row r="954" spans="1:18" ht="15" customHeight="1">
      <c r="B954" s="203">
        <v>254010</v>
      </c>
      <c r="D954" s="348">
        <v>0</v>
      </c>
      <c r="F954" s="348" t="s">
        <v>1716</v>
      </c>
      <c r="H954" s="349" t="s">
        <v>1717</v>
      </c>
      <c r="J954" s="166" t="s">
        <v>5</v>
      </c>
      <c r="N954" s="166" t="s">
        <v>2821</v>
      </c>
      <c r="P954" s="168">
        <f>SUMIF('Balance Sheet Detail'!$B:$B,$R954,'Balance Sheet Detail'!W:W)</f>
        <v>0</v>
      </c>
      <c r="R954" s="166" t="s">
        <v>4271</v>
      </c>
    </row>
    <row r="955" spans="1:18" ht="15" customHeight="1">
      <c r="B955" s="203">
        <v>254010</v>
      </c>
      <c r="D955" s="348">
        <v>0</v>
      </c>
      <c r="F955" s="348" t="s">
        <v>3033</v>
      </c>
      <c r="H955" s="349" t="s">
        <v>1717</v>
      </c>
      <c r="J955" s="166" t="s">
        <v>2624</v>
      </c>
      <c r="N955" s="166" t="s">
        <v>2821</v>
      </c>
      <c r="P955" s="168">
        <f>SUMIF('Balance Sheet Detail'!$B:$B,$R955,'Balance Sheet Detail'!W:W)</f>
        <v>0</v>
      </c>
      <c r="R955" s="166" t="s">
        <v>4272</v>
      </c>
    </row>
    <row r="956" spans="1:18" ht="15" customHeight="1">
      <c r="B956" s="203">
        <v>254016</v>
      </c>
      <c r="D956" s="348" t="s">
        <v>715</v>
      </c>
      <c r="F956" s="348" t="s">
        <v>1716</v>
      </c>
      <c r="H956" s="349" t="s">
        <v>1717</v>
      </c>
      <c r="J956" s="166" t="s">
        <v>5</v>
      </c>
      <c r="N956" s="166" t="s">
        <v>2821</v>
      </c>
      <c r="P956" s="168">
        <f>SUMIF('Balance Sheet Detail'!$B:$B,$R956,'Balance Sheet Detail'!W:W)</f>
        <v>0</v>
      </c>
      <c r="R956" s="166" t="s">
        <v>4273</v>
      </c>
    </row>
    <row r="957" spans="1:18" ht="15" customHeight="1">
      <c r="B957" s="203">
        <v>254016</v>
      </c>
      <c r="D957" s="348" t="s">
        <v>715</v>
      </c>
      <c r="F957" s="348" t="s">
        <v>3033</v>
      </c>
      <c r="H957" s="349" t="s">
        <v>1717</v>
      </c>
      <c r="J957" s="166" t="s">
        <v>2624</v>
      </c>
      <c r="N957" s="166" t="s">
        <v>2821</v>
      </c>
      <c r="P957" s="168">
        <f>SUMIF('Balance Sheet Detail'!$B:$B,$R957,'Balance Sheet Detail'!W:W)</f>
        <v>0</v>
      </c>
      <c r="R957" s="166" t="s">
        <v>4274</v>
      </c>
    </row>
    <row r="958" spans="1:18" ht="15" customHeight="1">
      <c r="B958" s="203">
        <v>254016</v>
      </c>
      <c r="D958" s="348" t="s">
        <v>715</v>
      </c>
      <c r="F958" s="348">
        <v>807025</v>
      </c>
      <c r="H958" s="349" t="s">
        <v>1717</v>
      </c>
      <c r="J958" s="166" t="s">
        <v>1287</v>
      </c>
      <c r="N958" s="166" t="s">
        <v>2821</v>
      </c>
      <c r="P958" s="168">
        <f>SUMIF('Balance Sheet Detail'!$B:$B,$R958,'Balance Sheet Detail'!W:W)</f>
        <v>0</v>
      </c>
      <c r="R958" s="166" t="s">
        <v>4275</v>
      </c>
    </row>
    <row r="959" spans="1:18" ht="15" customHeight="1">
      <c r="B959" s="203">
        <v>254016</v>
      </c>
      <c r="D959" s="348" t="s">
        <v>715</v>
      </c>
      <c r="F959" s="348">
        <v>807026</v>
      </c>
      <c r="H959" s="349" t="s">
        <v>1717</v>
      </c>
      <c r="J959" s="166" t="s">
        <v>2984</v>
      </c>
      <c r="N959" s="166" t="s">
        <v>2821</v>
      </c>
      <c r="P959" s="168">
        <f>SUMIF('Balance Sheet Detail'!$B:$B,$R959,'Balance Sheet Detail'!W:W)</f>
        <v>0</v>
      </c>
      <c r="R959" s="166" t="s">
        <v>4276</v>
      </c>
    </row>
    <row r="960" spans="1:18" ht="15" customHeight="1">
      <c r="B960" s="203">
        <v>190001</v>
      </c>
      <c r="D960" s="348"/>
      <c r="F960" s="348" t="s">
        <v>2899</v>
      </c>
      <c r="H960" s="349" t="s">
        <v>1717</v>
      </c>
      <c r="J960" s="166" t="s">
        <v>519</v>
      </c>
      <c r="N960" s="166" t="s">
        <v>2821</v>
      </c>
      <c r="P960" s="168">
        <f>SUMIF('Balance Sheet Detail'!$B:$B,$R960,'Balance Sheet Detail'!W:W)</f>
        <v>0</v>
      </c>
      <c r="R960" s="166" t="s">
        <v>4277</v>
      </c>
    </row>
    <row r="961" spans="1:18" ht="15" customHeight="1">
      <c r="B961" s="203">
        <v>190011</v>
      </c>
      <c r="D961" s="348"/>
      <c r="F961" s="348" t="s">
        <v>2899</v>
      </c>
      <c r="H961" s="349" t="s">
        <v>1717</v>
      </c>
      <c r="J961" s="166" t="s">
        <v>519</v>
      </c>
      <c r="N961" s="166" t="s">
        <v>2821</v>
      </c>
      <c r="P961" s="168">
        <f>SUMIF('Balance Sheet Detail'!$B:$B,$R961,'Balance Sheet Detail'!W:W)</f>
        <v>0</v>
      </c>
      <c r="R961" s="166" t="s">
        <v>4278</v>
      </c>
    </row>
    <row r="962" spans="1:18" ht="15" customHeight="1">
      <c r="B962" s="203">
        <v>190511</v>
      </c>
      <c r="D962" s="348" t="s">
        <v>715</v>
      </c>
      <c r="F962" s="348" t="s">
        <v>2899</v>
      </c>
      <c r="H962" s="349" t="s">
        <v>1717</v>
      </c>
      <c r="J962" s="166" t="s">
        <v>1026</v>
      </c>
      <c r="N962" s="166" t="s">
        <v>2821</v>
      </c>
      <c r="P962" s="168">
        <f>SUMIF('Balance Sheet Detail'!$B:$B,$R962,'Balance Sheet Detail'!W:W)</f>
        <v>0</v>
      </c>
      <c r="R962" s="166" t="s">
        <v>4279</v>
      </c>
    </row>
    <row r="963" spans="1:18" ht="15" customHeight="1">
      <c r="B963" s="203">
        <v>283500</v>
      </c>
      <c r="D963" s="348" t="s">
        <v>715</v>
      </c>
      <c r="F963" s="348" t="s">
        <v>2899</v>
      </c>
      <c r="H963" s="349" t="s">
        <v>1717</v>
      </c>
      <c r="J963" s="166" t="s">
        <v>1026</v>
      </c>
      <c r="N963" s="166" t="s">
        <v>2821</v>
      </c>
      <c r="P963" s="168">
        <f>SUMIF('Balance Sheet Detail'!$B:$B,$R963,'Balance Sheet Detail'!W:W)</f>
        <v>0</v>
      </c>
      <c r="R963" s="166" t="s">
        <v>3514</v>
      </c>
    </row>
    <row r="964" spans="1:18" ht="15" customHeight="1">
      <c r="B964" s="203">
        <v>283550</v>
      </c>
      <c r="D964" s="348" t="s">
        <v>715</v>
      </c>
      <c r="F964" s="348" t="s">
        <v>2899</v>
      </c>
      <c r="H964" s="349" t="s">
        <v>1717</v>
      </c>
      <c r="J964" s="166" t="s">
        <v>1026</v>
      </c>
      <c r="N964" s="166" t="s">
        <v>2821</v>
      </c>
      <c r="P964" s="350">
        <f>SUMIF('Balance Sheet Detail'!$B:$B,$R964,'Balance Sheet Detail'!W:W)</f>
        <v>0</v>
      </c>
      <c r="R964" s="166" t="s">
        <v>3515</v>
      </c>
    </row>
    <row r="965" spans="1:18">
      <c r="A965" s="127"/>
      <c r="B965" s="351" t="s">
        <v>3516</v>
      </c>
      <c r="C965" s="352"/>
      <c r="D965" s="348"/>
      <c r="E965" s="352"/>
      <c r="F965" s="348"/>
      <c r="G965" s="352"/>
      <c r="H965" s="349"/>
      <c r="I965" s="352"/>
      <c r="K965" s="352"/>
      <c r="L965" s="352"/>
      <c r="P965" s="353">
        <f>SUM(P954:P964)</f>
        <v>0</v>
      </c>
    </row>
    <row r="966" spans="1:18">
      <c r="A966" s="127"/>
      <c r="D966" s="348"/>
      <c r="F966" s="348"/>
      <c r="H966" s="349"/>
      <c r="P966" s="343"/>
    </row>
    <row r="967" spans="1:18">
      <c r="A967" s="127" t="s">
        <v>1844</v>
      </c>
      <c r="D967" s="348"/>
      <c r="F967" s="348"/>
      <c r="H967" s="349"/>
      <c r="P967" s="343"/>
    </row>
    <row r="968" spans="1:18">
      <c r="A968" s="127"/>
      <c r="B968" s="203">
        <v>174210</v>
      </c>
      <c r="D968" s="348"/>
      <c r="F968" s="348"/>
      <c r="H968" s="349" t="s">
        <v>1844</v>
      </c>
      <c r="J968" s="166" t="s">
        <v>4605</v>
      </c>
      <c r="N968" s="166" t="s">
        <v>2821</v>
      </c>
      <c r="P968" s="168">
        <f>SUMIF('Balance Sheet Detail'!$B:$B,$R968,'Balance Sheet Detail'!W:W)</f>
        <v>1951.89104875</v>
      </c>
      <c r="R968" s="166" t="s">
        <v>4608</v>
      </c>
    </row>
    <row r="969" spans="1:18">
      <c r="A969" s="127"/>
      <c r="B969" s="203">
        <v>174220</v>
      </c>
      <c r="D969" s="348"/>
      <c r="F969" s="348"/>
      <c r="H969" s="349" t="s">
        <v>1844</v>
      </c>
      <c r="J969" s="166" t="s">
        <v>4606</v>
      </c>
      <c r="N969" s="166" t="s">
        <v>2821</v>
      </c>
      <c r="P969" s="168">
        <f>SUMIF('Balance Sheet Detail'!$B:$B,$R969,'Balance Sheet Detail'!W:W)</f>
        <v>391.72259416666702</v>
      </c>
      <c r="R969" s="166" t="s">
        <v>4609</v>
      </c>
    </row>
    <row r="970" spans="1:18" ht="15" customHeight="1">
      <c r="B970" s="203">
        <v>182301</v>
      </c>
      <c r="D970" s="348" t="s">
        <v>3221</v>
      </c>
      <c r="F970" s="348">
        <v>809008</v>
      </c>
      <c r="H970" s="349" t="s">
        <v>1844</v>
      </c>
      <c r="J970" s="166" t="s">
        <v>462</v>
      </c>
      <c r="N970" s="166" t="s">
        <v>2821</v>
      </c>
      <c r="P970" s="168">
        <f>SUMIF('Balance Sheet Detail'!$B:$B,$R970,'Balance Sheet Detail'!W:W)</f>
        <v>2233.0357979166702</v>
      </c>
      <c r="R970" s="166" t="s">
        <v>3826</v>
      </c>
    </row>
    <row r="971" spans="1:18" ht="15" customHeight="1">
      <c r="B971" s="203">
        <v>182301</v>
      </c>
      <c r="D971" s="348" t="s">
        <v>3221</v>
      </c>
      <c r="F971" s="348" t="s">
        <v>569</v>
      </c>
      <c r="H971" s="349" t="s">
        <v>1844</v>
      </c>
      <c r="J971" s="166" t="s">
        <v>570</v>
      </c>
      <c r="N971" s="166" t="s">
        <v>2821</v>
      </c>
      <c r="P971" s="168">
        <f>SUMIF('Balance Sheet Detail'!$B:$B,$R971,'Balance Sheet Detail'!W:W)</f>
        <v>117.84996875</v>
      </c>
      <c r="R971" s="166" t="s">
        <v>3827</v>
      </c>
    </row>
    <row r="972" spans="1:18" ht="15" customHeight="1">
      <c r="B972" s="203">
        <v>182301</v>
      </c>
      <c r="D972" s="348" t="s">
        <v>3221</v>
      </c>
      <c r="F972" s="348" t="s">
        <v>2905</v>
      </c>
      <c r="H972" s="349" t="s">
        <v>1844</v>
      </c>
      <c r="J972" s="166" t="s">
        <v>2906</v>
      </c>
      <c r="N972" s="166" t="s">
        <v>2821</v>
      </c>
      <c r="P972" s="168">
        <f>SUMIF('Balance Sheet Detail'!$B:$B,$R972,'Balance Sheet Detail'!W:W)</f>
        <v>-6.8000000000000001E-14</v>
      </c>
      <c r="R972" s="166" t="s">
        <v>3828</v>
      </c>
    </row>
    <row r="973" spans="1:18" ht="15" customHeight="1">
      <c r="B973" s="203">
        <v>182303</v>
      </c>
      <c r="D973" s="348" t="s">
        <v>3222</v>
      </c>
      <c r="F973" s="348">
        <v>809009</v>
      </c>
      <c r="H973" s="349" t="s">
        <v>1844</v>
      </c>
      <c r="J973" s="166" t="s">
        <v>462</v>
      </c>
      <c r="N973" s="166" t="s">
        <v>2821</v>
      </c>
      <c r="P973" s="168">
        <f>SUMIF('Balance Sheet Detail'!$B:$B,$R973,'Balance Sheet Detail'!W:W)</f>
        <v>875.87044041666604</v>
      </c>
      <c r="R973" s="166" t="s">
        <v>3829</v>
      </c>
    </row>
    <row r="974" spans="1:18" ht="15" customHeight="1">
      <c r="B974" s="203">
        <v>182303</v>
      </c>
      <c r="D974" s="348" t="s">
        <v>3222</v>
      </c>
      <c r="F974" s="348" t="s">
        <v>571</v>
      </c>
      <c r="H974" s="349" t="s">
        <v>1844</v>
      </c>
      <c r="J974" s="166" t="s">
        <v>570</v>
      </c>
      <c r="N974" s="166" t="s">
        <v>2821</v>
      </c>
      <c r="P974" s="168">
        <f>SUMIF('Balance Sheet Detail'!$B:$B,$R974,'Balance Sheet Detail'!W:W)</f>
        <v>159.28471166666699</v>
      </c>
      <c r="R974" s="166" t="s">
        <v>3830</v>
      </c>
    </row>
    <row r="975" spans="1:18" ht="15" customHeight="1">
      <c r="B975" s="203">
        <v>182303</v>
      </c>
      <c r="D975" s="348" t="s">
        <v>3222</v>
      </c>
      <c r="F975" s="348" t="s">
        <v>2909</v>
      </c>
      <c r="H975" s="349" t="s">
        <v>1844</v>
      </c>
      <c r="J975" s="166" t="s">
        <v>2906</v>
      </c>
      <c r="N975" s="166" t="s">
        <v>2821</v>
      </c>
      <c r="P975" s="168">
        <f>SUMIF('Balance Sheet Detail'!$B:$B,$R975,'Balance Sheet Detail'!W:W)</f>
        <v>0</v>
      </c>
      <c r="R975" s="166" t="s">
        <v>3831</v>
      </c>
    </row>
    <row r="976" spans="1:18" ht="15" customHeight="1">
      <c r="B976" s="203">
        <v>190501</v>
      </c>
      <c r="D976" s="348" t="s">
        <v>1054</v>
      </c>
      <c r="F976" s="348" t="s">
        <v>1844</v>
      </c>
      <c r="H976" s="349" t="s">
        <v>1844</v>
      </c>
      <c r="J976" s="166" t="s">
        <v>1053</v>
      </c>
      <c r="N976" s="166" t="s">
        <v>2821</v>
      </c>
      <c r="P976" s="168">
        <f>SUMIF('Balance Sheet Detail'!$B:$B,$R976,'Balance Sheet Detail'!W:W)</f>
        <v>-811.60570874999996</v>
      </c>
      <c r="R976" s="166" t="s">
        <v>3517</v>
      </c>
    </row>
    <row r="977" spans="1:18" ht="15" customHeight="1">
      <c r="B977" s="203">
        <v>190502</v>
      </c>
      <c r="D977" s="348" t="s">
        <v>1054</v>
      </c>
      <c r="F977" s="348" t="s">
        <v>1844</v>
      </c>
      <c r="H977" s="349" t="s">
        <v>1844</v>
      </c>
      <c r="J977" s="166" t="s">
        <v>1053</v>
      </c>
      <c r="N977" s="166" t="s">
        <v>2821</v>
      </c>
      <c r="P977" s="168">
        <f>SUMIF('Balance Sheet Detail'!$B:$B,$R977,'Balance Sheet Detail'!W:W)</f>
        <v>-322.30022624999998</v>
      </c>
      <c r="R977" s="166" t="s">
        <v>3518</v>
      </c>
    </row>
    <row r="978" spans="1:18" ht="15" customHeight="1">
      <c r="B978" s="203">
        <v>190511</v>
      </c>
      <c r="D978" s="348" t="s">
        <v>1054</v>
      </c>
      <c r="F978" s="348" t="s">
        <v>1844</v>
      </c>
      <c r="H978" s="349" t="s">
        <v>1844</v>
      </c>
      <c r="J978" s="166" t="s">
        <v>1053</v>
      </c>
      <c r="N978" s="166" t="s">
        <v>2821</v>
      </c>
      <c r="P978" s="168">
        <f>SUMIF('Balance Sheet Detail'!$B:$B,$R978,'Balance Sheet Detail'!W:W)</f>
        <v>-177.22283666666701</v>
      </c>
      <c r="R978" s="166" t="s">
        <v>3519</v>
      </c>
    </row>
    <row r="979" spans="1:18" ht="15" customHeight="1">
      <c r="B979" s="203">
        <v>190512</v>
      </c>
      <c r="D979" s="348" t="s">
        <v>1054</v>
      </c>
      <c r="F979" s="348" t="s">
        <v>1844</v>
      </c>
      <c r="H979" s="349" t="s">
        <v>1844</v>
      </c>
      <c r="J979" s="166" t="s">
        <v>1053</v>
      </c>
      <c r="N979" s="166" t="s">
        <v>2821</v>
      </c>
      <c r="P979" s="350">
        <f>SUMIF('Balance Sheet Detail'!$B:$B,$R979,'Balance Sheet Detail'!W:W)</f>
        <v>-70.377721666666702</v>
      </c>
      <c r="R979" s="166" t="s">
        <v>3520</v>
      </c>
    </row>
    <row r="980" spans="1:18">
      <c r="A980" s="127"/>
      <c r="B980" s="351" t="s">
        <v>3223</v>
      </c>
      <c r="C980" s="352"/>
      <c r="D980" s="348"/>
      <c r="E980" s="352"/>
      <c r="F980" s="348"/>
      <c r="G980" s="352"/>
      <c r="H980" s="349"/>
      <c r="I980" s="352"/>
      <c r="K980" s="352"/>
      <c r="L980" s="352"/>
      <c r="P980" s="353">
        <f>SUM(P967:P979)</f>
        <v>4348.1480683333357</v>
      </c>
    </row>
    <row r="981" spans="1:18">
      <c r="A981" s="127"/>
      <c r="D981" s="348"/>
      <c r="F981" s="348"/>
      <c r="H981" s="349"/>
      <c r="P981" s="343"/>
    </row>
    <row r="982" spans="1:18">
      <c r="A982" s="127" t="s">
        <v>623</v>
      </c>
      <c r="D982" s="348"/>
      <c r="F982" s="348"/>
      <c r="H982" s="349"/>
      <c r="P982" s="343"/>
    </row>
    <row r="983" spans="1:18" ht="15" customHeight="1">
      <c r="B983" s="203">
        <v>182301</v>
      </c>
      <c r="D983" s="348" t="s">
        <v>112</v>
      </c>
      <c r="F983" s="348">
        <v>801225</v>
      </c>
      <c r="H983" s="349" t="s">
        <v>623</v>
      </c>
      <c r="J983" s="166" t="s">
        <v>2263</v>
      </c>
      <c r="N983" s="166" t="s">
        <v>2821</v>
      </c>
      <c r="P983" s="168">
        <f>SUMIF('Balance Sheet Detail'!$B:$B,$R983,'Balance Sheet Detail'!W:W)</f>
        <v>0</v>
      </c>
      <c r="R983" s="166" t="s">
        <v>4280</v>
      </c>
    </row>
    <row r="984" spans="1:18" ht="15" customHeight="1">
      <c r="B984" s="203">
        <v>182301</v>
      </c>
      <c r="D984" s="348" t="s">
        <v>112</v>
      </c>
      <c r="F984" s="348" t="s">
        <v>2323</v>
      </c>
      <c r="H984" s="349" t="s">
        <v>623</v>
      </c>
      <c r="J984" s="166" t="s">
        <v>2263</v>
      </c>
      <c r="N984" s="166" t="s">
        <v>2821</v>
      </c>
      <c r="P984" s="168">
        <f>SUMIF('Balance Sheet Detail'!$B:$B,$R984,'Balance Sheet Detail'!W:W)</f>
        <v>0</v>
      </c>
      <c r="R984" s="166" t="s">
        <v>4281</v>
      </c>
    </row>
    <row r="985" spans="1:18" ht="15" customHeight="1">
      <c r="B985" s="203">
        <v>182303</v>
      </c>
      <c r="D985" s="348" t="s">
        <v>2453</v>
      </c>
      <c r="F985" s="348">
        <v>801225</v>
      </c>
      <c r="H985" s="349" t="s">
        <v>623</v>
      </c>
      <c r="J985" s="166" t="s">
        <v>2452</v>
      </c>
      <c r="N985" s="166" t="s">
        <v>2821</v>
      </c>
      <c r="P985" s="168">
        <f>SUMIF('Balance Sheet Detail'!$B:$B,$R985,'Balance Sheet Detail'!W:W)</f>
        <v>0</v>
      </c>
      <c r="R985" s="166" t="s">
        <v>4282</v>
      </c>
    </row>
    <row r="986" spans="1:18" ht="15" customHeight="1">
      <c r="B986" s="203">
        <v>182303</v>
      </c>
      <c r="D986" s="348" t="s">
        <v>2453</v>
      </c>
      <c r="F986" s="348" t="s">
        <v>2323</v>
      </c>
      <c r="H986" s="349" t="s">
        <v>623</v>
      </c>
      <c r="J986" s="166" t="s">
        <v>2452</v>
      </c>
      <c r="N986" s="166" t="s">
        <v>2821</v>
      </c>
      <c r="P986" s="168">
        <f>SUMIF('Balance Sheet Detail'!$B:$B,$R986,'Balance Sheet Detail'!W:W)</f>
        <v>0</v>
      </c>
      <c r="R986" s="166" t="s">
        <v>4283</v>
      </c>
    </row>
    <row r="987" spans="1:18" ht="15" customHeight="1">
      <c r="B987" s="203">
        <v>254016</v>
      </c>
      <c r="D987" s="348" t="s">
        <v>112</v>
      </c>
      <c r="F987" s="348">
        <v>801225</v>
      </c>
      <c r="H987" s="349" t="s">
        <v>623</v>
      </c>
      <c r="J987" s="166" t="s">
        <v>2263</v>
      </c>
      <c r="N987" s="166" t="s">
        <v>2821</v>
      </c>
      <c r="P987" s="168">
        <f>SUMIF('Balance Sheet Detail'!$B:$B,$R987,'Balance Sheet Detail'!W:W)</f>
        <v>-4863.7973474999999</v>
      </c>
      <c r="R987" s="166" t="s">
        <v>4284</v>
      </c>
    </row>
    <row r="988" spans="1:18" ht="15" customHeight="1">
      <c r="B988" s="203">
        <v>254016</v>
      </c>
      <c r="D988" s="348" t="s">
        <v>112</v>
      </c>
      <c r="F988" s="348" t="s">
        <v>2323</v>
      </c>
      <c r="H988" s="349" t="s">
        <v>623</v>
      </c>
      <c r="J988" s="166" t="s">
        <v>2263</v>
      </c>
      <c r="N988" s="166" t="s">
        <v>2821</v>
      </c>
      <c r="P988" s="168">
        <f>SUMIF('Balance Sheet Detail'!$B:$B,$R988,'Balance Sheet Detail'!W:W)</f>
        <v>-173.59585416666701</v>
      </c>
      <c r="R988" s="166" t="s">
        <v>4285</v>
      </c>
    </row>
    <row r="989" spans="1:18" ht="15" customHeight="1">
      <c r="B989" s="203">
        <v>254017</v>
      </c>
      <c r="D989" s="348" t="s">
        <v>2453</v>
      </c>
      <c r="F989" s="348">
        <v>801225</v>
      </c>
      <c r="H989" s="349" t="s">
        <v>623</v>
      </c>
      <c r="J989" s="166" t="s">
        <v>2452</v>
      </c>
      <c r="N989" s="166" t="s">
        <v>2821</v>
      </c>
      <c r="P989" s="168">
        <f>SUMIF('Balance Sheet Detail'!$B:$B,$R989,'Balance Sheet Detail'!W:W)</f>
        <v>-4900.8883766666704</v>
      </c>
      <c r="R989" s="166" t="s">
        <v>4286</v>
      </c>
    </row>
    <row r="990" spans="1:18" ht="15" customHeight="1">
      <c r="B990" s="203">
        <v>254017</v>
      </c>
      <c r="D990" s="348" t="s">
        <v>2453</v>
      </c>
      <c r="F990" s="348" t="s">
        <v>2323</v>
      </c>
      <c r="H990" s="349" t="s">
        <v>623</v>
      </c>
      <c r="J990" s="166" t="s">
        <v>2452</v>
      </c>
      <c r="N990" s="166" t="s">
        <v>2821</v>
      </c>
      <c r="P990" s="168">
        <f>SUMIF('Balance Sheet Detail'!$B:$B,$R990,'Balance Sheet Detail'!W:W)</f>
        <v>-93.139822916666702</v>
      </c>
      <c r="R990" s="166" t="s">
        <v>4287</v>
      </c>
    </row>
    <row r="991" spans="1:18" ht="15" customHeight="1">
      <c r="B991" s="203">
        <v>283500</v>
      </c>
      <c r="D991" s="348" t="s">
        <v>112</v>
      </c>
      <c r="F991" s="348"/>
      <c r="H991" s="349" t="s">
        <v>623</v>
      </c>
      <c r="J991" s="166" t="s">
        <v>110</v>
      </c>
      <c r="N991" s="166" t="s">
        <v>2821</v>
      </c>
      <c r="P991" s="168">
        <f>SUMIF('Balance Sheet Detail'!$B:$B,$R991,'Balance Sheet Detail'!W:W)</f>
        <v>1292.1688425</v>
      </c>
      <c r="R991" s="166" t="s">
        <v>3521</v>
      </c>
    </row>
    <row r="992" spans="1:18" ht="15" customHeight="1">
      <c r="B992" s="203">
        <v>283510</v>
      </c>
      <c r="D992" s="348" t="s">
        <v>2453</v>
      </c>
      <c r="F992" s="348"/>
      <c r="H992" s="349" t="s">
        <v>623</v>
      </c>
      <c r="J992" s="166" t="s">
        <v>113</v>
      </c>
      <c r="N992" s="166" t="s">
        <v>2821</v>
      </c>
      <c r="P992" s="168">
        <f>SUMIF('Balance Sheet Detail'!$B:$B,$R992,'Balance Sheet Detail'!W:W)</f>
        <v>2053.4008879166699</v>
      </c>
      <c r="R992" s="166" t="s">
        <v>3522</v>
      </c>
    </row>
    <row r="993" spans="1:18" ht="15" customHeight="1">
      <c r="B993" s="203">
        <v>283550</v>
      </c>
      <c r="D993" s="348" t="s">
        <v>112</v>
      </c>
      <c r="F993" s="348"/>
      <c r="H993" s="349" t="s">
        <v>623</v>
      </c>
      <c r="J993" s="166" t="s">
        <v>110</v>
      </c>
      <c r="N993" s="166" t="s">
        <v>2821</v>
      </c>
      <c r="P993" s="168">
        <f>SUMIF('Balance Sheet Detail'!$B:$B,$R993,'Balance Sheet Detail'!W:W)</f>
        <v>282.15896416666698</v>
      </c>
      <c r="R993" s="166" t="s">
        <v>3523</v>
      </c>
    </row>
    <row r="994" spans="1:18" ht="15" customHeight="1">
      <c r="B994" s="203">
        <v>283560</v>
      </c>
      <c r="D994" s="348" t="s">
        <v>2453</v>
      </c>
      <c r="F994" s="348"/>
      <c r="H994" s="349" t="s">
        <v>623</v>
      </c>
      <c r="J994" s="166" t="s">
        <v>113</v>
      </c>
      <c r="N994" s="166" t="s">
        <v>2821</v>
      </c>
      <c r="P994" s="350">
        <f>SUMIF('Balance Sheet Detail'!$B:$B,$R994,'Balance Sheet Detail'!W:W)</f>
        <v>448.38217708333298</v>
      </c>
      <c r="R994" s="166" t="s">
        <v>3524</v>
      </c>
    </row>
    <row r="995" spans="1:18">
      <c r="A995" s="127"/>
      <c r="B995" s="351" t="s">
        <v>3224</v>
      </c>
      <c r="C995" s="352"/>
      <c r="D995" s="348"/>
      <c r="E995" s="352"/>
      <c r="F995" s="348"/>
      <c r="G995" s="352"/>
      <c r="H995" s="349"/>
      <c r="I995" s="352"/>
      <c r="K995" s="352"/>
      <c r="L995" s="352"/>
      <c r="P995" s="353">
        <f>SUM(P983:P994)</f>
        <v>-5955.3105295833338</v>
      </c>
    </row>
    <row r="996" spans="1:18">
      <c r="A996" s="127"/>
      <c r="D996" s="348"/>
      <c r="F996" s="348"/>
      <c r="H996" s="349"/>
      <c r="P996" s="343"/>
    </row>
    <row r="997" spans="1:18">
      <c r="A997" s="127" t="s">
        <v>4363</v>
      </c>
      <c r="D997" s="348"/>
      <c r="F997" s="348"/>
      <c r="H997" s="349"/>
      <c r="P997" s="343"/>
    </row>
    <row r="998" spans="1:18" ht="15" customHeight="1">
      <c r="B998" s="203">
        <v>254017</v>
      </c>
      <c r="D998" s="348" t="s">
        <v>4693</v>
      </c>
      <c r="F998" s="348">
        <v>801258</v>
      </c>
      <c r="H998" s="349" t="s">
        <v>341</v>
      </c>
      <c r="J998" s="166" t="s">
        <v>3129</v>
      </c>
      <c r="N998" s="166" t="s">
        <v>2821</v>
      </c>
      <c r="P998" s="168">
        <f>SUMIF('Balance Sheet Detail'!$B:$B,$R998,'Balance Sheet Detail'!W:W)</f>
        <v>-476.55634833333301</v>
      </c>
      <c r="R998" s="166" t="s">
        <v>4694</v>
      </c>
    </row>
    <row r="999" spans="1:18" ht="15" customHeight="1">
      <c r="B999" s="203">
        <v>282210</v>
      </c>
      <c r="D999" s="348" t="s">
        <v>398</v>
      </c>
      <c r="F999" s="348" t="s">
        <v>1467</v>
      </c>
      <c r="H999" s="349" t="s">
        <v>341</v>
      </c>
      <c r="J999" s="166" t="s">
        <v>2322</v>
      </c>
      <c r="N999" s="166" t="s">
        <v>928</v>
      </c>
      <c r="P999" s="168">
        <f>SUMIF('Balance Sheet Detail'!$B:$B,$R999,'Balance Sheet Detail'!W:W)</f>
        <v>186.80141</v>
      </c>
      <c r="R999" s="166" t="s">
        <v>4513</v>
      </c>
    </row>
    <row r="1000" spans="1:18" ht="15" customHeight="1">
      <c r="B1000" s="203">
        <v>282250</v>
      </c>
      <c r="D1000" s="348" t="s">
        <v>398</v>
      </c>
      <c r="F1000" s="348" t="s">
        <v>1467</v>
      </c>
      <c r="H1000" s="349" t="s">
        <v>341</v>
      </c>
      <c r="J1000" s="166" t="s">
        <v>2322</v>
      </c>
      <c r="N1000" s="166" t="s">
        <v>928</v>
      </c>
      <c r="P1000" s="168">
        <f>SUMIF('Balance Sheet Detail'!$B:$B,$R1000,'Balance Sheet Detail'!W:W)</f>
        <v>-20.02946</v>
      </c>
      <c r="R1000" s="166" t="s">
        <v>4517</v>
      </c>
    </row>
    <row r="1001" spans="1:18" ht="15" customHeight="1">
      <c r="B1001" s="203">
        <v>283210</v>
      </c>
      <c r="D1001" s="348" t="s">
        <v>398</v>
      </c>
      <c r="F1001" s="348" t="s">
        <v>1467</v>
      </c>
      <c r="H1001" s="349" t="s">
        <v>341</v>
      </c>
      <c r="J1001" s="166" t="s">
        <v>2322</v>
      </c>
      <c r="N1001" s="166" t="s">
        <v>928</v>
      </c>
      <c r="P1001" s="168">
        <f>SUMIF('Balance Sheet Detail'!$B:$B,$R1001,'Balance Sheet Detail'!W:W)</f>
        <v>0</v>
      </c>
      <c r="R1001" s="166" t="s">
        <v>4364</v>
      </c>
    </row>
    <row r="1002" spans="1:18" ht="15" customHeight="1">
      <c r="B1002" s="203">
        <v>283410</v>
      </c>
      <c r="D1002" s="348" t="s">
        <v>398</v>
      </c>
      <c r="F1002" s="348" t="s">
        <v>1467</v>
      </c>
      <c r="H1002" s="349" t="s">
        <v>341</v>
      </c>
      <c r="J1002" s="166" t="s">
        <v>2322</v>
      </c>
      <c r="N1002" s="166" t="s">
        <v>928</v>
      </c>
      <c r="P1002" s="350">
        <f>SUMIF('Balance Sheet Detail'!$B:$B,$R1002,'Balance Sheet Detail'!W:W)</f>
        <v>0</v>
      </c>
      <c r="R1002" s="166" t="s">
        <v>4365</v>
      </c>
    </row>
    <row r="1003" spans="1:18">
      <c r="A1003" s="127"/>
      <c r="B1003" s="351" t="s">
        <v>4530</v>
      </c>
      <c r="C1003" s="352"/>
      <c r="D1003" s="348"/>
      <c r="E1003" s="352"/>
      <c r="F1003" s="348"/>
      <c r="G1003" s="352"/>
      <c r="H1003" s="349"/>
      <c r="I1003" s="352"/>
      <c r="K1003" s="352"/>
      <c r="L1003" s="352"/>
      <c r="P1003" s="353">
        <f>SUM(P998:P1002)</f>
        <v>-309.784398333333</v>
      </c>
    </row>
    <row r="1004" spans="1:18">
      <c r="A1004" s="127"/>
      <c r="D1004" s="348"/>
      <c r="F1004" s="348"/>
      <c r="H1004" s="349"/>
      <c r="P1004" s="343"/>
    </row>
    <row r="1005" spans="1:18">
      <c r="A1005" s="127" t="s">
        <v>4529</v>
      </c>
      <c r="D1005" s="348"/>
      <c r="F1005" s="348"/>
      <c r="H1005" s="349"/>
      <c r="P1005" s="343"/>
    </row>
    <row r="1006" spans="1:18">
      <c r="A1006" s="127"/>
      <c r="B1006" s="203">
        <v>182301</v>
      </c>
      <c r="D1006" s="348" t="s">
        <v>342</v>
      </c>
      <c r="F1006" s="348">
        <v>801265</v>
      </c>
      <c r="H1006" s="349" t="s">
        <v>4529</v>
      </c>
      <c r="J1006" s="166" t="s">
        <v>4527</v>
      </c>
      <c r="N1006" s="166" t="s">
        <v>2821</v>
      </c>
      <c r="P1006" s="168">
        <f>SUMIF('Balance Sheet Detail'!$B:$B,$R1006,'Balance Sheet Detail'!W:W)</f>
        <v>0</v>
      </c>
      <c r="R1006" s="166" t="s">
        <v>4531</v>
      </c>
    </row>
    <row r="1007" spans="1:18">
      <c r="A1007" s="127"/>
      <c r="B1007" s="203">
        <v>182301</v>
      </c>
      <c r="D1007" s="348" t="s">
        <v>342</v>
      </c>
      <c r="F1007" s="348">
        <v>801267</v>
      </c>
      <c r="H1007" s="349" t="s">
        <v>4529</v>
      </c>
      <c r="J1007" s="166" t="s">
        <v>4528</v>
      </c>
      <c r="N1007" s="166" t="s">
        <v>2821</v>
      </c>
      <c r="P1007" s="168">
        <f>SUMIF('Balance Sheet Detail'!$B:$B,$R1007,'Balance Sheet Detail'!W:W)</f>
        <v>0</v>
      </c>
      <c r="R1007" s="166" t="s">
        <v>4532</v>
      </c>
    </row>
    <row r="1008" spans="1:18">
      <c r="A1008" s="127"/>
      <c r="B1008" s="203">
        <v>254016</v>
      </c>
      <c r="D1008" s="348" t="s">
        <v>4563</v>
      </c>
      <c r="F1008" s="348">
        <v>801267</v>
      </c>
      <c r="H1008" s="349" t="s">
        <v>4529</v>
      </c>
      <c r="J1008" s="166" t="s">
        <v>4562</v>
      </c>
      <c r="N1008" s="166" t="s">
        <v>2821</v>
      </c>
      <c r="P1008" s="168">
        <f>SUMIF('Balance Sheet Detail'!$B:$B,$R1008,'Balance Sheet Detail'!W:W)</f>
        <v>-593.55676708333397</v>
      </c>
      <c r="R1008" s="166" t="s">
        <v>4579</v>
      </c>
    </row>
    <row r="1009" spans="1:18">
      <c r="A1009" s="127"/>
      <c r="B1009" s="203">
        <v>254016</v>
      </c>
      <c r="D1009" s="348" t="s">
        <v>4563</v>
      </c>
      <c r="F1009" s="348">
        <v>801265</v>
      </c>
      <c r="H1009" s="349" t="s">
        <v>4529</v>
      </c>
      <c r="J1009" s="166" t="s">
        <v>4658</v>
      </c>
      <c r="N1009" s="166" t="s">
        <v>2821</v>
      </c>
      <c r="P1009" s="168">
        <f>SUMIF('Balance Sheet Detail'!$B:$B,$R1009,'Balance Sheet Detail'!W:W)</f>
        <v>-13223.857478333301</v>
      </c>
      <c r="R1009" s="166" t="s">
        <v>4661</v>
      </c>
    </row>
    <row r="1010" spans="1:18">
      <c r="A1010" s="127"/>
      <c r="B1010" s="203">
        <v>283500</v>
      </c>
      <c r="D1010" s="348" t="s">
        <v>4563</v>
      </c>
      <c r="F1010" s="348"/>
      <c r="H1010" s="349" t="s">
        <v>4529</v>
      </c>
      <c r="J1010" s="166" t="s">
        <v>4528</v>
      </c>
      <c r="N1010" s="166" t="s">
        <v>2821</v>
      </c>
      <c r="P1010" s="168">
        <f>SUMIF('Balance Sheet Detail'!$B:$B,$R1010,'Balance Sheet Detail'!W:W)</f>
        <v>4492.7322437499997</v>
      </c>
      <c r="R1010" s="166" t="s">
        <v>4577</v>
      </c>
    </row>
    <row r="1011" spans="1:18">
      <c r="A1011" s="127"/>
      <c r="B1011" s="203">
        <v>283550</v>
      </c>
      <c r="D1011" s="348" t="s">
        <v>4713</v>
      </c>
      <c r="F1011" s="348"/>
      <c r="H1011" s="349" t="s">
        <v>4529</v>
      </c>
      <c r="J1011" s="166" t="s">
        <v>4528</v>
      </c>
      <c r="N1011" s="166" t="s">
        <v>2821</v>
      </c>
      <c r="P1011" s="168">
        <f>SUMIF('Balance Sheet Detail'!$B:$B,$R1011,'Balance Sheet Detail'!W:W)</f>
        <v>981.03640833333304</v>
      </c>
      <c r="R1011" s="166" t="s">
        <v>4714</v>
      </c>
    </row>
    <row r="1012" spans="1:18">
      <c r="A1012" s="127"/>
      <c r="D1012" s="348"/>
      <c r="F1012" s="348"/>
      <c r="H1012" s="349"/>
      <c r="P1012" s="356"/>
    </row>
    <row r="1013" spans="1:18">
      <c r="A1013" s="127"/>
      <c r="B1013" s="351" t="s">
        <v>4533</v>
      </c>
      <c r="D1013" s="348"/>
      <c r="F1013" s="348"/>
      <c r="H1013" s="349"/>
      <c r="P1013" s="353">
        <f>SUM(P1006:P1012)</f>
        <v>-8343.6455933333018</v>
      </c>
    </row>
    <row r="1014" spans="1:18">
      <c r="A1014" s="127"/>
      <c r="D1014" s="348"/>
      <c r="F1014" s="348"/>
      <c r="H1014" s="349"/>
      <c r="P1014" s="343"/>
    </row>
    <row r="1015" spans="1:18">
      <c r="A1015" s="127" t="s">
        <v>2219</v>
      </c>
      <c r="D1015" s="348"/>
      <c r="F1015" s="348"/>
      <c r="H1015" s="349"/>
      <c r="P1015" s="343"/>
    </row>
    <row r="1016" spans="1:18" ht="15" customHeight="1">
      <c r="B1016" s="203">
        <v>188000</v>
      </c>
      <c r="D1016" s="348"/>
      <c r="F1016" s="348"/>
      <c r="H1016" s="349" t="s">
        <v>2219</v>
      </c>
      <c r="J1016" s="166" t="s">
        <v>2218</v>
      </c>
      <c r="N1016" s="166" t="s">
        <v>928</v>
      </c>
      <c r="P1016" s="168">
        <f>SUMIF('Balance Sheet Detail'!$B:$B,$R1016,'Balance Sheet Detail'!W:W)</f>
        <v>275.16810249999997</v>
      </c>
      <c r="R1016" s="166" t="s">
        <v>3526</v>
      </c>
    </row>
    <row r="1017" spans="1:18" ht="15" customHeight="1">
      <c r="B1017" s="203">
        <v>182095</v>
      </c>
      <c r="D1017" s="348">
        <v>0</v>
      </c>
      <c r="F1017" s="348">
        <v>800171</v>
      </c>
      <c r="H1017" s="349" t="s">
        <v>2219</v>
      </c>
      <c r="J1017" s="166" t="s">
        <v>425</v>
      </c>
      <c r="N1017" s="166" t="s">
        <v>928</v>
      </c>
      <c r="P1017" s="168">
        <f>SUMIF('Balance Sheet Detail'!$B:$B,$R1017,'Balance Sheet Detail'!W:W)</f>
        <v>0</v>
      </c>
      <c r="R1017" s="166" t="s">
        <v>4288</v>
      </c>
    </row>
    <row r="1018" spans="1:18" ht="15" customHeight="1">
      <c r="B1018" s="203">
        <v>254010</v>
      </c>
      <c r="D1018" s="348">
        <v>0</v>
      </c>
      <c r="F1018" s="348" t="s">
        <v>2448</v>
      </c>
      <c r="H1018" s="349" t="s">
        <v>2219</v>
      </c>
      <c r="J1018" s="166" t="s">
        <v>2449</v>
      </c>
      <c r="N1018" s="166" t="s">
        <v>928</v>
      </c>
      <c r="P1018" s="168">
        <f>SUMIF('Balance Sheet Detail'!$B:$B,$R1018,'Balance Sheet Detail'!W:W)</f>
        <v>0</v>
      </c>
      <c r="R1018" s="166" t="s">
        <v>4289</v>
      </c>
    </row>
    <row r="1019" spans="1:18" ht="15" customHeight="1">
      <c r="B1019" s="203">
        <v>254010</v>
      </c>
      <c r="D1019" s="348">
        <v>0</v>
      </c>
      <c r="F1019" s="348">
        <v>800116</v>
      </c>
      <c r="H1019" s="349" t="s">
        <v>2219</v>
      </c>
      <c r="J1019" s="166" t="s">
        <v>2679</v>
      </c>
      <c r="P1019" s="168">
        <f>SUMIF('Balance Sheet Detail'!$B:$B,$R1019,'Balance Sheet Detail'!W:W)</f>
        <v>0</v>
      </c>
      <c r="R1019" s="166" t="s">
        <v>4290</v>
      </c>
    </row>
    <row r="1020" spans="1:18" ht="15" customHeight="1">
      <c r="B1020" s="203">
        <v>254010</v>
      </c>
      <c r="D1020" s="348">
        <v>0</v>
      </c>
      <c r="F1020" s="348">
        <v>800117</v>
      </c>
      <c r="H1020" s="349" t="s">
        <v>2219</v>
      </c>
      <c r="J1020" s="166" t="s">
        <v>2680</v>
      </c>
      <c r="P1020" s="168">
        <f>SUMIF('Balance Sheet Detail'!$B:$B,$R1020,'Balance Sheet Detail'!W:W)</f>
        <v>0</v>
      </c>
      <c r="R1020" s="166" t="s">
        <v>4291</v>
      </c>
    </row>
    <row r="1021" spans="1:18" ht="15" customHeight="1">
      <c r="B1021" s="203">
        <v>254017</v>
      </c>
      <c r="D1021" s="348" t="s">
        <v>3527</v>
      </c>
      <c r="F1021" s="348">
        <v>800116</v>
      </c>
      <c r="H1021" s="349" t="s">
        <v>2219</v>
      </c>
      <c r="J1021" s="166" t="s">
        <v>2679</v>
      </c>
      <c r="P1021" s="168">
        <f>SUMIF('Balance Sheet Detail'!$B:$B,$R1021,'Balance Sheet Detail'!W:W)</f>
        <v>0</v>
      </c>
      <c r="R1021" s="166" t="s">
        <v>3532</v>
      </c>
    </row>
    <row r="1022" spans="1:18" ht="15" customHeight="1">
      <c r="B1022" s="203">
        <v>254017</v>
      </c>
      <c r="D1022" s="348" t="s">
        <v>3528</v>
      </c>
      <c r="F1022" s="348">
        <v>800117</v>
      </c>
      <c r="H1022" s="349" t="s">
        <v>2219</v>
      </c>
      <c r="J1022" s="166" t="s">
        <v>2986</v>
      </c>
      <c r="N1022" s="166" t="s">
        <v>2821</v>
      </c>
      <c r="P1022" s="168">
        <f>SUMIF('Balance Sheet Detail'!$B:$B,$R1022,'Balance Sheet Detail'!W:W)</f>
        <v>-319.74969041666702</v>
      </c>
      <c r="R1022" s="166" t="s">
        <v>3533</v>
      </c>
    </row>
    <row r="1023" spans="1:18" ht="15" customHeight="1">
      <c r="B1023" s="203">
        <v>254017</v>
      </c>
      <c r="D1023" s="348" t="s">
        <v>3527</v>
      </c>
      <c r="F1023" s="348">
        <v>801221</v>
      </c>
      <c r="H1023" s="349" t="s">
        <v>2219</v>
      </c>
      <c r="J1023" s="166" t="s">
        <v>1235</v>
      </c>
      <c r="N1023" s="166" t="s">
        <v>2821</v>
      </c>
      <c r="P1023" s="168">
        <f>SUMIF('Balance Sheet Detail'!$B:$B,$R1023,'Balance Sheet Detail'!W:W)</f>
        <v>0</v>
      </c>
      <c r="R1023" s="166" t="s">
        <v>3534</v>
      </c>
    </row>
    <row r="1024" spans="1:18" ht="15" customHeight="1">
      <c r="B1024" s="203">
        <v>254017</v>
      </c>
      <c r="D1024" s="348" t="s">
        <v>3128</v>
      </c>
      <c r="F1024" s="348">
        <v>801221</v>
      </c>
      <c r="H1024" s="349" t="s">
        <v>2219</v>
      </c>
      <c r="J1024" s="166" t="s">
        <v>1235</v>
      </c>
      <c r="N1024" s="166" t="s">
        <v>2821</v>
      </c>
      <c r="P1024" s="168">
        <f>SUMIF('Balance Sheet Detail'!$B:$B,$R1024,'Balance Sheet Detail'!W:W)</f>
        <v>-1803.0273016666699</v>
      </c>
      <c r="R1024" s="166" t="s">
        <v>3535</v>
      </c>
    </row>
    <row r="1025" spans="1:18" ht="15" customHeight="1">
      <c r="B1025" s="203">
        <v>190000</v>
      </c>
      <c r="D1025" s="348"/>
      <c r="F1025" s="348" t="s">
        <v>757</v>
      </c>
      <c r="H1025" s="349" t="s">
        <v>2219</v>
      </c>
      <c r="J1025" s="166" t="s">
        <v>1832</v>
      </c>
      <c r="N1025" s="166" t="s">
        <v>928</v>
      </c>
      <c r="P1025" s="168">
        <f>SUMIF('Balance Sheet Detail'!$B:$B,$R1025,'Balance Sheet Detail'!W:W)</f>
        <v>0</v>
      </c>
      <c r="R1025" s="166" t="s">
        <v>4292</v>
      </c>
    </row>
    <row r="1026" spans="1:18" ht="15" customHeight="1">
      <c r="B1026" s="203">
        <v>190001</v>
      </c>
      <c r="D1026" s="348"/>
      <c r="F1026" s="348" t="s">
        <v>1110</v>
      </c>
      <c r="H1026" s="349" t="s">
        <v>2219</v>
      </c>
      <c r="J1026" s="166" t="s">
        <v>2770</v>
      </c>
      <c r="N1026" s="166" t="s">
        <v>928</v>
      </c>
      <c r="P1026" s="168">
        <f>SUMIF('Balance Sheet Detail'!$B:$B,$R1026,'Balance Sheet Detail'!W:W)</f>
        <v>0</v>
      </c>
      <c r="R1026" s="166" t="s">
        <v>4293</v>
      </c>
    </row>
    <row r="1027" spans="1:18" ht="15" customHeight="1">
      <c r="B1027" s="203">
        <v>190001</v>
      </c>
      <c r="D1027" s="348"/>
      <c r="F1027" s="348" t="s">
        <v>757</v>
      </c>
      <c r="H1027" s="349" t="s">
        <v>2219</v>
      </c>
      <c r="J1027" s="166" t="s">
        <v>1832</v>
      </c>
      <c r="N1027" s="166" t="s">
        <v>928</v>
      </c>
      <c r="P1027" s="168">
        <f>SUMIF('Balance Sheet Detail'!$B:$B,$R1027,'Balance Sheet Detail'!W:W)</f>
        <v>0</v>
      </c>
      <c r="R1027" s="166" t="s">
        <v>4294</v>
      </c>
    </row>
    <row r="1028" spans="1:18" ht="15" customHeight="1">
      <c r="B1028" s="203">
        <v>190002</v>
      </c>
      <c r="D1028" s="348"/>
      <c r="F1028" s="348" t="s">
        <v>281</v>
      </c>
      <c r="H1028" s="349" t="s">
        <v>2219</v>
      </c>
      <c r="J1028" s="166" t="s">
        <v>282</v>
      </c>
      <c r="P1028" s="168">
        <f>SUMIF('Balance Sheet Detail'!$B:$B,$R1028,'Balance Sheet Detail'!W:W)</f>
        <v>0</v>
      </c>
      <c r="R1028" s="166" t="s">
        <v>4295</v>
      </c>
    </row>
    <row r="1029" spans="1:18" ht="15" customHeight="1">
      <c r="B1029" s="203">
        <v>190012</v>
      </c>
      <c r="D1029" s="348"/>
      <c r="F1029" s="348" t="s">
        <v>281</v>
      </c>
      <c r="H1029" s="349" t="s">
        <v>2219</v>
      </c>
      <c r="J1029" s="166" t="s">
        <v>282</v>
      </c>
      <c r="P1029" s="168">
        <f>SUMIF('Balance Sheet Detail'!$B:$B,$R1029,'Balance Sheet Detail'!W:W)</f>
        <v>0</v>
      </c>
      <c r="R1029" s="166" t="s">
        <v>4296</v>
      </c>
    </row>
    <row r="1030" spans="1:18" ht="15" customHeight="1">
      <c r="B1030" s="203">
        <v>190502</v>
      </c>
      <c r="D1030" s="348" t="s">
        <v>398</v>
      </c>
      <c r="F1030" s="348" t="s">
        <v>281</v>
      </c>
      <c r="H1030" s="349" t="s">
        <v>2219</v>
      </c>
      <c r="J1030" s="166" t="s">
        <v>282</v>
      </c>
      <c r="N1030" s="166" t="s">
        <v>2821</v>
      </c>
      <c r="P1030" s="168">
        <f>SUMIF('Balance Sheet Detail'!$B:$B,$R1030,'Balance Sheet Detail'!W:W)</f>
        <v>845.16786999999999</v>
      </c>
      <c r="R1030" s="166" t="s">
        <v>3529</v>
      </c>
    </row>
    <row r="1031" spans="1:18" ht="15" customHeight="1">
      <c r="B1031" s="203">
        <v>190512</v>
      </c>
      <c r="D1031" s="348" t="s">
        <v>398</v>
      </c>
      <c r="F1031" s="348" t="s">
        <v>281</v>
      </c>
      <c r="H1031" s="349" t="s">
        <v>2219</v>
      </c>
      <c r="J1031" s="166" t="s">
        <v>282</v>
      </c>
      <c r="N1031" s="166" t="s">
        <v>2821</v>
      </c>
      <c r="P1031" s="168">
        <f>SUMIF('Balance Sheet Detail'!$B:$B,$R1031,'Balance Sheet Detail'!W:W)</f>
        <v>184.549845</v>
      </c>
      <c r="R1031" s="166" t="s">
        <v>3530</v>
      </c>
    </row>
    <row r="1032" spans="1:18" ht="15" customHeight="1">
      <c r="B1032" s="203">
        <v>282200</v>
      </c>
      <c r="D1032" s="348" t="s">
        <v>492</v>
      </c>
      <c r="F1032" s="348"/>
      <c r="H1032" s="349" t="s">
        <v>2219</v>
      </c>
      <c r="J1032" s="166" t="s">
        <v>2379</v>
      </c>
      <c r="N1032" s="166" t="s">
        <v>928</v>
      </c>
      <c r="P1032" s="168">
        <f>SUMIF('Balance Sheet Detail'!$B:$B,$R1032,'Balance Sheet Detail'!W:W)</f>
        <v>-1203.8719816666701</v>
      </c>
      <c r="R1032" s="166" t="s">
        <v>4616</v>
      </c>
    </row>
    <row r="1033" spans="1:18" ht="15" customHeight="1">
      <c r="B1033" s="203">
        <v>283200</v>
      </c>
      <c r="D1033" s="348" t="s">
        <v>492</v>
      </c>
      <c r="F1033" s="348" t="s">
        <v>757</v>
      </c>
      <c r="H1033" s="349" t="s">
        <v>2219</v>
      </c>
      <c r="J1033" s="166" t="s">
        <v>2379</v>
      </c>
      <c r="N1033" s="166" t="s">
        <v>928</v>
      </c>
      <c r="P1033" s="350">
        <f>SUMIF('Balance Sheet Detail'!$B:$B,$R1033,'Balance Sheet Detail'!W:W)</f>
        <v>-1.6299999999999999E-12</v>
      </c>
      <c r="R1033" s="166" t="s">
        <v>3531</v>
      </c>
    </row>
    <row r="1034" spans="1:18">
      <c r="A1034" s="127"/>
      <c r="B1034" s="351" t="s">
        <v>3525</v>
      </c>
      <c r="C1034" s="352"/>
      <c r="D1034" s="348"/>
      <c r="E1034" s="352"/>
      <c r="F1034" s="348"/>
      <c r="G1034" s="352"/>
      <c r="H1034" s="349"/>
      <c r="I1034" s="352"/>
      <c r="K1034" s="352"/>
      <c r="L1034" s="352"/>
      <c r="P1034" s="353">
        <f>SUM(P1016:P1033)</f>
        <v>-2021.7631562500087</v>
      </c>
    </row>
    <row r="1035" spans="1:18">
      <c r="A1035" s="127"/>
      <c r="D1035" s="348"/>
      <c r="F1035" s="348"/>
      <c r="H1035" s="349"/>
      <c r="P1035" s="343"/>
    </row>
    <row r="1036" spans="1:18">
      <c r="A1036" s="127" t="s">
        <v>4306</v>
      </c>
      <c r="D1036" s="348"/>
      <c r="F1036" s="348"/>
      <c r="H1036" s="349"/>
      <c r="P1036" s="343"/>
    </row>
    <row r="1037" spans="1:18">
      <c r="A1037" s="127"/>
      <c r="B1037" s="203">
        <v>190000</v>
      </c>
      <c r="D1037" s="348"/>
      <c r="F1037" s="348" t="s">
        <v>2981</v>
      </c>
      <c r="H1037" s="349" t="s">
        <v>2983</v>
      </c>
      <c r="J1037" s="166" t="s">
        <v>2982</v>
      </c>
      <c r="N1037" s="166" t="s">
        <v>928</v>
      </c>
      <c r="P1037" s="168">
        <f>SUMIF('Balance Sheet Detail'!$B:$B,$R1037,'Balance Sheet Detail'!W:W)</f>
        <v>0</v>
      </c>
      <c r="R1037" s="166" t="s">
        <v>4307</v>
      </c>
    </row>
    <row r="1038" spans="1:18">
      <c r="A1038" s="127"/>
      <c r="B1038" s="203">
        <v>190001</v>
      </c>
      <c r="D1038" s="348" t="s">
        <v>718</v>
      </c>
      <c r="F1038" s="348" t="s">
        <v>2981</v>
      </c>
      <c r="H1038" s="349" t="s">
        <v>2983</v>
      </c>
      <c r="J1038" s="166" t="s">
        <v>2982</v>
      </c>
      <c r="N1038" s="166" t="s">
        <v>928</v>
      </c>
      <c r="P1038" s="350">
        <f>SUMIF('Balance Sheet Detail'!$B:$B,$R1038,'Balance Sheet Detail'!W:W)</f>
        <v>25.364018333333298</v>
      </c>
      <c r="R1038" s="166" t="s">
        <v>4308</v>
      </c>
    </row>
    <row r="1039" spans="1:18">
      <c r="A1039" s="127"/>
      <c r="B1039" s="351" t="s">
        <v>4309</v>
      </c>
      <c r="C1039" s="352"/>
      <c r="D1039" s="348"/>
      <c r="E1039" s="352"/>
      <c r="F1039" s="348"/>
      <c r="G1039" s="352"/>
      <c r="H1039" s="349"/>
      <c r="I1039" s="352"/>
      <c r="K1039" s="352"/>
      <c r="L1039" s="352"/>
      <c r="P1039" s="353">
        <f>SUM(P1037:P1038)</f>
        <v>25.364018333333298</v>
      </c>
    </row>
    <row r="1040" spans="1:18">
      <c r="A1040" s="127"/>
      <c r="D1040" s="348"/>
      <c r="F1040" s="348"/>
      <c r="H1040" s="349"/>
      <c r="P1040" s="343"/>
    </row>
    <row r="1041" spans="1:18">
      <c r="A1041" s="127" t="s">
        <v>1079</v>
      </c>
      <c r="D1041" s="348"/>
      <c r="F1041" s="348"/>
      <c r="H1041" s="349"/>
      <c r="P1041" s="343"/>
    </row>
    <row r="1042" spans="1:18" ht="15" customHeight="1">
      <c r="B1042" s="203">
        <v>254017</v>
      </c>
      <c r="D1042" s="348" t="s">
        <v>527</v>
      </c>
      <c r="F1042" s="348" t="s">
        <v>739</v>
      </c>
      <c r="H1042" s="349" t="s">
        <v>1079</v>
      </c>
      <c r="J1042" s="166" t="s">
        <v>746</v>
      </c>
      <c r="N1042" s="166" t="s">
        <v>2821</v>
      </c>
      <c r="P1042" s="168">
        <f>SUMIF('Balance Sheet Detail'!$B:$B,$R1042,'Balance Sheet Detail'!W:W)</f>
        <v>0</v>
      </c>
      <c r="R1042" s="166" t="s">
        <v>3537</v>
      </c>
    </row>
    <row r="1043" spans="1:18" ht="15" customHeight="1">
      <c r="B1043" s="203">
        <v>254017</v>
      </c>
      <c r="D1043" s="348" t="s">
        <v>527</v>
      </c>
      <c r="F1043" s="348">
        <v>807020</v>
      </c>
      <c r="H1043" s="349" t="s">
        <v>1079</v>
      </c>
      <c r="J1043" s="166" t="s">
        <v>746</v>
      </c>
      <c r="N1043" s="166" t="s">
        <v>2821</v>
      </c>
      <c r="P1043" s="168">
        <f>SUMIF('Balance Sheet Detail'!$B:$B,$R1043,'Balance Sheet Detail'!W:W)</f>
        <v>0</v>
      </c>
      <c r="R1043" s="166" t="s">
        <v>3538</v>
      </c>
    </row>
    <row r="1044" spans="1:18" ht="15" customHeight="1">
      <c r="B1044" s="203">
        <v>254017</v>
      </c>
      <c r="D1044" s="348" t="s">
        <v>3127</v>
      </c>
      <c r="F1044" s="348">
        <v>807020</v>
      </c>
      <c r="H1044" s="349" t="s">
        <v>1079</v>
      </c>
      <c r="J1044" s="166" t="s">
        <v>746</v>
      </c>
      <c r="N1044" s="166" t="s">
        <v>2821</v>
      </c>
      <c r="P1044" s="350">
        <f>SUMIF('Balance Sheet Detail'!$B:$B,$R1044,'Balance Sheet Detail'!W:W)</f>
        <v>-450.463107083333</v>
      </c>
      <c r="R1044" s="166" t="s">
        <v>3539</v>
      </c>
    </row>
    <row r="1045" spans="1:18">
      <c r="A1045" s="127"/>
      <c r="B1045" s="351" t="s">
        <v>3536</v>
      </c>
      <c r="C1045" s="352"/>
      <c r="D1045" s="348"/>
      <c r="E1045" s="352"/>
      <c r="F1045" s="348"/>
      <c r="G1045" s="352"/>
      <c r="H1045" s="349"/>
      <c r="I1045" s="352"/>
      <c r="K1045" s="352"/>
      <c r="L1045" s="352"/>
      <c r="P1045" s="353">
        <f>SUM(P1042:P1044)</f>
        <v>-450.463107083333</v>
      </c>
    </row>
    <row r="1046" spans="1:18">
      <c r="A1046" s="127"/>
      <c r="D1046" s="348"/>
      <c r="F1046" s="348"/>
      <c r="H1046" s="349"/>
      <c r="P1046" s="343"/>
    </row>
    <row r="1047" spans="1:18">
      <c r="A1047" s="127" t="s">
        <v>792</v>
      </c>
      <c r="D1047" s="348"/>
      <c r="F1047" s="348"/>
      <c r="H1047" s="349"/>
      <c r="P1047" s="343"/>
    </row>
    <row r="1048" spans="1:18" ht="15" customHeight="1">
      <c r="B1048" s="203">
        <v>182371</v>
      </c>
      <c r="D1048" s="348"/>
      <c r="F1048" s="348"/>
      <c r="H1048" s="349" t="s">
        <v>792</v>
      </c>
      <c r="J1048" s="166" t="s">
        <v>2518</v>
      </c>
      <c r="N1048" s="166" t="s">
        <v>2821</v>
      </c>
      <c r="P1048" s="168">
        <f>SUMIF('Balance Sheet Detail'!$B:$B,$R1048,'Balance Sheet Detail'!W:W)</f>
        <v>-5.3999999999999997E-14</v>
      </c>
      <c r="R1048" s="166" t="s">
        <v>3540</v>
      </c>
    </row>
    <row r="1049" spans="1:18" ht="15" customHeight="1">
      <c r="B1049" s="203">
        <v>254370</v>
      </c>
      <c r="D1049" s="348" t="s">
        <v>832</v>
      </c>
      <c r="F1049" s="348" t="s">
        <v>830</v>
      </c>
      <c r="H1049" s="349" t="s">
        <v>792</v>
      </c>
      <c r="J1049" s="166" t="s">
        <v>833</v>
      </c>
      <c r="N1049" s="166" t="s">
        <v>2821</v>
      </c>
      <c r="P1049" s="168">
        <f>SUMIF('Balance Sheet Detail'!$B:$B,$R1049,'Balance Sheet Detail'!W:W)</f>
        <v>-2266.7649154166702</v>
      </c>
      <c r="R1049" s="166" t="s">
        <v>3541</v>
      </c>
    </row>
    <row r="1050" spans="1:18" ht="15" customHeight="1">
      <c r="B1050" s="203">
        <v>254370</v>
      </c>
      <c r="D1050" s="348" t="s">
        <v>832</v>
      </c>
      <c r="F1050" s="348" t="s">
        <v>831</v>
      </c>
      <c r="H1050" s="349" t="s">
        <v>792</v>
      </c>
      <c r="J1050" s="166" t="s">
        <v>834</v>
      </c>
      <c r="N1050" s="166" t="s">
        <v>2821</v>
      </c>
      <c r="P1050" s="168">
        <f>SUMIF('Balance Sheet Detail'!$B:$B,$R1050,'Balance Sheet Detail'!W:W)</f>
        <v>-614.63900000000001</v>
      </c>
      <c r="R1050" s="166" t="s">
        <v>3542</v>
      </c>
    </row>
    <row r="1051" spans="1:18" ht="15" customHeight="1">
      <c r="B1051" s="203">
        <v>190502</v>
      </c>
      <c r="D1051" s="348" t="s">
        <v>1666</v>
      </c>
      <c r="F1051" s="348" t="s">
        <v>795</v>
      </c>
      <c r="H1051" s="349" t="s">
        <v>792</v>
      </c>
      <c r="J1051" s="166" t="s">
        <v>1667</v>
      </c>
      <c r="N1051" s="166" t="s">
        <v>2821</v>
      </c>
      <c r="P1051" s="168">
        <f>SUMIF('Balance Sheet Detail'!$B:$B,$R1051,'Balance Sheet Detail'!W:W)</f>
        <v>1547.8768674999999</v>
      </c>
      <c r="R1051" s="166" t="s">
        <v>3543</v>
      </c>
    </row>
    <row r="1052" spans="1:18" ht="15" customHeight="1">
      <c r="B1052" s="203">
        <v>190512</v>
      </c>
      <c r="D1052" s="348" t="s">
        <v>1666</v>
      </c>
      <c r="F1052" s="348" t="s">
        <v>795</v>
      </c>
      <c r="H1052" s="349" t="s">
        <v>792</v>
      </c>
      <c r="J1052" s="166" t="s">
        <v>1667</v>
      </c>
      <c r="N1052" s="166" t="s">
        <v>2821</v>
      </c>
      <c r="P1052" s="168">
        <f>SUMIF('Balance Sheet Detail'!$B:$B,$R1052,'Balance Sheet Detail'!W:W)</f>
        <v>337.99555833333301</v>
      </c>
      <c r="R1052" s="166" t="s">
        <v>3544</v>
      </c>
    </row>
    <row r="1053" spans="1:18" ht="15" customHeight="1">
      <c r="D1053" s="348"/>
      <c r="F1053" s="348"/>
      <c r="H1053" s="349"/>
    </row>
    <row r="1054" spans="1:18" ht="15" customHeight="1">
      <c r="D1054" s="348"/>
      <c r="F1054" s="348"/>
      <c r="H1054" s="349"/>
      <c r="P1054" s="350"/>
    </row>
    <row r="1055" spans="1:18">
      <c r="A1055" s="127"/>
      <c r="B1055" s="351" t="s">
        <v>4350</v>
      </c>
      <c r="C1055" s="352"/>
      <c r="D1055" s="348"/>
      <c r="E1055" s="352"/>
      <c r="F1055" s="348"/>
      <c r="G1055" s="352"/>
      <c r="H1055" s="349"/>
      <c r="I1055" s="352"/>
      <c r="K1055" s="352"/>
      <c r="L1055" s="352"/>
      <c r="P1055" s="353">
        <f>SUM(P1048:P1054)</f>
        <v>-995.53148958333736</v>
      </c>
    </row>
    <row r="1056" spans="1:18">
      <c r="A1056" s="127"/>
      <c r="D1056" s="348"/>
      <c r="F1056" s="348"/>
      <c r="H1056" s="349"/>
      <c r="P1056" s="343"/>
    </row>
    <row r="1057" spans="1:18">
      <c r="A1057" s="127" t="s">
        <v>1149</v>
      </c>
      <c r="D1057" s="348"/>
      <c r="F1057" s="348"/>
      <c r="H1057" s="349"/>
      <c r="P1057" s="343"/>
    </row>
    <row r="1058" spans="1:18" ht="15" customHeight="1">
      <c r="B1058" s="203">
        <v>190985</v>
      </c>
      <c r="D1058" s="348"/>
      <c r="F1058" s="348"/>
      <c r="H1058" s="349" t="s">
        <v>1149</v>
      </c>
      <c r="J1058" s="166" t="s">
        <v>1148</v>
      </c>
      <c r="N1058" s="166" t="s">
        <v>930</v>
      </c>
      <c r="P1058" s="168">
        <f>SUMIF('Balance Sheet Detail'!$B:$B,$R1058,'Balance Sheet Detail'!W:W)</f>
        <v>0</v>
      </c>
      <c r="R1058" s="166" t="s">
        <v>4297</v>
      </c>
    </row>
    <row r="1059" spans="1:18" ht="15" customHeight="1">
      <c r="B1059" s="203">
        <v>228992</v>
      </c>
      <c r="D1059" s="348"/>
      <c r="F1059" s="348"/>
      <c r="H1059" s="349" t="s">
        <v>1149</v>
      </c>
      <c r="J1059" s="166" t="s">
        <v>747</v>
      </c>
      <c r="N1059" s="166" t="s">
        <v>930</v>
      </c>
      <c r="P1059" s="168">
        <f>SUMIF('Balance Sheet Detail'!$B:$B,$R1059,'Balance Sheet Detail'!W:W)</f>
        <v>-28601.283749999999</v>
      </c>
      <c r="R1059" s="166" t="s">
        <v>3554</v>
      </c>
    </row>
    <row r="1060" spans="1:18" ht="15" customHeight="1">
      <c r="B1060" s="203">
        <v>228993</v>
      </c>
      <c r="D1060" s="348"/>
      <c r="F1060" s="348"/>
      <c r="H1060" s="349" t="s">
        <v>1149</v>
      </c>
      <c r="J1060" s="166" t="s">
        <v>748</v>
      </c>
      <c r="N1060" s="166" t="s">
        <v>930</v>
      </c>
      <c r="P1060" s="168">
        <f>SUMIF('Balance Sheet Detail'!$B:$B,$R1060,'Balance Sheet Detail'!W:W)</f>
        <v>28601.283749999999</v>
      </c>
      <c r="R1060" s="166" t="s">
        <v>3555</v>
      </c>
    </row>
    <row r="1061" spans="1:18" ht="15" customHeight="1">
      <c r="B1061" s="203">
        <v>236951</v>
      </c>
      <c r="D1061" s="348"/>
      <c r="F1061" s="348"/>
      <c r="H1061" s="349" t="s">
        <v>1149</v>
      </c>
      <c r="J1061" s="166" t="s">
        <v>3016</v>
      </c>
      <c r="N1061" s="166" t="s">
        <v>930</v>
      </c>
      <c r="P1061" s="168">
        <f>SUMIF('Balance Sheet Detail'!$B:$B,$R1061,'Balance Sheet Detail'!W:W)</f>
        <v>-395.08346333333299</v>
      </c>
      <c r="R1061" s="166" t="s">
        <v>3556</v>
      </c>
    </row>
    <row r="1062" spans="1:18" ht="15" customHeight="1">
      <c r="B1062" s="203">
        <v>236954</v>
      </c>
      <c r="D1062" s="348"/>
      <c r="F1062" s="348"/>
      <c r="H1062" s="349" t="s">
        <v>1149</v>
      </c>
      <c r="J1062" s="166" t="s">
        <v>2494</v>
      </c>
      <c r="N1062" s="166" t="s">
        <v>930</v>
      </c>
      <c r="P1062" s="168">
        <f>SUMIF('Balance Sheet Detail'!$B:$B,$R1062,'Balance Sheet Detail'!W:W)</f>
        <v>395.08346333333299</v>
      </c>
      <c r="R1062" s="166" t="s">
        <v>3557</v>
      </c>
    </row>
    <row r="1063" spans="1:18" ht="15" customHeight="1">
      <c r="B1063" s="203">
        <v>282985</v>
      </c>
      <c r="D1063" s="348"/>
      <c r="F1063" s="348"/>
      <c r="H1063" s="349" t="s">
        <v>1149</v>
      </c>
      <c r="J1063" s="166" t="s">
        <v>1148</v>
      </c>
      <c r="N1063" s="166" t="s">
        <v>930</v>
      </c>
      <c r="P1063" s="168">
        <f>SUMIF('Balance Sheet Detail'!$B:$B,$R1063,'Balance Sheet Detail'!W:W)</f>
        <v>0</v>
      </c>
      <c r="R1063" s="166" t="s">
        <v>4298</v>
      </c>
    </row>
    <row r="1064" spans="1:18" ht="15" customHeight="1">
      <c r="B1064" s="203">
        <v>283985</v>
      </c>
      <c r="D1064" s="348"/>
      <c r="F1064" s="348"/>
      <c r="H1064" s="349" t="s">
        <v>1149</v>
      </c>
      <c r="J1064" s="166" t="s">
        <v>2013</v>
      </c>
      <c r="N1064" s="166" t="s">
        <v>930</v>
      </c>
      <c r="P1064" s="168">
        <f>SUMIF('Balance Sheet Detail'!$B:$B,$R1064,'Balance Sheet Detail'!W:W)</f>
        <v>0</v>
      </c>
      <c r="R1064" s="166" t="s">
        <v>4299</v>
      </c>
    </row>
    <row r="1065" spans="1:18" ht="15" customHeight="1">
      <c r="B1065" s="203">
        <v>283990</v>
      </c>
      <c r="D1065" s="348"/>
      <c r="F1065" s="348"/>
      <c r="H1065" s="349" t="s">
        <v>1149</v>
      </c>
      <c r="J1065" s="166" t="s">
        <v>1460</v>
      </c>
      <c r="N1065" s="166" t="s">
        <v>930</v>
      </c>
      <c r="P1065" s="168">
        <f>SUMIF('Balance Sheet Detail'!$B:$B,$R1065,'Balance Sheet Detail'!W:W)</f>
        <v>-6030.7901250000004</v>
      </c>
      <c r="R1065" s="166" t="s">
        <v>4300</v>
      </c>
    </row>
    <row r="1066" spans="1:18" ht="15" customHeight="1">
      <c r="B1066" s="203">
        <v>283991</v>
      </c>
      <c r="D1066" s="348"/>
      <c r="F1066" s="348"/>
      <c r="H1066" s="349" t="s">
        <v>1149</v>
      </c>
      <c r="J1066" s="166" t="s">
        <v>1461</v>
      </c>
      <c r="N1066" s="166" t="s">
        <v>930</v>
      </c>
      <c r="P1066" s="168">
        <f>SUMIF('Balance Sheet Detail'!$B:$B,$R1066,'Balance Sheet Detail'!W:W)</f>
        <v>6030.7901250000004</v>
      </c>
      <c r="R1066" s="166" t="s">
        <v>4301</v>
      </c>
    </row>
    <row r="1067" spans="1:18" ht="15" customHeight="1">
      <c r="B1067" s="203">
        <v>182045</v>
      </c>
      <c r="D1067" s="348">
        <v>0</v>
      </c>
      <c r="F1067" s="348" t="s">
        <v>172</v>
      </c>
      <c r="H1067" s="349" t="s">
        <v>1149</v>
      </c>
      <c r="J1067" s="166" t="s">
        <v>153</v>
      </c>
      <c r="N1067" s="166" t="s">
        <v>930</v>
      </c>
      <c r="P1067" s="168">
        <f>SUMIF('Balance Sheet Detail'!$B:$B,$R1067,'Balance Sheet Detail'!W:W)</f>
        <v>0</v>
      </c>
      <c r="R1067" s="166" t="s">
        <v>3558</v>
      </c>
    </row>
    <row r="1068" spans="1:18" ht="15" customHeight="1">
      <c r="B1068" s="203">
        <v>182045</v>
      </c>
      <c r="D1068" s="348">
        <v>0</v>
      </c>
      <c r="F1068" s="348" t="s">
        <v>2748</v>
      </c>
      <c r="H1068" s="349" t="s">
        <v>1149</v>
      </c>
      <c r="J1068" s="166" t="s">
        <v>2749</v>
      </c>
      <c r="N1068" s="166" t="s">
        <v>930</v>
      </c>
      <c r="P1068" s="168">
        <f>SUMIF('Balance Sheet Detail'!$B:$B,$R1068,'Balance Sheet Detail'!W:W)</f>
        <v>0</v>
      </c>
      <c r="R1068" s="166" t="s">
        <v>3559</v>
      </c>
    </row>
    <row r="1069" spans="1:18" ht="15" customHeight="1">
      <c r="B1069" s="203">
        <v>182344</v>
      </c>
      <c r="D1069" s="348" t="s">
        <v>3122</v>
      </c>
      <c r="F1069" s="348">
        <v>807010</v>
      </c>
      <c r="H1069" s="349" t="s">
        <v>1149</v>
      </c>
      <c r="J1069" s="166" t="s">
        <v>520</v>
      </c>
      <c r="N1069" s="166" t="s">
        <v>930</v>
      </c>
      <c r="P1069" s="168">
        <f>SUMIF('Balance Sheet Detail'!$B:$B,$R1069,'Balance Sheet Detail'!W:W)</f>
        <v>17369.331894166698</v>
      </c>
      <c r="R1069" s="166" t="s">
        <v>3560</v>
      </c>
    </row>
    <row r="1070" spans="1:18" ht="15" customHeight="1">
      <c r="B1070" s="203">
        <v>182396</v>
      </c>
      <c r="D1070" s="348" t="s">
        <v>3545</v>
      </c>
      <c r="F1070" s="348" t="s">
        <v>1191</v>
      </c>
      <c r="H1070" s="349" t="s">
        <v>1149</v>
      </c>
      <c r="J1070" s="166" t="s">
        <v>951</v>
      </c>
      <c r="N1070" s="166" t="s">
        <v>930</v>
      </c>
      <c r="P1070" s="168">
        <f>SUMIF('Balance Sheet Detail'!$B:$B,$R1070,'Balance Sheet Detail'!W:W)</f>
        <v>5845.3190000000004</v>
      </c>
      <c r="R1070" s="166" t="s">
        <v>3561</v>
      </c>
    </row>
    <row r="1071" spans="1:18" ht="15" customHeight="1">
      <c r="B1071" s="203">
        <v>182397</v>
      </c>
      <c r="D1071" s="348" t="s">
        <v>1613</v>
      </c>
      <c r="F1071" s="348" t="s">
        <v>2748</v>
      </c>
      <c r="H1071" s="349" t="s">
        <v>1149</v>
      </c>
      <c r="J1071" s="166" t="s">
        <v>951</v>
      </c>
      <c r="N1071" s="166" t="s">
        <v>930</v>
      </c>
      <c r="P1071" s="168">
        <f>SUMIF('Balance Sheet Detail'!$B:$B,$R1071,'Balance Sheet Detail'!W:W)</f>
        <v>-5812.8490000000002</v>
      </c>
      <c r="R1071" s="166" t="s">
        <v>4724</v>
      </c>
    </row>
    <row r="1072" spans="1:18" ht="15" customHeight="1">
      <c r="B1072" s="203">
        <v>182397</v>
      </c>
      <c r="D1072" s="348" t="s">
        <v>1613</v>
      </c>
      <c r="F1072" s="348"/>
      <c r="H1072" s="349" t="s">
        <v>1149</v>
      </c>
      <c r="J1072" s="166" t="s">
        <v>951</v>
      </c>
      <c r="N1072" s="166" t="s">
        <v>930</v>
      </c>
      <c r="P1072" s="168">
        <f>SUMIF('Balance Sheet Detail'!$B:$B,$R1072,'Balance Sheet Detail'!W:W)</f>
        <v>1233.8599999999999</v>
      </c>
      <c r="R1072" s="166" t="s">
        <v>3562</v>
      </c>
    </row>
    <row r="1073" spans="2:18" ht="15" customHeight="1">
      <c r="B1073" s="203">
        <v>182398</v>
      </c>
      <c r="D1073" s="348" t="s">
        <v>3546</v>
      </c>
      <c r="F1073" s="348" t="s">
        <v>1191</v>
      </c>
      <c r="H1073" s="349" t="s">
        <v>1149</v>
      </c>
      <c r="J1073" s="166" t="s">
        <v>1190</v>
      </c>
      <c r="N1073" s="166" t="s">
        <v>930</v>
      </c>
      <c r="P1073" s="168">
        <f>SUMIF('Balance Sheet Detail'!$B:$B,$R1073,'Balance Sheet Detail'!W:W)</f>
        <v>1481.6120000000001</v>
      </c>
      <c r="R1073" s="166" t="s">
        <v>3563</v>
      </c>
    </row>
    <row r="1074" spans="2:18" ht="15" customHeight="1">
      <c r="B1074" s="203">
        <v>182399</v>
      </c>
      <c r="D1074" s="348" t="s">
        <v>1613</v>
      </c>
      <c r="F1074" s="348" t="s">
        <v>2748</v>
      </c>
      <c r="H1074" s="349" t="s">
        <v>1149</v>
      </c>
      <c r="J1074" s="166" t="s">
        <v>1190</v>
      </c>
      <c r="N1074" s="166" t="s">
        <v>930</v>
      </c>
      <c r="P1074" s="168">
        <f>SUMIF('Balance Sheet Detail'!$B:$B,$R1074,'Balance Sheet Detail'!W:W)</f>
        <v>-1461.5975000000001</v>
      </c>
      <c r="R1074" s="166" t="s">
        <v>4725</v>
      </c>
    </row>
    <row r="1075" spans="2:18" ht="15" customHeight="1">
      <c r="B1075" s="203">
        <v>182399</v>
      </c>
      <c r="D1075" s="348" t="s">
        <v>1613</v>
      </c>
      <c r="F1075" s="348"/>
      <c r="H1075" s="349" t="s">
        <v>1149</v>
      </c>
      <c r="J1075" s="166" t="s">
        <v>1190</v>
      </c>
      <c r="N1075" s="166" t="s">
        <v>930</v>
      </c>
      <c r="P1075" s="168">
        <f>SUMIF('Balance Sheet Detail'!$B:$B,$R1075,'Balance Sheet Detail'!W:W)</f>
        <v>296.30700000000002</v>
      </c>
      <c r="R1075" s="166" t="s">
        <v>3564</v>
      </c>
    </row>
    <row r="1076" spans="2:18" ht="15" customHeight="1">
      <c r="B1076" s="203">
        <v>254220</v>
      </c>
      <c r="D1076" s="348" t="s">
        <v>3547</v>
      </c>
      <c r="F1076" s="348" t="s">
        <v>1622</v>
      </c>
      <c r="H1076" s="349" t="s">
        <v>1149</v>
      </c>
      <c r="J1076" s="166" t="s">
        <v>1624</v>
      </c>
      <c r="N1076" s="166" t="s">
        <v>930</v>
      </c>
      <c r="P1076" s="168">
        <f>SUMIF('Balance Sheet Detail'!$B:$B,$R1076,'Balance Sheet Detail'!W:W)</f>
        <v>-7326.9309999999996</v>
      </c>
      <c r="R1076" s="166" t="s">
        <v>3565</v>
      </c>
    </row>
    <row r="1077" spans="2:18" ht="15" customHeight="1">
      <c r="B1077" s="203">
        <v>254230</v>
      </c>
      <c r="D1077" s="348" t="s">
        <v>3547</v>
      </c>
      <c r="F1077" s="348" t="s">
        <v>1622</v>
      </c>
      <c r="H1077" s="349" t="s">
        <v>1149</v>
      </c>
      <c r="J1077" s="166" t="s">
        <v>237</v>
      </c>
      <c r="N1077" s="166" t="s">
        <v>930</v>
      </c>
      <c r="P1077" s="168">
        <f>SUMIF('Balance Sheet Detail'!$B:$B,$R1077,'Balance Sheet Detail'!W:W)</f>
        <v>-8301.0429999999997</v>
      </c>
      <c r="R1077" s="166" t="s">
        <v>3566</v>
      </c>
    </row>
    <row r="1078" spans="2:18" ht="15" customHeight="1">
      <c r="B1078" s="203">
        <v>254230</v>
      </c>
      <c r="D1078" s="348" t="s">
        <v>3548</v>
      </c>
      <c r="F1078" s="348" t="s">
        <v>1191</v>
      </c>
      <c r="H1078" s="349" t="s">
        <v>1149</v>
      </c>
      <c r="J1078" s="166" t="s">
        <v>2749</v>
      </c>
      <c r="N1078" s="166" t="s">
        <v>930</v>
      </c>
      <c r="P1078" s="168">
        <f>SUMIF('Balance Sheet Detail'!$B:$B,$R1078,'Balance Sheet Detail'!W:W)</f>
        <v>8301.0429999999997</v>
      </c>
      <c r="R1078" s="166" t="s">
        <v>3567</v>
      </c>
    </row>
    <row r="1079" spans="2:18" ht="15" customHeight="1">
      <c r="B1079" s="203">
        <v>254231</v>
      </c>
      <c r="D1079" s="348" t="s">
        <v>1914</v>
      </c>
      <c r="F1079" s="348" t="s">
        <v>1410</v>
      </c>
      <c r="H1079" s="349" t="s">
        <v>1149</v>
      </c>
      <c r="J1079" s="166" t="s">
        <v>1414</v>
      </c>
      <c r="N1079" s="166" t="s">
        <v>930</v>
      </c>
      <c r="P1079" s="168">
        <f>SUMIF('Balance Sheet Detail'!$B:$B,$R1079,'Balance Sheet Detail'!W:W)</f>
        <v>0</v>
      </c>
      <c r="R1079" s="166" t="s">
        <v>3568</v>
      </c>
    </row>
    <row r="1080" spans="2:18" ht="15" customHeight="1">
      <c r="B1080" s="203">
        <v>254231</v>
      </c>
      <c r="D1080" s="348" t="s">
        <v>3549</v>
      </c>
      <c r="F1080" s="348" t="s">
        <v>1351</v>
      </c>
      <c r="H1080" s="349" t="s">
        <v>1149</v>
      </c>
      <c r="J1080" s="166" t="s">
        <v>1352</v>
      </c>
      <c r="N1080" s="166" t="s">
        <v>930</v>
      </c>
      <c r="P1080" s="168">
        <f>SUMIF('Balance Sheet Detail'!$B:$B,$R1080,'Balance Sheet Detail'!W:W)</f>
        <v>0</v>
      </c>
      <c r="R1080" s="166" t="s">
        <v>3569</v>
      </c>
    </row>
    <row r="1081" spans="2:18" ht="15" customHeight="1">
      <c r="B1081" s="203">
        <v>254232</v>
      </c>
      <c r="D1081" s="348" t="s">
        <v>3552</v>
      </c>
      <c r="F1081" s="348" t="s">
        <v>858</v>
      </c>
      <c r="H1081" s="349" t="s">
        <v>1149</v>
      </c>
      <c r="J1081" s="166" t="s">
        <v>859</v>
      </c>
      <c r="N1081" s="166" t="s">
        <v>930</v>
      </c>
      <c r="P1081" s="168">
        <f>SUMIF('Balance Sheet Detail'!$B:$B,$R1081,'Balance Sheet Detail'!W:W)</f>
        <v>0</v>
      </c>
      <c r="R1081" s="166" t="s">
        <v>3570</v>
      </c>
    </row>
    <row r="1082" spans="2:18" ht="15" customHeight="1">
      <c r="B1082" s="203">
        <v>254232</v>
      </c>
      <c r="D1082" s="348" t="s">
        <v>3551</v>
      </c>
      <c r="F1082" s="348" t="s">
        <v>2447</v>
      </c>
      <c r="H1082" s="349" t="s">
        <v>1149</v>
      </c>
      <c r="J1082" s="166" t="s">
        <v>1029</v>
      </c>
      <c r="N1082" s="166" t="s">
        <v>930</v>
      </c>
      <c r="P1082" s="168">
        <f>SUMIF('Balance Sheet Detail'!$B:$B,$R1082,'Balance Sheet Detail'!W:W)</f>
        <v>0</v>
      </c>
      <c r="R1082" s="166" t="s">
        <v>3571</v>
      </c>
    </row>
    <row r="1083" spans="2:18" ht="15" customHeight="1">
      <c r="B1083" s="203">
        <v>254232</v>
      </c>
      <c r="D1083" s="348" t="s">
        <v>3550</v>
      </c>
      <c r="F1083" s="348" t="s">
        <v>382</v>
      </c>
      <c r="H1083" s="349" t="s">
        <v>1149</v>
      </c>
      <c r="J1083" s="166" t="s">
        <v>383</v>
      </c>
      <c r="N1083" s="166" t="s">
        <v>930</v>
      </c>
      <c r="P1083" s="168">
        <f>SUMIF('Balance Sheet Detail'!$B:$B,$R1083,'Balance Sheet Detail'!W:W)</f>
        <v>0</v>
      </c>
      <c r="R1083" s="166" t="s">
        <v>3572</v>
      </c>
    </row>
    <row r="1084" spans="2:18" ht="15" customHeight="1">
      <c r="B1084" s="203">
        <v>254232</v>
      </c>
      <c r="D1084" s="348" t="s">
        <v>3553</v>
      </c>
      <c r="F1084" s="348" t="s">
        <v>332</v>
      </c>
      <c r="H1084" s="349" t="s">
        <v>1149</v>
      </c>
      <c r="J1084" s="166" t="s">
        <v>333</v>
      </c>
      <c r="N1084" s="166" t="s">
        <v>930</v>
      </c>
      <c r="P1084" s="168">
        <f>SUMIF('Balance Sheet Detail'!$B:$B,$R1084,'Balance Sheet Detail'!W:W)</f>
        <v>0</v>
      </c>
      <c r="R1084" s="166" t="s">
        <v>3573</v>
      </c>
    </row>
    <row r="1085" spans="2:18" ht="15" customHeight="1">
      <c r="B1085" s="203">
        <v>254994</v>
      </c>
      <c r="D1085" s="348" t="s">
        <v>1124</v>
      </c>
      <c r="F1085" s="348" t="s">
        <v>2525</v>
      </c>
      <c r="H1085" s="349" t="s">
        <v>1149</v>
      </c>
      <c r="J1085" s="166" t="s">
        <v>1228</v>
      </c>
      <c r="N1085" s="166" t="s">
        <v>930</v>
      </c>
      <c r="P1085" s="168">
        <f>SUMIF('Balance Sheet Detail'!$B:$B,$R1085,'Balance Sheet Detail'!W:W)</f>
        <v>0</v>
      </c>
      <c r="R1085" s="166" t="s">
        <v>3574</v>
      </c>
    </row>
    <row r="1086" spans="2:18" ht="15" customHeight="1">
      <c r="B1086" s="203">
        <v>254994</v>
      </c>
      <c r="D1086" s="348" t="s">
        <v>1155</v>
      </c>
      <c r="F1086" s="348"/>
      <c r="H1086" s="349" t="s">
        <v>1149</v>
      </c>
      <c r="J1086" s="166" t="s">
        <v>1228</v>
      </c>
      <c r="N1086" s="166" t="s">
        <v>930</v>
      </c>
      <c r="P1086" s="168">
        <f>SUMIF('Balance Sheet Detail'!$B:$B,$R1086,'Balance Sheet Detail'!W:W)</f>
        <v>-11247.736045</v>
      </c>
      <c r="R1086" s="166" t="s">
        <v>3575</v>
      </c>
    </row>
    <row r="1087" spans="2:18" ht="15" customHeight="1">
      <c r="B1087" s="203">
        <v>254995</v>
      </c>
      <c r="D1087" s="348" t="s">
        <v>1124</v>
      </c>
      <c r="F1087" s="348" t="s">
        <v>172</v>
      </c>
      <c r="H1087" s="349" t="s">
        <v>1149</v>
      </c>
      <c r="J1087" s="166" t="s">
        <v>1228</v>
      </c>
      <c r="N1087" s="166" t="s">
        <v>930</v>
      </c>
      <c r="P1087" s="168">
        <f>SUMIF('Balance Sheet Detail'!$B:$B,$R1087,'Balance Sheet Detail'!W:W)</f>
        <v>0</v>
      </c>
      <c r="R1087" s="166" t="s">
        <v>3576</v>
      </c>
    </row>
    <row r="1088" spans="2:18" ht="15" customHeight="1">
      <c r="B1088" s="203">
        <v>254995</v>
      </c>
      <c r="D1088" s="348" t="s">
        <v>344</v>
      </c>
      <c r="F1088" s="348"/>
      <c r="H1088" s="349" t="s">
        <v>1149</v>
      </c>
      <c r="J1088" s="166" t="s">
        <v>1228</v>
      </c>
      <c r="N1088" s="166" t="s">
        <v>930</v>
      </c>
      <c r="P1088" s="168">
        <f>SUMIF('Balance Sheet Detail'!$B:$B,$R1088,'Balance Sheet Detail'!W:W)</f>
        <v>11247.736045</v>
      </c>
      <c r="R1088" s="166" t="s">
        <v>3577</v>
      </c>
    </row>
    <row r="1089" spans="2:18" ht="15" customHeight="1">
      <c r="B1089" s="203">
        <v>190001</v>
      </c>
      <c r="D1089" s="348" t="s">
        <v>1913</v>
      </c>
      <c r="F1089" s="348" t="s">
        <v>2564</v>
      </c>
      <c r="H1089" s="349" t="s">
        <v>1149</v>
      </c>
      <c r="J1089" s="166" t="s">
        <v>2533</v>
      </c>
      <c r="N1089" s="166" t="s">
        <v>930</v>
      </c>
      <c r="P1089" s="168">
        <f>SUMIF('Balance Sheet Detail'!$B:$B,$R1089,'Balance Sheet Detail'!W:W)</f>
        <v>0</v>
      </c>
      <c r="R1089" s="166" t="s">
        <v>3578</v>
      </c>
    </row>
    <row r="1090" spans="2:18" ht="15" customHeight="1">
      <c r="B1090" s="203">
        <v>190001</v>
      </c>
      <c r="D1090" s="348" t="s">
        <v>1913</v>
      </c>
      <c r="F1090" s="348" t="s">
        <v>2565</v>
      </c>
      <c r="H1090" s="349" t="s">
        <v>1149</v>
      </c>
      <c r="J1090" s="166" t="s">
        <v>2534</v>
      </c>
      <c r="N1090" s="166" t="s">
        <v>930</v>
      </c>
      <c r="P1090" s="168">
        <f>SUMIF('Balance Sheet Detail'!$B:$B,$R1090,'Balance Sheet Detail'!W:W)</f>
        <v>0</v>
      </c>
      <c r="R1090" s="166" t="s">
        <v>3579</v>
      </c>
    </row>
    <row r="1091" spans="2:18" ht="15" customHeight="1">
      <c r="B1091" s="203">
        <v>190001</v>
      </c>
      <c r="D1091" s="348" t="s">
        <v>1914</v>
      </c>
      <c r="F1091" s="348" t="s">
        <v>2566</v>
      </c>
      <c r="H1091" s="349" t="s">
        <v>1149</v>
      </c>
      <c r="J1091" s="166" t="s">
        <v>2535</v>
      </c>
      <c r="N1091" s="166" t="s">
        <v>930</v>
      </c>
      <c r="P1091" s="168">
        <f>SUMIF('Balance Sheet Detail'!$B:$B,$R1091,'Balance Sheet Detail'!W:W)</f>
        <v>0</v>
      </c>
      <c r="R1091" s="166" t="s">
        <v>3580</v>
      </c>
    </row>
    <row r="1092" spans="2:18" ht="15" customHeight="1">
      <c r="B1092" s="203">
        <v>190001</v>
      </c>
      <c r="D1092" s="348" t="s">
        <v>1914</v>
      </c>
      <c r="F1092" s="348" t="s">
        <v>2567</v>
      </c>
      <c r="H1092" s="349" t="s">
        <v>1149</v>
      </c>
      <c r="J1092" s="166" t="s">
        <v>2536</v>
      </c>
      <c r="N1092" s="166" t="s">
        <v>930</v>
      </c>
      <c r="P1092" s="168">
        <f>SUMIF('Balance Sheet Detail'!$B:$B,$R1092,'Balance Sheet Detail'!W:W)</f>
        <v>0</v>
      </c>
      <c r="R1092" s="166" t="s">
        <v>3581</v>
      </c>
    </row>
    <row r="1093" spans="2:18" ht="15" customHeight="1">
      <c r="B1093" s="203">
        <v>190001</v>
      </c>
      <c r="D1093" s="348">
        <v>0</v>
      </c>
      <c r="F1093" s="348" t="s">
        <v>2949</v>
      </c>
      <c r="H1093" s="349" t="s">
        <v>1149</v>
      </c>
      <c r="J1093" s="166" t="s">
        <v>2401</v>
      </c>
      <c r="N1093" s="166" t="s">
        <v>930</v>
      </c>
      <c r="P1093" s="168">
        <f>SUMIF('Balance Sheet Detail'!$B:$B,$R1093,'Balance Sheet Detail'!W:W)</f>
        <v>0</v>
      </c>
      <c r="R1093" s="166" t="s">
        <v>3582</v>
      </c>
    </row>
    <row r="1094" spans="2:18" ht="15" customHeight="1">
      <c r="B1094" s="203">
        <v>190001</v>
      </c>
      <c r="D1094" s="348" t="s">
        <v>1613</v>
      </c>
      <c r="F1094" s="348" t="s">
        <v>2775</v>
      </c>
      <c r="H1094" s="349" t="s">
        <v>1149</v>
      </c>
      <c r="J1094" s="166" t="s">
        <v>2939</v>
      </c>
      <c r="N1094" s="166" t="s">
        <v>930</v>
      </c>
      <c r="P1094" s="168">
        <f>SUMIF('Balance Sheet Detail'!$B:$B,$R1094,'Balance Sheet Detail'!W:W)</f>
        <v>5743.9985999999999</v>
      </c>
      <c r="R1094" s="166" t="s">
        <v>3583</v>
      </c>
    </row>
    <row r="1095" spans="2:18" ht="15" customHeight="1">
      <c r="B1095" s="203">
        <v>190006</v>
      </c>
      <c r="D1095" s="348"/>
      <c r="F1095" s="348" t="s">
        <v>1059</v>
      </c>
      <c r="H1095" s="349" t="s">
        <v>1149</v>
      </c>
      <c r="J1095" s="166" t="s">
        <v>1059</v>
      </c>
      <c r="N1095" s="166" t="s">
        <v>930</v>
      </c>
      <c r="P1095" s="168">
        <f>SUMIF('Balance Sheet Detail'!$B:$B,$R1095,'Balance Sheet Detail'!W:W)</f>
        <v>0</v>
      </c>
      <c r="R1095" s="166" t="s">
        <v>3584</v>
      </c>
    </row>
    <row r="1096" spans="2:18" ht="15" customHeight="1">
      <c r="B1096" s="203">
        <v>190006</v>
      </c>
      <c r="D1096" s="348" t="s">
        <v>222</v>
      </c>
      <c r="F1096" s="348">
        <v>0</v>
      </c>
      <c r="H1096" s="349" t="s">
        <v>1149</v>
      </c>
      <c r="J1096" s="166" t="s">
        <v>74</v>
      </c>
      <c r="N1096" s="166" t="s">
        <v>930</v>
      </c>
      <c r="P1096" s="168">
        <f>SUMIF('Balance Sheet Detail'!$B:$B,$R1096,'Balance Sheet Detail'!W:W)</f>
        <v>0</v>
      </c>
      <c r="R1096" s="166" t="s">
        <v>3585</v>
      </c>
    </row>
    <row r="1097" spans="2:18" ht="15" customHeight="1">
      <c r="B1097" s="203">
        <v>190006</v>
      </c>
      <c r="D1097" s="348"/>
      <c r="F1097" s="348" t="s">
        <v>901</v>
      </c>
      <c r="H1097" s="349" t="s">
        <v>1149</v>
      </c>
      <c r="J1097" s="166" t="s">
        <v>864</v>
      </c>
      <c r="N1097" s="166" t="s">
        <v>930</v>
      </c>
      <c r="P1097" s="168">
        <f>SUMIF('Balance Sheet Detail'!$B:$B,$R1097,'Balance Sheet Detail'!W:W)</f>
        <v>0</v>
      </c>
      <c r="R1097" s="166" t="s">
        <v>3586</v>
      </c>
    </row>
    <row r="1098" spans="2:18" ht="15" customHeight="1">
      <c r="B1098" s="203">
        <v>190006</v>
      </c>
      <c r="D1098" s="348" t="s">
        <v>498</v>
      </c>
      <c r="F1098" s="348"/>
      <c r="H1098" s="349" t="s">
        <v>1149</v>
      </c>
      <c r="J1098" s="166" t="s">
        <v>135</v>
      </c>
      <c r="N1098" s="166" t="s">
        <v>930</v>
      </c>
      <c r="P1098" s="168">
        <f>SUMIF('Balance Sheet Detail'!$B:$B,$R1098,'Balance Sheet Detail'!W:W)</f>
        <v>8192.66420833333</v>
      </c>
      <c r="R1098" s="166" t="s">
        <v>4620</v>
      </c>
    </row>
    <row r="1099" spans="2:18" ht="15" customHeight="1">
      <c r="B1099" s="203">
        <v>190006</v>
      </c>
      <c r="D1099" s="348" t="s">
        <v>498</v>
      </c>
      <c r="F1099" s="348" t="s">
        <v>1028</v>
      </c>
      <c r="H1099" s="349" t="s">
        <v>1149</v>
      </c>
      <c r="J1099" s="166" t="s">
        <v>864</v>
      </c>
      <c r="N1099" s="166" t="s">
        <v>930</v>
      </c>
      <c r="P1099" s="168">
        <f>SUMIF('Balance Sheet Detail'!$B:$B,$R1099,'Balance Sheet Detail'!W:W)</f>
        <v>109313.952</v>
      </c>
      <c r="R1099" s="166" t="s">
        <v>3587</v>
      </c>
    </row>
    <row r="1100" spans="2:18" ht="15" customHeight="1">
      <c r="B1100" s="203">
        <v>190006</v>
      </c>
      <c r="D1100" s="348" t="s">
        <v>2692</v>
      </c>
      <c r="F1100" s="348" t="s">
        <v>1137</v>
      </c>
      <c r="H1100" s="349" t="s">
        <v>1149</v>
      </c>
      <c r="J1100" s="166" t="s">
        <v>864</v>
      </c>
      <c r="N1100" s="166" t="s">
        <v>930</v>
      </c>
      <c r="P1100" s="168">
        <f>SUMIF('Balance Sheet Detail'!$B:$B,$R1100,'Balance Sheet Detail'!W:W)</f>
        <v>0</v>
      </c>
      <c r="R1100" s="166" t="s">
        <v>3588</v>
      </c>
    </row>
    <row r="1101" spans="2:18" ht="15" customHeight="1">
      <c r="B1101" s="203">
        <v>190006</v>
      </c>
      <c r="D1101" s="348"/>
      <c r="F1101" s="348" t="s">
        <v>922</v>
      </c>
      <c r="H1101" s="349" t="s">
        <v>1149</v>
      </c>
      <c r="J1101" s="166" t="s">
        <v>922</v>
      </c>
      <c r="N1101" s="166" t="s">
        <v>930</v>
      </c>
      <c r="P1101" s="168">
        <f>SUMIF('Balance Sheet Detail'!$B:$B,$R1101,'Balance Sheet Detail'!W:W)</f>
        <v>0.01</v>
      </c>
      <c r="R1101" s="166" t="s">
        <v>3589</v>
      </c>
    </row>
    <row r="1102" spans="2:18" ht="15" customHeight="1">
      <c r="B1102" s="203">
        <v>190006</v>
      </c>
      <c r="D1102" s="348"/>
      <c r="F1102" s="348" t="s">
        <v>451</v>
      </c>
      <c r="H1102" s="349" t="s">
        <v>1149</v>
      </c>
      <c r="J1102" s="166" t="s">
        <v>451</v>
      </c>
      <c r="N1102" s="166" t="s">
        <v>930</v>
      </c>
      <c r="P1102" s="168">
        <f>SUMIF('Balance Sheet Detail'!$B:$B,$R1102,'Balance Sheet Detail'!W:W)</f>
        <v>0</v>
      </c>
      <c r="R1102" s="166" t="s">
        <v>3590</v>
      </c>
    </row>
    <row r="1103" spans="2:18" ht="15" customHeight="1">
      <c r="B1103" s="203">
        <v>190007</v>
      </c>
      <c r="D1103" s="348"/>
      <c r="F1103" s="348" t="s">
        <v>1059</v>
      </c>
      <c r="H1103" s="349" t="s">
        <v>1149</v>
      </c>
      <c r="J1103" s="166" t="s">
        <v>1059</v>
      </c>
      <c r="N1103" s="166" t="s">
        <v>930</v>
      </c>
      <c r="P1103" s="168">
        <f>SUMIF('Balance Sheet Detail'!$B:$B,$R1103,'Balance Sheet Detail'!W:W)</f>
        <v>0</v>
      </c>
      <c r="R1103" s="166" t="s">
        <v>3591</v>
      </c>
    </row>
    <row r="1104" spans="2:18" ht="15" customHeight="1">
      <c r="B1104" s="203">
        <v>190007</v>
      </c>
      <c r="D1104" s="348" t="s">
        <v>222</v>
      </c>
      <c r="F1104" s="348">
        <v>0</v>
      </c>
      <c r="H1104" s="349" t="s">
        <v>1149</v>
      </c>
      <c r="J1104" s="166" t="s">
        <v>74</v>
      </c>
      <c r="N1104" s="166" t="s">
        <v>930</v>
      </c>
      <c r="P1104" s="168">
        <f>SUMIF('Balance Sheet Detail'!$B:$B,$R1104,'Balance Sheet Detail'!W:W)</f>
        <v>0</v>
      </c>
      <c r="R1104" s="166" t="s">
        <v>3592</v>
      </c>
    </row>
    <row r="1105" spans="2:18" ht="15" customHeight="1">
      <c r="B1105" s="203">
        <v>190007</v>
      </c>
      <c r="D1105" s="348"/>
      <c r="F1105" s="348" t="s">
        <v>901</v>
      </c>
      <c r="H1105" s="349" t="s">
        <v>1149</v>
      </c>
      <c r="J1105" s="166" t="s">
        <v>752</v>
      </c>
      <c r="N1105" s="166" t="s">
        <v>930</v>
      </c>
      <c r="P1105" s="168">
        <f>SUMIF('Balance Sheet Detail'!$B:$B,$R1105,'Balance Sheet Detail'!W:W)</f>
        <v>0</v>
      </c>
      <c r="R1105" s="166" t="s">
        <v>3593</v>
      </c>
    </row>
    <row r="1106" spans="2:18" ht="15" customHeight="1">
      <c r="B1106" s="203">
        <v>190007</v>
      </c>
      <c r="D1106" s="348" t="s">
        <v>498</v>
      </c>
      <c r="F1106" s="348" t="s">
        <v>1028</v>
      </c>
      <c r="H1106" s="349" t="s">
        <v>1149</v>
      </c>
      <c r="J1106" s="166" t="s">
        <v>752</v>
      </c>
      <c r="N1106" s="166" t="s">
        <v>930</v>
      </c>
      <c r="P1106" s="168">
        <f>SUMIF('Balance Sheet Detail'!$B:$B,$R1106,'Balance Sheet Detail'!W:W)</f>
        <v>71046.087958333301</v>
      </c>
      <c r="R1106" s="166" t="s">
        <v>3594</v>
      </c>
    </row>
    <row r="1107" spans="2:18" ht="15" customHeight="1">
      <c r="B1107" s="203">
        <v>190007</v>
      </c>
      <c r="D1107" s="348" t="s">
        <v>2692</v>
      </c>
      <c r="F1107" s="348" t="s">
        <v>1137</v>
      </c>
      <c r="H1107" s="349" t="s">
        <v>1149</v>
      </c>
      <c r="J1107" s="166" t="s">
        <v>752</v>
      </c>
      <c r="N1107" s="166" t="s">
        <v>930</v>
      </c>
      <c r="P1107" s="168">
        <f>SUMIF('Balance Sheet Detail'!$B:$B,$R1107,'Balance Sheet Detail'!W:W)</f>
        <v>0</v>
      </c>
      <c r="R1107" s="166" t="s">
        <v>3595</v>
      </c>
    </row>
    <row r="1108" spans="2:18" ht="15" customHeight="1">
      <c r="B1108" s="203">
        <v>190007</v>
      </c>
      <c r="D1108" s="348"/>
      <c r="F1108" s="348" t="s">
        <v>922</v>
      </c>
      <c r="H1108" s="349" t="s">
        <v>1149</v>
      </c>
      <c r="J1108" s="166" t="s">
        <v>922</v>
      </c>
      <c r="N1108" s="166" t="s">
        <v>930</v>
      </c>
      <c r="P1108" s="168">
        <f>SUMIF('Balance Sheet Detail'!$B:$B,$R1108,'Balance Sheet Detail'!W:W)</f>
        <v>6.2500000000000001E-4</v>
      </c>
      <c r="R1108" s="166" t="s">
        <v>3596</v>
      </c>
    </row>
    <row r="1109" spans="2:18" ht="15" customHeight="1">
      <c r="B1109" s="203">
        <v>190007</v>
      </c>
      <c r="D1109" s="348"/>
      <c r="F1109" s="348" t="s">
        <v>451</v>
      </c>
      <c r="H1109" s="349" t="s">
        <v>1149</v>
      </c>
      <c r="J1109" s="166" t="s">
        <v>451</v>
      </c>
      <c r="N1109" s="166" t="s">
        <v>930</v>
      </c>
      <c r="P1109" s="168">
        <f>SUMIF('Balance Sheet Detail'!$B:$B,$R1109,'Balance Sheet Detail'!W:W)</f>
        <v>0</v>
      </c>
      <c r="R1109" s="166" t="s">
        <v>3597</v>
      </c>
    </row>
    <row r="1110" spans="2:18" ht="15" customHeight="1">
      <c r="B1110" s="203">
        <v>190008</v>
      </c>
      <c r="D1110" s="348"/>
      <c r="F1110" s="348" t="s">
        <v>901</v>
      </c>
      <c r="H1110" s="349" t="s">
        <v>1149</v>
      </c>
      <c r="J1110" s="166" t="s">
        <v>864</v>
      </c>
      <c r="N1110" s="166" t="s">
        <v>930</v>
      </c>
      <c r="P1110" s="168">
        <f>SUMIF('Balance Sheet Detail'!$B:$B,$R1110,'Balance Sheet Detail'!W:W)</f>
        <v>0</v>
      </c>
      <c r="R1110" s="166" t="s">
        <v>3598</v>
      </c>
    </row>
    <row r="1111" spans="2:18" ht="15" customHeight="1">
      <c r="B1111" s="203">
        <v>190008</v>
      </c>
      <c r="D1111" s="348" t="s">
        <v>498</v>
      </c>
      <c r="F1111" s="348" t="s">
        <v>1028</v>
      </c>
      <c r="H1111" s="349" t="s">
        <v>1149</v>
      </c>
      <c r="J1111" s="166" t="s">
        <v>864</v>
      </c>
      <c r="N1111" s="166" t="s">
        <v>930</v>
      </c>
      <c r="P1111" s="168">
        <f>SUMIF('Balance Sheet Detail'!$B:$B,$R1111,'Balance Sheet Detail'!W:W)</f>
        <v>690.49900000000002</v>
      </c>
      <c r="R1111" s="166" t="s">
        <v>3599</v>
      </c>
    </row>
    <row r="1112" spans="2:18" ht="15" customHeight="1">
      <c r="B1112" s="203">
        <v>190008</v>
      </c>
      <c r="D1112" s="348" t="s">
        <v>2692</v>
      </c>
      <c r="F1112" s="348" t="s">
        <v>1137</v>
      </c>
      <c r="H1112" s="349" t="s">
        <v>1149</v>
      </c>
      <c r="J1112" s="166" t="s">
        <v>864</v>
      </c>
      <c r="N1112" s="166" t="s">
        <v>930</v>
      </c>
      <c r="P1112" s="168">
        <f>SUMIF('Balance Sheet Detail'!$B:$B,$R1112,'Balance Sheet Detail'!W:W)</f>
        <v>0</v>
      </c>
      <c r="R1112" s="166" t="s">
        <v>3600</v>
      </c>
    </row>
    <row r="1113" spans="2:18" ht="15" customHeight="1">
      <c r="B1113" s="203">
        <v>190015</v>
      </c>
      <c r="D1113" s="348" t="s">
        <v>498</v>
      </c>
      <c r="F1113" s="348" t="s">
        <v>1028</v>
      </c>
      <c r="H1113" s="349" t="s">
        <v>1149</v>
      </c>
      <c r="J1113" s="166" t="s">
        <v>1838</v>
      </c>
      <c r="N1113" s="166" t="s">
        <v>930</v>
      </c>
      <c r="P1113" s="168">
        <f>SUMIF('Balance Sheet Detail'!$B:$B,$R1113,'Balance Sheet Detail'!W:W)</f>
        <v>127.06699999999999</v>
      </c>
      <c r="R1113" s="166" t="s">
        <v>3601</v>
      </c>
    </row>
    <row r="1114" spans="2:18" ht="15" customHeight="1">
      <c r="B1114" s="203">
        <v>190015</v>
      </c>
      <c r="D1114" s="348" t="s">
        <v>2692</v>
      </c>
      <c r="F1114" s="348" t="s">
        <v>1137</v>
      </c>
      <c r="H1114" s="349" t="s">
        <v>1149</v>
      </c>
      <c r="J1114" s="166" t="s">
        <v>752</v>
      </c>
      <c r="N1114" s="166" t="s">
        <v>930</v>
      </c>
      <c r="P1114" s="168">
        <f>SUMIF('Balance Sheet Detail'!$B:$B,$R1114,'Balance Sheet Detail'!W:W)</f>
        <v>0</v>
      </c>
      <c r="R1114" s="166" t="s">
        <v>3602</v>
      </c>
    </row>
    <row r="1115" spans="2:18" ht="15" customHeight="1">
      <c r="B1115" s="203">
        <v>190016</v>
      </c>
      <c r="D1115" s="348" t="s">
        <v>498</v>
      </c>
      <c r="F1115" s="348" t="s">
        <v>1028</v>
      </c>
      <c r="H1115" s="349" t="s">
        <v>1149</v>
      </c>
      <c r="J1115" s="166" t="s">
        <v>711</v>
      </c>
      <c r="N1115" s="166" t="s">
        <v>930</v>
      </c>
      <c r="P1115" s="168">
        <f>SUMIF('Balance Sheet Detail'!$B:$B,$R1115,'Balance Sheet Detail'!W:W)</f>
        <v>26519.3137083332</v>
      </c>
      <c r="R1115" s="166" t="s">
        <v>3603</v>
      </c>
    </row>
    <row r="1116" spans="2:18" ht="15" customHeight="1">
      <c r="B1116" s="203">
        <v>190016</v>
      </c>
      <c r="D1116" s="348" t="s">
        <v>222</v>
      </c>
      <c r="F1116" s="348">
        <v>0</v>
      </c>
      <c r="H1116" s="349" t="s">
        <v>1149</v>
      </c>
      <c r="J1116" s="166" t="s">
        <v>74</v>
      </c>
      <c r="N1116" s="166" t="s">
        <v>930</v>
      </c>
      <c r="P1116" s="168">
        <f>SUMIF('Balance Sheet Detail'!$B:$B,$R1116,'Balance Sheet Detail'!W:W)</f>
        <v>0</v>
      </c>
      <c r="R1116" s="166" t="s">
        <v>3604</v>
      </c>
    </row>
    <row r="1117" spans="2:18" ht="15" customHeight="1">
      <c r="B1117" s="203">
        <v>190016</v>
      </c>
      <c r="D1117" s="348" t="s">
        <v>2692</v>
      </c>
      <c r="F1117" s="348" t="s">
        <v>1137</v>
      </c>
      <c r="H1117" s="349" t="s">
        <v>1149</v>
      </c>
      <c r="J1117" s="166" t="s">
        <v>864</v>
      </c>
      <c r="N1117" s="166" t="s">
        <v>930</v>
      </c>
      <c r="P1117" s="168">
        <f>SUMIF('Balance Sheet Detail'!$B:$B,$R1117,'Balance Sheet Detail'!W:W)</f>
        <v>0</v>
      </c>
      <c r="R1117" s="166" t="s">
        <v>3605</v>
      </c>
    </row>
    <row r="1118" spans="2:18" ht="15" customHeight="1">
      <c r="B1118" s="203">
        <v>190016</v>
      </c>
      <c r="D1118" s="348"/>
      <c r="F1118" s="348" t="s">
        <v>922</v>
      </c>
      <c r="H1118" s="349" t="s">
        <v>1149</v>
      </c>
      <c r="J1118" s="166" t="s">
        <v>922</v>
      </c>
      <c r="N1118" s="166" t="s">
        <v>930</v>
      </c>
      <c r="P1118" s="168">
        <f>SUMIF('Balance Sheet Detail'!$B:$B,$R1118,'Balance Sheet Detail'!W:W)</f>
        <v>-3.1E-2</v>
      </c>
      <c r="R1118" s="166" t="s">
        <v>3606</v>
      </c>
    </row>
    <row r="1119" spans="2:18" ht="15" customHeight="1">
      <c r="B1119" s="203">
        <v>190017</v>
      </c>
      <c r="D1119" s="348" t="s">
        <v>498</v>
      </c>
      <c r="F1119" s="348" t="s">
        <v>1028</v>
      </c>
      <c r="H1119" s="349" t="s">
        <v>1149</v>
      </c>
      <c r="J1119" s="166" t="s">
        <v>1837</v>
      </c>
      <c r="N1119" s="166" t="s">
        <v>930</v>
      </c>
      <c r="P1119" s="168">
        <f>SUMIF('Balance Sheet Detail'!$B:$B,$R1119,'Balance Sheet Detail'!W:W)</f>
        <v>15741.002416666701</v>
      </c>
      <c r="R1119" s="166" t="s">
        <v>3607</v>
      </c>
    </row>
    <row r="1120" spans="2:18" ht="15" customHeight="1">
      <c r="B1120" s="203">
        <v>190017</v>
      </c>
      <c r="D1120" s="348" t="s">
        <v>222</v>
      </c>
      <c r="F1120" s="348">
        <v>0</v>
      </c>
      <c r="H1120" s="349" t="s">
        <v>1149</v>
      </c>
      <c r="J1120" s="166" t="s">
        <v>74</v>
      </c>
      <c r="N1120" s="166" t="s">
        <v>930</v>
      </c>
      <c r="P1120" s="168">
        <f>SUMIF('Balance Sheet Detail'!$B:$B,$R1120,'Balance Sheet Detail'!W:W)</f>
        <v>0</v>
      </c>
      <c r="R1120" s="166" t="s">
        <v>3608</v>
      </c>
    </row>
    <row r="1121" spans="2:18" ht="15" customHeight="1">
      <c r="B1121" s="203">
        <v>190017</v>
      </c>
      <c r="D1121" s="348" t="s">
        <v>2692</v>
      </c>
      <c r="F1121" s="348" t="s">
        <v>1137</v>
      </c>
      <c r="H1121" s="349" t="s">
        <v>1149</v>
      </c>
      <c r="J1121" s="166" t="s">
        <v>752</v>
      </c>
      <c r="N1121" s="166" t="s">
        <v>930</v>
      </c>
      <c r="P1121" s="168">
        <f>SUMIF('Balance Sheet Detail'!$B:$B,$R1121,'Balance Sheet Detail'!W:W)</f>
        <v>0</v>
      </c>
      <c r="R1121" s="166" t="s">
        <v>3609</v>
      </c>
    </row>
    <row r="1122" spans="2:18" ht="15" customHeight="1">
      <c r="B1122" s="203">
        <v>190017</v>
      </c>
      <c r="D1122" s="348"/>
      <c r="F1122" s="348" t="s">
        <v>922</v>
      </c>
      <c r="H1122" s="349" t="s">
        <v>1149</v>
      </c>
      <c r="J1122" s="166" t="s">
        <v>922</v>
      </c>
      <c r="N1122" s="166" t="s">
        <v>930</v>
      </c>
      <c r="P1122" s="168">
        <f>SUMIF('Balance Sheet Detail'!$B:$B,$R1122,'Balance Sheet Detail'!W:W)</f>
        <v>-8.2500000000000004E-3</v>
      </c>
      <c r="R1122" s="166" t="s">
        <v>3610</v>
      </c>
    </row>
    <row r="1123" spans="2:18" ht="15" customHeight="1">
      <c r="B1123" s="203">
        <v>190018</v>
      </c>
      <c r="D1123" s="348" t="s">
        <v>2692</v>
      </c>
      <c r="F1123" s="348" t="s">
        <v>1137</v>
      </c>
      <c r="H1123" s="349" t="s">
        <v>1149</v>
      </c>
      <c r="J1123" s="166" t="s">
        <v>711</v>
      </c>
      <c r="N1123" s="166" t="s">
        <v>930</v>
      </c>
      <c r="P1123" s="168">
        <f>SUMIF('Balance Sheet Detail'!$B:$B,$R1123,'Balance Sheet Detail'!W:W)</f>
        <v>0</v>
      </c>
      <c r="R1123" s="166" t="s">
        <v>3611</v>
      </c>
    </row>
    <row r="1124" spans="2:18" ht="15" customHeight="1">
      <c r="B1124" s="203">
        <v>190018</v>
      </c>
      <c r="D1124" s="348" t="s">
        <v>498</v>
      </c>
      <c r="F1124" s="348" t="s">
        <v>1028</v>
      </c>
      <c r="H1124" s="349" t="s">
        <v>1149</v>
      </c>
      <c r="J1124" s="166" t="s">
        <v>359</v>
      </c>
      <c r="N1124" s="166" t="s">
        <v>930</v>
      </c>
      <c r="P1124" s="168">
        <f>SUMIF('Balance Sheet Detail'!$B:$B,$R1124,'Balance Sheet Detail'!W:W)</f>
        <v>150.779</v>
      </c>
      <c r="R1124" s="166" t="s">
        <v>3612</v>
      </c>
    </row>
    <row r="1125" spans="2:18" ht="15" customHeight="1">
      <c r="B1125" s="203">
        <v>190019</v>
      </c>
      <c r="D1125" s="348" t="s">
        <v>2692</v>
      </c>
      <c r="F1125" s="348" t="s">
        <v>1137</v>
      </c>
      <c r="H1125" s="349" t="s">
        <v>1149</v>
      </c>
      <c r="J1125" s="166" t="s">
        <v>953</v>
      </c>
      <c r="N1125" s="166" t="s">
        <v>930</v>
      </c>
      <c r="P1125" s="168">
        <f>SUMIF('Balance Sheet Detail'!$B:$B,$R1125,'Balance Sheet Detail'!W:W)</f>
        <v>0</v>
      </c>
      <c r="R1125" s="166" t="s">
        <v>3613</v>
      </c>
    </row>
    <row r="1126" spans="2:18" ht="15" customHeight="1">
      <c r="B1126" s="203">
        <v>190019</v>
      </c>
      <c r="D1126" s="348" t="s">
        <v>498</v>
      </c>
      <c r="F1126" s="348" t="s">
        <v>1028</v>
      </c>
      <c r="H1126" s="349" t="s">
        <v>1149</v>
      </c>
      <c r="J1126" s="166" t="s">
        <v>618</v>
      </c>
      <c r="N1126" s="166" t="s">
        <v>930</v>
      </c>
      <c r="P1126" s="168">
        <f>SUMIF('Balance Sheet Detail'!$B:$B,$R1126,'Balance Sheet Detail'!W:W)</f>
        <v>27.745999999999999</v>
      </c>
      <c r="R1126" s="166" t="s">
        <v>3614</v>
      </c>
    </row>
    <row r="1127" spans="2:18" ht="15" customHeight="1">
      <c r="B1127" s="203">
        <v>190990</v>
      </c>
      <c r="D1127" s="348"/>
      <c r="F1127" s="348" t="s">
        <v>1059</v>
      </c>
      <c r="H1127" s="349" t="s">
        <v>1149</v>
      </c>
      <c r="J1127" s="166" t="s">
        <v>1059</v>
      </c>
      <c r="N1127" s="166" t="s">
        <v>930</v>
      </c>
      <c r="P1127" s="168">
        <f>SUMIF('Balance Sheet Detail'!$B:$B,$R1127,'Balance Sheet Detail'!W:W)</f>
        <v>0</v>
      </c>
      <c r="R1127" s="166" t="s">
        <v>3615</v>
      </c>
    </row>
    <row r="1128" spans="2:18" ht="15" customHeight="1">
      <c r="B1128" s="203">
        <v>190990</v>
      </c>
      <c r="D1128" s="348" t="s">
        <v>498</v>
      </c>
      <c r="F1128" s="348">
        <v>0</v>
      </c>
      <c r="H1128" s="349" t="s">
        <v>1149</v>
      </c>
      <c r="J1128" s="166" t="s">
        <v>2371</v>
      </c>
      <c r="N1128" s="166" t="s">
        <v>930</v>
      </c>
      <c r="P1128" s="168">
        <f>SUMIF('Balance Sheet Detail'!$B:$B,$R1128,'Balance Sheet Detail'!W:W)</f>
        <v>-118197.11520833299</v>
      </c>
      <c r="R1128" s="166" t="s">
        <v>3616</v>
      </c>
    </row>
    <row r="1129" spans="2:18" ht="15" customHeight="1">
      <c r="B1129" s="203">
        <v>190990</v>
      </c>
      <c r="D1129" s="348" t="s">
        <v>2692</v>
      </c>
      <c r="F1129" s="348" t="s">
        <v>1253</v>
      </c>
      <c r="H1129" s="349" t="s">
        <v>1149</v>
      </c>
      <c r="J1129" s="166" t="s">
        <v>2864</v>
      </c>
      <c r="N1129" s="166" t="s">
        <v>930</v>
      </c>
      <c r="P1129" s="168">
        <f>SUMIF('Balance Sheet Detail'!$B:$B,$R1129,'Balance Sheet Detail'!W:W)</f>
        <v>0</v>
      </c>
      <c r="R1129" s="166" t="s">
        <v>3617</v>
      </c>
    </row>
    <row r="1130" spans="2:18" ht="15" customHeight="1">
      <c r="B1130" s="203">
        <v>190990</v>
      </c>
      <c r="D1130" s="348"/>
      <c r="F1130" s="348" t="s">
        <v>922</v>
      </c>
      <c r="H1130" s="349" t="s">
        <v>1149</v>
      </c>
      <c r="J1130" s="166" t="s">
        <v>922</v>
      </c>
      <c r="N1130" s="166" t="s">
        <v>930</v>
      </c>
      <c r="P1130" s="168">
        <f>SUMIF('Balance Sheet Detail'!$B:$B,$R1130,'Balance Sheet Detail'!W:W)</f>
        <v>0</v>
      </c>
      <c r="R1130" s="166" t="s">
        <v>3618</v>
      </c>
    </row>
    <row r="1131" spans="2:18" ht="15" customHeight="1">
      <c r="B1131" s="203">
        <v>190990</v>
      </c>
      <c r="D1131" s="348"/>
      <c r="F1131" s="348" t="s">
        <v>451</v>
      </c>
      <c r="H1131" s="349" t="s">
        <v>1149</v>
      </c>
      <c r="J1131" s="166" t="s">
        <v>451</v>
      </c>
      <c r="N1131" s="166" t="s">
        <v>930</v>
      </c>
      <c r="P1131" s="168">
        <f>SUMIF('Balance Sheet Detail'!$B:$B,$R1131,'Balance Sheet Detail'!W:W)</f>
        <v>0</v>
      </c>
      <c r="R1131" s="166" t="s">
        <v>3619</v>
      </c>
    </row>
    <row r="1132" spans="2:18" ht="15" customHeight="1">
      <c r="B1132" s="203">
        <v>190991</v>
      </c>
      <c r="D1132" s="348" t="s">
        <v>498</v>
      </c>
      <c r="F1132" s="348">
        <v>0</v>
      </c>
      <c r="H1132" s="349" t="s">
        <v>1149</v>
      </c>
      <c r="J1132" s="166" t="s">
        <v>2371</v>
      </c>
      <c r="N1132" s="166" t="s">
        <v>930</v>
      </c>
      <c r="P1132" s="168">
        <f>SUMIF('Balance Sheet Detail'!$B:$B,$R1132,'Balance Sheet Detail'!W:W)</f>
        <v>-26670.092708333301</v>
      </c>
      <c r="R1132" s="166" t="s">
        <v>3620</v>
      </c>
    </row>
    <row r="1133" spans="2:18" ht="15" customHeight="1">
      <c r="B1133" s="203">
        <v>190991</v>
      </c>
      <c r="D1133" s="348" t="s">
        <v>2692</v>
      </c>
      <c r="F1133" s="348" t="s">
        <v>1028</v>
      </c>
      <c r="H1133" s="349" t="s">
        <v>1149</v>
      </c>
      <c r="J1133" s="166" t="s">
        <v>1027</v>
      </c>
      <c r="N1133" s="166" t="s">
        <v>930</v>
      </c>
      <c r="P1133" s="168">
        <f>SUMIF('Balance Sheet Detail'!$B:$B,$R1133,'Balance Sheet Detail'!W:W)</f>
        <v>0</v>
      </c>
      <c r="R1133" s="166" t="s">
        <v>3621</v>
      </c>
    </row>
    <row r="1134" spans="2:18" ht="15" customHeight="1">
      <c r="B1134" s="203">
        <v>190992</v>
      </c>
      <c r="D1134" s="348"/>
      <c r="F1134" s="348" t="s">
        <v>1059</v>
      </c>
      <c r="H1134" s="349" t="s">
        <v>1149</v>
      </c>
      <c r="J1134" s="166" t="s">
        <v>1059</v>
      </c>
      <c r="N1134" s="166" t="s">
        <v>930</v>
      </c>
      <c r="P1134" s="168">
        <f>SUMIF('Balance Sheet Detail'!$B:$B,$R1134,'Balance Sheet Detail'!W:W)</f>
        <v>21.302416666666701</v>
      </c>
      <c r="R1134" s="166" t="s">
        <v>3622</v>
      </c>
    </row>
    <row r="1135" spans="2:18" ht="15" customHeight="1">
      <c r="B1135" s="203">
        <v>190992</v>
      </c>
      <c r="D1135" s="348" t="s">
        <v>498</v>
      </c>
      <c r="F1135" s="348">
        <v>0</v>
      </c>
      <c r="H1135" s="349" t="s">
        <v>1149</v>
      </c>
      <c r="J1135" s="166" t="s">
        <v>2371</v>
      </c>
      <c r="N1135" s="166" t="s">
        <v>930</v>
      </c>
      <c r="P1135" s="168">
        <f>SUMIF('Balance Sheet Detail'!$B:$B,$R1135,'Balance Sheet Detail'!W:W)</f>
        <v>-71173.154958333296</v>
      </c>
      <c r="R1135" s="166" t="s">
        <v>3623</v>
      </c>
    </row>
    <row r="1136" spans="2:18" ht="15" customHeight="1">
      <c r="B1136" s="203">
        <v>190992</v>
      </c>
      <c r="D1136" s="348" t="s">
        <v>2692</v>
      </c>
      <c r="F1136" s="348" t="s">
        <v>1253</v>
      </c>
      <c r="H1136" s="349" t="s">
        <v>1149</v>
      </c>
      <c r="J1136" s="166" t="s">
        <v>2865</v>
      </c>
      <c r="N1136" s="166" t="s">
        <v>930</v>
      </c>
      <c r="P1136" s="168">
        <f>SUMIF('Balance Sheet Detail'!$B:$B,$R1136,'Balance Sheet Detail'!W:W)</f>
        <v>0</v>
      </c>
      <c r="R1136" s="166" t="s">
        <v>3624</v>
      </c>
    </row>
    <row r="1137" spans="2:18" ht="15" customHeight="1">
      <c r="B1137" s="203">
        <v>190992</v>
      </c>
      <c r="D1137" s="348"/>
      <c r="F1137" s="348" t="s">
        <v>922</v>
      </c>
      <c r="H1137" s="349" t="s">
        <v>1149</v>
      </c>
      <c r="J1137" s="166" t="s">
        <v>922</v>
      </c>
      <c r="N1137" s="166" t="s">
        <v>930</v>
      </c>
      <c r="P1137" s="168">
        <f>SUMIF('Balance Sheet Detail'!$B:$B,$R1137,'Balance Sheet Detail'!W:W)</f>
        <v>0</v>
      </c>
      <c r="R1137" s="166" t="s">
        <v>3625</v>
      </c>
    </row>
    <row r="1138" spans="2:18" ht="15" customHeight="1">
      <c r="B1138" s="203">
        <v>190992</v>
      </c>
      <c r="D1138" s="348"/>
      <c r="F1138" s="348" t="s">
        <v>451</v>
      </c>
      <c r="H1138" s="349" t="s">
        <v>1149</v>
      </c>
      <c r="J1138" s="166" t="s">
        <v>451</v>
      </c>
      <c r="N1138" s="166" t="s">
        <v>930</v>
      </c>
      <c r="P1138" s="168">
        <f>SUMIF('Balance Sheet Detail'!$B:$B,$R1138,'Balance Sheet Detail'!W:W)</f>
        <v>-21.302416666666701</v>
      </c>
      <c r="R1138" s="166" t="s">
        <v>3626</v>
      </c>
    </row>
    <row r="1139" spans="2:18" ht="15" customHeight="1">
      <c r="B1139" s="203">
        <v>190993</v>
      </c>
      <c r="D1139" s="348" t="s">
        <v>498</v>
      </c>
      <c r="F1139" s="348">
        <v>0</v>
      </c>
      <c r="H1139" s="349" t="s">
        <v>1149</v>
      </c>
      <c r="J1139" s="166" t="s">
        <v>2371</v>
      </c>
      <c r="N1139" s="166" t="s">
        <v>930</v>
      </c>
      <c r="P1139" s="168">
        <f>SUMIF('Balance Sheet Detail'!$B:$B,$R1139,'Balance Sheet Detail'!W:W)</f>
        <v>-15768.7484166667</v>
      </c>
      <c r="R1139" s="166" t="s">
        <v>3627</v>
      </c>
    </row>
    <row r="1140" spans="2:18" ht="15" customHeight="1">
      <c r="B1140" s="203">
        <v>190993</v>
      </c>
      <c r="D1140" s="348" t="s">
        <v>2692</v>
      </c>
      <c r="F1140" s="348" t="s">
        <v>1028</v>
      </c>
      <c r="H1140" s="349" t="s">
        <v>1149</v>
      </c>
      <c r="J1140" s="166" t="s">
        <v>618</v>
      </c>
      <c r="N1140" s="166" t="s">
        <v>930</v>
      </c>
      <c r="P1140" s="168">
        <f>SUMIF('Balance Sheet Detail'!$B:$B,$R1140,'Balance Sheet Detail'!W:W)</f>
        <v>0</v>
      </c>
      <c r="R1140" s="166" t="s">
        <v>3628</v>
      </c>
    </row>
    <row r="1141" spans="2:18" ht="15" customHeight="1">
      <c r="B1141" s="203">
        <v>282161</v>
      </c>
      <c r="D1141" s="348" t="s">
        <v>1149</v>
      </c>
      <c r="F1141" s="348" t="s">
        <v>1149</v>
      </c>
      <c r="H1141" s="349" t="s">
        <v>1149</v>
      </c>
      <c r="J1141" s="166" t="s">
        <v>2693</v>
      </c>
      <c r="N1141" s="166" t="s">
        <v>930</v>
      </c>
      <c r="P1141" s="168">
        <f>SUMIF('Balance Sheet Detail'!$B:$B,$R1141,'Balance Sheet Detail'!W:W)</f>
        <v>-59539.938349583303</v>
      </c>
      <c r="R1141" s="166" t="s">
        <v>4805</v>
      </c>
    </row>
    <row r="1142" spans="2:18" ht="15" customHeight="1">
      <c r="B1142" s="203">
        <v>282162</v>
      </c>
      <c r="D1142" s="348" t="s">
        <v>1149</v>
      </c>
      <c r="F1142" s="348" t="s">
        <v>1149</v>
      </c>
      <c r="H1142" s="349" t="s">
        <v>1149</v>
      </c>
      <c r="J1142" s="166" t="s">
        <v>876</v>
      </c>
      <c r="N1142" s="166" t="s">
        <v>930</v>
      </c>
      <c r="P1142" s="168">
        <f>SUMIF('Balance Sheet Detail'!$B:$B,$R1142,'Balance Sheet Detail'!W:W)</f>
        <v>51135.671820416697</v>
      </c>
      <c r="R1142" s="166" t="s">
        <v>4806</v>
      </c>
    </row>
    <row r="1143" spans="2:18" ht="15" customHeight="1">
      <c r="B1143" s="203">
        <v>282171</v>
      </c>
      <c r="D1143" s="348" t="s">
        <v>1149</v>
      </c>
      <c r="F1143" s="348" t="s">
        <v>1149</v>
      </c>
      <c r="H1143" s="349" t="s">
        <v>1149</v>
      </c>
      <c r="J1143" s="166" t="s">
        <v>877</v>
      </c>
      <c r="N1143" s="166" t="s">
        <v>930</v>
      </c>
      <c r="P1143" s="168">
        <f>SUMIF('Balance Sheet Detail'!$B:$B,$R1143,'Balance Sheet Detail'!W:W)</f>
        <v>-8426.5452620833294</v>
      </c>
      <c r="R1143" s="166" t="s">
        <v>4807</v>
      </c>
    </row>
    <row r="1144" spans="2:18" ht="15" customHeight="1">
      <c r="B1144" s="203">
        <v>282172</v>
      </c>
      <c r="D1144" s="348" t="s">
        <v>1149</v>
      </c>
      <c r="F1144" s="348" t="s">
        <v>1149</v>
      </c>
      <c r="H1144" s="349" t="s">
        <v>1149</v>
      </c>
      <c r="J1144" s="166" t="s">
        <v>878</v>
      </c>
      <c r="N1144" s="166" t="s">
        <v>930</v>
      </c>
      <c r="P1144" s="168">
        <f>SUMIF('Balance Sheet Detail'!$B:$B,$R1144,'Balance Sheet Detail'!W:W)</f>
        <v>3102.4906191666701</v>
      </c>
      <c r="R1144" s="166" t="s">
        <v>4808</v>
      </c>
    </row>
    <row r="1145" spans="2:18" ht="15" customHeight="1">
      <c r="B1145" s="203">
        <v>283006</v>
      </c>
      <c r="D1145" s="348" t="s">
        <v>2692</v>
      </c>
      <c r="F1145" s="348" t="s">
        <v>1137</v>
      </c>
      <c r="H1145" s="349" t="s">
        <v>1149</v>
      </c>
      <c r="J1145" s="166" t="s">
        <v>357</v>
      </c>
      <c r="N1145" s="166" t="s">
        <v>930</v>
      </c>
      <c r="P1145" s="168">
        <f>SUMIF('Balance Sheet Detail'!$B:$B,$R1145,'Balance Sheet Detail'!W:W)</f>
        <v>0</v>
      </c>
      <c r="R1145" s="166" t="s">
        <v>3629</v>
      </c>
    </row>
    <row r="1146" spans="2:18" ht="15" customHeight="1">
      <c r="B1146" s="203">
        <v>283006</v>
      </c>
      <c r="D1146" s="348" t="s">
        <v>498</v>
      </c>
      <c r="F1146" s="348" t="s">
        <v>1028</v>
      </c>
      <c r="H1146" s="349" t="s">
        <v>1149</v>
      </c>
      <c r="J1146" s="166" t="s">
        <v>1826</v>
      </c>
      <c r="N1146" s="166" t="s">
        <v>930</v>
      </c>
      <c r="P1146" s="168">
        <f>SUMIF('Balance Sheet Detail'!$B:$B,$R1146,'Balance Sheet Detail'!W:W)</f>
        <v>-33600.204541666601</v>
      </c>
      <c r="R1146" s="166" t="s">
        <v>3630</v>
      </c>
    </row>
    <row r="1147" spans="2:18" ht="15" customHeight="1">
      <c r="B1147" s="203">
        <v>283007</v>
      </c>
      <c r="D1147" s="348" t="s">
        <v>498</v>
      </c>
      <c r="F1147" s="348" t="s">
        <v>1028</v>
      </c>
      <c r="H1147" s="349" t="s">
        <v>1149</v>
      </c>
      <c r="J1147" s="166" t="s">
        <v>2371</v>
      </c>
      <c r="N1147" s="166" t="s">
        <v>930</v>
      </c>
      <c r="P1147" s="168">
        <f>SUMIF('Balance Sheet Detail'!$B:$B,$R1147,'Balance Sheet Detail'!W:W)</f>
        <v>-29777.289333333301</v>
      </c>
      <c r="R1147" s="166" t="s">
        <v>3631</v>
      </c>
    </row>
    <row r="1148" spans="2:18" ht="15" customHeight="1">
      <c r="B1148" s="203">
        <v>283007</v>
      </c>
      <c r="D1148" s="348" t="s">
        <v>2692</v>
      </c>
      <c r="F1148" s="348" t="s">
        <v>1137</v>
      </c>
      <c r="H1148" s="349" t="s">
        <v>1149</v>
      </c>
      <c r="J1148" s="166" t="s">
        <v>2691</v>
      </c>
      <c r="N1148" s="166" t="s">
        <v>930</v>
      </c>
      <c r="P1148" s="168">
        <f>SUMIF('Balance Sheet Detail'!$B:$B,$R1148,'Balance Sheet Detail'!W:W)</f>
        <v>-5677.7721666666703</v>
      </c>
      <c r="R1148" s="166" t="s">
        <v>3632</v>
      </c>
    </row>
    <row r="1149" spans="2:18" ht="15" customHeight="1">
      <c r="B1149" s="203">
        <v>283008</v>
      </c>
      <c r="D1149" s="348" t="s">
        <v>2692</v>
      </c>
      <c r="F1149" s="348" t="s">
        <v>1137</v>
      </c>
      <c r="H1149" s="349" t="s">
        <v>1149</v>
      </c>
      <c r="J1149" s="166" t="s">
        <v>357</v>
      </c>
      <c r="N1149" s="166" t="s">
        <v>930</v>
      </c>
      <c r="P1149" s="168">
        <f>SUMIF('Balance Sheet Detail'!$B:$B,$R1149,'Balance Sheet Detail'!W:W)</f>
        <v>0</v>
      </c>
      <c r="R1149" s="166" t="s">
        <v>3633</v>
      </c>
    </row>
    <row r="1150" spans="2:18" ht="15" customHeight="1">
      <c r="B1150" s="203">
        <v>283008</v>
      </c>
      <c r="D1150" s="348" t="s">
        <v>498</v>
      </c>
      <c r="F1150" s="348" t="s">
        <v>1028</v>
      </c>
      <c r="H1150" s="349" t="s">
        <v>1149</v>
      </c>
      <c r="J1150" s="166" t="s">
        <v>135</v>
      </c>
      <c r="N1150" s="166" t="s">
        <v>930</v>
      </c>
      <c r="P1150" s="168">
        <f>SUMIF('Balance Sheet Detail'!$B:$B,$R1150,'Balance Sheet Detail'!W:W)</f>
        <v>-68893.380999999994</v>
      </c>
      <c r="R1150" s="166" t="s">
        <v>3634</v>
      </c>
    </row>
    <row r="1151" spans="2:18" ht="15" customHeight="1">
      <c r="B1151" s="203">
        <v>283015</v>
      </c>
      <c r="D1151" s="348" t="s">
        <v>2692</v>
      </c>
      <c r="F1151" s="348"/>
      <c r="H1151" s="349" t="s">
        <v>1149</v>
      </c>
      <c r="J1151" s="166" t="s">
        <v>2371</v>
      </c>
      <c r="N1151" s="166" t="s">
        <v>930</v>
      </c>
      <c r="P1151" s="168">
        <f>SUMIF('Balance Sheet Detail'!$B:$B,$R1151,'Balance Sheet Detail'!W:W)</f>
        <v>100</v>
      </c>
      <c r="R1151" s="166" t="s">
        <v>4621</v>
      </c>
    </row>
    <row r="1152" spans="2:18" ht="15" customHeight="1">
      <c r="B1152" s="203">
        <v>283015</v>
      </c>
      <c r="D1152" s="348" t="s">
        <v>498</v>
      </c>
      <c r="F1152" s="348" t="s">
        <v>1028</v>
      </c>
      <c r="H1152" s="349" t="s">
        <v>1149</v>
      </c>
      <c r="J1152" s="166" t="s">
        <v>752</v>
      </c>
      <c r="N1152" s="166" t="s">
        <v>930</v>
      </c>
      <c r="P1152" s="168">
        <f>SUMIF('Balance Sheet Detail'!$B:$B,$R1152,'Balance Sheet Detail'!W:W)</f>
        <v>-27066.077000000001</v>
      </c>
      <c r="R1152" s="166" t="s">
        <v>3635</v>
      </c>
    </row>
    <row r="1153" spans="2:18" ht="15" customHeight="1">
      <c r="B1153" s="203">
        <v>283015</v>
      </c>
      <c r="D1153" s="348" t="s">
        <v>498</v>
      </c>
      <c r="F1153" s="348" t="s">
        <v>1137</v>
      </c>
      <c r="H1153" s="349" t="s">
        <v>1149</v>
      </c>
      <c r="J1153" s="166" t="s">
        <v>2691</v>
      </c>
      <c r="N1153" s="166" t="s">
        <v>930</v>
      </c>
      <c r="P1153" s="168">
        <f>SUMIF('Balance Sheet Detail'!$B:$B,$R1153,'Balance Sheet Detail'!W:W)</f>
        <v>-200</v>
      </c>
      <c r="R1153" s="166" t="s">
        <v>3636</v>
      </c>
    </row>
    <row r="1154" spans="2:18" ht="15" customHeight="1">
      <c r="B1154" s="203">
        <v>283016</v>
      </c>
      <c r="D1154" s="348" t="s">
        <v>2692</v>
      </c>
      <c r="F1154" s="348" t="s">
        <v>1137</v>
      </c>
      <c r="H1154" s="349" t="s">
        <v>1149</v>
      </c>
      <c r="J1154" s="166" t="s">
        <v>358</v>
      </c>
      <c r="N1154" s="166" t="s">
        <v>930</v>
      </c>
      <c r="P1154" s="168">
        <f>SUMIF('Balance Sheet Detail'!$B:$B,$R1154,'Balance Sheet Detail'!W:W)</f>
        <v>0</v>
      </c>
      <c r="R1154" s="166" t="s">
        <v>3637</v>
      </c>
    </row>
    <row r="1155" spans="2:18" ht="15" customHeight="1">
      <c r="B1155" s="203">
        <v>283016</v>
      </c>
      <c r="D1155" s="348" t="s">
        <v>498</v>
      </c>
      <c r="F1155" s="348" t="s">
        <v>1028</v>
      </c>
      <c r="H1155" s="349" t="s">
        <v>1149</v>
      </c>
      <c r="J1155" s="166" t="s">
        <v>1826</v>
      </c>
      <c r="N1155" s="166" t="s">
        <v>930</v>
      </c>
      <c r="P1155" s="168">
        <f>SUMIF('Balance Sheet Detail'!$B:$B,$R1155,'Balance Sheet Detail'!W:W)</f>
        <v>-7336.9635416666697</v>
      </c>
      <c r="R1155" s="166" t="s">
        <v>3638</v>
      </c>
    </row>
    <row r="1156" spans="2:18" ht="15" customHeight="1">
      <c r="B1156" s="203">
        <v>283017</v>
      </c>
      <c r="D1156" s="348" t="s">
        <v>498</v>
      </c>
      <c r="F1156" s="348" t="s">
        <v>1028</v>
      </c>
      <c r="H1156" s="349" t="s">
        <v>1149</v>
      </c>
      <c r="J1156" s="166" t="s">
        <v>2371</v>
      </c>
      <c r="N1156" s="166" t="s">
        <v>930</v>
      </c>
      <c r="P1156" s="168">
        <f>SUMIF('Balance Sheet Detail'!$B:$B,$R1156,'Balance Sheet Detail'!W:W)</f>
        <v>-7741.9940416666695</v>
      </c>
      <c r="R1156" s="166" t="s">
        <v>3639</v>
      </c>
    </row>
    <row r="1157" spans="2:18" ht="15" customHeight="1">
      <c r="B1157" s="203">
        <v>283017</v>
      </c>
      <c r="D1157" s="348" t="s">
        <v>2692</v>
      </c>
      <c r="F1157" s="348" t="s">
        <v>1137</v>
      </c>
      <c r="H1157" s="349" t="s">
        <v>1149</v>
      </c>
      <c r="J1157" s="166" t="s">
        <v>2691</v>
      </c>
      <c r="N1157" s="166" t="s">
        <v>930</v>
      </c>
      <c r="P1157" s="168">
        <f>SUMIF('Balance Sheet Detail'!$B:$B,$R1157,'Balance Sheet Detail'!W:W)</f>
        <v>0</v>
      </c>
      <c r="R1157" s="166" t="s">
        <v>3640</v>
      </c>
    </row>
    <row r="1158" spans="2:18" ht="15" customHeight="1">
      <c r="B1158" s="203">
        <v>283018</v>
      </c>
      <c r="D1158" s="348" t="s">
        <v>498</v>
      </c>
      <c r="F1158" s="348" t="s">
        <v>1028</v>
      </c>
      <c r="H1158" s="349" t="s">
        <v>1149</v>
      </c>
      <c r="J1158" s="166" t="s">
        <v>1959</v>
      </c>
      <c r="N1158" s="166" t="s">
        <v>930</v>
      </c>
      <c r="P1158" s="168">
        <f>SUMIF('Balance Sheet Detail'!$B:$B,$R1158,'Balance Sheet Detail'!W:W)</f>
        <v>-47106.750999999997</v>
      </c>
      <c r="R1158" s="166" t="s">
        <v>3641</v>
      </c>
    </row>
    <row r="1159" spans="2:18" ht="15" customHeight="1">
      <c r="B1159" s="203">
        <v>283018</v>
      </c>
      <c r="D1159" s="348" t="s">
        <v>2692</v>
      </c>
      <c r="F1159" s="348" t="s">
        <v>1137</v>
      </c>
      <c r="H1159" s="349" t="s">
        <v>1149</v>
      </c>
      <c r="J1159" s="166" t="s">
        <v>1826</v>
      </c>
      <c r="N1159" s="166" t="s">
        <v>930</v>
      </c>
      <c r="P1159" s="168">
        <f>SUMIF('Balance Sheet Detail'!$B:$B,$R1159,'Balance Sheet Detail'!W:W)</f>
        <v>0</v>
      </c>
      <c r="R1159" s="166" t="s">
        <v>3642</v>
      </c>
    </row>
    <row r="1160" spans="2:18" ht="15" customHeight="1">
      <c r="B1160" s="203">
        <v>283019</v>
      </c>
      <c r="D1160" s="348" t="s">
        <v>498</v>
      </c>
      <c r="F1160" s="348" t="s">
        <v>1028</v>
      </c>
      <c r="H1160" s="349" t="s">
        <v>1149</v>
      </c>
      <c r="J1160" s="166" t="s">
        <v>752</v>
      </c>
      <c r="N1160" s="166" t="s">
        <v>930</v>
      </c>
      <c r="P1160" s="168">
        <f>SUMIF('Balance Sheet Detail'!$B:$B,$R1160,'Balance Sheet Detail'!W:W)</f>
        <v>-6028.3509999999997</v>
      </c>
      <c r="R1160" s="166" t="s">
        <v>3643</v>
      </c>
    </row>
    <row r="1161" spans="2:18" ht="15" customHeight="1">
      <c r="B1161" s="203">
        <v>283161</v>
      </c>
      <c r="D1161" s="348" t="s">
        <v>4707</v>
      </c>
      <c r="F1161" s="348">
        <v>0</v>
      </c>
      <c r="H1161" s="349" t="s">
        <v>1149</v>
      </c>
      <c r="J1161" s="166" t="s">
        <v>880</v>
      </c>
      <c r="N1161" s="166" t="s">
        <v>930</v>
      </c>
      <c r="P1161" s="168">
        <f>SUMIF('Balance Sheet Detail'!$B:$B,$R1161,'Balance Sheet Detail'!W:W)</f>
        <v>-4175.6505883333302</v>
      </c>
      <c r="R1161" s="166" t="s">
        <v>4809</v>
      </c>
    </row>
    <row r="1162" spans="2:18" ht="15" customHeight="1">
      <c r="B1162" s="203">
        <v>283162</v>
      </c>
      <c r="D1162" s="348" t="s">
        <v>4707</v>
      </c>
      <c r="F1162" s="348">
        <v>0</v>
      </c>
      <c r="H1162" s="349" t="s">
        <v>1149</v>
      </c>
      <c r="J1162" s="166" t="s">
        <v>880</v>
      </c>
      <c r="N1162" s="166" t="s">
        <v>930</v>
      </c>
      <c r="P1162" s="168">
        <f>SUMIF('Balance Sheet Detail'!$B:$B,$R1162,'Balance Sheet Detail'!W:W)</f>
        <v>-1359.4018795833299</v>
      </c>
      <c r="R1162" s="166" t="s">
        <v>4810</v>
      </c>
    </row>
    <row r="1163" spans="2:18" ht="15" customHeight="1">
      <c r="B1163" s="203">
        <v>283171</v>
      </c>
      <c r="D1163" s="348" t="s">
        <v>4707</v>
      </c>
      <c r="F1163" s="348">
        <v>0</v>
      </c>
      <c r="H1163" s="349" t="s">
        <v>1149</v>
      </c>
      <c r="J1163" s="166" t="s">
        <v>880</v>
      </c>
      <c r="N1163" s="166" t="s">
        <v>930</v>
      </c>
      <c r="P1163" s="168">
        <f>SUMIF('Balance Sheet Detail'!$B:$B,$R1163,'Balance Sheet Detail'!W:W)</f>
        <v>-685.65815166666698</v>
      </c>
      <c r="R1163" s="166" t="s">
        <v>4811</v>
      </c>
    </row>
    <row r="1164" spans="2:18" ht="15" customHeight="1">
      <c r="B1164" s="203">
        <v>283172</v>
      </c>
      <c r="D1164" s="348" t="s">
        <v>4707</v>
      </c>
      <c r="F1164" s="348">
        <v>0</v>
      </c>
      <c r="H1164" s="349" t="s">
        <v>1149</v>
      </c>
      <c r="J1164" s="166" t="s">
        <v>880</v>
      </c>
      <c r="N1164" s="166" t="s">
        <v>930</v>
      </c>
      <c r="P1164" s="168">
        <f>SUMIF('Balance Sheet Detail'!$B:$B,$R1164,'Balance Sheet Detail'!W:W)</f>
        <v>-223.619380833333</v>
      </c>
      <c r="R1164" s="166" t="s">
        <v>4812</v>
      </c>
    </row>
    <row r="1165" spans="2:18" ht="15" customHeight="1">
      <c r="B1165" s="203">
        <v>283505</v>
      </c>
      <c r="D1165" s="348" t="s">
        <v>4707</v>
      </c>
      <c r="F1165" s="348" t="s">
        <v>1149</v>
      </c>
      <c r="H1165" s="349" t="s">
        <v>1149</v>
      </c>
      <c r="J1165" s="166" t="s">
        <v>881</v>
      </c>
      <c r="N1165" s="166" t="s">
        <v>930</v>
      </c>
      <c r="P1165" s="168">
        <f>SUMIF('Balance Sheet Detail'!$B:$B,$R1165,'Balance Sheet Detail'!W:W)</f>
        <v>-31012.228488749999</v>
      </c>
      <c r="R1165" s="166" t="s">
        <v>4709</v>
      </c>
    </row>
    <row r="1166" spans="2:18" ht="15" customHeight="1">
      <c r="B1166" s="203">
        <v>283506</v>
      </c>
      <c r="D1166" s="348" t="s">
        <v>4707</v>
      </c>
      <c r="F1166" s="348" t="s">
        <v>1149</v>
      </c>
      <c r="H1166" s="349" t="s">
        <v>1149</v>
      </c>
      <c r="J1166" s="166" t="s">
        <v>882</v>
      </c>
      <c r="N1166" s="166" t="s">
        <v>930</v>
      </c>
      <c r="P1166" s="168">
        <f>SUMIF('Balance Sheet Detail'!$B:$B,$R1166,'Balance Sheet Detail'!W:W)</f>
        <v>35265.8943604167</v>
      </c>
      <c r="R1166" s="166" t="s">
        <v>4708</v>
      </c>
    </row>
    <row r="1167" spans="2:18" ht="15" customHeight="1">
      <c r="B1167" s="203">
        <v>283515</v>
      </c>
      <c r="D1167" s="348" t="s">
        <v>4707</v>
      </c>
      <c r="F1167" s="348" t="s">
        <v>1149</v>
      </c>
      <c r="H1167" s="349" t="s">
        <v>1149</v>
      </c>
      <c r="J1167" s="166" t="s">
        <v>883</v>
      </c>
      <c r="N1167" s="166" t="s">
        <v>930</v>
      </c>
      <c r="P1167" s="168">
        <f>SUMIF('Balance Sheet Detail'!$B:$B,$R1167,'Balance Sheet Detail'!W:W)</f>
        <v>-9298.4013799999993</v>
      </c>
      <c r="R1167" s="166" t="s">
        <v>4813</v>
      </c>
    </row>
    <row r="1168" spans="2:18" ht="15" customHeight="1">
      <c r="B1168" s="203">
        <v>283515</v>
      </c>
      <c r="D1168" s="348" t="s">
        <v>4864</v>
      </c>
      <c r="F1168" s="348"/>
      <c r="H1168" s="349" t="s">
        <v>1149</v>
      </c>
      <c r="J1168" s="166" t="s">
        <v>4865</v>
      </c>
      <c r="N1168" s="166" t="s">
        <v>930</v>
      </c>
      <c r="P1168" s="168">
        <f>SUMIF('Balance Sheet Detail'!$B:$B,$R1168,'Balance Sheet Detail'!W:W)</f>
        <v>0</v>
      </c>
      <c r="R1168" s="166" t="s">
        <v>4876</v>
      </c>
    </row>
    <row r="1169" spans="2:18" ht="15" customHeight="1">
      <c r="B1169" s="203">
        <v>283515</v>
      </c>
      <c r="D1169" s="348" t="s">
        <v>225</v>
      </c>
      <c r="F1169" s="348"/>
      <c r="H1169" s="349" t="s">
        <v>1149</v>
      </c>
      <c r="J1169" s="166" t="s">
        <v>968</v>
      </c>
      <c r="N1169" s="166" t="s">
        <v>930</v>
      </c>
      <c r="P1169" s="168">
        <f>SUMIF('Balance Sheet Detail'!$B:$B,$R1169,'Balance Sheet Detail'!W:W)</f>
        <v>0</v>
      </c>
      <c r="R1169" s="166" t="s">
        <v>4877</v>
      </c>
    </row>
    <row r="1170" spans="2:18" ht="15" customHeight="1">
      <c r="B1170" s="203">
        <v>283515</v>
      </c>
      <c r="D1170" s="348" t="s">
        <v>2269</v>
      </c>
      <c r="F1170" s="348"/>
      <c r="H1170" s="349" t="s">
        <v>1149</v>
      </c>
      <c r="J1170" s="166" t="s">
        <v>4866</v>
      </c>
      <c r="N1170" s="166" t="s">
        <v>930</v>
      </c>
      <c r="P1170" s="168">
        <f>SUMIF('Balance Sheet Detail'!$B:$B,$R1170,'Balance Sheet Detail'!W:W)</f>
        <v>0</v>
      </c>
      <c r="R1170" s="166" t="s">
        <v>4878</v>
      </c>
    </row>
    <row r="1171" spans="2:18" ht="15" customHeight="1">
      <c r="B1171" s="203">
        <v>283515</v>
      </c>
      <c r="D1171" s="348" t="s">
        <v>4867</v>
      </c>
      <c r="F1171" s="348"/>
      <c r="H1171" s="349" t="s">
        <v>1149</v>
      </c>
      <c r="J1171" s="166" t="s">
        <v>2233</v>
      </c>
      <c r="N1171" s="166" t="s">
        <v>930</v>
      </c>
      <c r="P1171" s="168">
        <f>SUMIF('Balance Sheet Detail'!$B:$B,$R1171,'Balance Sheet Detail'!W:W)</f>
        <v>0</v>
      </c>
      <c r="R1171" s="166" t="s">
        <v>4879</v>
      </c>
    </row>
    <row r="1172" spans="2:18" ht="15" customHeight="1">
      <c r="B1172" s="203">
        <v>283515</v>
      </c>
      <c r="D1172" s="348" t="s">
        <v>4868</v>
      </c>
      <c r="F1172" s="348"/>
      <c r="H1172" s="349" t="s">
        <v>1149</v>
      </c>
      <c r="J1172" s="166" t="s">
        <v>2234</v>
      </c>
      <c r="N1172" s="166" t="s">
        <v>930</v>
      </c>
      <c r="P1172" s="168">
        <f>SUMIF('Balance Sheet Detail'!$B:$B,$R1172,'Balance Sheet Detail'!W:W)</f>
        <v>0</v>
      </c>
      <c r="R1172" s="166" t="s">
        <v>4880</v>
      </c>
    </row>
    <row r="1173" spans="2:18" ht="15" customHeight="1">
      <c r="B1173" s="203">
        <v>283515</v>
      </c>
      <c r="D1173" s="348" t="s">
        <v>1554</v>
      </c>
      <c r="F1173" s="348"/>
      <c r="H1173" s="349" t="s">
        <v>1149</v>
      </c>
      <c r="J1173" s="166" t="s">
        <v>392</v>
      </c>
      <c r="N1173" s="166" t="s">
        <v>930</v>
      </c>
      <c r="P1173" s="168">
        <f>SUMIF('Balance Sheet Detail'!$B:$B,$R1173,'Balance Sheet Detail'!W:W)</f>
        <v>0</v>
      </c>
      <c r="R1173" s="166" t="s">
        <v>4881</v>
      </c>
    </row>
    <row r="1174" spans="2:18" ht="15" customHeight="1">
      <c r="B1174" s="203">
        <v>283515</v>
      </c>
      <c r="D1174" s="348" t="s">
        <v>4869</v>
      </c>
      <c r="F1174" s="348"/>
      <c r="H1174" s="349" t="s">
        <v>1149</v>
      </c>
      <c r="J1174" s="166" t="s">
        <v>970</v>
      </c>
      <c r="N1174" s="166" t="s">
        <v>930</v>
      </c>
      <c r="P1174" s="168">
        <f>SUMIF('Balance Sheet Detail'!$B:$B,$R1174,'Balance Sheet Detail'!W:W)</f>
        <v>0</v>
      </c>
      <c r="R1174" s="166" t="s">
        <v>4882</v>
      </c>
    </row>
    <row r="1175" spans="2:18" ht="15" customHeight="1">
      <c r="B1175" s="203">
        <v>283515</v>
      </c>
      <c r="D1175" s="348" t="s">
        <v>4870</v>
      </c>
      <c r="F1175" s="348"/>
      <c r="H1175" s="349" t="s">
        <v>1149</v>
      </c>
      <c r="J1175" s="166" t="s">
        <v>1391</v>
      </c>
      <c r="N1175" s="166" t="s">
        <v>930</v>
      </c>
      <c r="P1175" s="168">
        <f>SUMIF('Balance Sheet Detail'!$B:$B,$R1175,'Balance Sheet Detail'!W:W)</f>
        <v>0</v>
      </c>
      <c r="R1175" s="166" t="s">
        <v>4883</v>
      </c>
    </row>
    <row r="1176" spans="2:18" ht="15" customHeight="1">
      <c r="B1176" s="203">
        <v>283515</v>
      </c>
      <c r="D1176" s="348" t="s">
        <v>4871</v>
      </c>
      <c r="F1176" s="348"/>
      <c r="H1176" s="349" t="s">
        <v>1149</v>
      </c>
      <c r="J1176" s="166" t="s">
        <v>4499</v>
      </c>
      <c r="N1176" s="166" t="s">
        <v>930</v>
      </c>
      <c r="P1176" s="168">
        <f>SUMIF('Balance Sheet Detail'!$B:$B,$R1176,'Balance Sheet Detail'!W:W)</f>
        <v>0</v>
      </c>
      <c r="R1176" s="166" t="s">
        <v>4884</v>
      </c>
    </row>
    <row r="1177" spans="2:18" ht="15" customHeight="1">
      <c r="B1177" s="203">
        <v>283515</v>
      </c>
      <c r="D1177" s="348" t="s">
        <v>4872</v>
      </c>
      <c r="F1177" s="348"/>
      <c r="H1177" s="349" t="s">
        <v>1149</v>
      </c>
      <c r="J1177" s="166" t="s">
        <v>97</v>
      </c>
      <c r="N1177" s="166" t="s">
        <v>930</v>
      </c>
      <c r="P1177" s="168">
        <f>SUMIF('Balance Sheet Detail'!$B:$B,$R1177,'Balance Sheet Detail'!W:W)</f>
        <v>0</v>
      </c>
      <c r="R1177" s="166" t="s">
        <v>4885</v>
      </c>
    </row>
    <row r="1178" spans="2:18" ht="15" customHeight="1">
      <c r="B1178" s="203">
        <v>283515</v>
      </c>
      <c r="D1178" s="348" t="s">
        <v>4873</v>
      </c>
      <c r="F1178" s="348"/>
      <c r="H1178" s="349" t="s">
        <v>1149</v>
      </c>
      <c r="J1178" s="166" t="s">
        <v>366</v>
      </c>
      <c r="N1178" s="166" t="s">
        <v>930</v>
      </c>
      <c r="P1178" s="168">
        <f>SUMIF('Balance Sheet Detail'!$B:$B,$R1178,'Balance Sheet Detail'!W:W)</f>
        <v>0</v>
      </c>
      <c r="R1178" s="166" t="s">
        <v>4886</v>
      </c>
    </row>
    <row r="1179" spans="2:18" ht="15" customHeight="1">
      <c r="B1179" s="203">
        <v>283515</v>
      </c>
      <c r="D1179" s="348" t="s">
        <v>4874</v>
      </c>
      <c r="F1179" s="348"/>
      <c r="H1179" s="349" t="s">
        <v>1149</v>
      </c>
      <c r="J1179" s="166" t="s">
        <v>1628</v>
      </c>
      <c r="N1179" s="166" t="s">
        <v>930</v>
      </c>
      <c r="P1179" s="168">
        <f>SUMIF('Balance Sheet Detail'!$B:$B,$R1179,'Balance Sheet Detail'!W:W)</f>
        <v>0</v>
      </c>
      <c r="R1179" s="166" t="s">
        <v>4887</v>
      </c>
    </row>
    <row r="1180" spans="2:18" ht="15" customHeight="1">
      <c r="B1180" s="203">
        <v>283515</v>
      </c>
      <c r="D1180" s="348" t="s">
        <v>4875</v>
      </c>
      <c r="F1180" s="348"/>
      <c r="H1180" s="349" t="s">
        <v>1149</v>
      </c>
      <c r="J1180" s="166" t="s">
        <v>1629</v>
      </c>
      <c r="N1180" s="166" t="s">
        <v>930</v>
      </c>
      <c r="P1180" s="168">
        <f>SUMIF('Balance Sheet Detail'!$B:$B,$R1180,'Balance Sheet Detail'!W:W)</f>
        <v>0</v>
      </c>
      <c r="R1180" s="166" t="s">
        <v>4888</v>
      </c>
    </row>
    <row r="1181" spans="2:18" ht="15" customHeight="1">
      <c r="B1181" s="203">
        <v>283516</v>
      </c>
      <c r="D1181" s="348" t="s">
        <v>4707</v>
      </c>
      <c r="F1181" s="348" t="s">
        <v>1149</v>
      </c>
      <c r="H1181" s="349" t="s">
        <v>1149</v>
      </c>
      <c r="J1181" s="166" t="s">
        <v>1216</v>
      </c>
      <c r="N1181" s="166" t="s">
        <v>930</v>
      </c>
      <c r="P1181" s="168">
        <f>SUMIF('Balance Sheet Detail'!$B:$B,$R1181,'Balance Sheet Detail'!W:W)</f>
        <v>7848.1302133333302</v>
      </c>
      <c r="R1181" s="166" t="s">
        <v>4925</v>
      </c>
    </row>
    <row r="1182" spans="2:18" ht="15" customHeight="1">
      <c r="B1182" s="203">
        <v>283986</v>
      </c>
      <c r="D1182" s="348" t="s">
        <v>498</v>
      </c>
      <c r="F1182" s="348">
        <v>0</v>
      </c>
      <c r="H1182" s="349" t="s">
        <v>1149</v>
      </c>
      <c r="J1182" s="166" t="s">
        <v>2371</v>
      </c>
      <c r="N1182" s="166" t="s">
        <v>930</v>
      </c>
      <c r="P1182" s="168">
        <f>SUMIF('Balance Sheet Detail'!$B:$B,$R1182,'Balance Sheet Detail'!W:W)</f>
        <v>127949.58554166699</v>
      </c>
      <c r="R1182" s="166" t="s">
        <v>3644</v>
      </c>
    </row>
    <row r="1183" spans="2:18" ht="15" customHeight="1">
      <c r="B1183" s="203">
        <v>283986</v>
      </c>
      <c r="D1183" s="348" t="s">
        <v>2692</v>
      </c>
      <c r="F1183" s="348" t="s">
        <v>1028</v>
      </c>
      <c r="H1183" s="349" t="s">
        <v>1149</v>
      </c>
      <c r="J1183" s="166" t="s">
        <v>1826</v>
      </c>
      <c r="N1183" s="166" t="s">
        <v>930</v>
      </c>
      <c r="P1183" s="168">
        <f>SUMIF('Balance Sheet Detail'!$B:$B,$R1183,'Balance Sheet Detail'!W:W)</f>
        <v>0</v>
      </c>
      <c r="R1183" s="166" t="s">
        <v>3645</v>
      </c>
    </row>
    <row r="1184" spans="2:18" ht="15" customHeight="1">
      <c r="B1184" s="203">
        <v>283987</v>
      </c>
      <c r="D1184" s="348" t="s">
        <v>498</v>
      </c>
      <c r="F1184" s="348">
        <v>0</v>
      </c>
      <c r="H1184" s="349" t="s">
        <v>1149</v>
      </c>
      <c r="J1184" s="166" t="s">
        <v>2371</v>
      </c>
      <c r="N1184" s="166" t="s">
        <v>930</v>
      </c>
      <c r="P1184" s="168">
        <f>SUMIF('Balance Sheet Detail'!$B:$B,$R1184,'Balance Sheet Detail'!W:W)</f>
        <v>61363.152499999997</v>
      </c>
      <c r="R1184" s="166" t="s">
        <v>3646</v>
      </c>
    </row>
    <row r="1185" spans="1:18" ht="15" customHeight="1">
      <c r="B1185" s="203">
        <v>283987</v>
      </c>
      <c r="D1185" s="348" t="s">
        <v>2692</v>
      </c>
      <c r="F1185" s="348" t="s">
        <v>1028</v>
      </c>
      <c r="H1185" s="349" t="s">
        <v>1149</v>
      </c>
      <c r="J1185" s="166" t="s">
        <v>752</v>
      </c>
      <c r="N1185" s="166" t="s">
        <v>930</v>
      </c>
      <c r="P1185" s="168">
        <f>SUMIF('Balance Sheet Detail'!$B:$B,$R1185,'Balance Sheet Detail'!W:W)</f>
        <v>1257.9860000000001</v>
      </c>
      <c r="R1185" s="166" t="s">
        <v>3647</v>
      </c>
    </row>
    <row r="1186" spans="1:18" ht="15" customHeight="1">
      <c r="B1186" s="203">
        <v>283988</v>
      </c>
      <c r="D1186" s="348" t="s">
        <v>498</v>
      </c>
      <c r="F1186" s="348">
        <v>0</v>
      </c>
      <c r="H1186" s="349" t="s">
        <v>1149</v>
      </c>
      <c r="J1186" s="166" t="s">
        <v>2371</v>
      </c>
      <c r="N1186" s="166" t="s">
        <v>930</v>
      </c>
      <c r="P1186" s="168">
        <f>SUMIF('Balance Sheet Detail'!$B:$B,$R1186,'Balance Sheet Detail'!W:W)</f>
        <v>28987.714541666701</v>
      </c>
      <c r="R1186" s="166" t="s">
        <v>3648</v>
      </c>
    </row>
    <row r="1187" spans="1:18" ht="15" customHeight="1">
      <c r="B1187" s="203">
        <v>283988</v>
      </c>
      <c r="D1187" s="348" t="s">
        <v>2692</v>
      </c>
      <c r="F1187" s="348" t="s">
        <v>1028</v>
      </c>
      <c r="H1187" s="349" t="s">
        <v>1149</v>
      </c>
      <c r="J1187" s="166" t="s">
        <v>1826</v>
      </c>
      <c r="N1187" s="166" t="s">
        <v>930</v>
      </c>
      <c r="P1187" s="168">
        <f>SUMIF('Balance Sheet Detail'!$B:$B,$R1187,'Balance Sheet Detail'!W:W)</f>
        <v>0</v>
      </c>
      <c r="R1187" s="166" t="s">
        <v>3649</v>
      </c>
    </row>
    <row r="1188" spans="1:18" ht="15" customHeight="1">
      <c r="B1188" s="203">
        <v>283989</v>
      </c>
      <c r="D1188" s="348" t="s">
        <v>498</v>
      </c>
      <c r="F1188" s="348">
        <v>0</v>
      </c>
      <c r="H1188" s="349" t="s">
        <v>1149</v>
      </c>
      <c r="J1188" s="166" t="s">
        <v>2371</v>
      </c>
      <c r="N1188" s="166" t="s">
        <v>930</v>
      </c>
      <c r="P1188" s="168">
        <f>SUMIF('Balance Sheet Detail'!$B:$B,$R1188,'Balance Sheet Detail'!W:W)</f>
        <v>13770.3450416667</v>
      </c>
      <c r="R1188" s="166" t="s">
        <v>3650</v>
      </c>
    </row>
    <row r="1189" spans="1:18" ht="15" customHeight="1">
      <c r="B1189" s="203">
        <v>283989</v>
      </c>
      <c r="D1189" s="348" t="s">
        <v>2692</v>
      </c>
      <c r="F1189" s="348" t="s">
        <v>1028</v>
      </c>
      <c r="H1189" s="349" t="s">
        <v>1149</v>
      </c>
      <c r="J1189" s="166" t="s">
        <v>752</v>
      </c>
      <c r="N1189" s="166" t="s">
        <v>930</v>
      </c>
      <c r="P1189" s="168">
        <f>SUMIF('Balance Sheet Detail'!$B:$B,$R1189,'Balance Sheet Detail'!W:W)</f>
        <v>0</v>
      </c>
      <c r="R1189" s="166" t="s">
        <v>3651</v>
      </c>
    </row>
    <row r="1190" spans="1:18" ht="15" customHeight="1">
      <c r="B1190" s="203">
        <v>283990</v>
      </c>
      <c r="D1190" s="348" t="s">
        <v>966</v>
      </c>
      <c r="F1190" s="348" t="s">
        <v>2306</v>
      </c>
      <c r="H1190" s="349" t="s">
        <v>1149</v>
      </c>
      <c r="J1190" s="166" t="s">
        <v>2305</v>
      </c>
      <c r="N1190" s="166" t="s">
        <v>930</v>
      </c>
      <c r="P1190" s="168">
        <f>SUMIF('Balance Sheet Detail'!$B:$B,$R1190,'Balance Sheet Detail'!W:W)</f>
        <v>-5637.0441250000003</v>
      </c>
      <c r="R1190" s="166" t="s">
        <v>3652</v>
      </c>
    </row>
    <row r="1191" spans="1:18" ht="15" customHeight="1">
      <c r="B1191" s="203">
        <v>283990</v>
      </c>
      <c r="D1191" s="348" t="s">
        <v>2692</v>
      </c>
      <c r="F1191" s="348" t="s">
        <v>1092</v>
      </c>
      <c r="H1191" s="349" t="s">
        <v>1149</v>
      </c>
      <c r="J1191" s="166" t="s">
        <v>1224</v>
      </c>
      <c r="N1191" s="166" t="s">
        <v>930</v>
      </c>
      <c r="P1191" s="168">
        <f>SUMIF('Balance Sheet Detail'!$B:$B,$R1191,'Balance Sheet Detail'!W:W)</f>
        <v>-393.74599999999998</v>
      </c>
      <c r="R1191" s="166" t="s">
        <v>3653</v>
      </c>
    </row>
    <row r="1192" spans="1:18" ht="15" customHeight="1">
      <c r="B1192" s="203">
        <v>283991</v>
      </c>
      <c r="D1192" s="348" t="s">
        <v>966</v>
      </c>
      <c r="F1192" s="348" t="s">
        <v>2306</v>
      </c>
      <c r="H1192" s="349" t="s">
        <v>1149</v>
      </c>
      <c r="J1192" s="166" t="s">
        <v>2305</v>
      </c>
      <c r="N1192" s="166" t="s">
        <v>930</v>
      </c>
      <c r="P1192" s="168">
        <f>SUMIF('Balance Sheet Detail'!$B:$B,$R1192,'Balance Sheet Detail'!W:W)</f>
        <v>6861.9538549999997</v>
      </c>
      <c r="R1192" s="166" t="s">
        <v>3654</v>
      </c>
    </row>
    <row r="1193" spans="1:18" ht="15" customHeight="1">
      <c r="B1193" s="203">
        <v>283991</v>
      </c>
      <c r="D1193" s="348" t="s">
        <v>2692</v>
      </c>
      <c r="F1193" s="348" t="s">
        <v>2781</v>
      </c>
      <c r="H1193" s="349" t="s">
        <v>1149</v>
      </c>
      <c r="J1193" s="166" t="s">
        <v>1224</v>
      </c>
      <c r="N1193" s="166" t="s">
        <v>930</v>
      </c>
      <c r="P1193" s="168">
        <f>SUMIF('Balance Sheet Detail'!$B:$B,$R1193,'Balance Sheet Detail'!W:W)</f>
        <v>-831.16373000000397</v>
      </c>
      <c r="R1193" s="166" t="s">
        <v>3655</v>
      </c>
    </row>
    <row r="1194" spans="1:18" ht="15" customHeight="1">
      <c r="B1194" s="203">
        <v>283992</v>
      </c>
      <c r="D1194" s="348" t="s">
        <v>966</v>
      </c>
      <c r="F1194" s="348" t="s">
        <v>2306</v>
      </c>
      <c r="H1194" s="349" t="s">
        <v>1149</v>
      </c>
      <c r="J1194" s="166" t="s">
        <v>2305</v>
      </c>
      <c r="N1194" s="166" t="s">
        <v>930</v>
      </c>
      <c r="P1194" s="168">
        <f>SUMIF('Balance Sheet Detail'!$B:$B,$R1194,'Balance Sheet Detail'!W:W)</f>
        <v>1916.73079166667</v>
      </c>
      <c r="R1194" s="166" t="s">
        <v>3656</v>
      </c>
    </row>
    <row r="1195" spans="1:18" ht="15" customHeight="1">
      <c r="B1195" s="203">
        <v>283992</v>
      </c>
      <c r="D1195" s="348" t="s">
        <v>2692</v>
      </c>
      <c r="F1195" s="348" t="s">
        <v>1686</v>
      </c>
      <c r="H1195" s="349" t="s">
        <v>1149</v>
      </c>
      <c r="J1195" s="166" t="s">
        <v>805</v>
      </c>
      <c r="N1195" s="166" t="s">
        <v>930</v>
      </c>
      <c r="P1195" s="168">
        <f>SUMIF('Balance Sheet Detail'!$B:$B,$R1195,'Balance Sheet Detail'!W:W)</f>
        <v>-1938.538</v>
      </c>
      <c r="R1195" s="166" t="s">
        <v>3657</v>
      </c>
    </row>
    <row r="1196" spans="1:18" ht="15" customHeight="1">
      <c r="B1196" s="203">
        <v>283993</v>
      </c>
      <c r="D1196" s="348" t="s">
        <v>966</v>
      </c>
      <c r="F1196" s="348" t="s">
        <v>2306</v>
      </c>
      <c r="H1196" s="349" t="s">
        <v>1149</v>
      </c>
      <c r="J1196" s="166" t="s">
        <v>2305</v>
      </c>
      <c r="N1196" s="166" t="s">
        <v>930</v>
      </c>
      <c r="P1196" s="168">
        <f>SUMIF('Balance Sheet Detail'!$B:$B,$R1196,'Balance Sheet Detail'!W:W)</f>
        <v>2708.2121583333301</v>
      </c>
      <c r="R1196" s="166" t="s">
        <v>3658</v>
      </c>
    </row>
    <row r="1197" spans="1:18" ht="15" customHeight="1">
      <c r="B1197" s="203">
        <v>283993</v>
      </c>
      <c r="D1197" s="348" t="s">
        <v>2692</v>
      </c>
      <c r="F1197" s="348" t="s">
        <v>523</v>
      </c>
      <c r="H1197" s="349" t="s">
        <v>1149</v>
      </c>
      <c r="J1197" s="166" t="s">
        <v>805</v>
      </c>
      <c r="N1197" s="166" t="s">
        <v>930</v>
      </c>
      <c r="P1197" s="168">
        <f>SUMIF('Balance Sheet Detail'!$B:$B,$R1197,'Balance Sheet Detail'!W:W)</f>
        <v>-2686.4049500000001</v>
      </c>
      <c r="R1197" s="166" t="s">
        <v>3659</v>
      </c>
    </row>
    <row r="1198" spans="1:18" ht="15" customHeight="1">
      <c r="D1198" s="348"/>
      <c r="F1198" s="348"/>
      <c r="H1198" s="349"/>
      <c r="P1198" s="350"/>
    </row>
    <row r="1199" spans="1:18">
      <c r="A1199" s="127"/>
      <c r="B1199" s="351" t="s">
        <v>3225</v>
      </c>
      <c r="C1199" s="352"/>
      <c r="D1199" s="348"/>
      <c r="E1199" s="352"/>
      <c r="F1199" s="348"/>
      <c r="G1199" s="352"/>
      <c r="H1199" s="349"/>
      <c r="I1199" s="352"/>
      <c r="K1199" s="352"/>
      <c r="L1199" s="352"/>
      <c r="P1199" s="353">
        <f>SUM(P1058:P1198)</f>
        <v>-0.23409833238565625</v>
      </c>
    </row>
    <row r="1200" spans="1:18">
      <c r="A1200" s="127"/>
      <c r="D1200" s="348"/>
      <c r="F1200" s="348"/>
      <c r="H1200" s="349"/>
      <c r="P1200" s="343"/>
    </row>
    <row r="1201" spans="1:18">
      <c r="A1201" s="127" t="s">
        <v>1833</v>
      </c>
      <c r="D1201" s="348"/>
      <c r="F1201" s="348"/>
      <c r="H1201" s="349"/>
      <c r="P1201" s="343"/>
    </row>
    <row r="1202" spans="1:18" ht="15" customHeight="1">
      <c r="B1202" s="203">
        <v>182390</v>
      </c>
      <c r="D1202" s="348" t="s">
        <v>1602</v>
      </c>
      <c r="F1202" s="348" t="s">
        <v>2457</v>
      </c>
      <c r="H1202" s="349" t="s">
        <v>1833</v>
      </c>
      <c r="J1202" s="166" t="s">
        <v>1853</v>
      </c>
      <c r="N1202" s="166" t="s">
        <v>2821</v>
      </c>
      <c r="P1202" s="168">
        <f>SUMIF('Balance Sheet Detail'!$B:$B,$R1202,'Balance Sheet Detail'!W:W)</f>
        <v>-46000</v>
      </c>
      <c r="R1202" s="166" t="s">
        <v>4721</v>
      </c>
    </row>
    <row r="1203" spans="1:18" ht="15" customHeight="1">
      <c r="B1203" s="203">
        <v>182390</v>
      </c>
      <c r="D1203" s="348" t="s">
        <v>1602</v>
      </c>
      <c r="F1203" s="348" t="s">
        <v>2477</v>
      </c>
      <c r="H1203" s="349" t="s">
        <v>1833</v>
      </c>
      <c r="J1203" s="166" t="s">
        <v>1854</v>
      </c>
      <c r="N1203" s="166" t="s">
        <v>2821</v>
      </c>
      <c r="P1203" s="168">
        <f>SUMIF('Balance Sheet Detail'!$B:$B,$R1203,'Balance Sheet Detail'!W:W)</f>
        <v>211404.12217625001</v>
      </c>
      <c r="R1203" s="166" t="s">
        <v>4722</v>
      </c>
    </row>
    <row r="1204" spans="1:18" ht="15" customHeight="1">
      <c r="B1204" s="203">
        <v>182390</v>
      </c>
      <c r="D1204" s="348" t="s">
        <v>1602</v>
      </c>
      <c r="F1204" s="348" t="s">
        <v>2478</v>
      </c>
      <c r="H1204" s="349" t="s">
        <v>1833</v>
      </c>
      <c r="J1204" s="166" t="s">
        <v>1855</v>
      </c>
      <c r="N1204" s="166" t="s">
        <v>2821</v>
      </c>
      <c r="P1204" s="168">
        <f>SUMIF('Balance Sheet Detail'!$B:$B,$R1204,'Balance Sheet Detail'!W:W)</f>
        <v>23437.631038750002</v>
      </c>
      <c r="R1204" s="166" t="s">
        <v>4723</v>
      </c>
    </row>
    <row r="1205" spans="1:18" ht="15" customHeight="1">
      <c r="B1205" s="203">
        <v>182390</v>
      </c>
      <c r="D1205" s="348" t="s">
        <v>1602</v>
      </c>
      <c r="F1205" s="348">
        <v>801230</v>
      </c>
      <c r="H1205" s="349" t="s">
        <v>1833</v>
      </c>
      <c r="J1205" s="166" t="s">
        <v>29</v>
      </c>
      <c r="N1205" s="166" t="s">
        <v>2821</v>
      </c>
      <c r="P1205" s="168">
        <f>SUMIF('Balance Sheet Detail'!$B:$B,$R1205,'Balance Sheet Detail'!W:W)</f>
        <v>8116.4873483333304</v>
      </c>
      <c r="R1205" s="166" t="s">
        <v>3660</v>
      </c>
    </row>
    <row r="1206" spans="1:18" ht="15" customHeight="1">
      <c r="B1206" s="203">
        <v>182390</v>
      </c>
      <c r="D1206" s="348" t="s">
        <v>1602</v>
      </c>
      <c r="F1206" s="348">
        <v>808032</v>
      </c>
      <c r="H1206" s="349" t="s">
        <v>1833</v>
      </c>
      <c r="J1206" s="166" t="s">
        <v>2264</v>
      </c>
      <c r="N1206" s="166" t="s">
        <v>2821</v>
      </c>
      <c r="P1206" s="168">
        <f>SUMIF('Balance Sheet Detail'!$B:$B,$R1206,'Balance Sheet Detail'!W:W)</f>
        <v>-57453</v>
      </c>
      <c r="R1206" s="166" t="s">
        <v>3661</v>
      </c>
    </row>
    <row r="1207" spans="1:18" ht="15" customHeight="1">
      <c r="B1207" s="203">
        <v>182390</v>
      </c>
      <c r="D1207" s="348" t="s">
        <v>1602</v>
      </c>
      <c r="F1207" s="348">
        <v>807031</v>
      </c>
      <c r="H1207" s="349" t="s">
        <v>1833</v>
      </c>
      <c r="J1207" s="166" t="s">
        <v>1853</v>
      </c>
      <c r="N1207" s="166" t="s">
        <v>2821</v>
      </c>
      <c r="P1207" s="168">
        <f>SUMIF('Balance Sheet Detail'!$B:$B,$R1207,'Balance Sheet Detail'!W:W)</f>
        <v>-27423</v>
      </c>
      <c r="R1207" s="166" t="s">
        <v>3662</v>
      </c>
    </row>
    <row r="1208" spans="1:18" ht="15" customHeight="1">
      <c r="B1208" s="203">
        <v>182390</v>
      </c>
      <c r="D1208" s="348" t="s">
        <v>1602</v>
      </c>
      <c r="F1208" s="348">
        <v>807032</v>
      </c>
      <c r="H1208" s="349" t="s">
        <v>1833</v>
      </c>
      <c r="J1208" s="166" t="s">
        <v>1854</v>
      </c>
      <c r="N1208" s="166" t="s">
        <v>2821</v>
      </c>
      <c r="P1208" s="168">
        <f>SUMIF('Balance Sheet Detail'!$B:$B,$R1208,'Balance Sheet Detail'!W:W)</f>
        <v>106905.22318</v>
      </c>
      <c r="R1208" s="166" t="s">
        <v>3663</v>
      </c>
    </row>
    <row r="1209" spans="1:18" ht="15" customHeight="1">
      <c r="B1209" s="203">
        <v>182390</v>
      </c>
      <c r="D1209" s="348" t="s">
        <v>1602</v>
      </c>
      <c r="F1209" s="348">
        <v>807033</v>
      </c>
      <c r="H1209" s="349" t="s">
        <v>1833</v>
      </c>
      <c r="J1209" s="166" t="s">
        <v>1855</v>
      </c>
      <c r="N1209" s="166" t="s">
        <v>2821</v>
      </c>
      <c r="P1209" s="168">
        <f>SUMIF('Balance Sheet Detail'!$B:$B,$R1209,'Balance Sheet Detail'!W:W)</f>
        <v>8300.3007199999993</v>
      </c>
      <c r="R1209" s="166" t="s">
        <v>3664</v>
      </c>
    </row>
    <row r="1210" spans="1:18" ht="15" customHeight="1">
      <c r="B1210" s="203">
        <v>182390</v>
      </c>
      <c r="D1210" s="348" t="s">
        <v>1602</v>
      </c>
      <c r="F1210" s="348">
        <v>807034</v>
      </c>
      <c r="H1210" s="349" t="s">
        <v>1833</v>
      </c>
      <c r="J1210" s="166" t="s">
        <v>4630</v>
      </c>
      <c r="N1210" s="166" t="s">
        <v>2821</v>
      </c>
      <c r="P1210" s="168">
        <f>SUMIF('Balance Sheet Detail'!$B:$B,$R1210,'Balance Sheet Detail'!W:W)</f>
        <v>-92.823459999999997</v>
      </c>
      <c r="R1210" s="166" t="s">
        <v>4633</v>
      </c>
    </row>
    <row r="1211" spans="1:18" ht="15" customHeight="1">
      <c r="B1211" s="203">
        <v>182390</v>
      </c>
      <c r="D1211" s="348" t="s">
        <v>529</v>
      </c>
      <c r="F1211" s="348">
        <v>801253</v>
      </c>
      <c r="H1211" s="349" t="s">
        <v>1833</v>
      </c>
      <c r="J1211" s="166" t="s">
        <v>2328</v>
      </c>
      <c r="N1211" s="166" t="s">
        <v>2821</v>
      </c>
      <c r="P1211" s="168">
        <f>SUMIF('Balance Sheet Detail'!$B:$B,$R1211,'Balance Sheet Detail'!W:W)</f>
        <v>0</v>
      </c>
      <c r="R1211" s="166" t="s">
        <v>3665</v>
      </c>
    </row>
    <row r="1212" spans="1:18" ht="15" customHeight="1">
      <c r="B1212" s="203">
        <v>254171</v>
      </c>
      <c r="D1212" s="348" t="s">
        <v>1602</v>
      </c>
      <c r="F1212" s="348">
        <v>807031</v>
      </c>
      <c r="H1212" s="349" t="s">
        <v>1833</v>
      </c>
      <c r="J1212" s="166" t="s">
        <v>1603</v>
      </c>
      <c r="N1212" s="166" t="s">
        <v>2821</v>
      </c>
      <c r="P1212" s="168">
        <f>SUMIF('Balance Sheet Detail'!$B:$B,$R1212,'Balance Sheet Detail'!W:W)</f>
        <v>0</v>
      </c>
      <c r="R1212" s="166" t="s">
        <v>3666</v>
      </c>
    </row>
    <row r="1213" spans="1:18" ht="15" customHeight="1">
      <c r="B1213" s="203">
        <v>254171</v>
      </c>
      <c r="D1213" s="348" t="s">
        <v>1602</v>
      </c>
      <c r="F1213" s="348">
        <v>807032</v>
      </c>
      <c r="H1213" s="349" t="s">
        <v>1833</v>
      </c>
      <c r="J1213" s="166" t="s">
        <v>1607</v>
      </c>
      <c r="N1213" s="166" t="s">
        <v>2821</v>
      </c>
      <c r="P1213" s="168">
        <f>SUMIF('Balance Sheet Detail'!$B:$B,$R1213,'Balance Sheet Detail'!W:W)</f>
        <v>0</v>
      </c>
      <c r="R1213" s="166" t="s">
        <v>3667</v>
      </c>
    </row>
    <row r="1214" spans="1:18" ht="15" customHeight="1">
      <c r="B1214" s="203">
        <v>254171</v>
      </c>
      <c r="D1214" s="348" t="s">
        <v>1602</v>
      </c>
      <c r="F1214" s="348">
        <v>807033</v>
      </c>
      <c r="H1214" s="349" t="s">
        <v>1833</v>
      </c>
      <c r="J1214" s="166" t="s">
        <v>1608</v>
      </c>
      <c r="N1214" s="166" t="s">
        <v>2821</v>
      </c>
      <c r="P1214" s="168">
        <f>SUMIF('Balance Sheet Detail'!$B:$B,$R1214,'Balance Sheet Detail'!W:W)</f>
        <v>0</v>
      </c>
      <c r="R1214" s="166" t="s">
        <v>3668</v>
      </c>
    </row>
    <row r="1215" spans="1:18" ht="15" customHeight="1">
      <c r="B1215" s="203">
        <v>190501</v>
      </c>
      <c r="D1215" s="348" t="s">
        <v>870</v>
      </c>
      <c r="F1215" s="348" t="s">
        <v>954</v>
      </c>
      <c r="H1215" s="349" t="s">
        <v>1833</v>
      </c>
      <c r="J1215" s="166" t="s">
        <v>243</v>
      </c>
      <c r="N1215" s="166" t="s">
        <v>2821</v>
      </c>
      <c r="P1215" s="168">
        <f>SUMIF('Balance Sheet Detail'!$B:$B,$R1215,'Balance Sheet Detail'!W:W)</f>
        <v>0</v>
      </c>
      <c r="R1215" s="166" t="s">
        <v>3669</v>
      </c>
    </row>
    <row r="1216" spans="1:18" ht="15" customHeight="1">
      <c r="B1216" s="203">
        <v>190511</v>
      </c>
      <c r="D1216" s="348" t="s">
        <v>870</v>
      </c>
      <c r="F1216" s="348" t="s">
        <v>2372</v>
      </c>
      <c r="H1216" s="349" t="s">
        <v>1833</v>
      </c>
      <c r="J1216" s="166" t="s">
        <v>243</v>
      </c>
      <c r="N1216" s="166" t="s">
        <v>2821</v>
      </c>
      <c r="P1216" s="168">
        <f>SUMIF('Balance Sheet Detail'!$B:$B,$R1216,'Balance Sheet Detail'!W:W)</f>
        <v>0</v>
      </c>
      <c r="R1216" s="166" t="s">
        <v>3670</v>
      </c>
    </row>
    <row r="1217" spans="1:18" ht="15" customHeight="1">
      <c r="B1217" s="203">
        <v>283500</v>
      </c>
      <c r="D1217" s="348" t="s">
        <v>870</v>
      </c>
      <c r="F1217" s="348" t="s">
        <v>2708</v>
      </c>
      <c r="H1217" s="349" t="s">
        <v>1833</v>
      </c>
      <c r="J1217" s="166" t="s">
        <v>1833</v>
      </c>
      <c r="N1217" s="166" t="s">
        <v>2821</v>
      </c>
      <c r="P1217" s="168">
        <f>SUMIF('Balance Sheet Detail'!$B:$B,$R1217,'Balance Sheet Detail'!W:W)</f>
        <v>-73872.435048750005</v>
      </c>
      <c r="R1217" s="166" t="s">
        <v>3671</v>
      </c>
    </row>
    <row r="1218" spans="1:18" ht="15" customHeight="1">
      <c r="B1218" s="203">
        <v>283550</v>
      </c>
      <c r="D1218" s="348" t="s">
        <v>870</v>
      </c>
      <c r="F1218" s="348" t="s">
        <v>2709</v>
      </c>
      <c r="H1218" s="349" t="s">
        <v>1833</v>
      </c>
      <c r="J1218" s="166" t="s">
        <v>1833</v>
      </c>
      <c r="N1218" s="166" t="s">
        <v>2821</v>
      </c>
      <c r="P1218" s="168">
        <f>SUMIF('Balance Sheet Detail'!$B:$B,$R1218,'Balance Sheet Detail'!W:W)</f>
        <v>-16130.84097875</v>
      </c>
      <c r="R1218" s="166" t="s">
        <v>3672</v>
      </c>
    </row>
    <row r="1219" spans="1:18" ht="15" customHeight="1">
      <c r="B1219" s="203">
        <v>283550</v>
      </c>
      <c r="D1219" s="348">
        <v>0</v>
      </c>
      <c r="F1219" s="348" t="s">
        <v>2710</v>
      </c>
      <c r="H1219" s="349" t="s">
        <v>1833</v>
      </c>
      <c r="J1219" s="166" t="s">
        <v>194</v>
      </c>
      <c r="N1219" s="166" t="s">
        <v>2821</v>
      </c>
      <c r="P1219" s="168">
        <f>SUMIF('Balance Sheet Detail'!$B:$B,$R1219,'Balance Sheet Detail'!W:W)</f>
        <v>0</v>
      </c>
      <c r="R1219" s="166" t="s">
        <v>3673</v>
      </c>
    </row>
    <row r="1220" spans="1:18" ht="15" customHeight="1">
      <c r="D1220" s="348"/>
      <c r="F1220" s="348"/>
      <c r="H1220" s="349"/>
      <c r="P1220" s="350"/>
    </row>
    <row r="1221" spans="1:18">
      <c r="A1221" s="127"/>
      <c r="B1221" s="351" t="s">
        <v>3674</v>
      </c>
      <c r="C1221" s="352"/>
      <c r="D1221" s="348"/>
      <c r="E1221" s="352"/>
      <c r="F1221" s="348"/>
      <c r="G1221" s="352"/>
      <c r="H1221" s="349"/>
      <c r="I1221" s="352"/>
      <c r="K1221" s="352"/>
      <c r="L1221" s="352"/>
      <c r="P1221" s="353">
        <f>SUM(P1202:P1220)</f>
        <v>137191.66497583329</v>
      </c>
    </row>
    <row r="1222" spans="1:18">
      <c r="A1222" s="127"/>
      <c r="B1222" s="351"/>
      <c r="C1222" s="352"/>
      <c r="D1222" s="348"/>
      <c r="E1222" s="352"/>
      <c r="F1222" s="348"/>
      <c r="G1222" s="352"/>
      <c r="H1222" s="349"/>
      <c r="I1222" s="352"/>
      <c r="K1222" s="352"/>
      <c r="L1222" s="352"/>
      <c r="P1222" s="353"/>
    </row>
    <row r="1223" spans="1:18">
      <c r="A1223" s="127" t="s">
        <v>2327</v>
      </c>
      <c r="D1223" s="348"/>
      <c r="F1223" s="348"/>
      <c r="H1223" s="349"/>
      <c r="P1223" s="343"/>
    </row>
    <row r="1224" spans="1:18" ht="15" customHeight="1">
      <c r="B1224" s="203">
        <v>254015</v>
      </c>
      <c r="D1224" s="348" t="s">
        <v>2705</v>
      </c>
      <c r="F1224" s="348">
        <v>801251</v>
      </c>
      <c r="H1224" s="349" t="s">
        <v>2327</v>
      </c>
      <c r="J1224" s="166" t="s">
        <v>2329</v>
      </c>
      <c r="N1224" s="166" t="s">
        <v>928</v>
      </c>
      <c r="P1224" s="168">
        <f>SUMIF('Balance Sheet Detail'!$B:$B,$R1224,'Balance Sheet Detail'!W:W)</f>
        <v>-2285.8583441666701</v>
      </c>
      <c r="R1224" s="166" t="s">
        <v>3940</v>
      </c>
    </row>
    <row r="1225" spans="1:18" ht="15" customHeight="1">
      <c r="D1225" s="348"/>
      <c r="F1225" s="348"/>
      <c r="H1225" s="349"/>
      <c r="P1225" s="350"/>
    </row>
    <row r="1226" spans="1:18">
      <c r="A1226" s="127"/>
      <c r="B1226" s="351" t="s">
        <v>4554</v>
      </c>
      <c r="C1226" s="352"/>
      <c r="D1226" s="348"/>
      <c r="E1226" s="352"/>
      <c r="F1226" s="348"/>
      <c r="G1226" s="352"/>
      <c r="H1226" s="349"/>
      <c r="I1226" s="352"/>
      <c r="K1226" s="352"/>
      <c r="L1226" s="352"/>
      <c r="P1226" s="353">
        <f>SUM(P1224:P1225)</f>
        <v>-2285.8583441666701</v>
      </c>
    </row>
    <row r="1227" spans="1:18">
      <c r="A1227" s="127"/>
      <c r="B1227" s="351"/>
      <c r="C1227" s="352"/>
      <c r="D1227" s="348"/>
      <c r="E1227" s="352"/>
      <c r="F1227" s="348"/>
      <c r="G1227" s="352"/>
      <c r="H1227" s="349"/>
      <c r="I1227" s="352"/>
      <c r="K1227" s="352"/>
      <c r="L1227" s="352"/>
      <c r="P1227" s="353"/>
    </row>
    <row r="1228" spans="1:18">
      <c r="A1228" s="127" t="s">
        <v>2857</v>
      </c>
      <c r="B1228" s="351"/>
      <c r="C1228" s="352"/>
      <c r="D1228" s="348"/>
      <c r="E1228" s="352"/>
      <c r="F1228" s="348"/>
      <c r="G1228" s="352"/>
      <c r="H1228" s="349"/>
      <c r="I1228" s="352"/>
      <c r="K1228" s="352"/>
      <c r="L1228" s="352"/>
      <c r="P1228" s="353"/>
    </row>
    <row r="1229" spans="1:18" ht="15" customHeight="1">
      <c r="B1229" s="203">
        <v>254172</v>
      </c>
      <c r="D1229" s="348" t="s">
        <v>4589</v>
      </c>
      <c r="F1229" s="348">
        <v>801270</v>
      </c>
      <c r="H1229" s="349" t="s">
        <v>2857</v>
      </c>
      <c r="J1229" s="166" t="s">
        <v>4588</v>
      </c>
      <c r="N1229" s="166" t="s">
        <v>2821</v>
      </c>
      <c r="P1229" s="168">
        <f>SUMIF('Balance Sheet Detail'!$B:$B,$R1229,'Balance Sheet Detail'!W:W)</f>
        <v>-3174.9121104166702</v>
      </c>
      <c r="R1229" s="166" t="s">
        <v>4596</v>
      </c>
    </row>
    <row r="1230" spans="1:18" ht="15" customHeight="1">
      <c r="B1230" s="203">
        <v>190501</v>
      </c>
      <c r="D1230" s="348" t="s">
        <v>1610</v>
      </c>
      <c r="F1230" s="348" t="s">
        <v>1751</v>
      </c>
      <c r="H1230" s="349" t="s">
        <v>2857</v>
      </c>
      <c r="J1230" s="166" t="s">
        <v>1750</v>
      </c>
      <c r="N1230" s="166" t="s">
        <v>2821</v>
      </c>
      <c r="P1230" s="168">
        <f>SUMIF('Balance Sheet Detail'!$B:$B,$R1230,'Balance Sheet Detail'!W:W)</f>
        <v>1021.89040541667</v>
      </c>
      <c r="R1230" s="166" t="s">
        <v>4597</v>
      </c>
    </row>
    <row r="1231" spans="1:18" ht="15" customHeight="1">
      <c r="B1231" s="203">
        <v>190511</v>
      </c>
      <c r="D1231" s="348" t="s">
        <v>1610</v>
      </c>
      <c r="F1231" s="348" t="s">
        <v>1751</v>
      </c>
      <c r="H1231" s="349" t="s">
        <v>2857</v>
      </c>
      <c r="J1231" s="166" t="s">
        <v>1750</v>
      </c>
      <c r="N1231" s="166" t="s">
        <v>2821</v>
      </c>
      <c r="P1231" s="168">
        <f>SUMIF('Balance Sheet Detail'!$B:$B,$R1231,'Balance Sheet Detail'!W:W)</f>
        <v>223.14042166666701</v>
      </c>
      <c r="R1231" s="166" t="s">
        <v>4598</v>
      </c>
    </row>
    <row r="1232" spans="1:18">
      <c r="A1232" s="127"/>
      <c r="B1232" s="351"/>
      <c r="C1232" s="352"/>
      <c r="D1232" s="348"/>
      <c r="E1232" s="352"/>
      <c r="F1232" s="348"/>
      <c r="G1232" s="352"/>
      <c r="H1232" s="349"/>
      <c r="I1232" s="352"/>
      <c r="K1232" s="352"/>
      <c r="L1232" s="352"/>
      <c r="P1232" s="350"/>
    </row>
    <row r="1233" spans="1:18">
      <c r="A1233" s="127"/>
      <c r="B1233" s="351" t="s">
        <v>4599</v>
      </c>
      <c r="C1233" s="352"/>
      <c r="D1233" s="348"/>
      <c r="E1233" s="352"/>
      <c r="F1233" s="348"/>
      <c r="G1233" s="352"/>
      <c r="H1233" s="349"/>
      <c r="I1233" s="352"/>
      <c r="K1233" s="352"/>
      <c r="L1233" s="352"/>
      <c r="P1233" s="353">
        <f>SUM(P1229:P1232)</f>
        <v>-1929.8812833333332</v>
      </c>
    </row>
    <row r="1234" spans="1:18">
      <c r="A1234" s="127"/>
      <c r="D1234" s="348"/>
      <c r="F1234" s="348"/>
      <c r="H1234" s="349"/>
      <c r="P1234" s="343"/>
    </row>
    <row r="1235" spans="1:18">
      <c r="A1235" s="127" t="s">
        <v>2496</v>
      </c>
      <c r="D1235" s="348"/>
      <c r="F1235" s="348"/>
      <c r="H1235" s="349"/>
      <c r="P1235" s="343"/>
    </row>
    <row r="1236" spans="1:18">
      <c r="A1236" s="127"/>
      <c r="B1236" s="203">
        <v>242020</v>
      </c>
      <c r="D1236" s="348"/>
      <c r="F1236" s="348"/>
      <c r="H1236" s="349" t="s">
        <v>2496</v>
      </c>
      <c r="J1236" s="349" t="s">
        <v>2495</v>
      </c>
      <c r="N1236" s="166" t="s">
        <v>2821</v>
      </c>
      <c r="P1236" s="168">
        <f>SUMIF('Balance Sheet Detail'!$B:$B,$R1236,'Balance Sheet Detail'!W:W)</f>
        <v>-1090.6380737500001</v>
      </c>
      <c r="R1236" s="166" t="s">
        <v>4669</v>
      </c>
    </row>
    <row r="1237" spans="1:18" ht="15" customHeight="1">
      <c r="B1237" s="203">
        <v>254016</v>
      </c>
      <c r="D1237" s="348" t="s">
        <v>1158</v>
      </c>
      <c r="F1237" s="348">
        <v>800130</v>
      </c>
      <c r="H1237" s="349" t="s">
        <v>2496</v>
      </c>
      <c r="J1237" s="166" t="s">
        <v>1159</v>
      </c>
      <c r="N1237" s="166" t="s">
        <v>2821</v>
      </c>
      <c r="P1237" s="168">
        <f>SUMIF('Balance Sheet Detail'!$B:$B,$R1237,'Balance Sheet Detail'!W:W)</f>
        <v>0</v>
      </c>
      <c r="R1237" s="166" t="s">
        <v>3676</v>
      </c>
    </row>
    <row r="1238" spans="1:18" ht="15" customHeight="1">
      <c r="B1238" s="203">
        <v>254016</v>
      </c>
      <c r="D1238" s="348" t="s">
        <v>4787</v>
      </c>
      <c r="F1238" s="348">
        <v>800168</v>
      </c>
      <c r="H1238" s="349" t="s">
        <v>2496</v>
      </c>
      <c r="J1238" s="166" t="s">
        <v>4790</v>
      </c>
      <c r="N1238" s="166" t="s">
        <v>2821</v>
      </c>
      <c r="P1238" s="168">
        <f>SUMIF('Balance Sheet Detail'!$B:$B,$R1238,'Balance Sheet Detail'!W:W)</f>
        <v>-238.87769083333299</v>
      </c>
      <c r="R1238" s="166" t="s">
        <v>4795</v>
      </c>
    </row>
    <row r="1239" spans="1:18" ht="15" customHeight="1">
      <c r="B1239" s="203">
        <v>254016</v>
      </c>
      <c r="D1239" s="348" t="s">
        <v>4787</v>
      </c>
      <c r="F1239" s="348" t="s">
        <v>4785</v>
      </c>
      <c r="H1239" s="349" t="s">
        <v>2496</v>
      </c>
      <c r="J1239" s="166" t="s">
        <v>4791</v>
      </c>
      <c r="N1239" s="166" t="s">
        <v>2821</v>
      </c>
      <c r="P1239" s="168">
        <f>SUMIF('Balance Sheet Detail'!$B:$B,$R1239,'Balance Sheet Detail'!W:W)</f>
        <v>-12.3127366666667</v>
      </c>
      <c r="R1239" s="166" t="s">
        <v>4796</v>
      </c>
    </row>
    <row r="1240" spans="1:18" ht="15" customHeight="1">
      <c r="B1240" s="203">
        <v>190501</v>
      </c>
      <c r="D1240" s="348" t="s">
        <v>4787</v>
      </c>
      <c r="F1240" s="348"/>
      <c r="H1240" s="349" t="s">
        <v>2496</v>
      </c>
      <c r="J1240" s="166" t="s">
        <v>4815</v>
      </c>
      <c r="N1240" s="166" t="s">
        <v>2821</v>
      </c>
      <c r="P1240" s="168">
        <f>SUMIF('Balance Sheet Detail'!$B:$B,$R1240,'Balance Sheet Detail'!W:W)</f>
        <v>81.674567499999995</v>
      </c>
      <c r="R1240" s="166" t="s">
        <v>4817</v>
      </c>
    </row>
    <row r="1241" spans="1:18" ht="15" customHeight="1">
      <c r="B1241" s="203">
        <v>190511</v>
      </c>
      <c r="D1241" s="348" t="s">
        <v>4787</v>
      </c>
      <c r="F1241" s="348"/>
      <c r="H1241" s="349" t="s">
        <v>2496</v>
      </c>
      <c r="J1241" s="166" t="s">
        <v>4815</v>
      </c>
      <c r="N1241" s="166" t="s">
        <v>2821</v>
      </c>
      <c r="P1241" s="168">
        <f>SUMIF('Balance Sheet Detail'!$B:$B,$R1241,'Balance Sheet Detail'!W:W)</f>
        <v>17.834520000000001</v>
      </c>
      <c r="R1241" s="166" t="s">
        <v>4821</v>
      </c>
    </row>
    <row r="1242" spans="1:18" ht="15" customHeight="1">
      <c r="B1242" s="203">
        <v>283500</v>
      </c>
      <c r="D1242" s="348" t="s">
        <v>1158</v>
      </c>
      <c r="F1242" s="348" t="s">
        <v>625</v>
      </c>
      <c r="H1242" s="349" t="s">
        <v>2496</v>
      </c>
      <c r="J1242" s="166" t="s">
        <v>1937</v>
      </c>
      <c r="N1242" s="166" t="s">
        <v>2821</v>
      </c>
      <c r="P1242" s="168">
        <f>SUMIF('Balance Sheet Detail'!$B:$B,$R1242,'Balance Sheet Detail'!W:W)</f>
        <v>7.0000000000000001E-15</v>
      </c>
      <c r="R1242" s="166" t="s">
        <v>3677</v>
      </c>
    </row>
    <row r="1243" spans="1:18" ht="15" customHeight="1">
      <c r="B1243" s="203">
        <v>283550</v>
      </c>
      <c r="D1243" s="348" t="s">
        <v>1158</v>
      </c>
      <c r="F1243" s="348" t="s">
        <v>625</v>
      </c>
      <c r="H1243" s="349" t="s">
        <v>2496</v>
      </c>
      <c r="J1243" s="166" t="s">
        <v>1937</v>
      </c>
      <c r="N1243" s="166" t="s">
        <v>2821</v>
      </c>
      <c r="P1243" s="350">
        <f>SUMIF('Balance Sheet Detail'!$B:$B,$R1243,'Balance Sheet Detail'!W:W)</f>
        <v>0</v>
      </c>
      <c r="R1243" s="166" t="s">
        <v>3678</v>
      </c>
    </row>
    <row r="1244" spans="1:18">
      <c r="A1244" s="127"/>
      <c r="B1244" s="351" t="s">
        <v>3675</v>
      </c>
      <c r="C1244" s="352"/>
      <c r="D1244" s="348"/>
      <c r="E1244" s="352"/>
      <c r="F1244" s="348"/>
      <c r="G1244" s="352"/>
      <c r="H1244" s="349"/>
      <c r="I1244" s="352"/>
      <c r="K1244" s="352"/>
      <c r="L1244" s="352"/>
      <c r="P1244" s="353">
        <f>SUM(P1236:P1243)</f>
        <v>-1242.3194137499997</v>
      </c>
    </row>
    <row r="1245" spans="1:18">
      <c r="A1245" s="127"/>
      <c r="D1245" s="348"/>
      <c r="F1245" s="348"/>
      <c r="H1245" s="349"/>
      <c r="P1245" s="343"/>
    </row>
    <row r="1246" spans="1:18">
      <c r="A1246" s="127" t="s">
        <v>2420</v>
      </c>
      <c r="D1246" s="348"/>
      <c r="F1246" s="348"/>
      <c r="H1246" s="349"/>
      <c r="P1246" s="343"/>
    </row>
    <row r="1247" spans="1:18" ht="15" customHeight="1">
      <c r="B1247" s="203">
        <v>136000</v>
      </c>
      <c r="D1247" s="348"/>
      <c r="F1247" s="348"/>
      <c r="H1247" s="349" t="s">
        <v>2420</v>
      </c>
      <c r="J1247" s="166" t="s">
        <v>2419</v>
      </c>
      <c r="N1247" s="166" t="s">
        <v>928</v>
      </c>
      <c r="P1247" s="168">
        <f>SUMIF('Balance Sheet Detail'!$B:$B,$R1247,'Balance Sheet Detail'!W:W)</f>
        <v>357418.77093416703</v>
      </c>
      <c r="R1247" s="166" t="s">
        <v>3679</v>
      </c>
    </row>
    <row r="1248" spans="1:18" ht="15" customHeight="1">
      <c r="B1248" s="203">
        <v>136990</v>
      </c>
      <c r="D1248" s="348"/>
      <c r="F1248" s="348"/>
      <c r="H1248" s="349" t="s">
        <v>2420</v>
      </c>
      <c r="J1248" s="166" t="s">
        <v>2425</v>
      </c>
      <c r="N1248" s="166" t="s">
        <v>928</v>
      </c>
      <c r="P1248" s="168">
        <f>SUMIF('Balance Sheet Detail'!$B:$B,$R1248,'Balance Sheet Detail'!W:W)</f>
        <v>-357418.75</v>
      </c>
      <c r="R1248" s="166" t="s">
        <v>3680</v>
      </c>
    </row>
    <row r="1249" spans="1:18" ht="15" customHeight="1">
      <c r="B1249" s="203">
        <v>136991</v>
      </c>
      <c r="D1249" s="348"/>
      <c r="F1249" s="348"/>
      <c r="H1249" s="349" t="s">
        <v>2420</v>
      </c>
      <c r="J1249" s="166" t="s">
        <v>2426</v>
      </c>
      <c r="N1249" s="166" t="s">
        <v>928</v>
      </c>
      <c r="P1249" s="168">
        <f>SUMIF('Balance Sheet Detail'!$B:$B,$R1249,'Balance Sheet Detail'!W:W)</f>
        <v>357418.75</v>
      </c>
      <c r="R1249" s="166" t="s">
        <v>3681</v>
      </c>
    </row>
    <row r="1250" spans="1:18" ht="15" customHeight="1">
      <c r="B1250" s="203">
        <v>136992</v>
      </c>
      <c r="D1250" s="348"/>
      <c r="F1250" s="348"/>
      <c r="H1250" s="349" t="s">
        <v>2420</v>
      </c>
      <c r="J1250" s="166" t="s">
        <v>1055</v>
      </c>
      <c r="N1250" s="166" t="s">
        <v>928</v>
      </c>
      <c r="P1250" s="350">
        <f>SUMIF('Balance Sheet Detail'!$B:$B,$R1250,'Balance Sheet Detail'!W:W)</f>
        <v>-357418.75</v>
      </c>
      <c r="R1250" s="166" t="s">
        <v>3682</v>
      </c>
    </row>
    <row r="1251" spans="1:18">
      <c r="A1251" s="127"/>
      <c r="B1251" s="351" t="s">
        <v>3226</v>
      </c>
      <c r="C1251" s="352"/>
      <c r="D1251" s="348"/>
      <c r="E1251" s="352"/>
      <c r="F1251" s="348"/>
      <c r="G1251" s="352"/>
      <c r="H1251" s="349"/>
      <c r="I1251" s="352"/>
      <c r="K1251" s="352"/>
      <c r="L1251" s="352"/>
      <c r="P1251" s="353">
        <f>SUM(P1247:P1250)</f>
        <v>2.0934167027007788E-2</v>
      </c>
    </row>
    <row r="1252" spans="1:18">
      <c r="A1252" s="127"/>
      <c r="B1252" s="351"/>
      <c r="C1252" s="352"/>
      <c r="D1252" s="348"/>
      <c r="E1252" s="352"/>
      <c r="F1252" s="348"/>
      <c r="G1252" s="352"/>
      <c r="H1252" s="349"/>
      <c r="I1252" s="352"/>
      <c r="K1252" s="352"/>
      <c r="L1252" s="352"/>
      <c r="P1252" s="353"/>
    </row>
    <row r="1253" spans="1:18">
      <c r="A1253" s="127" t="s">
        <v>1436</v>
      </c>
      <c r="D1253" s="348"/>
      <c r="F1253" s="348"/>
      <c r="H1253" s="349"/>
      <c r="P1253" s="343"/>
    </row>
    <row r="1254" spans="1:18" ht="15" customHeight="1">
      <c r="B1254" s="203">
        <v>254016</v>
      </c>
      <c r="D1254" s="348" t="s">
        <v>2532</v>
      </c>
      <c r="F1254" s="348">
        <v>801213</v>
      </c>
      <c r="H1254" s="349" t="s">
        <v>1436</v>
      </c>
      <c r="J1254" s="166" t="s">
        <v>3124</v>
      </c>
      <c r="N1254" s="166" t="s">
        <v>2821</v>
      </c>
      <c r="P1254" s="168">
        <f>SUMIF('Balance Sheet Detail'!$B:$B,$R1254,'Balance Sheet Detail'!W:W)</f>
        <v>-17415.4346425</v>
      </c>
      <c r="R1254" s="166" t="s">
        <v>3684</v>
      </c>
    </row>
    <row r="1255" spans="1:18" ht="15" customHeight="1">
      <c r="B1255" s="203">
        <v>283500</v>
      </c>
      <c r="D1255" s="348" t="s">
        <v>2532</v>
      </c>
      <c r="F1255" s="348" t="s">
        <v>1436</v>
      </c>
      <c r="H1255" s="349" t="s">
        <v>1436</v>
      </c>
      <c r="J1255" s="166" t="s">
        <v>1533</v>
      </c>
      <c r="N1255" s="166" t="s">
        <v>2821</v>
      </c>
      <c r="P1255" s="168">
        <f>SUMIF('Balance Sheet Detail'!$B:$B,$R1255,'Balance Sheet Detail'!W:W)</f>
        <v>5662.6285808333296</v>
      </c>
      <c r="R1255" s="166" t="s">
        <v>3685</v>
      </c>
    </row>
    <row r="1256" spans="1:18" ht="15" customHeight="1">
      <c r="B1256" s="203">
        <v>283550</v>
      </c>
      <c r="D1256" s="348" t="s">
        <v>2532</v>
      </c>
      <c r="F1256" s="348" t="s">
        <v>1436</v>
      </c>
      <c r="H1256" s="349" t="s">
        <v>1436</v>
      </c>
      <c r="J1256" s="166" t="s">
        <v>1533</v>
      </c>
      <c r="N1256" s="166" t="s">
        <v>2821</v>
      </c>
      <c r="P1256" s="350">
        <f>SUMIF('Balance Sheet Detail'!$B:$B,$R1256,'Balance Sheet Detail'!W:W)</f>
        <v>1236.49585791667</v>
      </c>
      <c r="R1256" s="166" t="s">
        <v>4712</v>
      </c>
    </row>
    <row r="1257" spans="1:18">
      <c r="A1257" s="127"/>
      <c r="B1257" s="351" t="s">
        <v>3683</v>
      </c>
      <c r="C1257" s="352"/>
      <c r="D1257" s="348"/>
      <c r="E1257" s="352"/>
      <c r="F1257" s="348"/>
      <c r="G1257" s="352"/>
      <c r="H1257" s="349"/>
      <c r="I1257" s="352"/>
      <c r="K1257" s="352"/>
      <c r="L1257" s="352"/>
      <c r="P1257" s="353">
        <f>SUM(P1254:P1256)</f>
        <v>-10516.310203749999</v>
      </c>
    </row>
    <row r="1258" spans="1:18">
      <c r="A1258" s="127"/>
      <c r="D1258" s="348"/>
      <c r="F1258" s="348"/>
      <c r="H1258" s="349"/>
      <c r="P1258" s="343"/>
    </row>
    <row r="1259" spans="1:18">
      <c r="A1259" s="127" t="s">
        <v>2758</v>
      </c>
      <c r="D1259" s="348"/>
      <c r="F1259" s="348"/>
      <c r="H1259" s="349"/>
      <c r="P1259" s="343"/>
    </row>
    <row r="1260" spans="1:18" ht="15" customHeight="1">
      <c r="B1260" s="203">
        <v>154975</v>
      </c>
      <c r="D1260" s="348"/>
      <c r="F1260" s="348"/>
      <c r="H1260" s="349" t="s">
        <v>2758</v>
      </c>
      <c r="J1260" s="166" t="s">
        <v>2757</v>
      </c>
      <c r="P1260" s="168">
        <f>SUMIF('Balance Sheet Detail'!$B:$B,$R1260,'Balance Sheet Detail'!W:W)</f>
        <v>2800.8619699999999</v>
      </c>
      <c r="R1260" s="166" t="s">
        <v>3686</v>
      </c>
    </row>
    <row r="1261" spans="1:18" ht="15" customHeight="1">
      <c r="B1261" s="203">
        <v>232029</v>
      </c>
      <c r="D1261" s="348"/>
      <c r="F1261" s="348"/>
      <c r="H1261" s="349" t="s">
        <v>2758</v>
      </c>
      <c r="J1261" s="166" t="s">
        <v>3031</v>
      </c>
      <c r="P1261" s="350">
        <f>SUMIF('Balance Sheet Detail'!$B:$B,$R1261,'Balance Sheet Detail'!W:W)</f>
        <v>-2800.8619699999999</v>
      </c>
      <c r="R1261" s="166" t="s">
        <v>3687</v>
      </c>
    </row>
    <row r="1262" spans="1:18">
      <c r="A1262" s="127"/>
      <c r="B1262" s="351" t="s">
        <v>3227</v>
      </c>
      <c r="C1262" s="352"/>
      <c r="D1262" s="348"/>
      <c r="E1262" s="352"/>
      <c r="F1262" s="348"/>
      <c r="G1262" s="352"/>
      <c r="H1262" s="349"/>
      <c r="I1262" s="352"/>
      <c r="K1262" s="352"/>
      <c r="L1262" s="352"/>
      <c r="P1262" s="353">
        <f>SUM(P1260:P1261)</f>
        <v>0</v>
      </c>
    </row>
    <row r="1263" spans="1:18">
      <c r="A1263" s="127"/>
      <c r="D1263" s="348"/>
      <c r="F1263" s="348"/>
      <c r="H1263" s="349"/>
      <c r="P1263" s="343"/>
    </row>
    <row r="1264" spans="1:18">
      <c r="A1264" s="127" t="s">
        <v>2711</v>
      </c>
      <c r="D1264" s="348"/>
      <c r="F1264" s="348"/>
      <c r="H1264" s="349"/>
      <c r="P1264" s="343"/>
    </row>
    <row r="1265" spans="1:18" ht="15" customHeight="1">
      <c r="B1265" s="203">
        <v>182305</v>
      </c>
      <c r="D1265" s="348" t="s">
        <v>787</v>
      </c>
      <c r="F1265" s="348">
        <v>801257</v>
      </c>
      <c r="H1265" s="349" t="s">
        <v>2711</v>
      </c>
      <c r="J1265" s="166" t="s">
        <v>3117</v>
      </c>
      <c r="N1265" s="166" t="s">
        <v>2821</v>
      </c>
      <c r="P1265" s="168">
        <f>SUMIF('Balance Sheet Detail'!$B:$B,$R1265,'Balance Sheet Detail'!W:W)</f>
        <v>87.788757916666697</v>
      </c>
      <c r="R1265" s="166" t="s">
        <v>3688</v>
      </c>
    </row>
    <row r="1266" spans="1:18" ht="15" customHeight="1">
      <c r="B1266" s="203">
        <v>182306</v>
      </c>
      <c r="D1266" s="348" t="s">
        <v>840</v>
      </c>
      <c r="F1266" s="348">
        <v>801257</v>
      </c>
      <c r="H1266" s="349" t="s">
        <v>2711</v>
      </c>
      <c r="J1266" s="166" t="s">
        <v>839</v>
      </c>
      <c r="N1266" s="166" t="s">
        <v>2821</v>
      </c>
      <c r="P1266" s="168">
        <f>SUMIF('Balance Sheet Detail'!$B:$B,$R1266,'Balance Sheet Detail'!W:W)</f>
        <v>20.5019791666667</v>
      </c>
      <c r="R1266" s="166" t="s">
        <v>3689</v>
      </c>
    </row>
    <row r="1267" spans="1:18" ht="15" customHeight="1">
      <c r="B1267" s="203">
        <v>283500</v>
      </c>
      <c r="D1267" s="348" t="s">
        <v>396</v>
      </c>
      <c r="F1267" s="348"/>
      <c r="H1267" s="349" t="s">
        <v>2711</v>
      </c>
      <c r="J1267" s="166" t="s">
        <v>2653</v>
      </c>
      <c r="N1267" s="166" t="s">
        <v>2821</v>
      </c>
      <c r="P1267" s="168">
        <f>SUMIF('Balance Sheet Detail'!$B:$B,$R1267,'Balance Sheet Detail'!W:W)</f>
        <v>-28.5445125</v>
      </c>
      <c r="R1267" s="166" t="s">
        <v>3690</v>
      </c>
    </row>
    <row r="1268" spans="1:18" ht="15" customHeight="1">
      <c r="B1268" s="203">
        <v>283510</v>
      </c>
      <c r="D1268" s="348" t="s">
        <v>396</v>
      </c>
      <c r="F1268" s="348"/>
      <c r="H1268" s="349" t="s">
        <v>2711</v>
      </c>
      <c r="J1268" s="166" t="s">
        <v>2653</v>
      </c>
      <c r="N1268" s="166" t="s">
        <v>2821</v>
      </c>
      <c r="P1268" s="168">
        <f>SUMIF('Balance Sheet Detail'!$B:$B,$R1268,'Balance Sheet Detail'!W:W)</f>
        <v>-597.30119791666698</v>
      </c>
      <c r="R1268" s="166" t="s">
        <v>3691</v>
      </c>
    </row>
    <row r="1269" spans="1:18" ht="15" customHeight="1">
      <c r="B1269" s="203">
        <v>283550</v>
      </c>
      <c r="D1269" s="348" t="s">
        <v>396</v>
      </c>
      <c r="F1269" s="348"/>
      <c r="H1269" s="349" t="s">
        <v>2711</v>
      </c>
      <c r="J1269" s="166" t="s">
        <v>2653</v>
      </c>
      <c r="N1269" s="166" t="s">
        <v>2821</v>
      </c>
      <c r="P1269" s="168">
        <f>SUMIF('Balance Sheet Detail'!$B:$B,$R1269,'Balance Sheet Detail'!W:W)</f>
        <v>-6.2330045833333303</v>
      </c>
      <c r="R1269" s="166" t="s">
        <v>3692</v>
      </c>
    </row>
    <row r="1270" spans="1:18" ht="15" customHeight="1">
      <c r="B1270" s="203">
        <v>283560</v>
      </c>
      <c r="D1270" s="348" t="s">
        <v>396</v>
      </c>
      <c r="F1270" s="348"/>
      <c r="H1270" s="349" t="s">
        <v>2711</v>
      </c>
      <c r="J1270" s="166" t="s">
        <v>2653</v>
      </c>
      <c r="N1270" s="166" t="s">
        <v>2821</v>
      </c>
      <c r="P1270" s="350">
        <f>SUMIF('Balance Sheet Detail'!$B:$B,$R1270,'Balance Sheet Detail'!W:W)</f>
        <v>-130.427134166667</v>
      </c>
      <c r="R1270" s="166" t="s">
        <v>3693</v>
      </c>
    </row>
    <row r="1271" spans="1:18">
      <c r="A1271" s="127"/>
      <c r="B1271" s="351" t="s">
        <v>3228</v>
      </c>
      <c r="C1271" s="352"/>
      <c r="D1271" s="348"/>
      <c r="E1271" s="352"/>
      <c r="F1271" s="348"/>
      <c r="G1271" s="352"/>
      <c r="H1271" s="349"/>
      <c r="I1271" s="352"/>
      <c r="K1271" s="352"/>
      <c r="L1271" s="352"/>
      <c r="P1271" s="353">
        <f>SUM(P1265:P1270)</f>
        <v>-654.21511208333391</v>
      </c>
    </row>
    <row r="1272" spans="1:18">
      <c r="A1272" s="127"/>
      <c r="B1272" s="351"/>
      <c r="C1272" s="352"/>
      <c r="D1272" s="348"/>
      <c r="E1272" s="352"/>
      <c r="F1272" s="348"/>
      <c r="G1272" s="352"/>
      <c r="H1272" s="349"/>
      <c r="I1272" s="352"/>
      <c r="K1272" s="352"/>
      <c r="L1272" s="352"/>
      <c r="P1272" s="353"/>
    </row>
    <row r="1273" spans="1:18">
      <c r="A1273" s="127" t="s">
        <v>4433</v>
      </c>
      <c r="B1273" s="351"/>
      <c r="C1273" s="352"/>
      <c r="D1273" s="348"/>
      <c r="E1273" s="352"/>
      <c r="F1273" s="348"/>
      <c r="G1273" s="352"/>
      <c r="H1273" s="349"/>
      <c r="I1273" s="352"/>
      <c r="K1273" s="352"/>
      <c r="L1273" s="352"/>
      <c r="P1273" s="353"/>
    </row>
    <row r="1274" spans="1:18" ht="15" customHeight="1">
      <c r="B1274" s="203">
        <v>182306</v>
      </c>
      <c r="D1274" s="348" t="s">
        <v>840</v>
      </c>
      <c r="F1274" s="348" t="s">
        <v>4413</v>
      </c>
      <c r="H1274" s="349" t="s">
        <v>4433</v>
      </c>
      <c r="J1274" s="166" t="s">
        <v>4414</v>
      </c>
      <c r="N1274" s="166" t="s">
        <v>928</v>
      </c>
      <c r="P1274" s="168">
        <f>SUMIF('Balance Sheet Detail'!$B:$B,$R1274,'Balance Sheet Detail'!W:W)</f>
        <v>1816.5</v>
      </c>
      <c r="R1274" s="166" t="s">
        <v>4733</v>
      </c>
    </row>
    <row r="1275" spans="1:18" ht="15" customHeight="1">
      <c r="D1275" s="348"/>
      <c r="F1275" s="348"/>
      <c r="H1275" s="349"/>
      <c r="P1275" s="350"/>
    </row>
    <row r="1276" spans="1:18">
      <c r="A1276" s="127"/>
      <c r="B1276" s="351" t="s">
        <v>4434</v>
      </c>
      <c r="C1276" s="352"/>
      <c r="D1276" s="348"/>
      <c r="E1276" s="352"/>
      <c r="F1276" s="348"/>
      <c r="G1276" s="352"/>
      <c r="H1276" s="349"/>
      <c r="I1276" s="352"/>
      <c r="K1276" s="352"/>
      <c r="L1276" s="352"/>
      <c r="P1276" s="353">
        <f>SUM(P1274:P1275)</f>
        <v>1816.5</v>
      </c>
    </row>
    <row r="1277" spans="1:18">
      <c r="A1277" s="127"/>
      <c r="B1277" s="351"/>
      <c r="C1277" s="352"/>
      <c r="D1277" s="348"/>
      <c r="E1277" s="352"/>
      <c r="F1277" s="348"/>
      <c r="G1277" s="352"/>
      <c r="H1277" s="349"/>
      <c r="I1277" s="352"/>
      <c r="K1277" s="352"/>
      <c r="L1277" s="352"/>
      <c r="P1277" s="353"/>
    </row>
    <row r="1278" spans="1:18">
      <c r="A1278" s="127" t="s">
        <v>1839</v>
      </c>
      <c r="D1278" s="348"/>
      <c r="F1278" s="348"/>
      <c r="H1278" s="349"/>
      <c r="P1278" s="343"/>
    </row>
    <row r="1279" spans="1:18" ht="15" customHeight="1">
      <c r="B1279" s="203">
        <v>190001</v>
      </c>
      <c r="D1279" s="348" t="s">
        <v>986</v>
      </c>
      <c r="F1279" s="348" t="s">
        <v>721</v>
      </c>
      <c r="H1279" s="349" t="s">
        <v>1839</v>
      </c>
      <c r="J1279" s="166" t="s">
        <v>720</v>
      </c>
      <c r="N1279" s="166" t="s">
        <v>928</v>
      </c>
      <c r="P1279" s="168">
        <f>SUMIF('Balance Sheet Detail'!$B:$B,$R1279,'Balance Sheet Detail'!W:W)</f>
        <v>203.43560541666699</v>
      </c>
      <c r="R1279" s="166" t="s">
        <v>3694</v>
      </c>
    </row>
    <row r="1280" spans="1:18" ht="15" customHeight="1">
      <c r="B1280" s="203">
        <v>190002</v>
      </c>
      <c r="D1280" s="348" t="s">
        <v>986</v>
      </c>
      <c r="F1280" s="348" t="s">
        <v>721</v>
      </c>
      <c r="H1280" s="349" t="s">
        <v>1839</v>
      </c>
      <c r="J1280" s="166" t="s">
        <v>720</v>
      </c>
      <c r="N1280" s="166" t="s">
        <v>928</v>
      </c>
      <c r="P1280" s="168">
        <f>SUMIF('Balance Sheet Detail'!$B:$B,$R1280,'Balance Sheet Detail'!W:W)</f>
        <v>43.461681249999998</v>
      </c>
      <c r="R1280" s="166" t="s">
        <v>3695</v>
      </c>
    </row>
    <row r="1281" spans="1:18" ht="15" customHeight="1">
      <c r="B1281" s="203">
        <v>190011</v>
      </c>
      <c r="D1281" s="348" t="s">
        <v>986</v>
      </c>
      <c r="F1281" s="348" t="s">
        <v>721</v>
      </c>
      <c r="H1281" s="349" t="s">
        <v>1839</v>
      </c>
      <c r="J1281" s="166" t="s">
        <v>720</v>
      </c>
      <c r="N1281" s="166" t="s">
        <v>928</v>
      </c>
      <c r="P1281" s="168">
        <f>SUMIF('Balance Sheet Detail'!$B:$B,$R1281,'Balance Sheet Detail'!W:W)</f>
        <v>44.422768333333401</v>
      </c>
      <c r="R1281" s="166" t="s">
        <v>3696</v>
      </c>
    </row>
    <row r="1282" spans="1:18" ht="15" customHeight="1">
      <c r="B1282" s="203">
        <v>190012</v>
      </c>
      <c r="D1282" s="348" t="s">
        <v>986</v>
      </c>
      <c r="F1282" s="348" t="s">
        <v>721</v>
      </c>
      <c r="H1282" s="349" t="s">
        <v>1839</v>
      </c>
      <c r="J1282" s="166" t="s">
        <v>720</v>
      </c>
      <c r="N1282" s="166" t="s">
        <v>928</v>
      </c>
      <c r="P1282" s="350">
        <f>SUMIF('Balance Sheet Detail'!$B:$B,$R1282,'Balance Sheet Detail'!W:W)</f>
        <v>9.4900350000000007</v>
      </c>
      <c r="R1282" s="166" t="s">
        <v>3697</v>
      </c>
    </row>
    <row r="1283" spans="1:18">
      <c r="A1283" s="127"/>
      <c r="B1283" s="351" t="s">
        <v>3698</v>
      </c>
      <c r="C1283" s="352"/>
      <c r="D1283" s="348"/>
      <c r="E1283" s="352"/>
      <c r="F1283" s="348"/>
      <c r="G1283" s="352"/>
      <c r="H1283" s="349"/>
      <c r="I1283" s="352"/>
      <c r="K1283" s="352"/>
      <c r="L1283" s="352"/>
      <c r="P1283" s="353">
        <f>SUM(P1279:P1282)</f>
        <v>300.81009000000034</v>
      </c>
    </row>
    <row r="1284" spans="1:18">
      <c r="A1284" s="127"/>
      <c r="D1284" s="348"/>
      <c r="F1284" s="348"/>
      <c r="H1284" s="349"/>
      <c r="P1284" s="343"/>
    </row>
    <row r="1285" spans="1:18">
      <c r="A1285" s="127" t="s">
        <v>1075</v>
      </c>
      <c r="D1285" s="348"/>
      <c r="F1285" s="348"/>
      <c r="H1285" s="349"/>
      <c r="P1285" s="343"/>
    </row>
    <row r="1286" spans="1:18" ht="15" customHeight="1">
      <c r="B1286" s="203">
        <v>254016</v>
      </c>
      <c r="D1286" s="348" t="s">
        <v>34</v>
      </c>
      <c r="F1286" s="348" t="s">
        <v>35</v>
      </c>
      <c r="H1286" s="349" t="s">
        <v>1075</v>
      </c>
      <c r="J1286" s="166" t="s">
        <v>36</v>
      </c>
      <c r="N1286" s="166" t="s">
        <v>2821</v>
      </c>
      <c r="P1286" s="168">
        <f>SUMIF('Balance Sheet Detail'!$B:$B,$R1286,'Balance Sheet Detail'!W:W)</f>
        <v>-1862.8936195833301</v>
      </c>
      <c r="R1286" s="166" t="s">
        <v>4681</v>
      </c>
    </row>
    <row r="1287" spans="1:18" ht="15" customHeight="1">
      <c r="B1287" s="203">
        <v>254017</v>
      </c>
      <c r="D1287" s="348" t="s">
        <v>741</v>
      </c>
      <c r="F1287" s="348" t="s">
        <v>35</v>
      </c>
      <c r="H1287" s="349" t="s">
        <v>1075</v>
      </c>
      <c r="J1287" s="166" t="s">
        <v>1236</v>
      </c>
      <c r="N1287" s="166" t="s">
        <v>2821</v>
      </c>
      <c r="P1287" s="168">
        <f>SUMIF('Balance Sheet Detail'!$B:$B,$R1287,'Balance Sheet Detail'!W:W)</f>
        <v>-550.77716499999997</v>
      </c>
      <c r="R1287" s="166" t="s">
        <v>4495</v>
      </c>
    </row>
    <row r="1288" spans="1:18" ht="15" customHeight="1">
      <c r="B1288" s="203">
        <v>254021</v>
      </c>
      <c r="D1288" s="348" t="s">
        <v>34</v>
      </c>
      <c r="F1288" s="348">
        <v>801216</v>
      </c>
      <c r="H1288" s="349" t="s">
        <v>1075</v>
      </c>
      <c r="J1288" s="166" t="s">
        <v>36</v>
      </c>
      <c r="N1288" s="166" t="s">
        <v>2821</v>
      </c>
      <c r="P1288" s="168">
        <f>SUMIF('Balance Sheet Detail'!$B:$B,$R1288,'Balance Sheet Detail'!W:W)</f>
        <v>-6106.0437362499997</v>
      </c>
      <c r="R1288" s="166" t="s">
        <v>4757</v>
      </c>
    </row>
    <row r="1289" spans="1:18" ht="15" customHeight="1">
      <c r="B1289" s="203">
        <v>254021</v>
      </c>
      <c r="D1289" s="348" t="s">
        <v>741</v>
      </c>
      <c r="F1289" s="348" t="s">
        <v>4753</v>
      </c>
      <c r="H1289" s="349" t="s">
        <v>1075</v>
      </c>
      <c r="J1289" s="166" t="s">
        <v>1236</v>
      </c>
      <c r="N1289" s="166" t="s">
        <v>2821</v>
      </c>
      <c r="P1289" s="168">
        <f>SUMIF('Balance Sheet Detail'!$B:$B,$R1289,'Balance Sheet Detail'!W:W)</f>
        <v>-1785.2444412499999</v>
      </c>
      <c r="R1289" s="166" t="s">
        <v>4758</v>
      </c>
    </row>
    <row r="1290" spans="1:18" ht="15" customHeight="1">
      <c r="B1290" s="203">
        <v>190501</v>
      </c>
      <c r="D1290" s="348" t="s">
        <v>34</v>
      </c>
      <c r="F1290" s="348" t="s">
        <v>1434</v>
      </c>
      <c r="H1290" s="349" t="s">
        <v>1075</v>
      </c>
      <c r="J1290" s="166" t="s">
        <v>1014</v>
      </c>
      <c r="N1290" s="166" t="s">
        <v>2821</v>
      </c>
      <c r="P1290" s="168">
        <f>SUMIF('Balance Sheet Detail'!$B:$B,$R1290,'Balance Sheet Detail'!W:W)</f>
        <v>2591.0999762500001</v>
      </c>
      <c r="R1290" s="166" t="s">
        <v>3699</v>
      </c>
    </row>
    <row r="1291" spans="1:18" ht="15" customHeight="1">
      <c r="B1291" s="203">
        <v>190502</v>
      </c>
      <c r="D1291" s="348" t="s">
        <v>741</v>
      </c>
      <c r="F1291" s="348" t="s">
        <v>1434</v>
      </c>
      <c r="H1291" s="349" t="s">
        <v>1075</v>
      </c>
      <c r="J1291" s="166" t="s">
        <v>1014</v>
      </c>
      <c r="N1291" s="166" t="s">
        <v>2821</v>
      </c>
      <c r="P1291" s="168">
        <f>SUMIF('Balance Sheet Detail'!$B:$B,$R1291,'Balance Sheet Detail'!W:W)</f>
        <v>759.55742124999995</v>
      </c>
      <c r="R1291" s="166" t="s">
        <v>3700</v>
      </c>
    </row>
    <row r="1292" spans="1:18" ht="15" customHeight="1">
      <c r="B1292" s="203">
        <v>190511</v>
      </c>
      <c r="D1292" s="348" t="s">
        <v>34</v>
      </c>
      <c r="F1292" s="348" t="s">
        <v>1434</v>
      </c>
      <c r="H1292" s="349" t="s">
        <v>1075</v>
      </c>
      <c r="J1292" s="166" t="s">
        <v>1014</v>
      </c>
      <c r="N1292" s="166" t="s">
        <v>2821</v>
      </c>
      <c r="P1292" s="168">
        <f>SUMIF('Balance Sheet Detail'!$B:$B,$R1292,'Balance Sheet Detail'!W:W)</f>
        <v>565.79455541666698</v>
      </c>
      <c r="R1292" s="166" t="s">
        <v>3701</v>
      </c>
    </row>
    <row r="1293" spans="1:18" ht="15" customHeight="1">
      <c r="B1293" s="203">
        <v>190512</v>
      </c>
      <c r="D1293" s="348" t="s">
        <v>741</v>
      </c>
      <c r="F1293" s="348" t="s">
        <v>1434</v>
      </c>
      <c r="H1293" s="349" t="s">
        <v>1075</v>
      </c>
      <c r="J1293" s="166" t="s">
        <v>1014</v>
      </c>
      <c r="N1293" s="166" t="s">
        <v>2821</v>
      </c>
      <c r="P1293" s="350">
        <f>SUMIF('Balance Sheet Detail'!$B:$B,$R1293,'Balance Sheet Detail'!W:W)</f>
        <v>165.85752791666701</v>
      </c>
      <c r="R1293" s="166" t="s">
        <v>3702</v>
      </c>
    </row>
    <row r="1294" spans="1:18">
      <c r="A1294" s="127"/>
      <c r="B1294" s="351" t="s">
        <v>3229</v>
      </c>
      <c r="C1294" s="352"/>
      <c r="D1294" s="348"/>
      <c r="E1294" s="352"/>
      <c r="F1294" s="348"/>
      <c r="G1294" s="352"/>
      <c r="H1294" s="349"/>
      <c r="I1294" s="352"/>
      <c r="K1294" s="352"/>
      <c r="L1294" s="352"/>
      <c r="P1294" s="353">
        <f>SUM(P1286:P1293)</f>
        <v>-6222.649481249995</v>
      </c>
    </row>
    <row r="1295" spans="1:18">
      <c r="A1295" s="127"/>
      <c r="D1295" s="348"/>
      <c r="F1295" s="348"/>
      <c r="H1295" s="349"/>
      <c r="P1295" s="343"/>
    </row>
    <row r="1296" spans="1:18">
      <c r="A1296" s="127" t="s">
        <v>892</v>
      </c>
      <c r="D1296" s="348"/>
      <c r="F1296" s="348"/>
      <c r="H1296" s="349"/>
      <c r="P1296" s="343"/>
    </row>
    <row r="1297" spans="1:18" ht="15" customHeight="1">
      <c r="B1297" s="203">
        <v>254016</v>
      </c>
      <c r="D1297" s="348" t="s">
        <v>1160</v>
      </c>
      <c r="F1297" s="348">
        <v>801205</v>
      </c>
      <c r="H1297" s="349" t="s">
        <v>892</v>
      </c>
      <c r="J1297" s="166" t="s">
        <v>1161</v>
      </c>
      <c r="N1297" s="166" t="s">
        <v>2821</v>
      </c>
      <c r="P1297" s="168">
        <f>SUMIF('Balance Sheet Detail'!$B:$B,$R1297,'Balance Sheet Detail'!W:W)</f>
        <v>-492.46145166666702</v>
      </c>
      <c r="R1297" s="166" t="s">
        <v>4680</v>
      </c>
    </row>
    <row r="1298" spans="1:18" ht="15" customHeight="1">
      <c r="B1298" s="203">
        <v>254017</v>
      </c>
      <c r="D1298" s="348" t="s">
        <v>2520</v>
      </c>
      <c r="F1298" s="348">
        <v>801236</v>
      </c>
      <c r="H1298" s="349" t="s">
        <v>892</v>
      </c>
      <c r="J1298" s="166" t="s">
        <v>2515</v>
      </c>
      <c r="N1298" s="166" t="s">
        <v>2821</v>
      </c>
      <c r="P1298" s="168">
        <f>SUMIF('Balance Sheet Detail'!$B:$B,$R1298,'Balance Sheet Detail'!W:W)</f>
        <v>-181.59533208333301</v>
      </c>
      <c r="R1298" s="166" t="s">
        <v>3703</v>
      </c>
    </row>
    <row r="1299" spans="1:18" ht="15" customHeight="1">
      <c r="B1299" s="203">
        <v>190501</v>
      </c>
      <c r="D1299" s="348" t="s">
        <v>1160</v>
      </c>
      <c r="F1299" s="348" t="s">
        <v>2720</v>
      </c>
      <c r="H1299" s="349" t="s">
        <v>892</v>
      </c>
      <c r="J1299" s="166" t="s">
        <v>1647</v>
      </c>
      <c r="N1299" s="166" t="s">
        <v>2821</v>
      </c>
      <c r="P1299" s="168">
        <f>SUMIF('Balance Sheet Detail'!$B:$B,$R1299,'Balance Sheet Detail'!W:W)</f>
        <v>160.12384083333299</v>
      </c>
      <c r="R1299" s="166" t="s">
        <v>3704</v>
      </c>
    </row>
    <row r="1300" spans="1:18" ht="15" customHeight="1">
      <c r="B1300" s="203">
        <v>190502</v>
      </c>
      <c r="D1300" s="348" t="s">
        <v>2520</v>
      </c>
      <c r="F1300" s="348" t="s">
        <v>2720</v>
      </c>
      <c r="H1300" s="349" t="s">
        <v>892</v>
      </c>
      <c r="J1300" s="166" t="s">
        <v>2485</v>
      </c>
      <c r="N1300" s="166" t="s">
        <v>2821</v>
      </c>
      <c r="P1300" s="168">
        <f>SUMIF('Balance Sheet Detail'!$B:$B,$R1300,'Balance Sheet Detail'!W:W)</f>
        <v>59.045725416666698</v>
      </c>
      <c r="R1300" s="166" t="s">
        <v>3705</v>
      </c>
    </row>
    <row r="1301" spans="1:18" ht="15" customHeight="1">
      <c r="B1301" s="203">
        <v>190511</v>
      </c>
      <c r="D1301" s="348" t="s">
        <v>1160</v>
      </c>
      <c r="F1301" s="348" t="s">
        <v>2720</v>
      </c>
      <c r="H1301" s="349" t="s">
        <v>892</v>
      </c>
      <c r="J1301" s="166" t="s">
        <v>1647</v>
      </c>
      <c r="N1301" s="166" t="s">
        <v>2821</v>
      </c>
      <c r="P1301" s="168">
        <f>SUMIF('Balance Sheet Detail'!$B:$B,$R1301,'Balance Sheet Detail'!W:W)</f>
        <v>34.964764166666697</v>
      </c>
      <c r="R1301" s="166" t="s">
        <v>3706</v>
      </c>
    </row>
    <row r="1302" spans="1:18" ht="15" customHeight="1">
      <c r="B1302" s="203">
        <v>190512</v>
      </c>
      <c r="D1302" s="348" t="s">
        <v>2520</v>
      </c>
      <c r="F1302" s="348" t="s">
        <v>2720</v>
      </c>
      <c r="H1302" s="349" t="s">
        <v>892</v>
      </c>
      <c r="J1302" s="166" t="s">
        <v>2485</v>
      </c>
      <c r="N1302" s="166" t="s">
        <v>2821</v>
      </c>
      <c r="P1302" s="350">
        <f>SUMIF('Balance Sheet Detail'!$B:$B,$R1302,'Balance Sheet Detail'!W:W)</f>
        <v>12.8932741666667</v>
      </c>
      <c r="R1302" s="166" t="s">
        <v>3707</v>
      </c>
    </row>
    <row r="1303" spans="1:18">
      <c r="A1303" s="127"/>
      <c r="B1303" s="351" t="s">
        <v>3230</v>
      </c>
      <c r="C1303" s="352"/>
      <c r="D1303" s="348"/>
      <c r="E1303" s="352"/>
      <c r="F1303" s="348"/>
      <c r="G1303" s="352"/>
      <c r="H1303" s="349"/>
      <c r="I1303" s="352"/>
      <c r="K1303" s="352"/>
      <c r="L1303" s="352"/>
      <c r="P1303" s="353">
        <f>SUM(P1297:P1302)</f>
        <v>-407.02917916666689</v>
      </c>
    </row>
    <row r="1304" spans="1:18">
      <c r="A1304" s="127"/>
      <c r="D1304" s="348"/>
      <c r="F1304" s="348"/>
      <c r="H1304" s="349"/>
      <c r="P1304" s="343"/>
    </row>
    <row r="1305" spans="1:18">
      <c r="A1305" s="127" t="s">
        <v>3162</v>
      </c>
    </row>
    <row r="1306" spans="1:18">
      <c r="A1306" s="127"/>
      <c r="B1306" s="203">
        <v>107010</v>
      </c>
      <c r="J1306" s="166" t="s">
        <v>709</v>
      </c>
      <c r="P1306" s="168">
        <f>(SUM('IB-CWIP'!D33:P33)-('IB-CWIP'!D33+'IB-CWIP'!P33)/2)/12</f>
        <v>133385.41219500001</v>
      </c>
      <c r="R1306" s="166" t="s">
        <v>3708</v>
      </c>
    </row>
    <row r="1307" spans="1:18">
      <c r="A1307" s="127"/>
      <c r="B1307" s="203">
        <v>107030</v>
      </c>
      <c r="J1307" s="166" t="s">
        <v>710</v>
      </c>
      <c r="P1307" s="168">
        <f>(SUM('IB-CWIP'!D34:P34)-('IB-CWIP'!D34+'IB-CWIP'!P34)/2)/12</f>
        <v>8177.3391133333344</v>
      </c>
      <c r="R1307" s="166" t="s">
        <v>3709</v>
      </c>
    </row>
    <row r="1308" spans="1:18" ht="17.25">
      <c r="A1308" s="127"/>
      <c r="B1308" s="203">
        <v>107070</v>
      </c>
      <c r="J1308" s="166" t="s">
        <v>2672</v>
      </c>
      <c r="P1308" s="357">
        <f>(SUM('IB-CWIP'!D35:P35)-('IB-CWIP'!D35+'IB-CWIP'!P35)/2)/12</f>
        <v>19157.595831666666</v>
      </c>
      <c r="R1308" s="166" t="s">
        <v>3710</v>
      </c>
    </row>
    <row r="1309" spans="1:18">
      <c r="A1309" s="127"/>
      <c r="B1309" s="351" t="s">
        <v>3231</v>
      </c>
      <c r="P1309" s="353">
        <f>SUM(P1306:P1308)</f>
        <v>160720.34714</v>
      </c>
    </row>
    <row r="1310" spans="1:18">
      <c r="A1310" s="127"/>
    </row>
    <row r="1311" spans="1:18">
      <c r="A1311" s="127" t="s">
        <v>3232</v>
      </c>
    </row>
    <row r="1312" spans="1:18">
      <c r="A1312" s="332"/>
      <c r="B1312" s="203" t="s">
        <v>3233</v>
      </c>
      <c r="P1312" s="168">
        <f>SUM('NYSEG PSC Assess Liab'!T32:T33)/1000</f>
        <v>9144.9811287499924</v>
      </c>
    </row>
    <row r="1313" spans="1:18">
      <c r="A1313" s="332"/>
      <c r="B1313" s="203" t="s">
        <v>3234</v>
      </c>
      <c r="P1313" s="168">
        <f>-'Rate Base'!I160</f>
        <v>96.189905134000014</v>
      </c>
    </row>
    <row r="1314" spans="1:18">
      <c r="A1314" s="332"/>
      <c r="B1314" s="203" t="s">
        <v>4614</v>
      </c>
      <c r="P1314" s="168">
        <f>(-(SUM('NYSEG PSC Assess Liab'!H54:T54)-('NYSEG PSC Assess Liab'!H54+'NYSEG PSC Assess Liab'!T54)/2)/12-(SUM('NYSEG PSC Assess Liab'!H60:T60)-('NYSEG PSC Assess Liab'!H60+'NYSEG PSC Assess Liab'!T60)/2)/12)/1000</f>
        <v>-141.52008750000005</v>
      </c>
    </row>
    <row r="1315" spans="1:18">
      <c r="A1315" s="332"/>
      <c r="B1315" s="203" t="s">
        <v>3235</v>
      </c>
      <c r="P1315" s="168">
        <f>-'Rate Base Detail'!J199</f>
        <v>1.4779288903810084E-11</v>
      </c>
    </row>
    <row r="1316" spans="1:18">
      <c r="A1316" s="332"/>
      <c r="B1316" s="203" t="s">
        <v>3236</v>
      </c>
      <c r="P1316" s="168">
        <f>-'Rate Base Detail'!H499</f>
        <v>-1.7195134205394424E-12</v>
      </c>
    </row>
    <row r="1317" spans="1:18">
      <c r="A1317" s="332"/>
      <c r="B1317" s="203" t="s">
        <v>3713</v>
      </c>
      <c r="P1317" s="168">
        <f>'Rate Base'!I187</f>
        <v>-2055.0281249999998</v>
      </c>
    </row>
    <row r="1318" spans="1:18">
      <c r="A1318" s="332"/>
      <c r="B1318" s="203" t="s">
        <v>3714</v>
      </c>
      <c r="P1318" s="168">
        <f>'Rate Base'!I188</f>
        <v>-1.4576357977718171E-10</v>
      </c>
    </row>
    <row r="1319" spans="1:18">
      <c r="A1319" s="332"/>
      <c r="B1319" s="203" t="s">
        <v>3237</v>
      </c>
      <c r="P1319" s="168">
        <f>'Rate Base'!I184</f>
        <v>-128416.08791605319</v>
      </c>
    </row>
    <row r="1320" spans="1:18">
      <c r="A1320" s="332"/>
      <c r="B1320" s="203" t="s">
        <v>3238</v>
      </c>
    </row>
    <row r="1321" spans="1:18">
      <c r="A1321" s="332"/>
      <c r="B1321" s="203" t="s">
        <v>3239</v>
      </c>
      <c r="P1321" s="168">
        <f>'Rate Base'!I189</f>
        <v>-8737.9666388824971</v>
      </c>
    </row>
    <row r="1322" spans="1:18">
      <c r="A1322" s="332"/>
      <c r="B1322" s="203" t="s">
        <v>4824</v>
      </c>
      <c r="P1322" s="168">
        <f>-'Rate Base Detail'!J432</f>
        <v>98.713478185937504</v>
      </c>
    </row>
    <row r="1323" spans="1:18">
      <c r="A1323" s="332"/>
      <c r="B1323" s="203" t="s">
        <v>365</v>
      </c>
      <c r="P1323" s="350">
        <v>-0.93133166640109266</v>
      </c>
    </row>
    <row r="1324" spans="1:18">
      <c r="B1324" s="351" t="s">
        <v>3240</v>
      </c>
      <c r="C1324" s="352"/>
      <c r="E1324" s="352"/>
      <c r="G1324" s="352"/>
      <c r="I1324" s="352"/>
      <c r="K1324" s="352"/>
      <c r="L1324" s="352"/>
      <c r="P1324" s="353">
        <f>SUM(P1312:P1323)</f>
        <v>-130011.6495870323</v>
      </c>
    </row>
    <row r="1325" spans="1:18">
      <c r="A1325" s="127"/>
    </row>
    <row r="1326" spans="1:18">
      <c r="A1326" s="127"/>
    </row>
    <row r="1327" spans="1:18" s="332" customFormat="1" thickBot="1">
      <c r="A1327" s="127" t="s">
        <v>3241</v>
      </c>
      <c r="B1327" s="358"/>
      <c r="D1327" s="358"/>
      <c r="F1327" s="358"/>
      <c r="H1327" s="338"/>
      <c r="J1327" s="338"/>
      <c r="N1327" s="338"/>
      <c r="P1327" s="359">
        <f>SUM(P10:P1326)/2</f>
        <v>36445.071156885431</v>
      </c>
      <c r="R1327" s="338"/>
    </row>
    <row r="1328" spans="1:18" ht="15.75" thickTop="1">
      <c r="A1328" s="127"/>
      <c r="P1328" s="168">
        <f>P1329-P1327</f>
        <v>0</v>
      </c>
    </row>
    <row r="1329" spans="1:16">
      <c r="A1329" s="127"/>
      <c r="D1329" s="203" t="s">
        <v>4318</v>
      </c>
      <c r="P1329" s="360">
        <f>'Rate Base'!I27</f>
        <v>36445.071156885475</v>
      </c>
    </row>
    <row r="1330" spans="1:16">
      <c r="A1330" s="127"/>
    </row>
    <row r="1331" spans="1:16">
      <c r="A1331" s="127"/>
    </row>
    <row r="1332" spans="1:16">
      <c r="A1332" s="127"/>
    </row>
    <row r="1333" spans="1:16">
      <c r="A1333" s="127"/>
    </row>
  </sheetData>
  <autoFilter ref="B7:R1333"/>
  <conditionalFormatting sqref="P1328:Q1328">
    <cfRule type="cellIs" dxfId="5" priority="2" operator="notEqual">
      <formula>0</formula>
    </cfRule>
  </conditionalFormatting>
  <pageMargins left="0.33" right="0.25" top="0.39" bottom="0.42" header="0.2" footer="0.18"/>
  <pageSetup scale="55" fitToHeight="16" orientation="portrait" r:id="rId1"/>
  <headerFooter>
    <oddFooter>&amp;C&amp;P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P50"/>
  <sheetViews>
    <sheetView view="pageBreakPreview" zoomScaleNormal="10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RowHeight="12.75"/>
  <cols>
    <col min="1" max="1" width="10.28515625" style="135" customWidth="1"/>
    <col min="2" max="2" width="9.140625" style="204"/>
    <col min="3" max="3" width="9.140625" style="135"/>
    <col min="4" max="4" width="12.7109375" style="135" bestFit="1" customWidth="1"/>
    <col min="5" max="5" width="12" style="135" bestFit="1" customWidth="1"/>
    <col min="6" max="7" width="12.7109375" style="135" bestFit="1" customWidth="1"/>
    <col min="8" max="8" width="12.28515625" style="135" bestFit="1" customWidth="1"/>
    <col min="9" max="9" width="12.5703125" style="135" bestFit="1" customWidth="1"/>
    <col min="10" max="12" width="12.7109375" style="135" bestFit="1" customWidth="1"/>
    <col min="13" max="13" width="12.5703125" style="135" bestFit="1" customWidth="1"/>
    <col min="14" max="14" width="12.28515625" style="135" bestFit="1" customWidth="1"/>
    <col min="15" max="15" width="12.5703125" style="135" bestFit="1" customWidth="1"/>
    <col min="16" max="16" width="12.28515625" style="135" customWidth="1"/>
    <col min="17" max="16384" width="9.140625" style="135"/>
  </cols>
  <sheetData>
    <row r="1" spans="1:16">
      <c r="A1" s="361" t="s">
        <v>1690</v>
      </c>
    </row>
    <row r="2" spans="1:16">
      <c r="A2" s="361" t="s">
        <v>1691</v>
      </c>
    </row>
    <row r="3" spans="1:16">
      <c r="A3" s="361" t="s">
        <v>1692</v>
      </c>
    </row>
    <row r="4" spans="1:16">
      <c r="A4" s="361"/>
    </row>
    <row r="5" spans="1:16">
      <c r="A5" s="361"/>
    </row>
    <row r="6" spans="1:16">
      <c r="D6" s="362">
        <v>41609</v>
      </c>
      <c r="E6" s="362">
        <v>41640</v>
      </c>
      <c r="F6" s="362">
        <v>41671</v>
      </c>
      <c r="G6" s="362">
        <v>41699</v>
      </c>
      <c r="H6" s="362">
        <v>41730</v>
      </c>
      <c r="I6" s="362">
        <v>41760</v>
      </c>
      <c r="J6" s="362">
        <v>41791</v>
      </c>
      <c r="K6" s="362">
        <v>41821</v>
      </c>
      <c r="L6" s="362">
        <v>41852</v>
      </c>
      <c r="M6" s="362">
        <v>41883</v>
      </c>
      <c r="N6" s="362">
        <v>41913</v>
      </c>
      <c r="O6" s="362">
        <v>41944</v>
      </c>
      <c r="P6" s="362">
        <v>41974</v>
      </c>
    </row>
    <row r="8" spans="1:16">
      <c r="A8" s="135" t="s">
        <v>1695</v>
      </c>
    </row>
    <row r="9" spans="1:16">
      <c r="A9" s="363" t="s">
        <v>1177</v>
      </c>
      <c r="B9" s="204">
        <v>107010</v>
      </c>
      <c r="D9" s="364">
        <f>SUMIF('Balance Sheet Detail'!$C:$C,$B9,'Balance Sheet Detail'!AC:AC)</f>
        <v>137337.79491999999</v>
      </c>
      <c r="E9" s="364">
        <f>SUMIF('Balance Sheet Detail'!$C:$C,$B9,'Balance Sheet Detail'!AD:AD)</f>
        <v>139720.30736000001</v>
      </c>
      <c r="F9" s="364">
        <f>SUMIF('Balance Sheet Detail'!$C:$C,$B9,'Balance Sheet Detail'!AE:AE)</f>
        <v>130044.47953</v>
      </c>
      <c r="G9" s="364">
        <f>SUMIF('Balance Sheet Detail'!$C:$C,$B9,'Balance Sheet Detail'!AF:AF)</f>
        <v>121513.24779000001</v>
      </c>
      <c r="H9" s="364">
        <f>SUMIF('Balance Sheet Detail'!$C:$C,$B9,'Balance Sheet Detail'!AG:AG)</f>
        <v>122292.97062000001</v>
      </c>
      <c r="I9" s="364">
        <f>SUMIF('Balance Sheet Detail'!$C:$C,$B9,'Balance Sheet Detail'!AH:AH)</f>
        <v>122088.62303</v>
      </c>
      <c r="J9" s="364">
        <f>SUMIF('Balance Sheet Detail'!$C:$C,$B9,'Balance Sheet Detail'!AI:AI)</f>
        <v>118793.91901000001</v>
      </c>
      <c r="K9" s="364">
        <f>SUMIF('Balance Sheet Detail'!$C:$C,$B9,'Balance Sheet Detail'!AJ:AJ)</f>
        <v>123126.62344</v>
      </c>
      <c r="L9" s="364">
        <f>SUMIF('Balance Sheet Detail'!$C:$C,$B9,'Balance Sheet Detail'!AK:AK)</f>
        <v>138583.6501</v>
      </c>
      <c r="M9" s="364">
        <f>SUMIF('Balance Sheet Detail'!$C:$C,$B9,'Balance Sheet Detail'!AL:AL)</f>
        <v>143415.63405000002</v>
      </c>
      <c r="N9" s="364">
        <f>SUMIF('Balance Sheet Detail'!$C:$C,$B9,'Balance Sheet Detail'!AM:AM)</f>
        <v>152164.63415999999</v>
      </c>
      <c r="O9" s="364">
        <f>SUMIF('Balance Sheet Detail'!$C:$C,$B9,'Balance Sheet Detail'!AN:AN)</f>
        <v>159814.42444999999</v>
      </c>
      <c r="P9" s="364">
        <f>SUMIF('Balance Sheet Detail'!$C:$C,$B9,'Balance Sheet Detail'!AO:AO)</f>
        <v>179049.63208000001</v>
      </c>
    </row>
    <row r="10" spans="1:16">
      <c r="A10" s="363" t="s">
        <v>1178</v>
      </c>
      <c r="B10" s="204">
        <v>107030</v>
      </c>
      <c r="D10" s="364">
        <f>SUMIF('Balance Sheet Detail'!$C:$C,$B10,'Balance Sheet Detail'!AC:AC)</f>
        <v>9790.7269199999992</v>
      </c>
      <c r="E10" s="364">
        <f>SUMIF('Balance Sheet Detail'!$C:$C,$B10,'Balance Sheet Detail'!AD:AD)</f>
        <v>7191.2438499999998</v>
      </c>
      <c r="F10" s="364">
        <f>SUMIF('Balance Sheet Detail'!$C:$C,$B10,'Balance Sheet Detail'!AE:AE)</f>
        <v>3786.44992</v>
      </c>
      <c r="G10" s="364">
        <f>SUMIF('Balance Sheet Detail'!$C:$C,$B10,'Balance Sheet Detail'!AF:AF)</f>
        <v>4387.9258499999996</v>
      </c>
      <c r="H10" s="364">
        <f>SUMIF('Balance Sheet Detail'!$C:$C,$B10,'Balance Sheet Detail'!AG:AG)</f>
        <v>4890.5368699999999</v>
      </c>
      <c r="I10" s="364">
        <f>SUMIF('Balance Sheet Detail'!$C:$C,$B10,'Balance Sheet Detail'!AH:AH)</f>
        <v>6925.8998300000003</v>
      </c>
      <c r="J10" s="364">
        <f>SUMIF('Balance Sheet Detail'!$C:$C,$B10,'Balance Sheet Detail'!AI:AI)</f>
        <v>7705.9474</v>
      </c>
      <c r="K10" s="364">
        <f>SUMIF('Balance Sheet Detail'!$C:$C,$B10,'Balance Sheet Detail'!AJ:AJ)</f>
        <v>8986.416580000001</v>
      </c>
      <c r="L10" s="364">
        <f>SUMIF('Balance Sheet Detail'!$C:$C,$B10,'Balance Sheet Detail'!AK:AK)</f>
        <v>9760.4155800000008</v>
      </c>
      <c r="M10" s="364">
        <f>SUMIF('Balance Sheet Detail'!$C:$C,$B10,'Balance Sheet Detail'!AL:AL)</f>
        <v>11311.545769999999</v>
      </c>
      <c r="N10" s="364">
        <f>SUMIF('Balance Sheet Detail'!$C:$C,$B10,'Balance Sheet Detail'!AM:AM)</f>
        <v>10550.245359999999</v>
      </c>
      <c r="O10" s="364">
        <f>SUMIF('Balance Sheet Detail'!$C:$C,$B10,'Balance Sheet Detail'!AN:AN)</f>
        <v>11357.6716</v>
      </c>
      <c r="P10" s="364">
        <f>SUMIF('Balance Sheet Detail'!$C:$C,$B10,'Balance Sheet Detail'!AO:AO)</f>
        <v>12818.70132</v>
      </c>
    </row>
    <row r="11" spans="1:16" ht="15">
      <c r="A11" s="363" t="s">
        <v>1693</v>
      </c>
      <c r="B11" s="204">
        <v>107070</v>
      </c>
      <c r="D11" s="365">
        <f>SUMIF('Balance Sheet Detail'!$C:$C,$B11,'Balance Sheet Detail'!AC:AC)</f>
        <v>19020.145510000002</v>
      </c>
      <c r="E11" s="365">
        <f>SUMIF('Balance Sheet Detail'!$C:$C,$B11,'Balance Sheet Detail'!AD:AD)</f>
        <v>18908.118930000001</v>
      </c>
      <c r="F11" s="365">
        <f>SUMIF('Balance Sheet Detail'!$C:$C,$B11,'Balance Sheet Detail'!AE:AE)</f>
        <v>12756.35383</v>
      </c>
      <c r="G11" s="365">
        <f>SUMIF('Balance Sheet Detail'!$C:$C,$B11,'Balance Sheet Detail'!AF:AF)</f>
        <v>14214.86658</v>
      </c>
      <c r="H11" s="365">
        <f>SUMIF('Balance Sheet Detail'!$C:$C,$B11,'Balance Sheet Detail'!AG:AG)</f>
        <v>15973.80082</v>
      </c>
      <c r="I11" s="365">
        <f>SUMIF('Balance Sheet Detail'!$C:$C,$B11,'Balance Sheet Detail'!AH:AH)</f>
        <v>17747.926889999999</v>
      </c>
      <c r="J11" s="365">
        <f>SUMIF('Balance Sheet Detail'!$C:$C,$B11,'Balance Sheet Detail'!AI:AI)</f>
        <v>19120.86074</v>
      </c>
      <c r="K11" s="365">
        <f>SUMIF('Balance Sheet Detail'!$C:$C,$B11,'Balance Sheet Detail'!AJ:AJ)</f>
        <v>20525.75274</v>
      </c>
      <c r="L11" s="365">
        <f>SUMIF('Balance Sheet Detail'!$C:$C,$B11,'Balance Sheet Detail'!AK:AK)</f>
        <v>25513.866320000001</v>
      </c>
      <c r="M11" s="365">
        <f>SUMIF('Balance Sheet Detail'!$C:$C,$B11,'Balance Sheet Detail'!AL:AL)</f>
        <v>26871.829180000001</v>
      </c>
      <c r="N11" s="365">
        <f>SUMIF('Balance Sheet Detail'!$C:$C,$B11,'Balance Sheet Detail'!AM:AM)</f>
        <v>29831.026180000001</v>
      </c>
      <c r="O11" s="365">
        <f>SUMIF('Balance Sheet Detail'!$C:$C,$B11,'Balance Sheet Detail'!AN:AN)</f>
        <v>31208.946469999999</v>
      </c>
      <c r="P11" s="365">
        <f>SUMIF('Balance Sheet Detail'!$C:$C,$B11,'Balance Sheet Detail'!AO:AO)</f>
        <v>34023.402270000006</v>
      </c>
    </row>
    <row r="12" spans="1:16">
      <c r="A12" s="363"/>
      <c r="D12" s="364">
        <f t="shared" ref="D12:P12" si="0">SUM(D9:D11)</f>
        <v>166148.66734999997</v>
      </c>
      <c r="E12" s="364">
        <f t="shared" si="0"/>
        <v>165819.67014</v>
      </c>
      <c r="F12" s="364">
        <f t="shared" si="0"/>
        <v>146587.28328</v>
      </c>
      <c r="G12" s="364">
        <f t="shared" si="0"/>
        <v>140116.04022</v>
      </c>
      <c r="H12" s="364">
        <f t="shared" si="0"/>
        <v>143157.30830999999</v>
      </c>
      <c r="I12" s="364">
        <f t="shared" si="0"/>
        <v>146762.44975</v>
      </c>
      <c r="J12" s="364">
        <f t="shared" si="0"/>
        <v>145620.72715000002</v>
      </c>
      <c r="K12" s="364">
        <f t="shared" si="0"/>
        <v>152638.79275999998</v>
      </c>
      <c r="L12" s="364">
        <f t="shared" si="0"/>
        <v>173857.932</v>
      </c>
      <c r="M12" s="364">
        <f t="shared" si="0"/>
        <v>181599.00900000002</v>
      </c>
      <c r="N12" s="364">
        <f t="shared" si="0"/>
        <v>192545.9057</v>
      </c>
      <c r="O12" s="364">
        <f t="shared" si="0"/>
        <v>202381.04251999999</v>
      </c>
      <c r="P12" s="364">
        <f t="shared" si="0"/>
        <v>225891.73567000002</v>
      </c>
    </row>
    <row r="14" spans="1:16">
      <c r="A14" s="366" t="s">
        <v>3164</v>
      </c>
    </row>
    <row r="15" spans="1:16" s="364" customFormat="1">
      <c r="A15" s="363" t="s">
        <v>1177</v>
      </c>
      <c r="B15" s="204"/>
      <c r="C15" s="135"/>
      <c r="D15" s="367">
        <v>5391.7519899999943</v>
      </c>
      <c r="E15" s="367">
        <v>6130.3457799999869</v>
      </c>
      <c r="F15" s="367">
        <v>5670.9762199999986</v>
      </c>
      <c r="G15" s="367">
        <v>5670.9236899999978</v>
      </c>
      <c r="H15" s="367">
        <v>5521.0357399999948</v>
      </c>
      <c r="I15" s="367">
        <v>5563.3784500000038</v>
      </c>
      <c r="J15" s="367">
        <v>5285.643959999994</v>
      </c>
      <c r="K15" s="367">
        <v>2175.5502099999935</v>
      </c>
      <c r="L15" s="367">
        <v>2174.5588300000131</v>
      </c>
      <c r="M15" s="367">
        <v>2683.6432500000001</v>
      </c>
      <c r="N15" s="367">
        <v>2897.5845800000129</v>
      </c>
      <c r="O15" s="367">
        <v>2887.1075200000109</v>
      </c>
      <c r="P15" s="367">
        <v>2714.5215099999905</v>
      </c>
    </row>
    <row r="16" spans="1:16" s="364" customFormat="1">
      <c r="A16" s="363" t="s">
        <v>1178</v>
      </c>
      <c r="B16" s="204"/>
      <c r="C16" s="135"/>
      <c r="D16" s="367">
        <v>58.280589999999854</v>
      </c>
      <c r="E16" s="367">
        <v>58.280190000000417</v>
      </c>
      <c r="F16" s="367">
        <v>57.702500000000001</v>
      </c>
      <c r="G16" s="367">
        <v>58.243900000000373</v>
      </c>
      <c r="H16" s="367">
        <v>56.955969999999738</v>
      </c>
      <c r="I16" s="367">
        <v>27.839259999999776</v>
      </c>
      <c r="J16" s="367">
        <v>23.983599999999626</v>
      </c>
      <c r="K16" s="367">
        <v>4.8464199999999256</v>
      </c>
      <c r="L16" s="367">
        <v>0.32631000000052152</v>
      </c>
      <c r="M16" s="367">
        <v>3.8762899999991061</v>
      </c>
      <c r="N16" s="367">
        <v>1.6133800000008196</v>
      </c>
      <c r="O16" s="367">
        <v>1.6133800000008196</v>
      </c>
      <c r="P16" s="367">
        <v>-1.2814199999999254</v>
      </c>
    </row>
    <row r="17" spans="1:16" s="364" customFormat="1" ht="15">
      <c r="A17" s="363" t="s">
        <v>1693</v>
      </c>
      <c r="B17" s="204"/>
      <c r="C17" s="135"/>
      <c r="D17" s="368">
        <v>4654.2836899999993</v>
      </c>
      <c r="E17" s="368">
        <v>4694.7102500000001</v>
      </c>
      <c r="F17" s="368">
        <v>3060.8672699999997</v>
      </c>
      <c r="G17" s="368">
        <v>3102.5047900000009</v>
      </c>
      <c r="H17" s="368">
        <v>2927.8196699999999</v>
      </c>
      <c r="I17" s="368">
        <v>2994.0472799999993</v>
      </c>
      <c r="J17" s="368">
        <v>3020.0514199999998</v>
      </c>
      <c r="K17" s="368">
        <v>3203.2112100000008</v>
      </c>
      <c r="L17" s="368">
        <v>3232.7570599999985</v>
      </c>
      <c r="M17" s="368">
        <v>3272.0997600000019</v>
      </c>
      <c r="N17" s="368">
        <v>3360.8006200000009</v>
      </c>
      <c r="O17" s="368">
        <v>5651.8575500000015</v>
      </c>
      <c r="P17" s="368">
        <v>5764.2984900000019</v>
      </c>
    </row>
    <row r="18" spans="1:16" s="364" customFormat="1">
      <c r="A18" s="363"/>
      <c r="B18" s="204"/>
      <c r="C18" s="135"/>
      <c r="D18" s="364">
        <f t="shared" ref="D18:M18" si="1">SUM(D15:D17)</f>
        <v>10104.316269999994</v>
      </c>
      <c r="E18" s="364">
        <f t="shared" si="1"/>
        <v>10883.336219999986</v>
      </c>
      <c r="F18" s="364">
        <f t="shared" si="1"/>
        <v>8789.5459899999987</v>
      </c>
      <c r="G18" s="364">
        <f t="shared" si="1"/>
        <v>8831.67238</v>
      </c>
      <c r="H18" s="364">
        <f t="shared" si="1"/>
        <v>8505.8113799999956</v>
      </c>
      <c r="I18" s="364">
        <f t="shared" si="1"/>
        <v>8585.2649900000033</v>
      </c>
      <c r="J18" s="364">
        <f t="shared" si="1"/>
        <v>8329.6789799999933</v>
      </c>
      <c r="K18" s="364">
        <f t="shared" si="1"/>
        <v>5383.6078399999942</v>
      </c>
      <c r="L18" s="364">
        <f t="shared" si="1"/>
        <v>5407.6422000000121</v>
      </c>
      <c r="M18" s="364">
        <f t="shared" si="1"/>
        <v>5959.6193000000012</v>
      </c>
      <c r="N18" s="364">
        <f t="shared" ref="N18:O18" si="2">SUM(N15:N17)</f>
        <v>6259.998580000014</v>
      </c>
      <c r="O18" s="364">
        <f t="shared" si="2"/>
        <v>8540.5784500000136</v>
      </c>
      <c r="P18" s="364">
        <f t="shared" ref="P18" si="3">SUM(P15:P17)</f>
        <v>8477.5385799999931</v>
      </c>
    </row>
    <row r="20" spans="1:16">
      <c r="A20" s="366" t="s">
        <v>3165</v>
      </c>
    </row>
    <row r="21" spans="1:16">
      <c r="A21" s="363" t="s">
        <v>1177</v>
      </c>
      <c r="D21" s="367">
        <v>-3378.0676700000004</v>
      </c>
      <c r="E21" s="367">
        <v>-3378.0676700000004</v>
      </c>
      <c r="F21" s="367">
        <v>-3366.3151200000007</v>
      </c>
      <c r="G21" s="367">
        <v>-3386.3042600000003</v>
      </c>
      <c r="H21" s="367">
        <v>-3402.2158300000006</v>
      </c>
      <c r="I21" s="367">
        <v>-3378.2764300000008</v>
      </c>
      <c r="J21" s="367">
        <v>-3128.48441</v>
      </c>
      <c r="K21" s="367">
        <v>26.202330000000003</v>
      </c>
      <c r="L21" s="367">
        <v>26.202330000000003</v>
      </c>
      <c r="M21" s="367">
        <v>26.202330000000003</v>
      </c>
      <c r="N21" s="367">
        <v>26.202330000000003</v>
      </c>
      <c r="O21" s="367">
        <v>26.202330000000003</v>
      </c>
      <c r="P21" s="367">
        <v>22.163250000000001</v>
      </c>
    </row>
    <row r="22" spans="1:16">
      <c r="A22" s="363" t="s">
        <v>1178</v>
      </c>
      <c r="D22" s="367">
        <v>-54.496670000000002</v>
      </c>
      <c r="E22" s="367">
        <v>-54.496670000000002</v>
      </c>
      <c r="F22" s="367">
        <v>-54.496670000000002</v>
      </c>
      <c r="G22" s="367">
        <v>-54.511699999999998</v>
      </c>
      <c r="H22" s="367">
        <v>-54.511699999999998</v>
      </c>
      <c r="I22" s="367">
        <v>-23.786169999999998</v>
      </c>
      <c r="J22" s="367">
        <v>-23.786169999999998</v>
      </c>
      <c r="K22" s="367">
        <v>0</v>
      </c>
      <c r="L22" s="367">
        <v>0</v>
      </c>
      <c r="M22" s="367">
        <v>0</v>
      </c>
      <c r="N22" s="367">
        <v>0</v>
      </c>
      <c r="O22" s="367">
        <v>0</v>
      </c>
      <c r="P22" s="367">
        <v>0</v>
      </c>
    </row>
    <row r="23" spans="1:16" ht="15">
      <c r="A23" s="363" t="s">
        <v>1693</v>
      </c>
      <c r="D23" s="368">
        <v>-1204.9055999999998</v>
      </c>
      <c r="E23" s="368">
        <v>-1204.9055999999998</v>
      </c>
      <c r="F23" s="368">
        <v>-1204.9055999999998</v>
      </c>
      <c r="G23" s="368">
        <v>-1204.9055999999998</v>
      </c>
      <c r="H23" s="368">
        <v>-1204.9055999999998</v>
      </c>
      <c r="I23" s="368">
        <v>-1204.9055999999998</v>
      </c>
      <c r="J23" s="368">
        <v>-1204.9055999999998</v>
      </c>
      <c r="K23" s="368">
        <v>-1204.9055999999998</v>
      </c>
      <c r="L23" s="368">
        <v>-1204.9055999999998</v>
      </c>
      <c r="M23" s="368">
        <v>-1204.9055999999998</v>
      </c>
      <c r="N23" s="368">
        <v>-1204.9055999999998</v>
      </c>
      <c r="O23" s="368">
        <v>-1204.9055999999998</v>
      </c>
      <c r="P23" s="368">
        <v>-1139.26196</v>
      </c>
    </row>
    <row r="24" spans="1:16">
      <c r="A24" s="363"/>
      <c r="D24" s="364">
        <f t="shared" ref="D24:O24" si="4">SUM(D21:D23)</f>
        <v>-4637.46994</v>
      </c>
      <c r="E24" s="364">
        <f t="shared" si="4"/>
        <v>-4637.46994</v>
      </c>
      <c r="F24" s="364">
        <f t="shared" si="4"/>
        <v>-4625.7173900000007</v>
      </c>
      <c r="G24" s="364">
        <f t="shared" si="4"/>
        <v>-4645.72156</v>
      </c>
      <c r="H24" s="364">
        <f t="shared" si="4"/>
        <v>-4661.6331300000002</v>
      </c>
      <c r="I24" s="364">
        <f t="shared" si="4"/>
        <v>-4606.9682000000003</v>
      </c>
      <c r="J24" s="364">
        <f t="shared" si="4"/>
        <v>-4357.1761799999995</v>
      </c>
      <c r="K24" s="364">
        <f t="shared" si="4"/>
        <v>-1178.7032699999997</v>
      </c>
      <c r="L24" s="364">
        <f t="shared" si="4"/>
        <v>-1178.7032699999997</v>
      </c>
      <c r="M24" s="364">
        <f t="shared" si="4"/>
        <v>-1178.7032699999997</v>
      </c>
      <c r="N24" s="364">
        <f t="shared" ref="N24" si="5">SUM(N21:N23)</f>
        <v>-1178.7032699999997</v>
      </c>
      <c r="O24" s="364">
        <f t="shared" si="4"/>
        <v>-1178.7032699999997</v>
      </c>
      <c r="P24" s="364">
        <f t="shared" ref="P24" si="6">SUM(P21:P23)</f>
        <v>-1117.09871</v>
      </c>
    </row>
    <row r="26" spans="1:16">
      <c r="A26" s="366" t="s">
        <v>3166</v>
      </c>
    </row>
    <row r="27" spans="1:16">
      <c r="A27" s="363" t="s">
        <v>1177</v>
      </c>
      <c r="D27" s="364">
        <f t="shared" ref="D27:P27" si="7">+D15+D21</f>
        <v>2013.6843199999939</v>
      </c>
      <c r="E27" s="364">
        <f t="shared" si="7"/>
        <v>2752.2781099999866</v>
      </c>
      <c r="F27" s="364">
        <f t="shared" si="7"/>
        <v>2304.661099999998</v>
      </c>
      <c r="G27" s="364">
        <f>+G15+G21</f>
        <v>2284.6194299999975</v>
      </c>
      <c r="H27" s="364">
        <f t="shared" si="7"/>
        <v>2118.8199099999943</v>
      </c>
      <c r="I27" s="364">
        <f t="shared" si="7"/>
        <v>2185.102020000003</v>
      </c>
      <c r="J27" s="364">
        <f t="shared" si="7"/>
        <v>2157.1595499999939</v>
      </c>
      <c r="K27" s="364">
        <f t="shared" si="7"/>
        <v>2201.7525399999936</v>
      </c>
      <c r="L27" s="364">
        <f t="shared" si="7"/>
        <v>2200.7611600000132</v>
      </c>
      <c r="M27" s="364">
        <f t="shared" si="7"/>
        <v>2709.8455800000002</v>
      </c>
      <c r="N27" s="364">
        <f t="shared" si="7"/>
        <v>2923.786910000013</v>
      </c>
      <c r="O27" s="364">
        <f t="shared" si="7"/>
        <v>2913.309850000011</v>
      </c>
      <c r="P27" s="364">
        <f t="shared" si="7"/>
        <v>2736.6847599999905</v>
      </c>
    </row>
    <row r="28" spans="1:16">
      <c r="A28" s="363" t="s">
        <v>1178</v>
      </c>
      <c r="D28" s="364">
        <f t="shared" ref="D28:P28" si="8">+D16+D22</f>
        <v>3.7839199999998527</v>
      </c>
      <c r="E28" s="364">
        <f t="shared" si="8"/>
        <v>3.783520000000415</v>
      </c>
      <c r="F28" s="364">
        <f t="shared" si="8"/>
        <v>3.2058299999999988</v>
      </c>
      <c r="G28" s="364">
        <f>+G16+G22</f>
        <v>3.7322000000003754</v>
      </c>
      <c r="H28" s="364">
        <f t="shared" si="8"/>
        <v>2.4442699999997402</v>
      </c>
      <c r="I28" s="364">
        <f t="shared" si="8"/>
        <v>4.0530899999997771</v>
      </c>
      <c r="J28" s="364">
        <f t="shared" si="8"/>
        <v>0.19742999999962763</v>
      </c>
      <c r="K28" s="364">
        <f t="shared" si="8"/>
        <v>4.8464199999999256</v>
      </c>
      <c r="L28" s="364">
        <f t="shared" si="8"/>
        <v>0.32631000000052152</v>
      </c>
      <c r="M28" s="364">
        <f t="shared" si="8"/>
        <v>3.8762899999991061</v>
      </c>
      <c r="N28" s="364">
        <f t="shared" si="8"/>
        <v>1.6133800000008196</v>
      </c>
      <c r="O28" s="364">
        <f t="shared" si="8"/>
        <v>1.6133800000008196</v>
      </c>
      <c r="P28" s="364">
        <f t="shared" si="8"/>
        <v>-1.2814199999999254</v>
      </c>
    </row>
    <row r="29" spans="1:16" ht="15">
      <c r="A29" s="363" t="s">
        <v>1693</v>
      </c>
      <c r="D29" s="365">
        <f t="shared" ref="D29:P29" si="9">+D17+D23</f>
        <v>3449.3780899999992</v>
      </c>
      <c r="E29" s="365">
        <f t="shared" si="9"/>
        <v>3489.80465</v>
      </c>
      <c r="F29" s="365">
        <f t="shared" si="9"/>
        <v>1855.9616699999999</v>
      </c>
      <c r="G29" s="365">
        <f>+G17+G23</f>
        <v>1897.599190000001</v>
      </c>
      <c r="H29" s="365">
        <f t="shared" si="9"/>
        <v>1722.91407</v>
      </c>
      <c r="I29" s="365">
        <f t="shared" si="9"/>
        <v>1789.1416799999995</v>
      </c>
      <c r="J29" s="365">
        <f t="shared" si="9"/>
        <v>1815.14582</v>
      </c>
      <c r="K29" s="365">
        <f t="shared" si="9"/>
        <v>1998.305610000001</v>
      </c>
      <c r="L29" s="365">
        <f t="shared" si="9"/>
        <v>2027.8514599999987</v>
      </c>
      <c r="M29" s="365">
        <f t="shared" si="9"/>
        <v>2067.1941600000018</v>
      </c>
      <c r="N29" s="365">
        <f t="shared" si="9"/>
        <v>2155.8950200000008</v>
      </c>
      <c r="O29" s="365">
        <f t="shared" si="9"/>
        <v>4446.9519500000015</v>
      </c>
      <c r="P29" s="365">
        <f t="shared" si="9"/>
        <v>4625.0365300000021</v>
      </c>
    </row>
    <row r="30" spans="1:16">
      <c r="D30" s="364">
        <f t="shared" ref="D30" si="10">SUM(D27:D29)</f>
        <v>5466.846329999993</v>
      </c>
      <c r="E30" s="364">
        <f t="shared" ref="E30:P30" si="11">SUM(E27:E29)</f>
        <v>6245.8662799999875</v>
      </c>
      <c r="F30" s="364">
        <f t="shared" si="11"/>
        <v>4163.828599999998</v>
      </c>
      <c r="G30" s="364">
        <f t="shared" si="11"/>
        <v>4185.9508199999991</v>
      </c>
      <c r="H30" s="364">
        <f t="shared" si="11"/>
        <v>3844.1782499999945</v>
      </c>
      <c r="I30" s="364">
        <f t="shared" si="11"/>
        <v>3978.2967900000021</v>
      </c>
      <c r="J30" s="364">
        <f t="shared" si="11"/>
        <v>3972.5027999999938</v>
      </c>
      <c r="K30" s="364">
        <f t="shared" si="11"/>
        <v>4204.9045699999942</v>
      </c>
      <c r="L30" s="364">
        <f t="shared" si="11"/>
        <v>4228.9389300000121</v>
      </c>
      <c r="M30" s="364">
        <f t="shared" si="11"/>
        <v>4780.9160300000012</v>
      </c>
      <c r="N30" s="364">
        <f t="shared" si="11"/>
        <v>5081.2953100000141</v>
      </c>
      <c r="O30" s="364">
        <f t="shared" si="11"/>
        <v>7361.8751800000136</v>
      </c>
      <c r="P30" s="364">
        <f t="shared" si="11"/>
        <v>7360.4398699999929</v>
      </c>
    </row>
    <row r="32" spans="1:16">
      <c r="A32" s="366" t="s">
        <v>3167</v>
      </c>
    </row>
    <row r="33" spans="1:16">
      <c r="A33" s="363" t="s">
        <v>1177</v>
      </c>
      <c r="D33" s="369">
        <f t="shared" ref="D33:P33" si="12">+D9-D27</f>
        <v>135324.11059999999</v>
      </c>
      <c r="E33" s="369">
        <f t="shared" si="12"/>
        <v>136968.02925000002</v>
      </c>
      <c r="F33" s="369">
        <f t="shared" si="12"/>
        <v>127739.81843</v>
      </c>
      <c r="G33" s="369">
        <f t="shared" si="12"/>
        <v>119228.62836000002</v>
      </c>
      <c r="H33" s="369">
        <f t="shared" si="12"/>
        <v>120174.15071000002</v>
      </c>
      <c r="I33" s="369">
        <f t="shared" si="12"/>
        <v>119903.52101</v>
      </c>
      <c r="J33" s="369">
        <f t="shared" si="12"/>
        <v>116636.75946000002</v>
      </c>
      <c r="K33" s="369">
        <f t="shared" si="12"/>
        <v>120924.87090000001</v>
      </c>
      <c r="L33" s="369">
        <f t="shared" si="12"/>
        <v>136382.88893999998</v>
      </c>
      <c r="M33" s="369">
        <f t="shared" si="12"/>
        <v>140705.78847000003</v>
      </c>
      <c r="N33" s="369">
        <f t="shared" si="12"/>
        <v>149240.84724999996</v>
      </c>
      <c r="O33" s="369">
        <f t="shared" si="12"/>
        <v>156901.11459999997</v>
      </c>
      <c r="P33" s="369">
        <f t="shared" si="12"/>
        <v>176312.94732000001</v>
      </c>
    </row>
    <row r="34" spans="1:16">
      <c r="A34" s="363" t="s">
        <v>1178</v>
      </c>
      <c r="D34" s="369">
        <f t="shared" ref="D34:P34" si="13">+D10-D28</f>
        <v>9786.9429999999993</v>
      </c>
      <c r="E34" s="369">
        <f t="shared" si="13"/>
        <v>7187.460329999999</v>
      </c>
      <c r="F34" s="369">
        <f t="shared" si="13"/>
        <v>3783.2440900000001</v>
      </c>
      <c r="G34" s="369">
        <f t="shared" si="13"/>
        <v>4384.1936499999993</v>
      </c>
      <c r="H34" s="369">
        <f t="shared" si="13"/>
        <v>4888.0925999999999</v>
      </c>
      <c r="I34" s="369">
        <f t="shared" si="13"/>
        <v>6921.8467400000009</v>
      </c>
      <c r="J34" s="369">
        <f t="shared" si="13"/>
        <v>7705.7499700000008</v>
      </c>
      <c r="K34" s="369">
        <f t="shared" si="13"/>
        <v>8981.5701600000011</v>
      </c>
      <c r="L34" s="369">
        <f t="shared" si="13"/>
        <v>9760.0892700000004</v>
      </c>
      <c r="M34" s="369">
        <f t="shared" si="13"/>
        <v>11307.66948</v>
      </c>
      <c r="N34" s="369">
        <f t="shared" si="13"/>
        <v>10548.631979999998</v>
      </c>
      <c r="O34" s="369">
        <f t="shared" si="13"/>
        <v>11356.058219999999</v>
      </c>
      <c r="P34" s="369">
        <f t="shared" si="13"/>
        <v>12819.982739999999</v>
      </c>
    </row>
    <row r="35" spans="1:16" ht="15">
      <c r="A35" s="363" t="s">
        <v>1693</v>
      </c>
      <c r="D35" s="370">
        <f t="shared" ref="D35:P35" si="14">+D11-D29</f>
        <v>15570.767420000004</v>
      </c>
      <c r="E35" s="370">
        <f t="shared" si="14"/>
        <v>15418.314280000001</v>
      </c>
      <c r="F35" s="370">
        <f t="shared" si="14"/>
        <v>10900.392159999999</v>
      </c>
      <c r="G35" s="370">
        <f t="shared" si="14"/>
        <v>12317.267389999999</v>
      </c>
      <c r="H35" s="370">
        <f t="shared" si="14"/>
        <v>14250.88675</v>
      </c>
      <c r="I35" s="370">
        <f t="shared" si="14"/>
        <v>15958.78521</v>
      </c>
      <c r="J35" s="370">
        <f t="shared" si="14"/>
        <v>17305.714919999999</v>
      </c>
      <c r="K35" s="370">
        <f t="shared" si="14"/>
        <v>18527.44713</v>
      </c>
      <c r="L35" s="370">
        <f t="shared" si="14"/>
        <v>23486.014860000003</v>
      </c>
      <c r="M35" s="370">
        <f t="shared" si="14"/>
        <v>24804.635019999998</v>
      </c>
      <c r="N35" s="370">
        <f t="shared" si="14"/>
        <v>27675.131160000001</v>
      </c>
      <c r="O35" s="370">
        <f t="shared" si="14"/>
        <v>26761.994519999997</v>
      </c>
      <c r="P35" s="370">
        <f t="shared" si="14"/>
        <v>29398.365740000005</v>
      </c>
    </row>
    <row r="36" spans="1:16">
      <c r="D36" s="369">
        <f t="shared" ref="D36:P36" si="15">SUM(D33:D35)</f>
        <v>160681.82101999997</v>
      </c>
      <c r="E36" s="369">
        <f t="shared" si="15"/>
        <v>159573.80386000001</v>
      </c>
      <c r="F36" s="369">
        <f t="shared" si="15"/>
        <v>142423.45468</v>
      </c>
      <c r="G36" s="369">
        <f t="shared" si="15"/>
        <v>135930.08940000003</v>
      </c>
      <c r="H36" s="369">
        <f t="shared" si="15"/>
        <v>139313.13006000002</v>
      </c>
      <c r="I36" s="369">
        <f t="shared" si="15"/>
        <v>142784.15296000001</v>
      </c>
      <c r="J36" s="369">
        <f t="shared" si="15"/>
        <v>141648.22435000003</v>
      </c>
      <c r="K36" s="369">
        <f t="shared" si="15"/>
        <v>148433.88819000003</v>
      </c>
      <c r="L36" s="369">
        <f t="shared" si="15"/>
        <v>169628.99306999997</v>
      </c>
      <c r="M36" s="369">
        <f t="shared" si="15"/>
        <v>176818.09297000003</v>
      </c>
      <c r="N36" s="369">
        <f t="shared" si="15"/>
        <v>187464.61038999996</v>
      </c>
      <c r="O36" s="369">
        <f t="shared" si="15"/>
        <v>195019.16733999999</v>
      </c>
      <c r="P36" s="369">
        <f t="shared" si="15"/>
        <v>218531.29580000002</v>
      </c>
    </row>
    <row r="38" spans="1:16">
      <c r="A38" s="366" t="s">
        <v>3168</v>
      </c>
    </row>
    <row r="39" spans="1:16">
      <c r="A39" s="363" t="s">
        <v>1177</v>
      </c>
      <c r="D39" s="371">
        <f>Allocators!$D$27</f>
        <v>0.79196546646577504</v>
      </c>
      <c r="E39" s="372">
        <f t="shared" ref="E39:J40" si="16">+D39</f>
        <v>0.79196546646577504</v>
      </c>
      <c r="F39" s="372">
        <f t="shared" si="16"/>
        <v>0.79196546646577504</v>
      </c>
      <c r="G39" s="372">
        <f t="shared" si="16"/>
        <v>0.79196546646577504</v>
      </c>
      <c r="H39" s="372">
        <f t="shared" si="16"/>
        <v>0.79196546646577504</v>
      </c>
      <c r="I39" s="372">
        <f t="shared" si="16"/>
        <v>0.79196546646577504</v>
      </c>
      <c r="J39" s="372">
        <f t="shared" si="16"/>
        <v>0.79196546646577504</v>
      </c>
      <c r="K39" s="372">
        <f>+J39</f>
        <v>0.79196546646577504</v>
      </c>
      <c r="L39" s="372">
        <f t="shared" ref="L39:P40" si="17">+K39</f>
        <v>0.79196546646577504</v>
      </c>
      <c r="M39" s="372">
        <f t="shared" si="17"/>
        <v>0.79196546646577504</v>
      </c>
      <c r="N39" s="372">
        <f t="shared" si="17"/>
        <v>0.79196546646577504</v>
      </c>
      <c r="O39" s="372">
        <f t="shared" si="17"/>
        <v>0.79196546646577504</v>
      </c>
      <c r="P39" s="372">
        <f t="shared" si="17"/>
        <v>0.79196546646577504</v>
      </c>
    </row>
    <row r="40" spans="1:16">
      <c r="A40" s="363" t="s">
        <v>1178</v>
      </c>
      <c r="D40" s="372">
        <f>1-D39</f>
        <v>0.20803453353422496</v>
      </c>
      <c r="E40" s="372">
        <f t="shared" si="16"/>
        <v>0.20803453353422496</v>
      </c>
      <c r="F40" s="372">
        <f t="shared" si="16"/>
        <v>0.20803453353422496</v>
      </c>
      <c r="G40" s="372">
        <f t="shared" si="16"/>
        <v>0.20803453353422496</v>
      </c>
      <c r="H40" s="372">
        <f t="shared" si="16"/>
        <v>0.20803453353422496</v>
      </c>
      <c r="I40" s="372">
        <f t="shared" si="16"/>
        <v>0.20803453353422496</v>
      </c>
      <c r="J40" s="372">
        <f t="shared" si="16"/>
        <v>0.20803453353422496</v>
      </c>
      <c r="K40" s="372">
        <f>+J40</f>
        <v>0.20803453353422496</v>
      </c>
      <c r="L40" s="372">
        <f t="shared" si="17"/>
        <v>0.20803453353422496</v>
      </c>
      <c r="M40" s="372">
        <f t="shared" si="17"/>
        <v>0.20803453353422496</v>
      </c>
      <c r="N40" s="372">
        <f t="shared" si="17"/>
        <v>0.20803453353422496</v>
      </c>
      <c r="O40" s="372">
        <f t="shared" si="17"/>
        <v>0.20803453353422496</v>
      </c>
      <c r="P40" s="372">
        <f t="shared" si="17"/>
        <v>0.20803453353422496</v>
      </c>
    </row>
    <row r="42" spans="1:16">
      <c r="A42" s="135" t="s">
        <v>3169</v>
      </c>
    </row>
    <row r="43" spans="1:16">
      <c r="A43" s="363" t="s">
        <v>1177</v>
      </c>
      <c r="D43" s="373">
        <f t="shared" ref="D43:P43" si="18">+D33+(D35*D39)</f>
        <v>147655.62068301038</v>
      </c>
      <c r="E43" s="373">
        <f t="shared" si="18"/>
        <v>149178.80171087614</v>
      </c>
      <c r="F43" s="373">
        <f t="shared" si="18"/>
        <v>136372.55259165427</v>
      </c>
      <c r="G43" s="373">
        <f t="shared" si="18"/>
        <v>128983.47877410505</v>
      </c>
      <c r="H43" s="373">
        <f t="shared" si="18"/>
        <v>131460.36088251471</v>
      </c>
      <c r="I43" s="373">
        <f t="shared" si="18"/>
        <v>132542.32778306477</v>
      </c>
      <c r="J43" s="373">
        <f t="shared" si="18"/>
        <v>130342.28804914154</v>
      </c>
      <c r="K43" s="373">
        <f t="shared" si="18"/>
        <v>135597.96920873044</v>
      </c>
      <c r="L43" s="373">
        <f t="shared" si="18"/>
        <v>154983.00165402199</v>
      </c>
      <c r="M43" s="373">
        <f t="shared" si="18"/>
        <v>160350.20281412764</v>
      </c>
      <c r="N43" s="373">
        <f t="shared" si="18"/>
        <v>171158.59540863088</v>
      </c>
      <c r="O43" s="373">
        <f t="shared" si="18"/>
        <v>178095.69007358627</v>
      </c>
      <c r="P43" s="373">
        <f t="shared" si="18"/>
        <v>199595.43775661057</v>
      </c>
    </row>
    <row r="44" spans="1:16" ht="15">
      <c r="A44" s="363" t="s">
        <v>1178</v>
      </c>
      <c r="D44" s="374">
        <f t="shared" ref="D44:P44" si="19">+D34+(D35*D40)</f>
        <v>13026.200336989608</v>
      </c>
      <c r="E44" s="374">
        <f t="shared" si="19"/>
        <v>10395.002149123879</v>
      </c>
      <c r="F44" s="374">
        <f t="shared" si="19"/>
        <v>6050.9020883457233</v>
      </c>
      <c r="G44" s="374">
        <f t="shared" si="19"/>
        <v>6946.6106258949694</v>
      </c>
      <c r="H44" s="374">
        <f t="shared" si="19"/>
        <v>7852.7691774853174</v>
      </c>
      <c r="I44" s="374">
        <f t="shared" si="19"/>
        <v>10241.825176935239</v>
      </c>
      <c r="J44" s="374">
        <f t="shared" si="19"/>
        <v>11305.936300858477</v>
      </c>
      <c r="K44" s="374">
        <f t="shared" si="19"/>
        <v>12835.918981269566</v>
      </c>
      <c r="L44" s="374">
        <f t="shared" si="19"/>
        <v>14645.991415977976</v>
      </c>
      <c r="M44" s="374">
        <f t="shared" si="19"/>
        <v>16467.890155872403</v>
      </c>
      <c r="N44" s="374">
        <f t="shared" si="19"/>
        <v>16306.014981369091</v>
      </c>
      <c r="O44" s="374">
        <f t="shared" si="19"/>
        <v>16923.477266413684</v>
      </c>
      <c r="P44" s="374">
        <f t="shared" si="19"/>
        <v>18935.858043389439</v>
      </c>
    </row>
    <row r="45" spans="1:16">
      <c r="D45" s="375">
        <f t="shared" ref="D45:P45" si="20">SUM(D43:D44)</f>
        <v>160681.82101999997</v>
      </c>
      <c r="E45" s="375">
        <f t="shared" si="20"/>
        <v>159573.80386000001</v>
      </c>
      <c r="F45" s="375">
        <f t="shared" si="20"/>
        <v>142423.45468</v>
      </c>
      <c r="G45" s="375">
        <f t="shared" si="20"/>
        <v>135930.08940000003</v>
      </c>
      <c r="H45" s="375">
        <f t="shared" si="20"/>
        <v>139313.13006000002</v>
      </c>
      <c r="I45" s="375">
        <f t="shared" si="20"/>
        <v>142784.15296000001</v>
      </c>
      <c r="J45" s="375">
        <f t="shared" si="20"/>
        <v>141648.22435000003</v>
      </c>
      <c r="K45" s="375">
        <f t="shared" si="20"/>
        <v>148433.88819</v>
      </c>
      <c r="L45" s="375">
        <f t="shared" si="20"/>
        <v>169628.99306999997</v>
      </c>
      <c r="M45" s="375">
        <f t="shared" si="20"/>
        <v>176818.09297000006</v>
      </c>
      <c r="N45" s="375">
        <f t="shared" si="20"/>
        <v>187464.61038999996</v>
      </c>
      <c r="O45" s="375">
        <f t="shared" si="20"/>
        <v>195019.16733999996</v>
      </c>
      <c r="P45" s="375">
        <f t="shared" si="20"/>
        <v>218531.29580000002</v>
      </c>
    </row>
    <row r="47" spans="1:16">
      <c r="A47" s="135" t="s">
        <v>3711</v>
      </c>
    </row>
    <row r="48" spans="1:16">
      <c r="A48" s="363" t="s">
        <v>1177</v>
      </c>
      <c r="D48" s="369">
        <v>120696.17318809476</v>
      </c>
      <c r="E48" s="369">
        <v>123573.00482019373</v>
      </c>
      <c r="F48" s="369">
        <v>126037.29362465139</v>
      </c>
      <c r="G48" s="369">
        <v>127868.92006089813</v>
      </c>
      <c r="H48" s="369">
        <v>129465.47499389388</v>
      </c>
      <c r="I48" s="369">
        <v>130965.72598045132</v>
      </c>
      <c r="J48" s="369">
        <v>131948.66427331243</v>
      </c>
      <c r="K48" s="369">
        <v>132927.38099598794</v>
      </c>
      <c r="L48" s="369">
        <v>135169.30693082439</v>
      </c>
      <c r="M48" s="369">
        <v>138322.00727102117</v>
      </c>
      <c r="N48" s="369">
        <v>141517.08447767969</v>
      </c>
      <c r="O48" s="369">
        <v>144751.35909933303</v>
      </c>
      <c r="P48" s="369">
        <f t="shared" ref="P48" si="21">(SUM(D43:P43)-(D43+P43)/2)/12</f>
        <v>148557.56651418869</v>
      </c>
    </row>
    <row r="49" spans="1:16" ht="15">
      <c r="A49" s="363" t="s">
        <v>1178</v>
      </c>
      <c r="D49" s="370">
        <v>11627.629128988576</v>
      </c>
      <c r="E49" s="370">
        <v>11952.008010222935</v>
      </c>
      <c r="F49" s="370">
        <v>12041.111826181967</v>
      </c>
      <c r="G49" s="370">
        <v>11967.533282018523</v>
      </c>
      <c r="H49" s="370">
        <v>11838.481899439443</v>
      </c>
      <c r="I49" s="370">
        <v>11788.626823715333</v>
      </c>
      <c r="J49" s="370">
        <v>11831.751957937568</v>
      </c>
      <c r="K49" s="370">
        <v>11745.654942762036</v>
      </c>
      <c r="L49" s="370">
        <v>11618.0043866756</v>
      </c>
      <c r="M49" s="370">
        <v>11545.749297728815</v>
      </c>
      <c r="N49" s="370">
        <v>11605.884478153639</v>
      </c>
      <c r="O49" s="370">
        <v>11802.603194000294</v>
      </c>
      <c r="P49" s="370">
        <f t="shared" ref="P49" si="22">(SUM(D44:P44)-(D44+P44)/2)/12</f>
        <v>12162.78062581132</v>
      </c>
    </row>
    <row r="50" spans="1:16">
      <c r="D50" s="369">
        <f t="shared" ref="D50" si="23">SUM(D48:D49)</f>
        <v>132323.80231708335</v>
      </c>
      <c r="E50" s="369">
        <f t="shared" ref="E50:P50" si="24">SUM(E48:E49)</f>
        <v>135525.01283041667</v>
      </c>
      <c r="F50" s="369">
        <f t="shared" si="24"/>
        <v>138078.40545083335</v>
      </c>
      <c r="G50" s="369">
        <f t="shared" si="24"/>
        <v>139836.45334291665</v>
      </c>
      <c r="H50" s="369">
        <f t="shared" si="24"/>
        <v>141303.95689333332</v>
      </c>
      <c r="I50" s="369">
        <f t="shared" si="24"/>
        <v>142754.35280416664</v>
      </c>
      <c r="J50" s="369">
        <f t="shared" si="24"/>
        <v>143780.41623125001</v>
      </c>
      <c r="K50" s="369">
        <f t="shared" si="24"/>
        <v>144673.03593874999</v>
      </c>
      <c r="L50" s="369">
        <f t="shared" si="24"/>
        <v>146787.31131749999</v>
      </c>
      <c r="M50" s="369">
        <f t="shared" si="24"/>
        <v>149867.75656874999</v>
      </c>
      <c r="N50" s="369">
        <f t="shared" si="24"/>
        <v>153122.96895583332</v>
      </c>
      <c r="O50" s="369">
        <f t="shared" si="24"/>
        <v>156553.96229333332</v>
      </c>
      <c r="P50" s="369">
        <f t="shared" si="24"/>
        <v>160720.34714</v>
      </c>
    </row>
  </sheetData>
  <conditionalFormatting sqref="D39">
    <cfRule type="cellIs" dxfId="4" priority="2" stopIfTrue="1" operator="notEqual">
      <formula>""</formula>
    </cfRule>
  </conditionalFormatting>
  <pageMargins left="0.3" right="0.36" top="0.59" bottom="0.52" header="0.3" footer="0.3"/>
  <pageSetup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J20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9.140625" style="165"/>
    <col min="2" max="2" width="34.85546875" style="165" customWidth="1"/>
    <col min="3" max="3" width="16.85546875" style="165" customWidth="1"/>
    <col min="4" max="4" width="18.85546875" style="165" customWidth="1"/>
    <col min="5" max="5" width="20" style="288" customWidth="1"/>
    <col min="6" max="6" width="19.85546875" style="165" customWidth="1"/>
    <col min="7" max="7" width="19.28515625" style="165" customWidth="1"/>
    <col min="8" max="8" width="16.28515625" style="165" customWidth="1"/>
    <col min="9" max="9" width="16.42578125" style="165" customWidth="1"/>
    <col min="10" max="16384" width="9.140625" style="165"/>
  </cols>
  <sheetData>
    <row r="1" spans="1:10">
      <c r="A1" s="164"/>
    </row>
    <row r="3" spans="1:10">
      <c r="B3" s="376" t="s">
        <v>1646</v>
      </c>
      <c r="C3" s="148"/>
      <c r="D3" s="148"/>
      <c r="E3" s="204"/>
      <c r="F3" s="148"/>
      <c r="G3" s="148"/>
      <c r="H3" s="148"/>
      <c r="I3" s="148"/>
      <c r="J3" s="148"/>
    </row>
    <row r="4" spans="1:10">
      <c r="B4" s="376" t="s">
        <v>1698</v>
      </c>
      <c r="C4" s="148"/>
      <c r="D4" s="148"/>
      <c r="E4" s="204"/>
      <c r="F4" s="148"/>
      <c r="G4" s="148"/>
      <c r="H4" s="148"/>
      <c r="I4" s="148"/>
      <c r="J4" s="148"/>
    </row>
    <row r="5" spans="1:10">
      <c r="B5" s="148"/>
      <c r="C5" s="148"/>
      <c r="D5" s="148"/>
      <c r="E5" s="204"/>
      <c r="F5" s="148"/>
      <c r="G5" s="148"/>
      <c r="H5" s="148"/>
      <c r="I5" s="148"/>
      <c r="J5" s="148"/>
    </row>
    <row r="6" spans="1:10">
      <c r="B6" s="376"/>
      <c r="C6" s="148"/>
      <c r="D6" s="148"/>
      <c r="E6" s="204"/>
      <c r="F6" s="148"/>
      <c r="G6" s="148"/>
      <c r="H6" s="148"/>
      <c r="I6" s="148"/>
      <c r="J6" s="148"/>
    </row>
    <row r="7" spans="1:10">
      <c r="B7" s="148" t="s">
        <v>4931</v>
      </c>
      <c r="C7" s="148"/>
      <c r="D7" s="148"/>
      <c r="E7" s="204"/>
      <c r="F7" s="148"/>
      <c r="G7" s="148"/>
      <c r="H7" s="148"/>
      <c r="I7" s="148"/>
      <c r="J7" s="148"/>
    </row>
    <row r="8" spans="1:10">
      <c r="B8" s="148"/>
      <c r="C8" s="148"/>
      <c r="D8" s="148"/>
      <c r="E8" s="204"/>
      <c r="F8" s="377" t="s">
        <v>1699</v>
      </c>
      <c r="G8" s="148"/>
      <c r="H8" s="378"/>
      <c r="I8" s="378"/>
      <c r="J8" s="378"/>
    </row>
    <row r="9" spans="1:10">
      <c r="B9" s="148"/>
      <c r="C9" s="148"/>
      <c r="D9" s="148"/>
      <c r="E9" s="204"/>
      <c r="F9" s="379">
        <v>42004</v>
      </c>
      <c r="G9" s="148"/>
      <c r="H9" s="378"/>
      <c r="I9" s="378"/>
      <c r="J9" s="378"/>
    </row>
    <row r="10" spans="1:10">
      <c r="B10" s="148"/>
      <c r="C10" s="148"/>
      <c r="D10" s="148"/>
      <c r="E10" s="204"/>
      <c r="F10" s="148"/>
      <c r="G10" s="148"/>
      <c r="H10" s="380"/>
      <c r="I10" s="380"/>
      <c r="J10" s="380"/>
    </row>
    <row r="11" spans="1:10">
      <c r="B11" s="148" t="s">
        <v>1700</v>
      </c>
      <c r="C11" s="148"/>
      <c r="D11" s="148"/>
      <c r="E11" s="204"/>
      <c r="F11" s="381">
        <f>+'ZF02 - TME Dec 2014'!O77</f>
        <v>560302535.26999998</v>
      </c>
      <c r="G11" s="148"/>
      <c r="H11" s="382"/>
      <c r="I11" s="382"/>
      <c r="J11" s="382"/>
    </row>
    <row r="12" spans="1:10">
      <c r="B12" s="148"/>
      <c r="C12" s="148"/>
      <c r="D12" s="148"/>
      <c r="E12" s="204"/>
      <c r="F12" s="148"/>
      <c r="G12" s="148"/>
      <c r="H12" s="380"/>
      <c r="I12" s="380"/>
      <c r="J12" s="380"/>
    </row>
    <row r="13" spans="1:10">
      <c r="B13" s="383" t="s">
        <v>1868</v>
      </c>
      <c r="C13" s="148"/>
      <c r="D13" s="148"/>
      <c r="E13" s="204">
        <v>6</v>
      </c>
      <c r="F13" s="148"/>
      <c r="G13" s="148"/>
      <c r="H13" s="380"/>
      <c r="I13" s="380"/>
      <c r="J13" s="380"/>
    </row>
    <row r="14" spans="1:10">
      <c r="B14" s="383" t="s">
        <v>1869</v>
      </c>
      <c r="C14" s="148"/>
      <c r="D14" s="148"/>
      <c r="E14" s="387">
        <v>365</v>
      </c>
      <c r="F14" s="148"/>
      <c r="G14" s="148"/>
      <c r="H14" s="380"/>
      <c r="I14" s="380"/>
      <c r="J14" s="380"/>
    </row>
    <row r="15" spans="1:10">
      <c r="B15" s="383" t="s">
        <v>1870</v>
      </c>
      <c r="C15" s="148"/>
      <c r="D15" s="148"/>
      <c r="E15" s="204"/>
      <c r="F15" s="385">
        <f>E13/E14</f>
        <v>1.643835616438356E-2</v>
      </c>
      <c r="G15" s="148"/>
      <c r="H15" s="380"/>
      <c r="I15" s="380"/>
      <c r="J15" s="380"/>
    </row>
    <row r="16" spans="1:10">
      <c r="B16" s="148"/>
      <c r="C16" s="148"/>
      <c r="D16" s="148"/>
      <c r="E16" s="204"/>
      <c r="F16" s="148"/>
      <c r="G16" s="148"/>
      <c r="H16" s="380"/>
      <c r="I16" s="380"/>
      <c r="J16" s="380"/>
    </row>
    <row r="17" spans="2:10">
      <c r="B17" s="148" t="s">
        <v>3181</v>
      </c>
      <c r="C17" s="148"/>
      <c r="D17" s="148"/>
      <c r="E17" s="204"/>
      <c r="F17" s="381">
        <f>F11*F15</f>
        <v>9210452.6345753409</v>
      </c>
      <c r="G17" s="148"/>
      <c r="H17" s="148"/>
      <c r="I17" s="148"/>
      <c r="J17" s="148"/>
    </row>
    <row r="18" spans="2:10">
      <c r="B18" s="148" t="s">
        <v>1701</v>
      </c>
      <c r="C18" s="148"/>
      <c r="D18" s="148"/>
      <c r="E18" s="204"/>
      <c r="F18" s="385">
        <v>0.10639999999999999</v>
      </c>
      <c r="G18" s="148"/>
      <c r="H18" s="148"/>
      <c r="I18" s="148"/>
      <c r="J18" s="148"/>
    </row>
    <row r="19" spans="2:10">
      <c r="B19" s="148"/>
      <c r="C19" s="148"/>
      <c r="D19" s="148"/>
      <c r="E19" s="204"/>
      <c r="F19" s="148"/>
      <c r="G19" s="148"/>
      <c r="H19" s="148"/>
      <c r="I19" s="148"/>
      <c r="J19" s="148"/>
    </row>
    <row r="20" spans="2:10">
      <c r="B20" s="148" t="s">
        <v>1702</v>
      </c>
      <c r="C20" s="148"/>
      <c r="D20" s="148"/>
      <c r="E20" s="204"/>
      <c r="F20" s="386">
        <f>F17*F18</f>
        <v>979992.1603188162</v>
      </c>
      <c r="G20" s="148"/>
      <c r="H20" s="148"/>
      <c r="I20" s="148"/>
      <c r="J20" s="148"/>
    </row>
  </sheetData>
  <phoneticPr fontId="87" type="noConversion"/>
  <pageMargins left="0.23" right="0.24" top="0.41" bottom="0.65" header="0.2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A1:Q120"/>
  <sheetViews>
    <sheetView view="pageBreakPreview" zoomScaleNormal="100" zoomScaleSheetLayoutView="100" workbookViewId="0">
      <pane xSplit="4" ySplit="8" topLeftCell="E9" activePane="bottomRight" state="frozen"/>
      <selection sqref="A1:IV65536"/>
      <selection pane="topRight" sqref="A1:IV65536"/>
      <selection pane="bottomLeft" sqref="A1:IV65536"/>
      <selection pane="bottomRight" sqref="A1:XFD1048576"/>
    </sheetView>
  </sheetViews>
  <sheetFormatPr defaultRowHeight="12.75"/>
  <cols>
    <col min="1" max="2" width="3.7109375" style="133" customWidth="1"/>
    <col min="3" max="3" width="13" style="388" customWidth="1"/>
    <col min="4" max="4" width="2.7109375" style="133" customWidth="1"/>
    <col min="5" max="5" width="11.7109375" style="133" bestFit="1" customWidth="1"/>
    <col min="6" max="6" width="12" style="133" bestFit="1" customWidth="1"/>
    <col min="7" max="7" width="12.140625" style="133" bestFit="1" customWidth="1"/>
    <col min="8" max="8" width="12.7109375" style="133" bestFit="1" customWidth="1"/>
    <col min="9" max="9" width="13.28515625" style="133" bestFit="1" customWidth="1"/>
    <col min="10" max="10" width="13.85546875" style="133" bestFit="1" customWidth="1"/>
    <col min="11" max="11" width="12.28515625" style="133" bestFit="1" customWidth="1"/>
    <col min="12" max="12" width="12.85546875" style="133" bestFit="1" customWidth="1"/>
    <col min="13" max="13" width="12" style="133" bestFit="1" customWidth="1"/>
    <col min="14" max="14" width="10.5703125" style="133" bestFit="1" customWidth="1"/>
    <col min="15" max="15" width="12.42578125" style="133" bestFit="1" customWidth="1"/>
    <col min="16" max="16" width="12.140625" style="133" bestFit="1" customWidth="1"/>
    <col min="17" max="17" width="13.28515625" style="133" bestFit="1" customWidth="1"/>
    <col min="18" max="16384" width="9.140625" style="133"/>
  </cols>
  <sheetData>
    <row r="1" spans="1:17">
      <c r="A1" s="108"/>
    </row>
    <row r="2" spans="1:17">
      <c r="A2" s="108"/>
    </row>
    <row r="3" spans="1:17">
      <c r="B3" s="389" t="s">
        <v>1249</v>
      </c>
      <c r="D3" s="390"/>
    </row>
    <row r="4" spans="1:17">
      <c r="B4" s="391"/>
      <c r="D4" s="390"/>
    </row>
    <row r="7" spans="1:17">
      <c r="D7" s="392"/>
    </row>
    <row r="8" spans="1:17">
      <c r="A8" s="393" t="s">
        <v>1646</v>
      </c>
      <c r="D8" s="392"/>
      <c r="E8" s="394">
        <v>41609</v>
      </c>
      <c r="F8" s="394">
        <v>41640</v>
      </c>
      <c r="G8" s="394">
        <v>41671</v>
      </c>
      <c r="H8" s="394">
        <v>41699</v>
      </c>
      <c r="I8" s="394">
        <v>41730</v>
      </c>
      <c r="J8" s="394">
        <v>41760</v>
      </c>
      <c r="K8" s="394">
        <v>41791</v>
      </c>
      <c r="L8" s="394">
        <v>41821</v>
      </c>
      <c r="M8" s="394">
        <v>41852</v>
      </c>
      <c r="N8" s="394">
        <v>41883</v>
      </c>
      <c r="O8" s="394">
        <v>41913</v>
      </c>
      <c r="P8" s="394">
        <v>41944</v>
      </c>
      <c r="Q8" s="394">
        <v>41974</v>
      </c>
    </row>
    <row r="9" spans="1:17">
      <c r="B9" s="393"/>
      <c r="C9" s="395"/>
      <c r="D9" s="396"/>
    </row>
    <row r="10" spans="1:17">
      <c r="A10" s="393" t="s">
        <v>1177</v>
      </c>
      <c r="B10" s="393"/>
      <c r="C10" s="395"/>
      <c r="D10" s="396"/>
    </row>
    <row r="11" spans="1:17">
      <c r="B11" s="134" t="s">
        <v>3717</v>
      </c>
      <c r="C11" s="395"/>
      <c r="D11" s="396"/>
      <c r="E11" s="397">
        <v>5735508</v>
      </c>
      <c r="F11" s="397">
        <v>-1577224</v>
      </c>
      <c r="G11" s="397">
        <v>4363798.5</v>
      </c>
      <c r="H11" s="397">
        <v>-1004093.5800000001</v>
      </c>
      <c r="I11" s="397">
        <v>-16173519.58</v>
      </c>
      <c r="J11" s="397">
        <v>-10900433.9</v>
      </c>
      <c r="K11" s="397">
        <v>-1530314</v>
      </c>
      <c r="L11" s="397">
        <v>12873884.09</v>
      </c>
      <c r="M11" s="397">
        <v>5555240.04</v>
      </c>
      <c r="N11" s="397">
        <v>-21469.910000000149</v>
      </c>
      <c r="O11" s="397">
        <v>3948842.04</v>
      </c>
      <c r="P11" s="397">
        <v>4823562.12</v>
      </c>
      <c r="Q11" s="397">
        <v>38149792.019999996</v>
      </c>
    </row>
    <row r="12" spans="1:17">
      <c r="B12" s="134" t="s">
        <v>3718</v>
      </c>
      <c r="C12" s="395"/>
      <c r="D12" s="396"/>
      <c r="E12" s="397">
        <v>0</v>
      </c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  <c r="Q12" s="397"/>
    </row>
    <row r="13" spans="1:17">
      <c r="B13" s="393"/>
      <c r="C13" s="395"/>
      <c r="D13" s="396"/>
    </row>
    <row r="14" spans="1:17">
      <c r="B14" s="393"/>
      <c r="C14" s="134" t="s">
        <v>4311</v>
      </c>
      <c r="D14" s="396"/>
      <c r="E14" s="398">
        <f t="shared" ref="E14:Q14" si="0">SUM(E11:E13)</f>
        <v>5735508</v>
      </c>
      <c r="F14" s="398">
        <f t="shared" si="0"/>
        <v>-1577224</v>
      </c>
      <c r="G14" s="398">
        <f t="shared" si="0"/>
        <v>4363798.5</v>
      </c>
      <c r="H14" s="398">
        <f t="shared" si="0"/>
        <v>-1004093.5800000001</v>
      </c>
      <c r="I14" s="398">
        <f t="shared" si="0"/>
        <v>-16173519.58</v>
      </c>
      <c r="J14" s="398">
        <f t="shared" si="0"/>
        <v>-10900433.9</v>
      </c>
      <c r="K14" s="398">
        <f t="shared" si="0"/>
        <v>-1530314</v>
      </c>
      <c r="L14" s="398">
        <f t="shared" si="0"/>
        <v>12873884.09</v>
      </c>
      <c r="M14" s="398">
        <f t="shared" si="0"/>
        <v>5555240.04</v>
      </c>
      <c r="N14" s="398">
        <f t="shared" si="0"/>
        <v>-21469.910000000149</v>
      </c>
      <c r="O14" s="398">
        <f t="shared" si="0"/>
        <v>3948842.04</v>
      </c>
      <c r="P14" s="398">
        <f t="shared" si="0"/>
        <v>4823562.12</v>
      </c>
      <c r="Q14" s="398">
        <f t="shared" si="0"/>
        <v>38149792.019999996</v>
      </c>
    </row>
    <row r="15" spans="1:17">
      <c r="B15" s="393"/>
      <c r="C15" s="134" t="s">
        <v>2189</v>
      </c>
      <c r="D15" s="396"/>
      <c r="E15" s="398">
        <v>3796139.0875000008</v>
      </c>
      <c r="F15" s="398">
        <v>3543195.8433333337</v>
      </c>
      <c r="G15" s="398">
        <v>3352563.5241666674</v>
      </c>
      <c r="H15" s="398">
        <v>3300610.3550000004</v>
      </c>
      <c r="I15" s="398">
        <v>2486167.9433333338</v>
      </c>
      <c r="J15" s="398">
        <v>1262917.9766666673</v>
      </c>
      <c r="K15" s="398">
        <v>465441.90333333408</v>
      </c>
      <c r="L15" s="398">
        <v>553519.90166666731</v>
      </c>
      <c r="M15" s="398">
        <v>964373.84958333371</v>
      </c>
      <c r="N15" s="398">
        <v>747088.41583333351</v>
      </c>
      <c r="O15" s="398">
        <v>358315.86374999996</v>
      </c>
      <c r="P15" s="398">
        <v>371755.33999999985</v>
      </c>
      <c r="Q15" s="398">
        <f t="shared" ref="Q15" si="1">(SUM(E14:Q14)-(E14+Q14)/2)/12</f>
        <v>1858410.1524999999</v>
      </c>
    </row>
    <row r="16" spans="1:17">
      <c r="A16" s="134"/>
      <c r="B16" s="393"/>
      <c r="C16" s="395"/>
      <c r="D16" s="396"/>
    </row>
    <row r="17" spans="1:17">
      <c r="B17" s="393"/>
      <c r="C17" s="395"/>
      <c r="D17" s="396"/>
    </row>
    <row r="18" spans="1:17">
      <c r="A18" s="393" t="s">
        <v>1178</v>
      </c>
      <c r="B18" s="393"/>
      <c r="C18" s="395"/>
      <c r="D18" s="396"/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</row>
    <row r="19" spans="1:17">
      <c r="B19" s="134" t="s">
        <v>3717</v>
      </c>
      <c r="C19" s="395"/>
      <c r="D19" s="396"/>
      <c r="E19" s="397">
        <v>-201744.99999999849</v>
      </c>
      <c r="F19" s="397">
        <v>-774629.99999999849</v>
      </c>
      <c r="G19" s="397">
        <v>-1019321.1499999985</v>
      </c>
      <c r="H19" s="397">
        <v>49418.580000001471</v>
      </c>
      <c r="I19" s="397">
        <v>-425133.41999999853</v>
      </c>
      <c r="J19" s="397">
        <v>108195.00000000151</v>
      </c>
      <c r="K19" s="397">
        <v>171875.00000000151</v>
      </c>
      <c r="L19" s="397">
        <v>1945006.9100000015</v>
      </c>
      <c r="M19" s="397">
        <v>1082882.9600000016</v>
      </c>
      <c r="N19" s="397">
        <v>752777.91000000155</v>
      </c>
      <c r="O19" s="397">
        <v>1402249.9600000016</v>
      </c>
      <c r="P19" s="397">
        <v>1184113.9600000016</v>
      </c>
      <c r="Q19" s="397">
        <v>2729596.0600000015</v>
      </c>
    </row>
    <row r="20" spans="1:17">
      <c r="B20" s="134" t="s">
        <v>3718</v>
      </c>
      <c r="C20" s="395"/>
      <c r="D20" s="396"/>
      <c r="E20" s="397">
        <v>0</v>
      </c>
      <c r="F20" s="397"/>
      <c r="G20" s="397"/>
      <c r="H20" s="397"/>
      <c r="I20" s="397"/>
      <c r="J20" s="397"/>
      <c r="K20" s="397"/>
      <c r="L20" s="397"/>
      <c r="M20" s="397"/>
      <c r="N20" s="397"/>
      <c r="O20" s="397"/>
      <c r="P20" s="397"/>
      <c r="Q20" s="397"/>
    </row>
    <row r="21" spans="1:17">
      <c r="B21" s="393"/>
      <c r="C21" s="395"/>
      <c r="D21" s="396"/>
    </row>
    <row r="22" spans="1:17">
      <c r="B22" s="393"/>
      <c r="C22" s="134" t="s">
        <v>4311</v>
      </c>
      <c r="D22" s="396"/>
      <c r="E22" s="398">
        <f t="shared" ref="E22:Q22" si="2">SUM(E19:E21)</f>
        <v>-201744.99999999849</v>
      </c>
      <c r="F22" s="398">
        <f t="shared" si="2"/>
        <v>-774629.99999999849</v>
      </c>
      <c r="G22" s="398">
        <f t="shared" si="2"/>
        <v>-1019321.1499999985</v>
      </c>
      <c r="H22" s="398">
        <f t="shared" si="2"/>
        <v>49418.580000001471</v>
      </c>
      <c r="I22" s="398">
        <f t="shared" si="2"/>
        <v>-425133.41999999853</v>
      </c>
      <c r="J22" s="398">
        <f t="shared" si="2"/>
        <v>108195.00000000151</v>
      </c>
      <c r="K22" s="398">
        <f t="shared" si="2"/>
        <v>171875.00000000151</v>
      </c>
      <c r="L22" s="398">
        <f t="shared" si="2"/>
        <v>1945006.9100000015</v>
      </c>
      <c r="M22" s="398">
        <f t="shared" si="2"/>
        <v>1082882.9600000016</v>
      </c>
      <c r="N22" s="398">
        <f t="shared" si="2"/>
        <v>752777.91000000155</v>
      </c>
      <c r="O22" s="398">
        <f t="shared" si="2"/>
        <v>1402249.9600000016</v>
      </c>
      <c r="P22" s="398">
        <f t="shared" si="2"/>
        <v>1184113.9600000016</v>
      </c>
      <c r="Q22" s="398">
        <f t="shared" si="2"/>
        <v>2729596.0600000015</v>
      </c>
    </row>
    <row r="23" spans="1:17">
      <c r="B23" s="393"/>
      <c r="C23" s="134" t="s">
        <v>2189</v>
      </c>
      <c r="D23" s="396"/>
      <c r="E23" s="398">
        <v>614349.94166666816</v>
      </c>
      <c r="F23" s="398">
        <v>494129.47750000161</v>
      </c>
      <c r="G23" s="398">
        <v>350403.3391666683</v>
      </c>
      <c r="H23" s="398">
        <v>276883.67583333491</v>
      </c>
      <c r="I23" s="398">
        <v>274035.42083333491</v>
      </c>
      <c r="J23" s="398">
        <v>270830.80833333492</v>
      </c>
      <c r="K23" s="398">
        <v>263343.3025000015</v>
      </c>
      <c r="L23" s="398">
        <v>288674.09583333484</v>
      </c>
      <c r="M23" s="398">
        <v>316677.29958333477</v>
      </c>
      <c r="N23" s="398">
        <v>305173.21833333489</v>
      </c>
      <c r="O23" s="398">
        <v>315899.6387500015</v>
      </c>
      <c r="P23" s="398">
        <v>343796.61750000151</v>
      </c>
      <c r="Q23" s="398">
        <f t="shared" ref="Q23" si="3">(SUM(E22:Q22)-(E22+Q22)/2)/12</f>
        <v>478446.77000000147</v>
      </c>
    </row>
    <row r="24" spans="1:17">
      <c r="A24" s="134"/>
      <c r="B24" s="393"/>
      <c r="C24" s="395"/>
      <c r="D24" s="396"/>
    </row>
    <row r="25" spans="1:17">
      <c r="B25" s="393"/>
      <c r="C25" s="395"/>
      <c r="D25" s="396"/>
    </row>
    <row r="26" spans="1:17">
      <c r="A26" s="393" t="s">
        <v>1179</v>
      </c>
      <c r="B26" s="393"/>
      <c r="C26" s="395"/>
      <c r="D26" s="396"/>
    </row>
    <row r="27" spans="1:17">
      <c r="B27" s="134" t="s">
        <v>3717</v>
      </c>
      <c r="C27" s="395"/>
      <c r="D27" s="396"/>
      <c r="E27" s="398">
        <f t="shared" ref="E27:Q27" si="4">+E11+E19</f>
        <v>5533763.0000000019</v>
      </c>
      <c r="F27" s="398">
        <f t="shared" si="4"/>
        <v>-2351853.9999999986</v>
      </c>
      <c r="G27" s="398">
        <f t="shared" si="4"/>
        <v>3344477.3500000015</v>
      </c>
      <c r="H27" s="398">
        <f t="shared" si="4"/>
        <v>-954674.9999999986</v>
      </c>
      <c r="I27" s="398">
        <f t="shared" si="4"/>
        <v>-16598652.999999998</v>
      </c>
      <c r="J27" s="398">
        <f t="shared" si="4"/>
        <v>-10792238.899999999</v>
      </c>
      <c r="K27" s="398">
        <f t="shared" si="4"/>
        <v>-1358438.9999999986</v>
      </c>
      <c r="L27" s="398">
        <f t="shared" si="4"/>
        <v>14818891.000000002</v>
      </c>
      <c r="M27" s="398">
        <f t="shared" si="4"/>
        <v>6638123.0000000019</v>
      </c>
      <c r="N27" s="398">
        <f t="shared" si="4"/>
        <v>731308.0000000014</v>
      </c>
      <c r="O27" s="398">
        <f t="shared" si="4"/>
        <v>5351092.0000000019</v>
      </c>
      <c r="P27" s="398">
        <f t="shared" si="4"/>
        <v>6007676.0800000019</v>
      </c>
      <c r="Q27" s="398">
        <f t="shared" si="4"/>
        <v>40879388.079999998</v>
      </c>
    </row>
    <row r="28" spans="1:17">
      <c r="B28" s="134" t="s">
        <v>3718</v>
      </c>
      <c r="C28" s="395"/>
      <c r="D28" s="396"/>
      <c r="E28" s="398">
        <f t="shared" ref="E28:Q28" si="5">+E12+E20</f>
        <v>0</v>
      </c>
      <c r="F28" s="398">
        <f t="shared" si="5"/>
        <v>0</v>
      </c>
      <c r="G28" s="398">
        <f t="shared" si="5"/>
        <v>0</v>
      </c>
      <c r="H28" s="398">
        <f t="shared" si="5"/>
        <v>0</v>
      </c>
      <c r="I28" s="398">
        <f t="shared" si="5"/>
        <v>0</v>
      </c>
      <c r="J28" s="398">
        <f t="shared" si="5"/>
        <v>0</v>
      </c>
      <c r="K28" s="398">
        <f t="shared" si="5"/>
        <v>0</v>
      </c>
      <c r="L28" s="398">
        <f t="shared" si="5"/>
        <v>0</v>
      </c>
      <c r="M28" s="398">
        <f t="shared" si="5"/>
        <v>0</v>
      </c>
      <c r="N28" s="398">
        <f t="shared" si="5"/>
        <v>0</v>
      </c>
      <c r="O28" s="398">
        <f t="shared" si="5"/>
        <v>0</v>
      </c>
      <c r="P28" s="398">
        <f t="shared" si="5"/>
        <v>0</v>
      </c>
      <c r="Q28" s="398">
        <f t="shared" si="5"/>
        <v>0</v>
      </c>
    </row>
    <row r="29" spans="1:17">
      <c r="B29" s="393"/>
      <c r="C29" s="395"/>
      <c r="D29" s="396"/>
    </row>
    <row r="30" spans="1:17">
      <c r="B30" s="393"/>
      <c r="C30" s="134" t="s">
        <v>4311</v>
      </c>
      <c r="D30" s="396"/>
      <c r="E30" s="398">
        <f t="shared" ref="E30:Q30" si="6">SUM(E27:E29)</f>
        <v>5533763.0000000019</v>
      </c>
      <c r="F30" s="398">
        <f t="shared" si="6"/>
        <v>-2351853.9999999986</v>
      </c>
      <c r="G30" s="398">
        <f t="shared" si="6"/>
        <v>3344477.3500000015</v>
      </c>
      <c r="H30" s="398">
        <f t="shared" si="6"/>
        <v>-954674.9999999986</v>
      </c>
      <c r="I30" s="398">
        <f t="shared" si="6"/>
        <v>-16598652.999999998</v>
      </c>
      <c r="J30" s="398">
        <f t="shared" si="6"/>
        <v>-10792238.899999999</v>
      </c>
      <c r="K30" s="398">
        <f t="shared" si="6"/>
        <v>-1358438.9999999986</v>
      </c>
      <c r="L30" s="398">
        <f t="shared" si="6"/>
        <v>14818891.000000002</v>
      </c>
      <c r="M30" s="398">
        <f t="shared" si="6"/>
        <v>6638123.0000000019</v>
      </c>
      <c r="N30" s="398">
        <f t="shared" si="6"/>
        <v>731308.0000000014</v>
      </c>
      <c r="O30" s="398">
        <f t="shared" si="6"/>
        <v>5351092.0000000019</v>
      </c>
      <c r="P30" s="398">
        <f t="shared" si="6"/>
        <v>6007676.0800000019</v>
      </c>
      <c r="Q30" s="398">
        <f t="shared" si="6"/>
        <v>40879388.079999998</v>
      </c>
    </row>
    <row r="31" spans="1:17">
      <c r="B31" s="393"/>
      <c r="C31" s="134" t="s">
        <v>2189</v>
      </c>
      <c r="D31" s="396"/>
      <c r="E31" s="398">
        <v>4410489.0291666687</v>
      </c>
      <c r="F31" s="398">
        <v>4037325.3208333352</v>
      </c>
      <c r="G31" s="398">
        <v>3702966.8633333351</v>
      </c>
      <c r="H31" s="398">
        <v>3577494.0308333351</v>
      </c>
      <c r="I31" s="398">
        <v>2760203.3641666682</v>
      </c>
      <c r="J31" s="398">
        <v>1533748.7850000013</v>
      </c>
      <c r="K31" s="398">
        <v>728785.20583333448</v>
      </c>
      <c r="L31" s="398">
        <v>842193.99750000134</v>
      </c>
      <c r="M31" s="398">
        <v>1281051.1491666683</v>
      </c>
      <c r="N31" s="398">
        <v>1052261.6341666679</v>
      </c>
      <c r="O31" s="398">
        <v>674215.50250000181</v>
      </c>
      <c r="P31" s="398">
        <v>715551.95750000142</v>
      </c>
      <c r="Q31" s="398">
        <f t="shared" ref="Q31" si="7">(SUM(E30:Q30)-(E30+Q30)/2)/12</f>
        <v>2336856.9225000013</v>
      </c>
    </row>
    <row r="32" spans="1:17">
      <c r="B32" s="393"/>
      <c r="C32" s="395"/>
      <c r="D32" s="396"/>
    </row>
    <row r="33" spans="2:4">
      <c r="B33" s="393"/>
      <c r="C33" s="395"/>
      <c r="D33" s="396"/>
    </row>
    <row r="34" spans="2:4">
      <c r="B34" s="393"/>
      <c r="C34" s="395"/>
      <c r="D34" s="396"/>
    </row>
    <row r="35" spans="2:4">
      <c r="B35" s="393"/>
      <c r="C35" s="395"/>
      <c r="D35" s="396"/>
    </row>
    <row r="36" spans="2:4">
      <c r="B36" s="393"/>
      <c r="C36" s="395"/>
      <c r="D36" s="396"/>
    </row>
    <row r="37" spans="2:4">
      <c r="B37" s="393"/>
      <c r="C37" s="395"/>
      <c r="D37" s="396"/>
    </row>
    <row r="38" spans="2:4">
      <c r="B38" s="393"/>
      <c r="C38" s="395"/>
      <c r="D38" s="396"/>
    </row>
    <row r="39" spans="2:4">
      <c r="B39" s="393"/>
      <c r="C39" s="395"/>
      <c r="D39" s="396"/>
    </row>
    <row r="40" spans="2:4">
      <c r="B40" s="393"/>
      <c r="C40" s="395"/>
      <c r="D40" s="396"/>
    </row>
    <row r="41" spans="2:4">
      <c r="B41" s="393"/>
      <c r="C41" s="395"/>
      <c r="D41" s="396"/>
    </row>
    <row r="42" spans="2:4">
      <c r="B42" s="393"/>
      <c r="C42" s="395"/>
      <c r="D42" s="396"/>
    </row>
    <row r="43" spans="2:4">
      <c r="B43" s="393"/>
      <c r="C43" s="395"/>
      <c r="D43" s="396"/>
    </row>
    <row r="44" spans="2:4">
      <c r="B44" s="393"/>
      <c r="C44" s="395"/>
      <c r="D44" s="396"/>
    </row>
    <row r="45" spans="2:4">
      <c r="B45" s="393"/>
      <c r="C45" s="395"/>
      <c r="D45" s="396"/>
    </row>
    <row r="46" spans="2:4">
      <c r="B46" s="393"/>
      <c r="C46" s="395"/>
      <c r="D46" s="396"/>
    </row>
    <row r="47" spans="2:4">
      <c r="B47" s="393"/>
      <c r="C47" s="399"/>
      <c r="D47" s="396"/>
    </row>
    <row r="48" spans="2:4">
      <c r="B48" s="393"/>
      <c r="C48" s="399"/>
      <c r="D48" s="396"/>
    </row>
    <row r="49" spans="2:4">
      <c r="B49" s="393"/>
      <c r="C49" s="399"/>
      <c r="D49" s="396"/>
    </row>
    <row r="50" spans="2:4">
      <c r="B50" s="393"/>
      <c r="C50" s="399"/>
      <c r="D50" s="396"/>
    </row>
    <row r="51" spans="2:4">
      <c r="B51" s="393"/>
      <c r="C51" s="399"/>
      <c r="D51" s="396"/>
    </row>
    <row r="52" spans="2:4">
      <c r="B52" s="393"/>
      <c r="C52" s="399"/>
      <c r="D52" s="396"/>
    </row>
    <row r="53" spans="2:4">
      <c r="B53" s="393"/>
      <c r="C53" s="399"/>
      <c r="D53" s="396"/>
    </row>
    <row r="54" spans="2:4">
      <c r="B54" s="393"/>
      <c r="C54" s="399"/>
      <c r="D54" s="396"/>
    </row>
    <row r="55" spans="2:4">
      <c r="B55" s="393"/>
      <c r="C55" s="399"/>
      <c r="D55" s="396"/>
    </row>
    <row r="56" spans="2:4">
      <c r="B56" s="393"/>
      <c r="C56" s="399"/>
      <c r="D56" s="396"/>
    </row>
    <row r="57" spans="2:4">
      <c r="B57" s="393"/>
      <c r="C57" s="399"/>
      <c r="D57" s="396"/>
    </row>
    <row r="58" spans="2:4">
      <c r="B58" s="393"/>
      <c r="C58" s="399"/>
      <c r="D58" s="396"/>
    </row>
    <row r="59" spans="2:4">
      <c r="B59" s="393"/>
      <c r="C59" s="395"/>
      <c r="D59" s="396"/>
    </row>
    <row r="60" spans="2:4" ht="4.5" customHeight="1">
      <c r="B60" s="393"/>
      <c r="C60" s="395"/>
      <c r="D60" s="394"/>
    </row>
    <row r="61" spans="2:4" ht="15" customHeight="1">
      <c r="B61" s="393"/>
      <c r="C61" s="400"/>
    </row>
    <row r="62" spans="2:4">
      <c r="B62" s="393"/>
      <c r="C62" s="400"/>
    </row>
    <row r="63" spans="2:4">
      <c r="B63" s="393"/>
      <c r="C63" s="400"/>
    </row>
    <row r="64" spans="2:4" hidden="1">
      <c r="B64" s="393"/>
      <c r="C64" s="400"/>
      <c r="D64" s="392"/>
    </row>
    <row r="65" spans="2:4" hidden="1">
      <c r="B65" s="393" t="s">
        <v>1251</v>
      </c>
      <c r="C65" s="400"/>
      <c r="D65" s="392"/>
    </row>
    <row r="66" spans="2:4" hidden="1">
      <c r="B66" s="393"/>
      <c r="C66" s="395"/>
      <c r="D66" s="396"/>
    </row>
    <row r="67" spans="2:4" hidden="1">
      <c r="B67" s="393"/>
      <c r="C67" s="395"/>
      <c r="D67" s="396"/>
    </row>
    <row r="68" spans="2:4" hidden="1">
      <c r="B68" s="393"/>
      <c r="C68" s="395"/>
      <c r="D68" s="396"/>
    </row>
    <row r="69" spans="2:4" hidden="1">
      <c r="B69" s="393"/>
      <c r="C69" s="395"/>
      <c r="D69" s="396"/>
    </row>
    <row r="70" spans="2:4" hidden="1">
      <c r="B70" s="393"/>
      <c r="C70" s="395"/>
      <c r="D70" s="396"/>
    </row>
    <row r="71" spans="2:4" hidden="1">
      <c r="B71" s="393"/>
      <c r="C71" s="395"/>
      <c r="D71" s="396"/>
    </row>
    <row r="72" spans="2:4" hidden="1">
      <c r="B72" s="393"/>
      <c r="C72" s="395"/>
      <c r="D72" s="396"/>
    </row>
    <row r="73" spans="2:4" hidden="1">
      <c r="B73" s="393"/>
      <c r="C73" s="395"/>
      <c r="D73" s="396"/>
    </row>
    <row r="74" spans="2:4" hidden="1">
      <c r="B74" s="393"/>
      <c r="C74" s="395"/>
      <c r="D74" s="396"/>
    </row>
    <row r="75" spans="2:4" hidden="1">
      <c r="B75" s="393"/>
      <c r="C75" s="395"/>
      <c r="D75" s="396"/>
    </row>
    <row r="76" spans="2:4" hidden="1">
      <c r="B76" s="393"/>
      <c r="C76" s="395"/>
      <c r="D76" s="396"/>
    </row>
    <row r="77" spans="2:4" hidden="1">
      <c r="B77" s="393"/>
      <c r="C77" s="395"/>
      <c r="D77" s="396"/>
    </row>
    <row r="78" spans="2:4" hidden="1">
      <c r="B78" s="393"/>
      <c r="C78" s="395"/>
      <c r="D78" s="396"/>
    </row>
    <row r="79" spans="2:4" hidden="1">
      <c r="B79" s="393"/>
      <c r="C79" s="395"/>
      <c r="D79" s="396"/>
    </row>
    <row r="80" spans="2:4" hidden="1">
      <c r="B80" s="393"/>
      <c r="C80" s="395"/>
      <c r="D80" s="396"/>
    </row>
    <row r="81" spans="2:4" hidden="1">
      <c r="B81" s="393"/>
      <c r="C81" s="395"/>
      <c r="D81" s="396"/>
    </row>
    <row r="82" spans="2:4" hidden="1">
      <c r="B82" s="393"/>
      <c r="C82" s="395"/>
      <c r="D82" s="396"/>
    </row>
    <row r="83" spans="2:4" hidden="1">
      <c r="B83" s="393"/>
      <c r="C83" s="395"/>
      <c r="D83" s="396"/>
    </row>
    <row r="84" spans="2:4" hidden="1">
      <c r="B84" s="393"/>
      <c r="C84" s="395"/>
      <c r="D84" s="396"/>
    </row>
    <row r="85" spans="2:4" hidden="1">
      <c r="B85" s="393"/>
      <c r="C85" s="395"/>
      <c r="D85" s="396"/>
    </row>
    <row r="86" spans="2:4" hidden="1">
      <c r="B86" s="393"/>
      <c r="C86" s="395"/>
      <c r="D86" s="396"/>
    </row>
    <row r="87" spans="2:4" hidden="1">
      <c r="B87" s="393"/>
      <c r="C87" s="395"/>
      <c r="D87" s="396"/>
    </row>
    <row r="88" spans="2:4" hidden="1">
      <c r="B88" s="393"/>
      <c r="C88" s="395"/>
      <c r="D88" s="396"/>
    </row>
    <row r="89" spans="2:4" hidden="1">
      <c r="B89" s="393"/>
      <c r="C89" s="395"/>
      <c r="D89" s="396"/>
    </row>
    <row r="90" spans="2:4" hidden="1">
      <c r="B90" s="393"/>
      <c r="C90" s="395"/>
      <c r="D90" s="396"/>
    </row>
    <row r="91" spans="2:4" hidden="1">
      <c r="B91" s="393"/>
      <c r="C91" s="395"/>
      <c r="D91" s="396"/>
    </row>
    <row r="92" spans="2:4" hidden="1">
      <c r="B92" s="393"/>
      <c r="C92" s="395"/>
      <c r="D92" s="396"/>
    </row>
    <row r="93" spans="2:4" hidden="1">
      <c r="B93" s="393"/>
      <c r="C93" s="395"/>
      <c r="D93" s="396"/>
    </row>
    <row r="94" spans="2:4" hidden="1">
      <c r="B94" s="393"/>
      <c r="C94" s="395"/>
      <c r="D94" s="396"/>
    </row>
    <row r="95" spans="2:4" hidden="1">
      <c r="B95" s="393"/>
      <c r="C95" s="395"/>
      <c r="D95" s="396"/>
    </row>
    <row r="96" spans="2:4" hidden="1">
      <c r="B96" s="393"/>
      <c r="C96" s="395"/>
      <c r="D96" s="396"/>
    </row>
    <row r="97" spans="2:4" hidden="1">
      <c r="B97" s="393"/>
      <c r="C97" s="395"/>
      <c r="D97" s="396"/>
    </row>
    <row r="98" spans="2:4" hidden="1">
      <c r="B98" s="393"/>
      <c r="C98" s="395"/>
      <c r="D98" s="396"/>
    </row>
    <row r="99" spans="2:4" hidden="1">
      <c r="B99" s="393"/>
      <c r="C99" s="395"/>
      <c r="D99" s="396"/>
    </row>
    <row r="100" spans="2:4" hidden="1">
      <c r="B100" s="393"/>
      <c r="C100" s="395"/>
      <c r="D100" s="396"/>
    </row>
    <row r="101" spans="2:4" hidden="1">
      <c r="B101" s="393"/>
      <c r="C101" s="395"/>
      <c r="D101" s="396"/>
    </row>
    <row r="102" spans="2:4" hidden="1">
      <c r="B102" s="393"/>
      <c r="C102" s="395"/>
      <c r="D102" s="396"/>
    </row>
    <row r="103" spans="2:4" hidden="1">
      <c r="B103" s="393"/>
      <c r="C103" s="395"/>
      <c r="D103" s="396"/>
    </row>
    <row r="104" spans="2:4" hidden="1">
      <c r="B104" s="393"/>
      <c r="C104" s="395"/>
      <c r="D104" s="396"/>
    </row>
    <row r="105" spans="2:4" hidden="1">
      <c r="B105" s="393"/>
      <c r="C105" s="395"/>
      <c r="D105" s="396"/>
    </row>
    <row r="106" spans="2:4" hidden="1">
      <c r="B106" s="393"/>
      <c r="C106" s="395"/>
      <c r="D106" s="396"/>
    </row>
    <row r="107" spans="2:4" hidden="1">
      <c r="B107" s="393"/>
      <c r="C107" s="395"/>
      <c r="D107" s="396"/>
    </row>
    <row r="108" spans="2:4" hidden="1">
      <c r="B108" s="393"/>
      <c r="C108" s="395"/>
      <c r="D108" s="396"/>
    </row>
    <row r="109" spans="2:4" ht="4.5" hidden="1" customHeight="1">
      <c r="B109" s="393"/>
      <c r="C109" s="395"/>
      <c r="D109" s="394"/>
    </row>
    <row r="110" spans="2:4" hidden="1">
      <c r="B110" s="393"/>
      <c r="C110" s="400"/>
    </row>
    <row r="111" spans="2:4" hidden="1">
      <c r="B111" s="393"/>
    </row>
    <row r="112" spans="2:4" hidden="1"/>
    <row r="113" spans="2:2" hidden="1"/>
    <row r="114" spans="2:2" hidden="1"/>
    <row r="115" spans="2:2" hidden="1"/>
    <row r="116" spans="2:2" hidden="1">
      <c r="B116" s="393" t="s">
        <v>1252</v>
      </c>
    </row>
    <row r="117" spans="2:2" hidden="1"/>
    <row r="118" spans="2:2" hidden="1"/>
    <row r="119" spans="2:2" hidden="1"/>
    <row r="120" spans="2:2" hidden="1"/>
  </sheetData>
  <phoneticPr fontId="87" type="noConversion"/>
  <printOptions horizontalCentered="1"/>
  <pageMargins left="0" right="0" top="1" bottom="0" header="0.5" footer="0.5"/>
  <pageSetup scale="76" orientation="landscape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2">
    <pageSetUpPr fitToPage="1"/>
  </sheetPr>
  <dimension ref="A1:N97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RowHeight="12.75"/>
  <cols>
    <col min="1" max="1" width="35.140625" style="405" customWidth="1"/>
    <col min="2" max="10" width="21.140625" style="403" bestFit="1" customWidth="1"/>
    <col min="11" max="13" width="14.5703125" style="402" bestFit="1" customWidth="1"/>
    <col min="14" max="14" width="19.7109375" style="402" bestFit="1" customWidth="1"/>
    <col min="15" max="16384" width="9.140625" style="402"/>
  </cols>
  <sheetData>
    <row r="1" spans="1:14">
      <c r="A1" s="389" t="s">
        <v>2101</v>
      </c>
    </row>
    <row r="2" spans="1:14">
      <c r="A2" s="389" t="s">
        <v>2102</v>
      </c>
    </row>
    <row r="3" spans="1:14">
      <c r="A3" s="389" t="s">
        <v>2103</v>
      </c>
    </row>
    <row r="4" spans="1:14">
      <c r="A4" s="390" t="s">
        <v>2104</v>
      </c>
      <c r="B4" s="404"/>
      <c r="C4" s="404"/>
      <c r="D4" s="404"/>
      <c r="E4" s="404"/>
      <c r="F4" s="404"/>
      <c r="G4" s="404"/>
      <c r="H4" s="404"/>
      <c r="I4" s="404"/>
      <c r="J4" s="404"/>
    </row>
    <row r="5" spans="1:14" ht="18">
      <c r="J5" s="171" t="s">
        <v>4854</v>
      </c>
      <c r="K5" s="172"/>
      <c r="L5" s="172"/>
    </row>
    <row r="6" spans="1:14" ht="15" customHeight="1" thickBot="1">
      <c r="A6" s="406" t="s">
        <v>2105</v>
      </c>
      <c r="B6" s="408">
        <v>41609</v>
      </c>
      <c r="C6" s="408">
        <v>41640</v>
      </c>
      <c r="D6" s="408">
        <v>41671</v>
      </c>
      <c r="E6" s="408">
        <v>41699</v>
      </c>
      <c r="F6" s="408">
        <v>41730</v>
      </c>
      <c r="G6" s="408">
        <v>41771</v>
      </c>
      <c r="H6" s="408">
        <v>41820</v>
      </c>
      <c r="I6" s="408">
        <v>41821</v>
      </c>
      <c r="J6" s="407">
        <v>41852</v>
      </c>
      <c r="K6" s="407">
        <v>41883</v>
      </c>
      <c r="L6" s="407">
        <v>41913</v>
      </c>
      <c r="M6" s="407">
        <v>41944</v>
      </c>
      <c r="N6" s="407">
        <v>41974</v>
      </c>
    </row>
    <row r="7" spans="1:14" ht="13.5" hidden="1" thickBot="1">
      <c r="A7" s="409" t="s">
        <v>2106</v>
      </c>
      <c r="B7" s="410">
        <v>12</v>
      </c>
      <c r="C7" s="410"/>
      <c r="D7" s="410"/>
      <c r="E7" s="410"/>
      <c r="F7" s="410">
        <v>4</v>
      </c>
      <c r="G7" s="410">
        <v>5</v>
      </c>
      <c r="H7" s="410"/>
      <c r="I7" s="410">
        <v>7</v>
      </c>
      <c r="J7" s="410"/>
    </row>
    <row r="8" spans="1:14" ht="13.5" thickBot="1">
      <c r="A8" s="411" t="s">
        <v>2107</v>
      </c>
    </row>
    <row r="9" spans="1:14" s="413" customFormat="1">
      <c r="A9" s="411" t="s">
        <v>2108</v>
      </c>
      <c r="B9" s="412">
        <v>-2876162.97</v>
      </c>
      <c r="C9" s="412">
        <v>-3688382.87</v>
      </c>
      <c r="D9" s="412">
        <v>-4104232.64</v>
      </c>
      <c r="E9" s="412">
        <v>-3900626.55</v>
      </c>
      <c r="F9" s="412">
        <v>-3449801.34</v>
      </c>
      <c r="G9" s="412">
        <v>-3440920.14</v>
      </c>
      <c r="H9" s="412">
        <v>-3384449.01</v>
      </c>
      <c r="I9" s="412">
        <v>-3731426.67</v>
      </c>
      <c r="J9" s="412"/>
    </row>
    <row r="10" spans="1:14" s="413" customFormat="1">
      <c r="A10" s="414" t="s">
        <v>2109</v>
      </c>
      <c r="B10" s="415"/>
      <c r="C10" s="415"/>
      <c r="D10" s="415"/>
      <c r="E10" s="415"/>
      <c r="F10" s="415"/>
      <c r="G10" s="415"/>
      <c r="H10" s="415"/>
      <c r="I10" s="415"/>
      <c r="J10" s="415"/>
    </row>
    <row r="11" spans="1:14" s="418" customFormat="1">
      <c r="A11" s="416" t="s">
        <v>2110</v>
      </c>
      <c r="B11" s="417"/>
      <c r="C11" s="417"/>
      <c r="D11" s="417"/>
      <c r="E11" s="417"/>
      <c r="F11" s="417"/>
      <c r="G11" s="417"/>
      <c r="H11" s="417"/>
      <c r="I11" s="417"/>
      <c r="J11" s="417"/>
    </row>
    <row r="12" spans="1:14" s="418" customFormat="1">
      <c r="A12" s="416" t="s">
        <v>2111</v>
      </c>
      <c r="B12" s="419">
        <v>2.2680000000000001E-3</v>
      </c>
      <c r="C12" s="419">
        <v>3.0620000000000001E-3</v>
      </c>
      <c r="D12" s="419">
        <v>3.0620000000000001E-3</v>
      </c>
      <c r="E12" s="419">
        <v>3.0620000000000001E-3</v>
      </c>
      <c r="F12" s="419">
        <v>3.0620000000000001E-3</v>
      </c>
      <c r="G12" s="419">
        <v>3.0620000000000001E-3</v>
      </c>
      <c r="H12" s="419">
        <v>3.0620000000000001E-3</v>
      </c>
      <c r="I12" s="419">
        <v>3.0620000000000001E-3</v>
      </c>
      <c r="J12" s="419"/>
    </row>
    <row r="13" spans="1:14" s="418" customFormat="1">
      <c r="A13" s="416" t="s">
        <v>2112</v>
      </c>
      <c r="B13" s="420">
        <v>-1359768.58</v>
      </c>
      <c r="C13" s="420">
        <v>-2006026.74</v>
      </c>
      <c r="D13" s="420">
        <v>-1744033.85</v>
      </c>
      <c r="E13" s="420">
        <v>-1789218.09</v>
      </c>
      <c r="F13" s="420">
        <v>-1671261.57</v>
      </c>
      <c r="G13" s="420">
        <v>-1344914.58</v>
      </c>
      <c r="H13" s="420">
        <v>-1538261.43</v>
      </c>
      <c r="I13" s="420">
        <v>-1606761.9</v>
      </c>
      <c r="J13" s="420"/>
    </row>
    <row r="14" spans="1:14" s="418" customFormat="1">
      <c r="A14" s="416" t="s">
        <v>2113</v>
      </c>
      <c r="B14" s="421">
        <v>1461826.65</v>
      </c>
      <c r="C14" s="421">
        <v>1359768.58</v>
      </c>
      <c r="D14" s="421">
        <v>2006026.74</v>
      </c>
      <c r="E14" s="421">
        <v>1744033.85</v>
      </c>
      <c r="F14" s="421">
        <v>1789218.09</v>
      </c>
      <c r="G14" s="421">
        <v>1671261.57</v>
      </c>
      <c r="H14" s="421">
        <v>1344914.58</v>
      </c>
      <c r="I14" s="421">
        <v>1538261.43</v>
      </c>
      <c r="J14" s="421"/>
    </row>
    <row r="15" spans="1:14">
      <c r="A15" s="416" t="s">
        <v>2114</v>
      </c>
      <c r="B15" s="420">
        <v>782982</v>
      </c>
      <c r="C15" s="420">
        <v>1508492</v>
      </c>
      <c r="D15" s="420">
        <v>1245527</v>
      </c>
      <c r="E15" s="420">
        <v>1097352</v>
      </c>
      <c r="F15" s="420">
        <v>1103133</v>
      </c>
      <c r="G15" s="420">
        <v>810099</v>
      </c>
      <c r="H15" s="420">
        <v>750381</v>
      </c>
      <c r="I15" s="420">
        <v>870212</v>
      </c>
      <c r="J15" s="420"/>
    </row>
    <row r="16" spans="1:14">
      <c r="A16" s="416" t="s">
        <v>2115</v>
      </c>
      <c r="B16" s="423">
        <v>-1775.8</v>
      </c>
      <c r="C16" s="423">
        <v>-4619</v>
      </c>
      <c r="D16" s="423">
        <v>-3813.8</v>
      </c>
      <c r="E16" s="423">
        <v>-3360.09</v>
      </c>
      <c r="F16" s="423">
        <v>-3377.79</v>
      </c>
      <c r="G16" s="423">
        <v>-2480.52</v>
      </c>
      <c r="H16" s="423">
        <v>-2297.67</v>
      </c>
      <c r="I16" s="423">
        <v>-2664.59</v>
      </c>
      <c r="J16" s="423"/>
    </row>
    <row r="17" spans="1:10" s="425" customFormat="1">
      <c r="A17" s="424" t="s">
        <v>2111</v>
      </c>
      <c r="B17" s="422"/>
      <c r="C17" s="422"/>
      <c r="D17" s="422"/>
      <c r="E17" s="422"/>
      <c r="F17" s="422"/>
      <c r="G17" s="422"/>
      <c r="H17" s="422"/>
      <c r="I17" s="422"/>
      <c r="J17" s="422"/>
    </row>
    <row r="18" spans="1:10" s="428" customFormat="1" ht="15">
      <c r="A18" s="426" t="s">
        <v>2116</v>
      </c>
      <c r="B18" s="427">
        <v>102058.06999999983</v>
      </c>
      <c r="C18" s="427">
        <v>-646258.15999999992</v>
      </c>
      <c r="D18" s="427">
        <v>261992.8899999999</v>
      </c>
      <c r="E18" s="427">
        <v>-45184.239999999991</v>
      </c>
      <c r="F18" s="427">
        <v>117956.52000000002</v>
      </c>
      <c r="G18" s="427">
        <v>326346.99</v>
      </c>
      <c r="H18" s="427">
        <v>-193346.84999999986</v>
      </c>
      <c r="I18" s="427">
        <v>-68500.469999999972</v>
      </c>
      <c r="J18" s="427"/>
    </row>
    <row r="19" spans="1:10" s="404" customFormat="1">
      <c r="A19" s="429" t="s">
        <v>2117</v>
      </c>
      <c r="B19" s="430">
        <v>-2775880.7</v>
      </c>
      <c r="C19" s="430">
        <v>-4339260.03</v>
      </c>
      <c r="D19" s="430">
        <v>-3846053.55</v>
      </c>
      <c r="E19" s="430">
        <v>-3949170.88</v>
      </c>
      <c r="F19" s="430">
        <v>-3335222.61</v>
      </c>
      <c r="G19" s="430">
        <v>-3117053.6700000004</v>
      </c>
      <c r="H19" s="430">
        <v>-3580093.5299999993</v>
      </c>
      <c r="I19" s="430">
        <v>-3802591.7299999995</v>
      </c>
      <c r="J19" s="430"/>
    </row>
    <row r="20" spans="1:10" s="404" customFormat="1">
      <c r="A20" s="429"/>
      <c r="B20" s="431">
        <v>-2775880.7</v>
      </c>
      <c r="C20" s="431">
        <v>-4339260.03</v>
      </c>
      <c r="D20" s="431">
        <v>-3846053.55</v>
      </c>
      <c r="E20" s="431">
        <v>-3949170.88</v>
      </c>
      <c r="F20" s="431">
        <v>-3335222.61</v>
      </c>
      <c r="G20" s="431">
        <v>-3117053.6700000004</v>
      </c>
      <c r="H20" s="431">
        <v>-3580093.5299999993</v>
      </c>
      <c r="I20" s="431">
        <v>-3802591.7299999995</v>
      </c>
      <c r="J20" s="431"/>
    </row>
    <row r="21" spans="1:10" s="404" customFormat="1">
      <c r="A21" s="429"/>
      <c r="B21" s="432"/>
      <c r="C21" s="432"/>
      <c r="D21" s="432"/>
      <c r="E21" s="432"/>
      <c r="F21" s="432"/>
      <c r="G21" s="432"/>
      <c r="H21" s="432"/>
      <c r="I21" s="432"/>
      <c r="J21" s="432"/>
    </row>
    <row r="22" spans="1:10" s="404" customFormat="1">
      <c r="A22" s="414" t="s">
        <v>2118</v>
      </c>
      <c r="B22" s="433">
        <v>-122660696.55194964</v>
      </c>
      <c r="C22" s="433">
        <v>-126999956.58194964</v>
      </c>
      <c r="D22" s="433">
        <v>-130846010.13194963</v>
      </c>
      <c r="E22" s="433">
        <v>-134795181.01194963</v>
      </c>
      <c r="F22" s="433">
        <v>-138130403.62194964</v>
      </c>
      <c r="G22" s="433">
        <v>-141247457.29194963</v>
      </c>
      <c r="H22" s="433">
        <v>-144827550.82194963</v>
      </c>
      <c r="I22" s="433">
        <v>-148630142.55194962</v>
      </c>
      <c r="J22" s="433"/>
    </row>
    <row r="23" spans="1:10" s="133" customFormat="1">
      <c r="A23" s="434" t="s">
        <v>2401</v>
      </c>
      <c r="B23" s="423"/>
      <c r="C23" s="423"/>
      <c r="D23" s="423"/>
      <c r="E23" s="423"/>
      <c r="F23" s="423"/>
      <c r="G23" s="423"/>
      <c r="H23" s="423"/>
      <c r="I23" s="423"/>
      <c r="J23" s="423"/>
    </row>
    <row r="24" spans="1:10" s="404" customFormat="1">
      <c r="A24" s="434" t="s">
        <v>2119</v>
      </c>
      <c r="B24" s="435">
        <v>1259946.3600000001</v>
      </c>
      <c r="C24" s="435">
        <v>2259040.17</v>
      </c>
      <c r="D24" s="435">
        <v>2259040.17</v>
      </c>
      <c r="E24" s="435">
        <v>2259040.17</v>
      </c>
      <c r="F24" s="435">
        <v>2259040.17</v>
      </c>
      <c r="G24" s="435">
        <v>2259040.17</v>
      </c>
      <c r="H24" s="435">
        <v>2259040.17</v>
      </c>
      <c r="I24" s="435">
        <v>2259040.17</v>
      </c>
      <c r="J24" s="435"/>
    </row>
    <row r="25" spans="1:10" s="404" customFormat="1">
      <c r="A25" s="434" t="s">
        <v>2120</v>
      </c>
      <c r="B25" s="435">
        <v>1419620.88</v>
      </c>
      <c r="C25" s="435">
        <v>1419620.92</v>
      </c>
      <c r="D25" s="435">
        <v>1419620.92</v>
      </c>
      <c r="E25" s="435">
        <v>1419620.92</v>
      </c>
      <c r="F25" s="435">
        <v>1419620.92</v>
      </c>
      <c r="G25" s="435">
        <v>1419620.92</v>
      </c>
      <c r="H25" s="435">
        <v>1419620.92</v>
      </c>
      <c r="I25" s="435">
        <v>1419620.92</v>
      </c>
      <c r="J25" s="435"/>
    </row>
    <row r="26" spans="1:10" s="404" customFormat="1">
      <c r="A26" s="434" t="s">
        <v>2121</v>
      </c>
      <c r="B26" s="436">
        <v>2679567.2400000002</v>
      </c>
      <c r="C26" s="436">
        <v>3678661.09</v>
      </c>
      <c r="D26" s="436">
        <v>3678661.09</v>
      </c>
      <c r="E26" s="436">
        <v>3678661.09</v>
      </c>
      <c r="F26" s="436">
        <v>3678661.09</v>
      </c>
      <c r="G26" s="436">
        <v>3678661.09</v>
      </c>
      <c r="H26" s="436">
        <v>3678661.09</v>
      </c>
      <c r="I26" s="436">
        <v>3678661.09</v>
      </c>
      <c r="J26" s="436"/>
    </row>
    <row r="27" spans="1:10" s="404" customFormat="1">
      <c r="A27" s="434"/>
      <c r="B27" s="432"/>
      <c r="C27" s="432"/>
      <c r="D27" s="432"/>
      <c r="E27" s="432"/>
      <c r="F27" s="432"/>
      <c r="G27" s="432"/>
      <c r="H27" s="432"/>
      <c r="I27" s="432"/>
      <c r="J27" s="432"/>
    </row>
    <row r="28" spans="1:10" s="404" customFormat="1">
      <c r="A28" s="414" t="s">
        <v>2122</v>
      </c>
      <c r="B28" s="431">
        <v>-96313.459999999963</v>
      </c>
      <c r="C28" s="431">
        <v>-660598.94000000041</v>
      </c>
      <c r="D28" s="431">
        <v>-167392.45999999996</v>
      </c>
      <c r="E28" s="431">
        <v>-270509.79000000004</v>
      </c>
      <c r="F28" s="431">
        <v>343438.48</v>
      </c>
      <c r="G28" s="431">
        <v>561607.41999999946</v>
      </c>
      <c r="H28" s="431">
        <v>98567.560000000522</v>
      </c>
      <c r="I28" s="431">
        <v>-123930.63999999966</v>
      </c>
      <c r="J28" s="431"/>
    </row>
    <row r="29" spans="1:10" s="404" customFormat="1">
      <c r="A29" s="439"/>
      <c r="B29" s="432"/>
      <c r="C29" s="432"/>
      <c r="D29" s="432"/>
      <c r="E29" s="432"/>
      <c r="F29" s="432"/>
      <c r="G29" s="432"/>
      <c r="H29" s="432"/>
      <c r="I29" s="432"/>
      <c r="J29" s="432"/>
    </row>
    <row r="30" spans="1:10" ht="21" customHeight="1">
      <c r="A30" s="440" t="s">
        <v>2123</v>
      </c>
      <c r="B30" s="441">
        <v>116624.85444139689</v>
      </c>
      <c r="C30" s="441">
        <v>-543974.08555860352</v>
      </c>
      <c r="D30" s="441">
        <v>-711366.54555860348</v>
      </c>
      <c r="E30" s="441">
        <v>-981876.33555860352</v>
      </c>
      <c r="F30" s="441">
        <v>-638437.85555860354</v>
      </c>
      <c r="G30" s="441">
        <v>-76830.435558604077</v>
      </c>
      <c r="H30" s="441">
        <v>21737.124441396445</v>
      </c>
      <c r="I30" s="441">
        <v>-102193.51555860322</v>
      </c>
      <c r="J30" s="441"/>
    </row>
    <row r="31" spans="1:10">
      <c r="A31" s="429"/>
      <c r="B31" s="422"/>
      <c r="C31" s="422"/>
      <c r="D31" s="422"/>
      <c r="E31" s="422"/>
      <c r="F31" s="422"/>
      <c r="G31" s="422"/>
      <c r="H31" s="422"/>
      <c r="I31" s="422"/>
      <c r="J31" s="422"/>
    </row>
    <row r="32" spans="1:10" s="418" customFormat="1">
      <c r="A32" s="442" t="s">
        <v>2124</v>
      </c>
      <c r="B32" s="443">
        <v>116624.85</v>
      </c>
      <c r="C32" s="443">
        <v>-543974.09</v>
      </c>
      <c r="D32" s="443">
        <v>-711366.55</v>
      </c>
      <c r="E32" s="443">
        <v>-981876.34</v>
      </c>
      <c r="F32" s="443">
        <v>-638437.86</v>
      </c>
      <c r="G32" s="443">
        <v>-76830.44</v>
      </c>
      <c r="H32" s="443">
        <v>21737.119999999999</v>
      </c>
      <c r="I32" s="443">
        <v>-102193.52</v>
      </c>
      <c r="J32" s="444" t="s">
        <v>4823</v>
      </c>
    </row>
    <row r="33" spans="1:10" ht="13.5" thickBot="1">
      <c r="A33" s="445" t="s">
        <v>2505</v>
      </c>
      <c r="B33" s="446">
        <v>-4.4413968862500042E-3</v>
      </c>
      <c r="C33" s="446">
        <v>-4.4413964496925473E-3</v>
      </c>
      <c r="D33" s="446">
        <v>-4.4413965661078691E-3</v>
      </c>
      <c r="E33" s="446">
        <v>-4.4413964496925473E-3</v>
      </c>
      <c r="F33" s="446">
        <v>-4.4413964496925473E-3</v>
      </c>
      <c r="G33" s="446">
        <v>-4.4413959258235991E-3</v>
      </c>
      <c r="H33" s="446">
        <v>-4.4413964460545685E-3</v>
      </c>
      <c r="I33" s="446">
        <v>-4.4413967843865976E-3</v>
      </c>
      <c r="J33" s="446"/>
    </row>
    <row r="34" spans="1:10" ht="13.5" thickBot="1">
      <c r="A34" s="447"/>
      <c r="B34" s="448"/>
      <c r="C34" s="448"/>
      <c r="D34" s="448"/>
      <c r="E34" s="448"/>
      <c r="F34" s="448"/>
      <c r="G34" s="448"/>
      <c r="H34" s="448"/>
      <c r="I34" s="448"/>
      <c r="J34" s="448"/>
    </row>
    <row r="35" spans="1:10">
      <c r="A35" s="411" t="s">
        <v>2125</v>
      </c>
      <c r="B35" s="449"/>
      <c r="C35" s="449"/>
      <c r="D35" s="449"/>
      <c r="E35" s="449"/>
      <c r="F35" s="449"/>
      <c r="G35" s="449"/>
      <c r="H35" s="449"/>
      <c r="I35" s="449"/>
      <c r="J35" s="449"/>
    </row>
    <row r="36" spans="1:10" s="418" customFormat="1">
      <c r="A36" s="450" t="s">
        <v>2126</v>
      </c>
      <c r="B36" s="451">
        <v>-1259946.3600000001</v>
      </c>
      <c r="C36" s="451">
        <v>-2259040.17</v>
      </c>
      <c r="D36" s="451">
        <v>-2259040.17</v>
      </c>
      <c r="E36" s="451">
        <v>-2259040.17</v>
      </c>
      <c r="F36" s="451">
        <v>-2259040.17</v>
      </c>
      <c r="G36" s="451">
        <v>-2259040.17</v>
      </c>
      <c r="H36" s="451">
        <v>-2259040.17</v>
      </c>
      <c r="I36" s="451">
        <v>-2259040.17</v>
      </c>
      <c r="J36" s="451"/>
    </row>
    <row r="37" spans="1:10" s="418" customFormat="1">
      <c r="A37" s="452" t="s">
        <v>2127</v>
      </c>
      <c r="B37" s="488">
        <v>-3804546</v>
      </c>
      <c r="C37" s="453"/>
      <c r="D37" s="453"/>
      <c r="E37" s="453"/>
      <c r="F37" s="453"/>
      <c r="G37" s="453"/>
      <c r="H37" s="453"/>
      <c r="I37" s="453"/>
      <c r="J37" s="453"/>
    </row>
    <row r="38" spans="1:10" s="418" customFormat="1" ht="13.5" thickBot="1">
      <c r="A38" s="450" t="s">
        <v>2128</v>
      </c>
      <c r="B38" s="454">
        <v>1959067.5</v>
      </c>
      <c r="C38" s="454">
        <v>1802799.58</v>
      </c>
      <c r="D38" s="454">
        <v>0</v>
      </c>
      <c r="E38" s="454">
        <v>10465375.75</v>
      </c>
      <c r="F38" s="454">
        <v>116290.75</v>
      </c>
      <c r="G38" s="454">
        <v>0</v>
      </c>
      <c r="H38" s="454">
        <v>6660829.75</v>
      </c>
      <c r="I38" s="454">
        <v>116290.75</v>
      </c>
      <c r="J38" s="454"/>
    </row>
    <row r="39" spans="1:10" ht="13.5" thickBot="1">
      <c r="A39" s="440" t="s">
        <v>2129</v>
      </c>
      <c r="B39" s="455">
        <v>-5607317.9900000002</v>
      </c>
      <c r="C39" s="455">
        <v>-6063558.5800000001</v>
      </c>
      <c r="D39" s="455">
        <v>-8322598.75</v>
      </c>
      <c r="E39" s="455">
        <v>-116263.17</v>
      </c>
      <c r="F39" s="455">
        <v>-2259012.59</v>
      </c>
      <c r="G39" s="455">
        <v>-4518052.76</v>
      </c>
      <c r="H39" s="455">
        <v>-116263.18</v>
      </c>
      <c r="I39" s="455">
        <v>-2259012.6</v>
      </c>
      <c r="J39" s="455"/>
    </row>
    <row r="40" spans="1:10">
      <c r="A40" s="429"/>
      <c r="B40" s="422"/>
      <c r="C40" s="422"/>
      <c r="D40" s="422"/>
      <c r="E40" s="422"/>
      <c r="F40" s="422"/>
      <c r="G40" s="422"/>
      <c r="H40" s="422"/>
      <c r="I40" s="422"/>
      <c r="J40" s="422"/>
    </row>
    <row r="41" spans="1:10" s="418" customFormat="1">
      <c r="A41" s="442" t="s">
        <v>2130</v>
      </c>
      <c r="B41" s="456">
        <v>-5607317.9900000002</v>
      </c>
      <c r="C41" s="456">
        <v>-6063558.5800000001</v>
      </c>
      <c r="D41" s="456">
        <v>-8322598.75</v>
      </c>
      <c r="E41" s="456">
        <v>-116263.17</v>
      </c>
      <c r="F41" s="456">
        <v>-2259012.59</v>
      </c>
      <c r="G41" s="456">
        <v>-4518052.76</v>
      </c>
      <c r="H41" s="456">
        <v>-116263.18</v>
      </c>
      <c r="I41" s="456">
        <v>-2259012.6</v>
      </c>
      <c r="J41" s="456"/>
    </row>
    <row r="42" spans="1:10" ht="13.5" thickBot="1">
      <c r="A42" s="445" t="s">
        <v>2505</v>
      </c>
      <c r="B42" s="458">
        <v>0</v>
      </c>
      <c r="C42" s="458">
        <v>0</v>
      </c>
      <c r="D42" s="458">
        <v>0</v>
      </c>
      <c r="E42" s="458">
        <v>0</v>
      </c>
      <c r="F42" s="458">
        <v>0</v>
      </c>
      <c r="G42" s="458">
        <v>0</v>
      </c>
      <c r="H42" s="458">
        <v>0</v>
      </c>
      <c r="I42" s="458">
        <v>0</v>
      </c>
      <c r="J42" s="458"/>
    </row>
    <row r="43" spans="1:10" ht="13.5" thickBot="1">
      <c r="A43" s="447"/>
      <c r="B43" s="448"/>
      <c r="C43" s="448"/>
      <c r="D43" s="448"/>
      <c r="E43" s="448"/>
      <c r="F43" s="448"/>
      <c r="G43" s="448"/>
      <c r="H43" s="448"/>
      <c r="I43" s="448"/>
      <c r="J43" s="448"/>
    </row>
    <row r="44" spans="1:10">
      <c r="A44" s="411" t="s">
        <v>2131</v>
      </c>
      <c r="B44" s="422"/>
      <c r="C44" s="422"/>
      <c r="D44" s="422"/>
      <c r="E44" s="422"/>
      <c r="F44" s="422"/>
      <c r="G44" s="422"/>
      <c r="H44" s="422"/>
      <c r="I44" s="422"/>
      <c r="J44" s="422"/>
    </row>
    <row r="45" spans="1:10">
      <c r="A45" s="450" t="s">
        <v>2132</v>
      </c>
      <c r="B45" s="459">
        <v>1419620.88</v>
      </c>
      <c r="C45" s="459">
        <v>-1419620.92</v>
      </c>
      <c r="D45" s="459">
        <v>-1419620.92</v>
      </c>
      <c r="E45" s="459">
        <v>-1419620.92</v>
      </c>
      <c r="F45" s="459">
        <v>-1419620.92</v>
      </c>
      <c r="G45" s="459">
        <v>-1419620.92</v>
      </c>
      <c r="H45" s="459">
        <v>-1419620.92</v>
      </c>
      <c r="I45" s="459">
        <v>-1419620.92</v>
      </c>
      <c r="J45" s="459"/>
    </row>
    <row r="46" spans="1:10">
      <c r="A46" s="452" t="s">
        <v>2127</v>
      </c>
      <c r="B46" s="423">
        <v>3804546</v>
      </c>
      <c r="C46" s="423"/>
      <c r="D46" s="423"/>
      <c r="E46" s="423"/>
      <c r="F46" s="423"/>
      <c r="G46" s="423"/>
      <c r="H46" s="423"/>
      <c r="I46" s="423"/>
      <c r="J46" s="423"/>
    </row>
    <row r="47" spans="1:10">
      <c r="A47" s="434" t="s">
        <v>2133</v>
      </c>
      <c r="B47" s="423">
        <v>1905862.5399999991</v>
      </c>
      <c r="C47" s="423">
        <v>2139688.04</v>
      </c>
      <c r="D47" s="423">
        <v>487688.72</v>
      </c>
      <c r="E47" s="423">
        <v>1118224.5</v>
      </c>
      <c r="F47" s="423">
        <v>1642272.19</v>
      </c>
      <c r="G47" s="423">
        <v>1090918.3899999999</v>
      </c>
      <c r="H47" s="423">
        <v>1236584.8</v>
      </c>
      <c r="I47" s="423">
        <v>1449742.1799999997</v>
      </c>
      <c r="J47" s="423"/>
    </row>
    <row r="48" spans="1:10">
      <c r="A48" s="460"/>
      <c r="B48" s="422"/>
      <c r="C48" s="422"/>
      <c r="D48" s="422"/>
      <c r="E48" s="422"/>
      <c r="F48" s="422"/>
      <c r="G48" s="422"/>
      <c r="H48" s="422"/>
      <c r="I48" s="422"/>
      <c r="J48" s="422"/>
    </row>
    <row r="49" spans="1:14">
      <c r="A49" s="461" t="s">
        <v>2134</v>
      </c>
      <c r="B49" s="462">
        <v>4290787.6599999992</v>
      </c>
      <c r="C49" s="462">
        <v>720067.12000000011</v>
      </c>
      <c r="D49" s="462">
        <v>-931932.2</v>
      </c>
      <c r="E49" s="462">
        <v>-301396.41999999993</v>
      </c>
      <c r="F49" s="462">
        <v>222651.27000000002</v>
      </c>
      <c r="G49" s="462">
        <v>-328702.53000000003</v>
      </c>
      <c r="H49" s="462">
        <v>-183036.11999999988</v>
      </c>
      <c r="I49" s="462">
        <v>30121.259999999776</v>
      </c>
      <c r="J49" s="462"/>
    </row>
    <row r="50" spans="1:14" ht="13.5" thickBot="1">
      <c r="A50" s="463"/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4" ht="13.5" thickBot="1">
      <c r="A51" s="440" t="s">
        <v>2135</v>
      </c>
      <c r="B51" s="466">
        <v>-11446399.950878665</v>
      </c>
      <c r="C51" s="466">
        <v>-10726332.830878664</v>
      </c>
      <c r="D51" s="466">
        <v>-11658265.030878663</v>
      </c>
      <c r="E51" s="466">
        <v>-11959661.450878663</v>
      </c>
      <c r="F51" s="466">
        <v>-11737010.180878663</v>
      </c>
      <c r="G51" s="466">
        <v>-12065712.710878663</v>
      </c>
      <c r="H51" s="466">
        <v>-12248748.830878662</v>
      </c>
      <c r="I51" s="466">
        <v>-12218627.570878662</v>
      </c>
      <c r="J51" s="466"/>
    </row>
    <row r="52" spans="1:14">
      <c r="A52" s="429"/>
      <c r="B52" s="422"/>
      <c r="C52" s="422"/>
      <c r="D52" s="422"/>
      <c r="E52" s="422"/>
      <c r="F52" s="422"/>
      <c r="G52" s="422"/>
      <c r="H52" s="422"/>
      <c r="I52" s="422"/>
      <c r="J52" s="422"/>
    </row>
    <row r="53" spans="1:14">
      <c r="A53" s="442" t="s">
        <v>2136</v>
      </c>
      <c r="B53" s="423">
        <v>-11446399.949999999</v>
      </c>
      <c r="C53" s="423">
        <v>-10726332.83</v>
      </c>
      <c r="D53" s="423">
        <v>-11658265.029999999</v>
      </c>
      <c r="E53" s="423">
        <v>-11959661.449999999</v>
      </c>
      <c r="F53" s="423">
        <v>-11737010.18</v>
      </c>
      <c r="G53" s="423">
        <v>-12065712.710000001</v>
      </c>
      <c r="H53" s="423">
        <v>-12248748.83</v>
      </c>
      <c r="I53" s="423">
        <v>-12218627.57</v>
      </c>
      <c r="J53" s="444" t="s">
        <v>4823</v>
      </c>
    </row>
    <row r="54" spans="1:14" ht="13.5" thickBot="1">
      <c r="A54" s="445" t="s">
        <v>2505</v>
      </c>
      <c r="B54" s="457">
        <v>-8.7866559624671936E-4</v>
      </c>
      <c r="C54" s="457">
        <v>-8.7866373360157013E-4</v>
      </c>
      <c r="D54" s="457">
        <v>-8.7866373360157013E-4</v>
      </c>
      <c r="E54" s="457">
        <v>-8.7866373360157013E-4</v>
      </c>
      <c r="F54" s="457">
        <v>-8.7866373360157013E-4</v>
      </c>
      <c r="G54" s="457">
        <v>-8.786618709564209E-4</v>
      </c>
      <c r="H54" s="457">
        <v>-8.786618709564209E-4</v>
      </c>
      <c r="I54" s="457">
        <v>-8.786618709564209E-4</v>
      </c>
      <c r="J54" s="457"/>
    </row>
    <row r="55" spans="1:14" ht="13.5" thickBot="1">
      <c r="A55" s="447"/>
      <c r="B55" s="448"/>
      <c r="C55" s="448"/>
      <c r="D55" s="448"/>
      <c r="E55" s="448"/>
      <c r="F55" s="448"/>
      <c r="G55" s="448"/>
      <c r="H55" s="448"/>
      <c r="I55" s="448"/>
      <c r="J55" s="448"/>
    </row>
    <row r="56" spans="1:14">
      <c r="A56" s="467" t="s">
        <v>2137</v>
      </c>
      <c r="B56" s="422"/>
      <c r="C56" s="422"/>
      <c r="D56" s="422"/>
      <c r="E56" s="422"/>
      <c r="F56" s="422"/>
      <c r="G56" s="422"/>
      <c r="H56" s="422"/>
      <c r="I56" s="422"/>
      <c r="J56" s="422"/>
    </row>
    <row r="57" spans="1:14" ht="13.5" thickBot="1">
      <c r="A57" s="401" t="s">
        <v>4932</v>
      </c>
      <c r="B57" s="487">
        <v>-16366144.934212001</v>
      </c>
      <c r="C57" s="487">
        <v>-16248848.216711998</v>
      </c>
      <c r="D57" s="487">
        <v>-16095009.663378665</v>
      </c>
      <c r="E57" s="487">
        <v>-15974548.916295329</v>
      </c>
      <c r="F57" s="487">
        <v>-15847473.22004533</v>
      </c>
      <c r="G57" s="487">
        <v>-15713061.590878665</v>
      </c>
      <c r="H57" s="487">
        <v>-15578804.926711999</v>
      </c>
      <c r="I57" s="487">
        <v>-15436852.874211997</v>
      </c>
      <c r="J57" s="487">
        <v>-14655377.705008721</v>
      </c>
      <c r="K57" s="528">
        <v>-13224171.238685496</v>
      </c>
      <c r="L57" s="530">
        <v>-11772934.741945609</v>
      </c>
      <c r="M57" s="530">
        <v>-10283509.016872387</v>
      </c>
      <c r="N57" s="529">
        <f t="shared" ref="N57" si="0">((SUM(B58:N58)+SUM(B68:N68))-SUM(N58+N68+B58+B68)/2)/12</f>
        <v>-8950849.6692991648</v>
      </c>
    </row>
    <row r="58" spans="1:14">
      <c r="A58" s="468" t="s">
        <v>2138</v>
      </c>
      <c r="B58" s="451">
        <v>-11446399.950878665</v>
      </c>
      <c r="C58" s="451">
        <v>-10726332.830878664</v>
      </c>
      <c r="D58" s="451">
        <v>-11658265.030878663</v>
      </c>
      <c r="E58" s="451">
        <v>-11959661.450878663</v>
      </c>
      <c r="F58" s="451">
        <v>-11737010.180878663</v>
      </c>
      <c r="G58" s="451">
        <v>-12065712.710878663</v>
      </c>
      <c r="H58" s="451">
        <v>-12248748.830878662</v>
      </c>
      <c r="I58" s="451">
        <v>-12218627.570878662</v>
      </c>
      <c r="J58" s="527"/>
    </row>
    <row r="59" spans="1:14">
      <c r="A59" s="468" t="s">
        <v>2139</v>
      </c>
      <c r="B59" s="469">
        <v>-2386283.7599999998</v>
      </c>
      <c r="C59" s="469">
        <v>-2413953.0199999996</v>
      </c>
      <c r="D59" s="469">
        <v>-2447214.3299999996</v>
      </c>
      <c r="E59" s="469">
        <v>-2480812.0299999998</v>
      </c>
      <c r="F59" s="469">
        <v>-2516013.0399999996</v>
      </c>
      <c r="G59" s="469">
        <v>-2551395.9899999998</v>
      </c>
      <c r="H59" s="469">
        <v>-2586996.7599999998</v>
      </c>
      <c r="I59" s="469">
        <v>-2623316.0999999996</v>
      </c>
      <c r="J59" s="469"/>
    </row>
    <row r="60" spans="1:14">
      <c r="A60" s="468" t="s">
        <v>2140</v>
      </c>
      <c r="B60" s="451">
        <v>-13832683.710878665</v>
      </c>
      <c r="C60" s="451">
        <v>-13140285.850878663</v>
      </c>
      <c r="D60" s="451">
        <v>-14105479.360878663</v>
      </c>
      <c r="E60" s="451">
        <v>-14440473.480878662</v>
      </c>
      <c r="F60" s="451">
        <v>-14253023.220878663</v>
      </c>
      <c r="G60" s="451">
        <v>-14617108.700878663</v>
      </c>
      <c r="H60" s="451">
        <v>-14835745.590878662</v>
      </c>
      <c r="I60" s="451">
        <v>-14841943.670878662</v>
      </c>
      <c r="J60" s="451"/>
    </row>
    <row r="61" spans="1:14">
      <c r="A61" s="429" t="s">
        <v>2141</v>
      </c>
      <c r="B61" s="431">
        <v>-15962613.565878663</v>
      </c>
      <c r="C61" s="431">
        <v>-13486484.780878663</v>
      </c>
      <c r="D61" s="431">
        <v>-13622882.605878662</v>
      </c>
      <c r="E61" s="431">
        <v>-14272976.420878664</v>
      </c>
      <c r="F61" s="431">
        <v>-14346748.350878663</v>
      </c>
      <c r="G61" s="431">
        <v>-14435065.960878663</v>
      </c>
      <c r="H61" s="431">
        <v>-14726427.145878661</v>
      </c>
      <c r="I61" s="431">
        <v>-14838844.630878661</v>
      </c>
      <c r="J61" s="431"/>
    </row>
    <row r="62" spans="1:14">
      <c r="A62" s="429"/>
      <c r="B62" s="422"/>
      <c r="C62" s="422"/>
      <c r="D62" s="422"/>
      <c r="E62" s="422"/>
      <c r="F62" s="422"/>
      <c r="G62" s="422"/>
      <c r="H62" s="422"/>
      <c r="I62" s="422"/>
      <c r="J62" s="422"/>
    </row>
    <row r="63" spans="1:14">
      <c r="A63" s="470" t="s">
        <v>2142</v>
      </c>
      <c r="B63" s="471">
        <v>1.7333788325861043E-3</v>
      </c>
      <c r="C63" s="471">
        <v>2.4662697723612593E-3</v>
      </c>
      <c r="D63" s="471">
        <v>2.4662697723612593E-3</v>
      </c>
      <c r="E63" s="471">
        <v>2.4662697723612593E-3</v>
      </c>
      <c r="F63" s="471">
        <v>2.4662697723612593E-3</v>
      </c>
      <c r="G63" s="471">
        <v>2.4662697723612593E-3</v>
      </c>
      <c r="H63" s="471">
        <v>2.4662697723612593E-3</v>
      </c>
      <c r="I63" s="471">
        <v>2.4662697723612593E-3</v>
      </c>
      <c r="J63" s="471"/>
    </row>
    <row r="64" spans="1:14">
      <c r="A64" s="470" t="s">
        <v>2143</v>
      </c>
      <c r="B64" s="472"/>
      <c r="C64" s="472"/>
      <c r="D64" s="472"/>
      <c r="E64" s="472"/>
      <c r="F64" s="472"/>
      <c r="G64" s="472"/>
      <c r="H64" s="472"/>
      <c r="I64" s="472"/>
      <c r="J64" s="472"/>
    </row>
    <row r="65" spans="1:14">
      <c r="A65" s="473" t="s">
        <v>2144</v>
      </c>
      <c r="B65" s="472"/>
      <c r="C65" s="472"/>
      <c r="D65" s="472"/>
      <c r="E65" s="472"/>
      <c r="F65" s="472"/>
      <c r="G65" s="472"/>
      <c r="H65" s="472"/>
      <c r="I65" s="472"/>
      <c r="J65" s="472"/>
    </row>
    <row r="66" spans="1:14">
      <c r="A66" s="474" t="s">
        <v>2145</v>
      </c>
      <c r="B66" s="423">
        <v>-27669.26</v>
      </c>
      <c r="C66" s="423">
        <v>-33261.31</v>
      </c>
      <c r="D66" s="423">
        <v>-33597.699999999997</v>
      </c>
      <c r="E66" s="423">
        <v>-35201.01</v>
      </c>
      <c r="F66" s="423">
        <v>-35382.949999999997</v>
      </c>
      <c r="G66" s="423">
        <v>-35600.769999999997</v>
      </c>
      <c r="H66" s="423">
        <v>-36319.339999999997</v>
      </c>
      <c r="I66" s="423">
        <v>-36596.589999999997</v>
      </c>
      <c r="J66" s="423"/>
    </row>
    <row r="67" spans="1:14" ht="13.5" thickBot="1">
      <c r="A67" s="450"/>
      <c r="B67" s="464"/>
      <c r="C67" s="464"/>
      <c r="D67" s="464"/>
      <c r="E67" s="464"/>
      <c r="F67" s="464"/>
      <c r="G67" s="464"/>
      <c r="H67" s="464"/>
      <c r="I67" s="464"/>
      <c r="J67" s="464"/>
    </row>
    <row r="68" spans="1:14" ht="13.5" thickBot="1">
      <c r="A68" s="440" t="s">
        <v>2146</v>
      </c>
      <c r="B68" s="465">
        <v>-2413953.0199999996</v>
      </c>
      <c r="C68" s="465">
        <v>-2447214.3299999996</v>
      </c>
      <c r="D68" s="465">
        <v>-2480812.0299999998</v>
      </c>
      <c r="E68" s="465">
        <v>-2516013.0399999996</v>
      </c>
      <c r="F68" s="465">
        <v>-2551395.9899999998</v>
      </c>
      <c r="G68" s="465">
        <v>-2586996.7599999998</v>
      </c>
      <c r="H68" s="465">
        <v>-2623316.0999999996</v>
      </c>
      <c r="I68" s="465">
        <v>-2659912.6899999995</v>
      </c>
      <c r="J68" s="465"/>
    </row>
    <row r="69" spans="1:14">
      <c r="A69" s="429"/>
      <c r="B69" s="422"/>
      <c r="C69" s="422"/>
      <c r="D69" s="422"/>
      <c r="E69" s="422"/>
      <c r="F69" s="422"/>
      <c r="G69" s="422"/>
      <c r="H69" s="422"/>
      <c r="I69" s="422"/>
      <c r="J69" s="422"/>
    </row>
    <row r="70" spans="1:14" ht="13.5" thickBot="1">
      <c r="A70" s="442" t="s">
        <v>2147</v>
      </c>
      <c r="B70" s="475">
        <v>-2413953.02</v>
      </c>
      <c r="C70" s="475">
        <v>-2447214.33</v>
      </c>
      <c r="D70" s="475">
        <v>-2480812.0299999998</v>
      </c>
      <c r="E70" s="475">
        <v>-2516013.04</v>
      </c>
      <c r="F70" s="475">
        <v>-2551395.9900000002</v>
      </c>
      <c r="G70" s="475">
        <v>-2586996.7599999998</v>
      </c>
      <c r="H70" s="475">
        <v>-2623316.1</v>
      </c>
      <c r="I70" s="475">
        <v>-2659912.69</v>
      </c>
      <c r="J70" s="444" t="s">
        <v>4823</v>
      </c>
    </row>
    <row r="71" spans="1:14" ht="13.5" thickBot="1">
      <c r="A71" s="445" t="s">
        <v>2505</v>
      </c>
      <c r="B71" s="451">
        <v>0</v>
      </c>
      <c r="C71" s="451">
        <v>0</v>
      </c>
      <c r="D71" s="451">
        <v>0</v>
      </c>
      <c r="E71" s="451">
        <v>0</v>
      </c>
      <c r="F71" s="451">
        <v>0</v>
      </c>
      <c r="G71" s="451">
        <v>0</v>
      </c>
      <c r="H71" s="451">
        <v>0</v>
      </c>
      <c r="I71" s="451">
        <v>0</v>
      </c>
      <c r="J71" s="451"/>
    </row>
    <row r="72" spans="1:14" ht="13.5" thickBot="1">
      <c r="A72" s="447"/>
      <c r="B72" s="476">
        <f t="shared" ref="B72:N72" si="1">B58+B68</f>
        <v>-13860352.970878664</v>
      </c>
      <c r="C72" s="476">
        <f t="shared" si="1"/>
        <v>-13173547.160878664</v>
      </c>
      <c r="D72" s="476">
        <f t="shared" si="1"/>
        <v>-14139077.060878662</v>
      </c>
      <c r="E72" s="476">
        <f t="shared" si="1"/>
        <v>-14475674.490878662</v>
      </c>
      <c r="F72" s="476">
        <f t="shared" si="1"/>
        <v>-14288406.170878664</v>
      </c>
      <c r="G72" s="476">
        <f t="shared" si="1"/>
        <v>-14652709.470878663</v>
      </c>
      <c r="H72" s="476">
        <f t="shared" si="1"/>
        <v>-14872064.930878662</v>
      </c>
      <c r="I72" s="476">
        <f t="shared" si="1"/>
        <v>-14878540.260878662</v>
      </c>
      <c r="J72" s="476">
        <f t="shared" si="1"/>
        <v>0</v>
      </c>
      <c r="K72" s="476">
        <f t="shared" si="1"/>
        <v>0</v>
      </c>
      <c r="L72" s="476">
        <f t="shared" si="1"/>
        <v>0</v>
      </c>
      <c r="M72" s="476">
        <f t="shared" si="1"/>
        <v>0</v>
      </c>
      <c r="N72" s="476">
        <f t="shared" si="1"/>
        <v>0</v>
      </c>
    </row>
    <row r="73" spans="1:14" ht="13.5" hidden="1" thickBot="1">
      <c r="A73" s="405" t="s">
        <v>2148</v>
      </c>
      <c r="B73" s="402"/>
      <c r="C73" s="402"/>
      <c r="D73" s="402"/>
      <c r="E73" s="402"/>
      <c r="F73" s="402"/>
      <c r="G73" s="402"/>
      <c r="H73" s="402"/>
      <c r="I73" s="402"/>
      <c r="J73" s="402"/>
    </row>
    <row r="74" spans="1:14" ht="13.5" hidden="1" thickBot="1">
      <c r="A74" s="405" t="s">
        <v>1114</v>
      </c>
      <c r="B74" s="402"/>
      <c r="C74" s="402"/>
      <c r="D74" s="402"/>
      <c r="E74" s="402"/>
      <c r="F74" s="402"/>
      <c r="G74" s="402"/>
      <c r="H74" s="402"/>
      <c r="I74" s="402"/>
      <c r="J74" s="402"/>
    </row>
    <row r="75" spans="1:14" ht="13.5" hidden="1" thickBot="1">
      <c r="A75" s="405" t="s">
        <v>2149</v>
      </c>
      <c r="B75" s="402"/>
      <c r="C75" s="402"/>
      <c r="D75" s="402"/>
      <c r="E75" s="402"/>
      <c r="F75" s="402"/>
      <c r="G75" s="402"/>
      <c r="H75" s="402"/>
      <c r="I75" s="402"/>
      <c r="J75" s="402"/>
    </row>
    <row r="76" spans="1:14" ht="13.5" hidden="1" thickBot="1">
      <c r="A76" s="405" t="s">
        <v>2150</v>
      </c>
      <c r="B76" s="402"/>
      <c r="C76" s="402"/>
      <c r="D76" s="402"/>
      <c r="E76" s="402"/>
      <c r="F76" s="402"/>
      <c r="G76" s="402"/>
      <c r="H76" s="402"/>
      <c r="I76" s="402"/>
      <c r="J76" s="402"/>
    </row>
    <row r="77" spans="1:14" ht="13.5" hidden="1" thickBot="1">
      <c r="B77" s="402"/>
      <c r="C77" s="402"/>
      <c r="D77" s="402"/>
      <c r="E77" s="402"/>
      <c r="F77" s="402"/>
      <c r="G77" s="402"/>
      <c r="H77" s="402"/>
      <c r="I77" s="402"/>
      <c r="J77" s="402"/>
    </row>
    <row r="78" spans="1:14" ht="13.5" hidden="1" thickBot="1">
      <c r="A78" s="405" t="s">
        <v>2151</v>
      </c>
      <c r="B78" s="402"/>
      <c r="C78" s="402"/>
      <c r="D78" s="402"/>
      <c r="E78" s="402"/>
      <c r="F78" s="402"/>
      <c r="G78" s="402"/>
      <c r="H78" s="402"/>
      <c r="I78" s="402"/>
      <c r="J78" s="402"/>
    </row>
    <row r="79" spans="1:14" ht="13.5" hidden="1" thickBot="1">
      <c r="A79" s="405" t="s">
        <v>1114</v>
      </c>
      <c r="B79" s="402"/>
      <c r="C79" s="402"/>
      <c r="D79" s="402"/>
      <c r="E79" s="402"/>
      <c r="F79" s="402"/>
      <c r="G79" s="402"/>
      <c r="H79" s="402"/>
      <c r="I79" s="402"/>
      <c r="J79" s="402"/>
    </row>
    <row r="80" spans="1:14" ht="13.5" hidden="1" thickBot="1">
      <c r="A80" s="405" t="s">
        <v>2149</v>
      </c>
      <c r="B80" s="402"/>
      <c r="C80" s="402"/>
      <c r="D80" s="402"/>
      <c r="E80" s="402"/>
      <c r="F80" s="402"/>
      <c r="G80" s="402"/>
      <c r="H80" s="402"/>
      <c r="I80" s="402"/>
      <c r="J80" s="402"/>
    </row>
    <row r="81" spans="1:10" ht="13.5" hidden="1" thickBot="1">
      <c r="A81" s="405" t="s">
        <v>2150</v>
      </c>
      <c r="B81" s="402"/>
      <c r="C81" s="402"/>
      <c r="D81" s="402"/>
      <c r="E81" s="402"/>
      <c r="F81" s="402"/>
      <c r="G81" s="402"/>
      <c r="H81" s="402"/>
      <c r="I81" s="402"/>
      <c r="J81" s="402"/>
    </row>
    <row r="82" spans="1:10" ht="13.5" hidden="1" thickBot="1">
      <c r="B82" s="402"/>
      <c r="C82" s="402"/>
      <c r="D82" s="402"/>
      <c r="E82" s="402"/>
      <c r="F82" s="402"/>
      <c r="G82" s="402"/>
      <c r="H82" s="402"/>
      <c r="I82" s="402"/>
      <c r="J82" s="402"/>
    </row>
    <row r="83" spans="1:10" ht="13.5" hidden="1" thickBot="1">
      <c r="A83" s="164" t="s">
        <v>2152</v>
      </c>
      <c r="B83" s="402"/>
      <c r="C83" s="402"/>
      <c r="D83" s="402"/>
      <c r="E83" s="402"/>
      <c r="F83" s="402"/>
      <c r="G83" s="402"/>
      <c r="H83" s="402"/>
      <c r="I83" s="402"/>
      <c r="J83" s="402"/>
    </row>
    <row r="84" spans="1:10" ht="13.5" hidden="1" thickBot="1">
      <c r="A84" s="164" t="s">
        <v>1114</v>
      </c>
      <c r="B84" s="402"/>
      <c r="C84" s="402"/>
      <c r="D84" s="402"/>
      <c r="E84" s="402"/>
      <c r="F84" s="402"/>
      <c r="G84" s="402"/>
      <c r="H84" s="402"/>
      <c r="I84" s="402"/>
      <c r="J84" s="402"/>
    </row>
    <row r="85" spans="1:10" ht="13.5" hidden="1" thickBot="1">
      <c r="A85" s="405" t="s">
        <v>2149</v>
      </c>
      <c r="B85" s="402"/>
      <c r="C85" s="402"/>
      <c r="D85" s="402"/>
      <c r="E85" s="402"/>
      <c r="F85" s="402"/>
      <c r="G85" s="402"/>
      <c r="H85" s="402"/>
      <c r="I85" s="402"/>
      <c r="J85" s="402"/>
    </row>
    <row r="86" spans="1:10" ht="13.5" hidden="1" thickBot="1">
      <c r="A86" s="405" t="s">
        <v>2150</v>
      </c>
      <c r="B86" s="402"/>
      <c r="C86" s="402"/>
      <c r="D86" s="402"/>
      <c r="E86" s="402"/>
      <c r="F86" s="402"/>
      <c r="G86" s="402"/>
      <c r="H86" s="402"/>
      <c r="I86" s="402"/>
      <c r="J86" s="402"/>
    </row>
    <row r="87" spans="1:10" ht="13.5" hidden="1" thickBot="1">
      <c r="A87" s="164" t="s">
        <v>2133</v>
      </c>
      <c r="B87" s="402"/>
      <c r="C87" s="402"/>
      <c r="D87" s="402"/>
      <c r="E87" s="402"/>
      <c r="F87" s="402"/>
      <c r="G87" s="402"/>
      <c r="H87" s="402"/>
      <c r="I87" s="402"/>
      <c r="J87" s="402"/>
    </row>
    <row r="88" spans="1:10" s="479" customFormat="1" ht="13.5" thickBot="1">
      <c r="A88" s="477"/>
      <c r="B88" s="478"/>
      <c r="C88" s="478"/>
      <c r="D88" s="478"/>
      <c r="E88" s="478"/>
      <c r="F88" s="478"/>
      <c r="G88" s="478"/>
      <c r="H88" s="478"/>
      <c r="I88" s="478"/>
      <c r="J88" s="478"/>
    </row>
    <row r="89" spans="1:10">
      <c r="A89" s="480" t="s">
        <v>2153</v>
      </c>
      <c r="B89" s="449"/>
      <c r="C89" s="449"/>
      <c r="D89" s="449"/>
      <c r="E89" s="449"/>
      <c r="F89" s="449"/>
      <c r="G89" s="449"/>
      <c r="H89" s="449"/>
      <c r="I89" s="449"/>
      <c r="J89" s="449"/>
    </row>
    <row r="90" spans="1:10">
      <c r="A90" s="164" t="s">
        <v>2154</v>
      </c>
      <c r="B90" s="481">
        <v>-19351046.10643727</v>
      </c>
      <c r="C90" s="481">
        <v>-19781079.826437265</v>
      </c>
      <c r="D90" s="481">
        <v>-23173042.356437266</v>
      </c>
      <c r="E90" s="481">
        <v>-15573813.996437266</v>
      </c>
      <c r="F90" s="481">
        <v>-17185856.616437268</v>
      </c>
      <c r="G90" s="481">
        <v>-19247592.666437268</v>
      </c>
      <c r="H90" s="481">
        <v>-14966590.986437265</v>
      </c>
      <c r="I90" s="481">
        <v>-17239746.376437265</v>
      </c>
      <c r="J90" s="481"/>
    </row>
    <row r="91" spans="1:10">
      <c r="A91" s="164" t="s">
        <v>2155</v>
      </c>
      <c r="B91" s="422"/>
      <c r="C91" s="422"/>
      <c r="D91" s="422"/>
      <c r="E91" s="422"/>
      <c r="F91" s="422"/>
      <c r="G91" s="422"/>
      <c r="H91" s="422"/>
      <c r="I91" s="422"/>
      <c r="J91" s="422"/>
    </row>
    <row r="92" spans="1:10" s="404" customFormat="1">
      <c r="A92" s="164" t="s">
        <v>2156</v>
      </c>
      <c r="B92" s="482">
        <v>-19351046.10643727</v>
      </c>
      <c r="C92" s="482">
        <v>-19781079.826437265</v>
      </c>
      <c r="D92" s="482">
        <v>-23173042.356437266</v>
      </c>
      <c r="E92" s="482">
        <v>-15573813.996437266</v>
      </c>
      <c r="F92" s="482">
        <v>-17185856.616437268</v>
      </c>
      <c r="G92" s="482">
        <v>-19247592.666437268</v>
      </c>
      <c r="H92" s="482">
        <v>-14966590.986437265</v>
      </c>
      <c r="I92" s="482">
        <v>-17239746.376437265</v>
      </c>
      <c r="J92" s="482"/>
    </row>
    <row r="93" spans="1:10">
      <c r="A93" s="480" t="s">
        <v>2157</v>
      </c>
      <c r="B93" s="451">
        <v>-5607317.9900000002</v>
      </c>
      <c r="C93" s="451">
        <v>-6063558.5800000001</v>
      </c>
      <c r="D93" s="451">
        <v>-8322598.75</v>
      </c>
      <c r="E93" s="451">
        <v>-116263.17</v>
      </c>
      <c r="F93" s="451">
        <v>-2259012.59</v>
      </c>
      <c r="G93" s="451">
        <v>-4518052.76</v>
      </c>
      <c r="H93" s="451">
        <v>-116263.18</v>
      </c>
      <c r="I93" s="451">
        <v>-2259012.6</v>
      </c>
      <c r="J93" s="451"/>
    </row>
    <row r="94" spans="1:10" s="404" customFormat="1" ht="13.5" thickBot="1">
      <c r="A94" s="164" t="s">
        <v>2158</v>
      </c>
      <c r="B94" s="483">
        <v>13743728.116437269</v>
      </c>
      <c r="C94" s="483">
        <v>13717521.246437265</v>
      </c>
      <c r="D94" s="483">
        <v>14850443.606437266</v>
      </c>
      <c r="E94" s="483">
        <v>15457550.826437267</v>
      </c>
      <c r="F94" s="483">
        <v>14926844.026437268</v>
      </c>
      <c r="G94" s="483">
        <v>14729539.906437268</v>
      </c>
      <c r="H94" s="483">
        <v>14850327.806437265</v>
      </c>
      <c r="I94" s="483">
        <v>14980733.776437266</v>
      </c>
      <c r="J94" s="483"/>
    </row>
    <row r="95" spans="1:10" s="479" customFormat="1" ht="12.75" customHeight="1" thickTop="1">
      <c r="A95" s="477"/>
      <c r="B95" s="484"/>
      <c r="C95" s="484"/>
      <c r="D95" s="484"/>
      <c r="E95" s="484"/>
      <c r="F95" s="484"/>
      <c r="G95" s="484"/>
      <c r="H95" s="484"/>
      <c r="I95" s="484"/>
      <c r="J95" s="484"/>
    </row>
    <row r="96" spans="1:10">
      <c r="A96" s="485" t="s">
        <v>2159</v>
      </c>
      <c r="B96" s="443">
        <v>13743728.09</v>
      </c>
      <c r="C96" s="443">
        <v>13717521.220000001</v>
      </c>
      <c r="D96" s="443">
        <v>14850443.58</v>
      </c>
      <c r="E96" s="443">
        <v>15457550.800000001</v>
      </c>
      <c r="F96" s="443">
        <v>14926844</v>
      </c>
      <c r="G96" s="443">
        <v>14729539.880000001</v>
      </c>
      <c r="H96" s="443">
        <v>14850327.779999999</v>
      </c>
      <c r="I96" s="443">
        <v>14980733.75</v>
      </c>
      <c r="J96" s="443"/>
    </row>
    <row r="97" spans="1:10">
      <c r="A97" s="405" t="s">
        <v>2505</v>
      </c>
      <c r="B97" s="486">
        <v>2.6437269523739815E-2</v>
      </c>
      <c r="C97" s="486">
        <v>2.6437263935804367E-2</v>
      </c>
      <c r="D97" s="486">
        <v>2.6437265798449516E-2</v>
      </c>
      <c r="E97" s="486">
        <v>2.6437265798449516E-2</v>
      </c>
      <c r="F97" s="486">
        <v>2.6437267661094666E-2</v>
      </c>
      <c r="G97" s="486">
        <v>2.6437267661094666E-2</v>
      </c>
      <c r="H97" s="486">
        <v>2.6437265798449516E-2</v>
      </c>
      <c r="I97" s="486">
        <v>2.6437265798449516E-2</v>
      </c>
      <c r="J97" s="486"/>
    </row>
  </sheetData>
  <phoneticPr fontId="87" type="noConversion"/>
  <printOptions horizontalCentered="1"/>
  <pageMargins left="0" right="0" top="0.25" bottom="0.25" header="0.5" footer="0.25"/>
  <pageSetup scale="48" orientation="landscape" cellComments="asDisplayed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E2C386D284EB43BDC3DEB677BA6CCE" ma:contentTypeVersion="0" ma:contentTypeDescription="Create a new document." ma:contentTypeScope="" ma:versionID="51b4bd9bb96593c030aa4aa420c0a735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3904EBAD-D343-4596-BD06-5FFD19E0FE97}"/>
</file>

<file path=customXml/itemProps2.xml><?xml version="1.0" encoding="utf-8"?>
<ds:datastoreItem xmlns:ds="http://schemas.openxmlformats.org/officeDocument/2006/customXml" ds:itemID="{0400E7E2-6D99-46A5-8601-0B649F7A5EE0}"/>
</file>

<file path=customXml/itemProps3.xml><?xml version="1.0" encoding="utf-8"?>
<ds:datastoreItem xmlns:ds="http://schemas.openxmlformats.org/officeDocument/2006/customXml" ds:itemID="{953B00A8-2F4A-4273-82EB-0D4017E161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23</vt:i4>
      </vt:variant>
    </vt:vector>
  </HeadingPairs>
  <TitlesOfParts>
    <vt:vector size="42" baseType="lpstr">
      <vt:lpstr>Rate Base</vt:lpstr>
      <vt:lpstr>Capitalization</vt:lpstr>
      <vt:lpstr>Rate Base Detail</vt:lpstr>
      <vt:lpstr>Balance Sheet Detail</vt:lpstr>
      <vt:lpstr>Items Not in Rate Base</vt:lpstr>
      <vt:lpstr>IB-CWIP</vt:lpstr>
      <vt:lpstr> WC on PP Exp</vt:lpstr>
      <vt:lpstr>Hedge Margin</vt:lpstr>
      <vt:lpstr>EEPS Electric </vt:lpstr>
      <vt:lpstr>EEPS GAS</vt:lpstr>
      <vt:lpstr>NYSEG PSC Assess Liab</vt:lpstr>
      <vt:lpstr>Bonus Depr ADIT</vt:lpstr>
      <vt:lpstr>ZF02 - TME Dec 2014</vt:lpstr>
      <vt:lpstr>Allocators</vt:lpstr>
      <vt:lpstr>Labor</vt:lpstr>
      <vt:lpstr>591040</vt:lpstr>
      <vt:lpstr>591050</vt:lpstr>
      <vt:lpstr>NYSEG MTA EXPENSE</vt:lpstr>
      <vt:lpstr>Categories</vt:lpstr>
      <vt:lpstr>' WC on PP Exp'!Print_Area</vt:lpstr>
      <vt:lpstr>Allocators!Print_Area</vt:lpstr>
      <vt:lpstr>'Balance Sheet Detail'!Print_Area</vt:lpstr>
      <vt:lpstr>'Bonus Depr ADIT'!Print_Area</vt:lpstr>
      <vt:lpstr>Capitalization!Print_Area</vt:lpstr>
      <vt:lpstr>Categories!Print_Area</vt:lpstr>
      <vt:lpstr>'EEPS Electric '!Print_Area</vt:lpstr>
      <vt:lpstr>'EEPS GAS'!Print_Area</vt:lpstr>
      <vt:lpstr>'Hedge Margin'!Print_Area</vt:lpstr>
      <vt:lpstr>'IB-CWIP'!Print_Area</vt:lpstr>
      <vt:lpstr>'Items Not in Rate Base'!Print_Area</vt:lpstr>
      <vt:lpstr>Labor!Print_Area</vt:lpstr>
      <vt:lpstr>'NYSEG PSC Assess Liab'!Print_Area</vt:lpstr>
      <vt:lpstr>'Rate Base'!Print_Area</vt:lpstr>
      <vt:lpstr>'Rate Base Detail'!Print_Area</vt:lpstr>
      <vt:lpstr>'ZF02 - TME Dec 2014'!Print_Area</vt:lpstr>
      <vt:lpstr>'Balance Sheet Detail'!Print_Titles</vt:lpstr>
      <vt:lpstr>Capitalization!Print_Titles</vt:lpstr>
      <vt:lpstr>'Items Not in Rate Base'!Print_Titles</vt:lpstr>
      <vt:lpstr>Labor!Print_Titles</vt:lpstr>
      <vt:lpstr>'NYSEG MTA EXPENSE'!Print_Titles</vt:lpstr>
      <vt:lpstr>'Rate Base'!Print_Titles</vt:lpstr>
      <vt:lpstr>'ZF02 - TME Dec 2014'!Print_Titles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2012-03-15T21:03:22Z</cp:lastPrinted>
  <dcterms:created xsi:type="dcterms:W3CDTF">2005-09-15T12:59:26Z</dcterms:created>
  <dcterms:modified xsi:type="dcterms:W3CDTF">2015-02-12T22:52:32Z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0x01010038E2C386D284EB43BDC3DEB677BA6CCE</vt:lpwstr>
  </property>
</Properties>
</file>